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6305" yWindow="0" windowWidth="8430" windowHeight="12375" tabRatio="725" activeTab="1"/>
  </bookViews>
  <sheets>
    <sheet name="Расчет ЦП - общая форма" sheetId="3" r:id="rId1"/>
    <sheet name="Интерактивная карта" sheetId="28" r:id="rId2"/>
    <sheet name="СводТекДефицитЗима" sheetId="19" r:id="rId3"/>
    <sheet name="СводТекущийДефицитФевраль" sheetId="20" r:id="rId4"/>
    <sheet name="Зона БЭс" sheetId="4" state="veryHidden" r:id="rId5"/>
    <sheet name="Зона ВЭс" sheetId="5" state="veryHidden" r:id="rId6"/>
    <sheet name="Зона КиЭс  " sheetId="6" state="veryHidden" r:id="rId7"/>
    <sheet name="Зона РжЭс" sheetId="8" state="veryHidden" r:id="rId8"/>
    <sheet name="Зона НЭс" sheetId="7" state="veryHidden" r:id="rId9"/>
    <sheet name="Зона ТвЭС" sheetId="10" state="veryHidden" r:id="rId10"/>
    <sheet name="Зона ТоЭс" sheetId="9" state="veryHidden" r:id="rId11"/>
  </sheets>
  <definedNames>
    <definedName name="_xlnm._FilterDatabase" localSheetId="8" hidden="1">'Зона НЭс'!$A$6:$L$121</definedName>
    <definedName name="_xlnm._FilterDatabase" localSheetId="7" hidden="1">'Зона РжЭс'!$A$6:$L$177</definedName>
    <definedName name="_xlnm._FilterDatabase" localSheetId="1" hidden="1">'Интерактивная карта'!$A$7:$M$322</definedName>
    <definedName name="_xlnm._FilterDatabase" localSheetId="0" hidden="1">'Расчет ЦП - общая форма'!$A$7:$AX$463</definedName>
    <definedName name="_xlnm._FilterDatabase" localSheetId="2" hidden="1">СводТекДефицитЗима!$A$7:$M$434</definedName>
    <definedName name="_xlnm._FilterDatabase" localSheetId="3" hidden="1">СводТекущийДефицитФевраль!$A$7:$L$434</definedName>
  </definedNames>
  <calcPr calcId="145621"/>
</workbook>
</file>

<file path=xl/calcChain.xml><?xml version="1.0" encoding="utf-8"?>
<calcChain xmlns="http://schemas.openxmlformats.org/spreadsheetml/2006/main">
  <c r="C43" i="28" l="1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230" i="28"/>
  <c r="C174" i="28"/>
  <c r="C315" i="28"/>
  <c r="C280" i="28"/>
  <c r="C279" i="28"/>
  <c r="C278" i="28"/>
  <c r="C277" i="28"/>
  <c r="C276" i="28"/>
  <c r="C285" i="28"/>
  <c r="C306" i="28"/>
  <c r="C305" i="28"/>
  <c r="C302" i="28"/>
  <c r="C272" i="28"/>
  <c r="C271" i="28"/>
  <c r="C247" i="28"/>
  <c r="C245" i="28"/>
  <c r="C242" i="28"/>
  <c r="C226" i="28"/>
  <c r="C198" i="28"/>
  <c r="C195" i="28"/>
  <c r="C176" i="28"/>
  <c r="C138" i="28"/>
  <c r="C129" i="28"/>
  <c r="C127" i="28"/>
  <c r="C244" i="28"/>
  <c r="C227" i="28"/>
  <c r="C318" i="28"/>
  <c r="C307" i="28"/>
  <c r="C300" i="28"/>
  <c r="C266" i="28"/>
  <c r="C255" i="28"/>
  <c r="C205" i="28"/>
  <c r="C194" i="28"/>
  <c r="C178" i="28"/>
  <c r="C130" i="28"/>
  <c r="C270" i="28"/>
  <c r="C317" i="28"/>
  <c r="C301" i="28"/>
  <c r="C200" i="28"/>
  <c r="C150" i="28"/>
  <c r="C145" i="28"/>
  <c r="C132" i="28"/>
  <c r="C123" i="28"/>
  <c r="C320" i="28"/>
  <c r="C319" i="28"/>
  <c r="C316" i="28"/>
  <c r="C312" i="28"/>
  <c r="C286" i="28"/>
  <c r="C282" i="28"/>
  <c r="C196" i="28"/>
  <c r="C180" i="28"/>
  <c r="C172" i="28"/>
  <c r="C149" i="28"/>
  <c r="C143" i="28"/>
  <c r="C117" i="28"/>
  <c r="C115" i="28"/>
  <c r="C283" i="28"/>
  <c r="C240" i="28"/>
  <c r="C235" i="28"/>
  <c r="C232" i="28"/>
  <c r="C206" i="28"/>
  <c r="C148" i="28"/>
  <c r="C125" i="28"/>
  <c r="C114" i="28"/>
  <c r="C113" i="28"/>
  <c r="C321" i="28"/>
  <c r="C311" i="28"/>
  <c r="C281" i="28"/>
  <c r="C262" i="28"/>
  <c r="C237" i="28"/>
  <c r="C234" i="28"/>
  <c r="C233" i="28"/>
  <c r="C231" i="28"/>
  <c r="C192" i="28"/>
  <c r="C179" i="28"/>
  <c r="C177" i="28"/>
  <c r="C151" i="28"/>
  <c r="C141" i="28"/>
  <c r="C252" i="28"/>
  <c r="C169" i="28"/>
  <c r="C313" i="28"/>
  <c r="C309" i="28"/>
  <c r="C308" i="28"/>
  <c r="C304" i="28"/>
  <c r="C303" i="28"/>
  <c r="C268" i="28"/>
  <c r="C250" i="28"/>
  <c r="C243" i="28"/>
  <c r="C228" i="28"/>
  <c r="C199" i="28"/>
  <c r="C193" i="28"/>
  <c r="C171" i="28"/>
  <c r="C142" i="28"/>
  <c r="C140" i="28"/>
  <c r="C139" i="28"/>
  <c r="C136" i="28"/>
  <c r="C134" i="28"/>
  <c r="C133" i="28"/>
  <c r="C126" i="28"/>
  <c r="C121" i="28"/>
  <c r="C119" i="28"/>
  <c r="C274" i="28"/>
  <c r="C273" i="28"/>
  <c r="C263" i="28"/>
  <c r="C261" i="28"/>
  <c r="C265" i="28"/>
  <c r="C284" i="28"/>
  <c r="C259" i="28"/>
  <c r="C257" i="28"/>
  <c r="C253" i="28"/>
  <c r="C203" i="28"/>
  <c r="C310" i="28"/>
  <c r="C314" i="28"/>
  <c r="C264" i="28"/>
  <c r="C254" i="28"/>
  <c r="C251" i="28"/>
  <c r="C246" i="28"/>
  <c r="C241" i="28"/>
  <c r="C239" i="28"/>
  <c r="C238" i="28"/>
  <c r="C207" i="28"/>
  <c r="C202" i="28"/>
  <c r="C201" i="28"/>
  <c r="C147" i="28"/>
  <c r="C146" i="28"/>
  <c r="C144" i="28"/>
  <c r="C128" i="28"/>
  <c r="C124" i="28"/>
  <c r="C122" i="28"/>
  <c r="C116" i="28"/>
  <c r="C229" i="28"/>
  <c r="C197" i="28"/>
  <c r="C175" i="28"/>
  <c r="C269" i="28"/>
  <c r="C258" i="28"/>
  <c r="C236" i="28"/>
  <c r="C204" i="28"/>
  <c r="C120" i="28"/>
  <c r="C260" i="28"/>
  <c r="C256" i="28"/>
  <c r="C267" i="28"/>
  <c r="C249" i="28"/>
  <c r="C248" i="28"/>
  <c r="C173" i="28"/>
  <c r="C168" i="28"/>
  <c r="C135" i="28"/>
  <c r="C170" i="28"/>
  <c r="C137" i="28"/>
  <c r="C131" i="28"/>
  <c r="T260" i="3"/>
  <c r="T259" i="3"/>
  <c r="J117" i="10"/>
  <c r="J534" i="10"/>
  <c r="J139" i="9"/>
  <c r="O722" i="10" l="1"/>
  <c r="O782" i="10"/>
  <c r="O320" i="10"/>
  <c r="O57" i="5"/>
  <c r="O562" i="10"/>
  <c r="O193" i="6"/>
  <c r="O190" i="6"/>
  <c r="O86" i="5"/>
  <c r="O76" i="4"/>
  <c r="O75" i="4"/>
  <c r="AJ402" i="3"/>
  <c r="AJ419" i="3"/>
  <c r="AJ433" i="3"/>
  <c r="AJ9" i="3"/>
  <c r="P402" i="3"/>
  <c r="P398" i="3"/>
  <c r="P361" i="3"/>
  <c r="P355" i="3"/>
  <c r="P343" i="3"/>
  <c r="P340" i="3"/>
  <c r="P325" i="3"/>
  <c r="M32" i="3"/>
  <c r="M28" i="3"/>
  <c r="M27" i="3"/>
  <c r="J95" i="10"/>
  <c r="J210" i="9"/>
  <c r="O205" i="9"/>
  <c r="J205" i="9"/>
  <c r="J194" i="9"/>
  <c r="J185" i="9"/>
  <c r="J168" i="9"/>
  <c r="O145" i="9"/>
  <c r="J145" i="9"/>
  <c r="J127" i="9"/>
  <c r="J119" i="9"/>
  <c r="O116" i="9"/>
  <c r="J116" i="9"/>
  <c r="O107" i="9"/>
  <c r="J107" i="9"/>
  <c r="O99" i="9"/>
  <c r="J99" i="9"/>
  <c r="J94" i="9"/>
  <c r="O94" i="9"/>
  <c r="J85" i="9"/>
  <c r="O82" i="9"/>
  <c r="J82" i="9"/>
  <c r="J65" i="9"/>
  <c r="O62" i="9"/>
  <c r="J62" i="9"/>
  <c r="O55" i="9"/>
  <c r="J55" i="9"/>
  <c r="J45" i="9"/>
  <c r="J25" i="9"/>
  <c r="J13" i="9"/>
  <c r="O795" i="10"/>
  <c r="J782" i="10"/>
  <c r="O771" i="10"/>
  <c r="O756" i="10"/>
  <c r="J756" i="10"/>
  <c r="O753" i="10"/>
  <c r="J753" i="10"/>
  <c r="O735" i="10"/>
  <c r="J735" i="10"/>
  <c r="O703" i="10"/>
  <c r="J671" i="10"/>
  <c r="J634" i="10"/>
  <c r="O634" i="10"/>
  <c r="O629" i="10"/>
  <c r="J629" i="10"/>
  <c r="O621" i="10"/>
  <c r="J602" i="10"/>
  <c r="O595" i="10"/>
  <c r="J595" i="10"/>
  <c r="O578" i="10"/>
  <c r="J578" i="10"/>
  <c r="O567" i="10"/>
  <c r="J567" i="10"/>
  <c r="J562" i="10"/>
  <c r="O544" i="10"/>
  <c r="J544" i="10"/>
  <c r="O539" i="10"/>
  <c r="J539" i="10"/>
  <c r="O534" i="10"/>
  <c r="O519" i="10"/>
  <c r="O506" i="10"/>
  <c r="J506" i="10"/>
  <c r="O497" i="10"/>
  <c r="J497" i="10"/>
  <c r="O478" i="10"/>
  <c r="J470" i="10"/>
  <c r="O455" i="10"/>
  <c r="J455" i="10"/>
  <c r="J447" i="10"/>
  <c r="O431" i="10"/>
  <c r="J431" i="10"/>
  <c r="O426" i="10"/>
  <c r="J426" i="10"/>
  <c r="O421" i="10"/>
  <c r="J421" i="10"/>
  <c r="J410" i="10"/>
  <c r="J400" i="10"/>
  <c r="O363" i="10"/>
  <c r="O358" i="10"/>
  <c r="J358" i="10"/>
  <c r="O353" i="10"/>
  <c r="J353" i="10"/>
  <c r="O350" i="10"/>
  <c r="J350" i="10"/>
  <c r="O336" i="10"/>
  <c r="J336" i="10"/>
  <c r="O331" i="10"/>
  <c r="J320" i="10"/>
  <c r="O310" i="10"/>
  <c r="J310" i="10"/>
  <c r="O279" i="10"/>
  <c r="J279" i="10"/>
  <c r="J268" i="10"/>
  <c r="O220" i="10"/>
  <c r="J220" i="10"/>
  <c r="O205" i="10"/>
  <c r="J205" i="10"/>
  <c r="J202" i="10"/>
  <c r="J191" i="10"/>
  <c r="O174" i="10"/>
  <c r="J174" i="10"/>
  <c r="J170" i="10"/>
  <c r="O142" i="10"/>
  <c r="J142" i="10"/>
  <c r="J149" i="10"/>
  <c r="J137" i="10"/>
  <c r="O128" i="10"/>
  <c r="J128" i="10"/>
  <c r="O117" i="10"/>
  <c r="O97" i="10"/>
  <c r="J102" i="10"/>
  <c r="O95" i="10"/>
  <c r="O88" i="10"/>
  <c r="O83" i="10"/>
  <c r="J83" i="10"/>
  <c r="O73" i="10"/>
  <c r="J73" i="10"/>
  <c r="O60" i="10"/>
  <c r="J56" i="10"/>
  <c r="O53" i="10"/>
  <c r="J53" i="10"/>
  <c r="J31" i="10"/>
  <c r="J33" i="10"/>
  <c r="J39" i="10"/>
  <c r="O31" i="10"/>
  <c r="Q31" i="10" s="1"/>
  <c r="O22" i="10"/>
  <c r="O15" i="10"/>
  <c r="J15" i="10"/>
  <c r="J121" i="7"/>
  <c r="J108" i="7"/>
  <c r="O96" i="7"/>
  <c r="O86" i="7"/>
  <c r="J86" i="7"/>
  <c r="O76" i="7"/>
  <c r="J76" i="7"/>
  <c r="O69" i="7"/>
  <c r="J69" i="7"/>
  <c r="O65" i="7"/>
  <c r="O55" i="7"/>
  <c r="J55" i="7"/>
  <c r="J44" i="7"/>
  <c r="O31" i="7"/>
  <c r="J31" i="7"/>
  <c r="O23" i="7"/>
  <c r="J23" i="7"/>
  <c r="O20" i="7"/>
  <c r="J20" i="7"/>
  <c r="O9" i="7"/>
  <c r="O177" i="8"/>
  <c r="J177" i="8"/>
  <c r="O166" i="8"/>
  <c r="J147" i="8"/>
  <c r="J141" i="8"/>
  <c r="O134" i="8"/>
  <c r="J134" i="8"/>
  <c r="O125" i="8"/>
  <c r="J125" i="8"/>
  <c r="O118" i="8"/>
  <c r="J118" i="8"/>
  <c r="O109" i="8"/>
  <c r="J109" i="8"/>
  <c r="O105" i="8"/>
  <c r="J95" i="8"/>
  <c r="O76" i="8"/>
  <c r="J76" i="8"/>
  <c r="O66" i="8"/>
  <c r="J66" i="8"/>
  <c r="J57" i="8"/>
  <c r="J49" i="8"/>
  <c r="O33" i="8"/>
  <c r="O18" i="8"/>
  <c r="J18" i="8"/>
  <c r="O11" i="8"/>
  <c r="J11" i="8"/>
  <c r="O264" i="6"/>
  <c r="O251" i="6"/>
  <c r="J251" i="6"/>
  <c r="O217" i="6"/>
  <c r="J217" i="6"/>
  <c r="O197" i="6"/>
  <c r="J197" i="6"/>
  <c r="J193" i="6"/>
  <c r="J186" i="6"/>
  <c r="O170" i="6"/>
  <c r="J173" i="6"/>
  <c r="J168" i="6"/>
  <c r="O168" i="6"/>
  <c r="O154" i="6"/>
  <c r="O139" i="6"/>
  <c r="J139" i="6"/>
  <c r="J126" i="6"/>
  <c r="J119" i="6"/>
  <c r="J114" i="6"/>
  <c r="J106" i="6"/>
  <c r="J96" i="6"/>
  <c r="J90" i="6"/>
  <c r="O85" i="6"/>
  <c r="J85" i="6"/>
  <c r="O68" i="6"/>
  <c r="O59" i="6"/>
  <c r="J59" i="6"/>
  <c r="J11" i="6"/>
  <c r="J194" i="5"/>
  <c r="O198" i="5"/>
  <c r="J198" i="5"/>
  <c r="J167" i="5"/>
  <c r="J164" i="5"/>
  <c r="O160" i="5"/>
  <c r="J160" i="5"/>
  <c r="O157" i="5"/>
  <c r="J150" i="5"/>
  <c r="O143" i="5"/>
  <c r="J140" i="5"/>
  <c r="J131" i="5"/>
  <c r="J116" i="5"/>
  <c r="O122" i="5"/>
  <c r="J122" i="5"/>
  <c r="J126" i="5"/>
  <c r="O116" i="5"/>
  <c r="O101" i="5"/>
  <c r="J96" i="5"/>
  <c r="O91" i="5"/>
  <c r="O81" i="5"/>
  <c r="J78" i="5"/>
  <c r="J73" i="5"/>
  <c r="O75" i="5"/>
  <c r="J66" i="5"/>
  <c r="O63" i="5"/>
  <c r="J63" i="5"/>
  <c r="J57" i="5"/>
  <c r="O48" i="5"/>
  <c r="O40" i="5"/>
  <c r="J40" i="5"/>
  <c r="J45" i="5"/>
  <c r="J48" i="5"/>
  <c r="O34" i="5"/>
  <c r="O32" i="5"/>
  <c r="J18" i="5"/>
  <c r="O10" i="5"/>
  <c r="O8" i="5"/>
  <c r="J13" i="5"/>
  <c r="O95" i="4"/>
  <c r="J150" i="4"/>
  <c r="O130" i="4"/>
  <c r="O147" i="4"/>
  <c r="O150" i="4"/>
  <c r="J143" i="4"/>
  <c r="J130" i="4"/>
  <c r="J125" i="4"/>
  <c r="O120" i="4"/>
  <c r="J120" i="4"/>
  <c r="J105" i="4"/>
  <c r="J95" i="4"/>
  <c r="L95" i="4"/>
  <c r="O84" i="4"/>
  <c r="O82" i="4"/>
  <c r="J76" i="4"/>
  <c r="O64" i="4"/>
  <c r="J64" i="4"/>
  <c r="O51" i="4"/>
  <c r="J51" i="4"/>
  <c r="J48" i="4"/>
  <c r="O37" i="4"/>
  <c r="J31" i="4"/>
  <c r="J19" i="4"/>
  <c r="J8" i="4"/>
  <c r="O125" i="5" l="1"/>
  <c r="A704" i="10"/>
  <c r="J42" i="5"/>
  <c r="U53" i="10"/>
  <c r="U48" i="10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8" i="3"/>
  <c r="AJ8" i="3"/>
  <c r="AL8" i="3" s="1"/>
  <c r="AN8" i="3" s="1"/>
  <c r="AB9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B79" i="3"/>
  <c r="AB80" i="3"/>
  <c r="AB81" i="3"/>
  <c r="AB82" i="3"/>
  <c r="AB83" i="3"/>
  <c r="AB84" i="3"/>
  <c r="AB85" i="3"/>
  <c r="AB86" i="3"/>
  <c r="AB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C98" i="3"/>
  <c r="AD98" i="3"/>
  <c r="AB99" i="3"/>
  <c r="AC99" i="3"/>
  <c r="AD99" i="3"/>
  <c r="AB100" i="3"/>
  <c r="AC100" i="3"/>
  <c r="AD100" i="3"/>
  <c r="AB101" i="3"/>
  <c r="AC101" i="3"/>
  <c r="AD101" i="3"/>
  <c r="AB102" i="3"/>
  <c r="AC102" i="3"/>
  <c r="AD102" i="3"/>
  <c r="AB103" i="3"/>
  <c r="AC103" i="3"/>
  <c r="AD103" i="3"/>
  <c r="AB104" i="3"/>
  <c r="AC104" i="3"/>
  <c r="AD104" i="3"/>
  <c r="AB105" i="3"/>
  <c r="AC105" i="3"/>
  <c r="AD105" i="3"/>
  <c r="AB106" i="3"/>
  <c r="AC106" i="3"/>
  <c r="AD106" i="3"/>
  <c r="AB107" i="3"/>
  <c r="AC107" i="3"/>
  <c r="AD107" i="3"/>
  <c r="AB108" i="3"/>
  <c r="AC108" i="3"/>
  <c r="AD108" i="3"/>
  <c r="AB109" i="3"/>
  <c r="AC109" i="3"/>
  <c r="AD109" i="3"/>
  <c r="AB110" i="3"/>
  <c r="AC110" i="3"/>
  <c r="AD110" i="3"/>
  <c r="AB111" i="3"/>
  <c r="AC111" i="3"/>
  <c r="AD111" i="3"/>
  <c r="AB112" i="3"/>
  <c r="AC112" i="3"/>
  <c r="AD112" i="3"/>
  <c r="AB113" i="3"/>
  <c r="AC113" i="3"/>
  <c r="AD113" i="3"/>
  <c r="AB114" i="3"/>
  <c r="AC114" i="3"/>
  <c r="AD114" i="3"/>
  <c r="AB115" i="3"/>
  <c r="AC115" i="3"/>
  <c r="AD115" i="3"/>
  <c r="AB116" i="3"/>
  <c r="AC116" i="3"/>
  <c r="AD116" i="3"/>
  <c r="AB117" i="3"/>
  <c r="AC117" i="3"/>
  <c r="AD117" i="3"/>
  <c r="AB118" i="3"/>
  <c r="AC118" i="3"/>
  <c r="AD118" i="3"/>
  <c r="AB119" i="3"/>
  <c r="AC119" i="3"/>
  <c r="AD119" i="3"/>
  <c r="AB120" i="3"/>
  <c r="AC120" i="3"/>
  <c r="AD120" i="3"/>
  <c r="AB121" i="3"/>
  <c r="AC121" i="3"/>
  <c r="AD121" i="3"/>
  <c r="AB122" i="3"/>
  <c r="AC122" i="3"/>
  <c r="AD122" i="3"/>
  <c r="AB123" i="3"/>
  <c r="AC123" i="3"/>
  <c r="AD123" i="3"/>
  <c r="AB124" i="3"/>
  <c r="AC124" i="3"/>
  <c r="AD124" i="3"/>
  <c r="AB125" i="3"/>
  <c r="AC125" i="3"/>
  <c r="AD125" i="3"/>
  <c r="AB126" i="3"/>
  <c r="AC126" i="3"/>
  <c r="AD126" i="3"/>
  <c r="AB127" i="3"/>
  <c r="AC127" i="3"/>
  <c r="AD127" i="3"/>
  <c r="AB128" i="3"/>
  <c r="AC128" i="3"/>
  <c r="AD128" i="3"/>
  <c r="AB129" i="3"/>
  <c r="AC129" i="3"/>
  <c r="AD129" i="3"/>
  <c r="AB130" i="3"/>
  <c r="AC130" i="3"/>
  <c r="AD130" i="3"/>
  <c r="AB131" i="3"/>
  <c r="AC131" i="3"/>
  <c r="AD131" i="3"/>
  <c r="AB132" i="3"/>
  <c r="AC132" i="3"/>
  <c r="AD132" i="3"/>
  <c r="AB133" i="3"/>
  <c r="AC133" i="3"/>
  <c r="AD133" i="3"/>
  <c r="AB134" i="3"/>
  <c r="AC134" i="3"/>
  <c r="AD134" i="3"/>
  <c r="AB135" i="3"/>
  <c r="AC135" i="3"/>
  <c r="AD135" i="3"/>
  <c r="AB136" i="3"/>
  <c r="AC136" i="3"/>
  <c r="AD136" i="3"/>
  <c r="AB137" i="3"/>
  <c r="AC137" i="3"/>
  <c r="AD137" i="3"/>
  <c r="AB138" i="3"/>
  <c r="AC138" i="3"/>
  <c r="AD138" i="3"/>
  <c r="AB139" i="3"/>
  <c r="AC139" i="3"/>
  <c r="AD139" i="3"/>
  <c r="AB140" i="3"/>
  <c r="AC140" i="3"/>
  <c r="AD140" i="3"/>
  <c r="AB141" i="3"/>
  <c r="AC141" i="3"/>
  <c r="AD141" i="3"/>
  <c r="AB142" i="3"/>
  <c r="AC142" i="3"/>
  <c r="AD142" i="3"/>
  <c r="AB143" i="3"/>
  <c r="AC143" i="3"/>
  <c r="AD143" i="3"/>
  <c r="AB144" i="3"/>
  <c r="AC144" i="3"/>
  <c r="AD144" i="3"/>
  <c r="AB145" i="3"/>
  <c r="AC145" i="3"/>
  <c r="AD145" i="3"/>
  <c r="AB146" i="3"/>
  <c r="AC146" i="3"/>
  <c r="AD146" i="3"/>
  <c r="AB147" i="3"/>
  <c r="AC147" i="3"/>
  <c r="AD147" i="3"/>
  <c r="AB148" i="3"/>
  <c r="AC148" i="3"/>
  <c r="AD148" i="3"/>
  <c r="AB149" i="3"/>
  <c r="AC149" i="3"/>
  <c r="AD149" i="3"/>
  <c r="AB150" i="3"/>
  <c r="AC150" i="3"/>
  <c r="AD150" i="3"/>
  <c r="AB151" i="3"/>
  <c r="AC151" i="3"/>
  <c r="AD151" i="3"/>
  <c r="AB152" i="3"/>
  <c r="AC152" i="3"/>
  <c r="AD152" i="3"/>
  <c r="AB153" i="3"/>
  <c r="AC153" i="3"/>
  <c r="AD153" i="3"/>
  <c r="AB154" i="3"/>
  <c r="AC154" i="3"/>
  <c r="AD154" i="3"/>
  <c r="AB155" i="3"/>
  <c r="AC155" i="3"/>
  <c r="AD155" i="3"/>
  <c r="AB156" i="3"/>
  <c r="AB157" i="3"/>
  <c r="AC157" i="3"/>
  <c r="AD157" i="3"/>
  <c r="AB158" i="3"/>
  <c r="AC158" i="3"/>
  <c r="AD158" i="3"/>
  <c r="AB159" i="3"/>
  <c r="AC159" i="3"/>
  <c r="AD159" i="3"/>
  <c r="AB160" i="3"/>
  <c r="AC160" i="3"/>
  <c r="AD160" i="3"/>
  <c r="AB161" i="3"/>
  <c r="AC161" i="3"/>
  <c r="AD161" i="3"/>
  <c r="AB162" i="3"/>
  <c r="AC162" i="3"/>
  <c r="AD162" i="3"/>
  <c r="AB163" i="3"/>
  <c r="AC163" i="3"/>
  <c r="AD163" i="3"/>
  <c r="AB164" i="3"/>
  <c r="AC164" i="3"/>
  <c r="AD164" i="3"/>
  <c r="AB165" i="3"/>
  <c r="AC165" i="3"/>
  <c r="AD165" i="3"/>
  <c r="AB166" i="3"/>
  <c r="AC166" i="3"/>
  <c r="AD166" i="3"/>
  <c r="AB167" i="3"/>
  <c r="AC167" i="3"/>
  <c r="AD167" i="3"/>
  <c r="AB168" i="3"/>
  <c r="AC168" i="3"/>
  <c r="AD168" i="3"/>
  <c r="AB169" i="3"/>
  <c r="AC169" i="3"/>
  <c r="AD169" i="3"/>
  <c r="AB170" i="3"/>
  <c r="AC170" i="3"/>
  <c r="AD170" i="3"/>
  <c r="AB171" i="3"/>
  <c r="AC171" i="3"/>
  <c r="AD171" i="3"/>
  <c r="AB172" i="3"/>
  <c r="AC172" i="3"/>
  <c r="AD172" i="3"/>
  <c r="AB173" i="3"/>
  <c r="AC173" i="3"/>
  <c r="AD173" i="3"/>
  <c r="AB174" i="3"/>
  <c r="AC174" i="3"/>
  <c r="AD174" i="3"/>
  <c r="AB175" i="3"/>
  <c r="AC175" i="3"/>
  <c r="AD175" i="3"/>
  <c r="AB176" i="3"/>
  <c r="AC176" i="3"/>
  <c r="AD176" i="3"/>
  <c r="AB177" i="3"/>
  <c r="AC177" i="3"/>
  <c r="AD177" i="3"/>
  <c r="AB178" i="3"/>
  <c r="AC178" i="3"/>
  <c r="AD178" i="3"/>
  <c r="AB179" i="3"/>
  <c r="AC179" i="3"/>
  <c r="AD179" i="3"/>
  <c r="AB180" i="3"/>
  <c r="AC180" i="3"/>
  <c r="AD180" i="3"/>
  <c r="AB181" i="3"/>
  <c r="AC181" i="3"/>
  <c r="AD181" i="3"/>
  <c r="AB182" i="3"/>
  <c r="AC182" i="3"/>
  <c r="AD182" i="3"/>
  <c r="AB183" i="3"/>
  <c r="AC183" i="3"/>
  <c r="AD183" i="3"/>
  <c r="AB184" i="3"/>
  <c r="AC184" i="3"/>
  <c r="AD184" i="3"/>
  <c r="AB185" i="3"/>
  <c r="AC185" i="3"/>
  <c r="AD185" i="3"/>
  <c r="AB186" i="3"/>
  <c r="AC186" i="3"/>
  <c r="AD186" i="3"/>
  <c r="AB187" i="3"/>
  <c r="AC187" i="3"/>
  <c r="AD187" i="3"/>
  <c r="AB188" i="3"/>
  <c r="AC188" i="3"/>
  <c r="AD188" i="3"/>
  <c r="AB189" i="3"/>
  <c r="AC189" i="3"/>
  <c r="AD189" i="3"/>
  <c r="AB190" i="3"/>
  <c r="AC190" i="3"/>
  <c r="AD190" i="3"/>
  <c r="AB191" i="3"/>
  <c r="AC191" i="3"/>
  <c r="AD191" i="3"/>
  <c r="AB192" i="3"/>
  <c r="AC192" i="3"/>
  <c r="AD192" i="3"/>
  <c r="AB193" i="3"/>
  <c r="AC193" i="3"/>
  <c r="AD193" i="3"/>
  <c r="AB194" i="3"/>
  <c r="AC194" i="3"/>
  <c r="AD194" i="3"/>
  <c r="AB195" i="3"/>
  <c r="AC195" i="3"/>
  <c r="AD195" i="3"/>
  <c r="AB196" i="3"/>
  <c r="AC196" i="3"/>
  <c r="AD196" i="3"/>
  <c r="AB197" i="3"/>
  <c r="AC197" i="3"/>
  <c r="AD197" i="3"/>
  <c r="AB198" i="3"/>
  <c r="AC198" i="3"/>
  <c r="AD198" i="3"/>
  <c r="AB199" i="3"/>
  <c r="AC199" i="3"/>
  <c r="AD199" i="3"/>
  <c r="AB200" i="3"/>
  <c r="AC200" i="3"/>
  <c r="AD200" i="3"/>
  <c r="AB201" i="3"/>
  <c r="AC201" i="3"/>
  <c r="AD201" i="3"/>
  <c r="AB202" i="3"/>
  <c r="AC202" i="3"/>
  <c r="AD202" i="3"/>
  <c r="AB203" i="3"/>
  <c r="AC203" i="3"/>
  <c r="AD203" i="3"/>
  <c r="AB204" i="3"/>
  <c r="AC204" i="3"/>
  <c r="AD204" i="3"/>
  <c r="AB205" i="3"/>
  <c r="AC205" i="3"/>
  <c r="AD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C222" i="3"/>
  <c r="AD222" i="3"/>
  <c r="AB223" i="3"/>
  <c r="AC223" i="3"/>
  <c r="AD223" i="3"/>
  <c r="AB224" i="3"/>
  <c r="AC224" i="3"/>
  <c r="AD224" i="3"/>
  <c r="AB225" i="3"/>
  <c r="AC225" i="3"/>
  <c r="AD225" i="3"/>
  <c r="AB226" i="3"/>
  <c r="AC226" i="3"/>
  <c r="AD226" i="3"/>
  <c r="AB227" i="3"/>
  <c r="AC227" i="3"/>
  <c r="AD227" i="3"/>
  <c r="AB228" i="3"/>
  <c r="AC228" i="3"/>
  <c r="AD228" i="3"/>
  <c r="AB229" i="3"/>
  <c r="AC229" i="3"/>
  <c r="AD229" i="3"/>
  <c r="AB230" i="3"/>
  <c r="AC230" i="3"/>
  <c r="AD230" i="3"/>
  <c r="AB231" i="3"/>
  <c r="AC231" i="3"/>
  <c r="AD231" i="3"/>
  <c r="AB232" i="3"/>
  <c r="AC232" i="3"/>
  <c r="AD232" i="3"/>
  <c r="AB233" i="3"/>
  <c r="AC233" i="3"/>
  <c r="AD233" i="3"/>
  <c r="AB234" i="3"/>
  <c r="AC234" i="3"/>
  <c r="AD234" i="3"/>
  <c r="AB235" i="3"/>
  <c r="AC235" i="3"/>
  <c r="AD235" i="3"/>
  <c r="AB236" i="3"/>
  <c r="AC236" i="3"/>
  <c r="AD236" i="3"/>
  <c r="AB237" i="3"/>
  <c r="AC237" i="3"/>
  <c r="AD237" i="3"/>
  <c r="AB238" i="3"/>
  <c r="AC238" i="3"/>
  <c r="AD238" i="3"/>
  <c r="AB239" i="3"/>
  <c r="AC239" i="3"/>
  <c r="AD239" i="3"/>
  <c r="AB240" i="3"/>
  <c r="AC240" i="3"/>
  <c r="AD240" i="3"/>
  <c r="AB241" i="3"/>
  <c r="AC241" i="3"/>
  <c r="AD241" i="3"/>
  <c r="AB242" i="3"/>
  <c r="AC242" i="3"/>
  <c r="AD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C254" i="3"/>
  <c r="AD254" i="3"/>
  <c r="AB255" i="3"/>
  <c r="AC255" i="3"/>
  <c r="AD255" i="3"/>
  <c r="AB256" i="3"/>
  <c r="AC256" i="3"/>
  <c r="AD256" i="3"/>
  <c r="AB257" i="3"/>
  <c r="AC257" i="3"/>
  <c r="AD257" i="3"/>
  <c r="AB258" i="3"/>
  <c r="AC258" i="3"/>
  <c r="AD258" i="3"/>
  <c r="AB259" i="3"/>
  <c r="AC259" i="3"/>
  <c r="AD259" i="3"/>
  <c r="AB260" i="3"/>
  <c r="AC260" i="3"/>
  <c r="AD260" i="3"/>
  <c r="AB261" i="3"/>
  <c r="AC261" i="3"/>
  <c r="AD261" i="3"/>
  <c r="AB262" i="3"/>
  <c r="AC262" i="3"/>
  <c r="AD262" i="3"/>
  <c r="AB263" i="3"/>
  <c r="AC263" i="3"/>
  <c r="AD263" i="3"/>
  <c r="AB264" i="3"/>
  <c r="AC264" i="3"/>
  <c r="AD264" i="3"/>
  <c r="AB265" i="3"/>
  <c r="AC265" i="3"/>
  <c r="AD265" i="3"/>
  <c r="AB266" i="3"/>
  <c r="AC266" i="3"/>
  <c r="AD266" i="3"/>
  <c r="AB267" i="3"/>
  <c r="AC267" i="3"/>
  <c r="AD267" i="3"/>
  <c r="AB268" i="3"/>
  <c r="AC268" i="3"/>
  <c r="AD268" i="3"/>
  <c r="AB269" i="3"/>
  <c r="AC269" i="3"/>
  <c r="AD269" i="3"/>
  <c r="AB270" i="3"/>
  <c r="AC270" i="3"/>
  <c r="AD270" i="3"/>
  <c r="AB271" i="3"/>
  <c r="AC271" i="3"/>
  <c r="AD271" i="3"/>
  <c r="AB272" i="3"/>
  <c r="AC272" i="3"/>
  <c r="AD272" i="3"/>
  <c r="AB273" i="3"/>
  <c r="AC273" i="3"/>
  <c r="AD273" i="3"/>
  <c r="AB274" i="3"/>
  <c r="AC274" i="3"/>
  <c r="AD274" i="3"/>
  <c r="AB275" i="3"/>
  <c r="AC275" i="3"/>
  <c r="AD275" i="3"/>
  <c r="AB276" i="3"/>
  <c r="AC276" i="3"/>
  <c r="AD276" i="3"/>
  <c r="AB277" i="3"/>
  <c r="AC277" i="3"/>
  <c r="AD277" i="3"/>
  <c r="AB278" i="3"/>
  <c r="AC278" i="3"/>
  <c r="AD278" i="3"/>
  <c r="AB279" i="3"/>
  <c r="AC279" i="3"/>
  <c r="AD279" i="3"/>
  <c r="AB280" i="3"/>
  <c r="AC280" i="3"/>
  <c r="AD280" i="3"/>
  <c r="AB281" i="3"/>
  <c r="AC281" i="3"/>
  <c r="AD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C300" i="3"/>
  <c r="AD300" i="3"/>
  <c r="AB301" i="3"/>
  <c r="AC301" i="3"/>
  <c r="AD301" i="3"/>
  <c r="AB302" i="3"/>
  <c r="AC302" i="3"/>
  <c r="AD302" i="3"/>
  <c r="AB303" i="3"/>
  <c r="AC303" i="3"/>
  <c r="AD303" i="3"/>
  <c r="AB304" i="3"/>
  <c r="AC304" i="3"/>
  <c r="AD304" i="3"/>
  <c r="AB305" i="3"/>
  <c r="AC305" i="3"/>
  <c r="AD305" i="3"/>
  <c r="AB306" i="3"/>
  <c r="AC306" i="3"/>
  <c r="AD306" i="3"/>
  <c r="AB307" i="3"/>
  <c r="AC307" i="3"/>
  <c r="AD307" i="3"/>
  <c r="AB308" i="3"/>
  <c r="AC308" i="3"/>
  <c r="AD308" i="3"/>
  <c r="AB309" i="3"/>
  <c r="AC309" i="3"/>
  <c r="AD309" i="3"/>
  <c r="AB310" i="3"/>
  <c r="AC310" i="3"/>
  <c r="AD310" i="3"/>
  <c r="AB311" i="3"/>
  <c r="AC311" i="3"/>
  <c r="AD311" i="3"/>
  <c r="AB312" i="3"/>
  <c r="AC312" i="3"/>
  <c r="AD312" i="3"/>
  <c r="AB313" i="3"/>
  <c r="AC313" i="3"/>
  <c r="AD313" i="3"/>
  <c r="AB314" i="3"/>
  <c r="AC314" i="3"/>
  <c r="AD314" i="3"/>
  <c r="AB315" i="3"/>
  <c r="AC315" i="3"/>
  <c r="AD315" i="3"/>
  <c r="AB316" i="3"/>
  <c r="AC316" i="3"/>
  <c r="AD316" i="3"/>
  <c r="AB317" i="3"/>
  <c r="AC317" i="3"/>
  <c r="AD317" i="3"/>
  <c r="AB318" i="3"/>
  <c r="AC318" i="3"/>
  <c r="AD318" i="3"/>
  <c r="AB319" i="3"/>
  <c r="AC319" i="3"/>
  <c r="AD319" i="3"/>
  <c r="AB320" i="3"/>
  <c r="AC320" i="3"/>
  <c r="AD320" i="3"/>
  <c r="AB321" i="3"/>
  <c r="AC321" i="3"/>
  <c r="AD321" i="3"/>
  <c r="AB322" i="3"/>
  <c r="AC322" i="3"/>
  <c r="AD322" i="3"/>
  <c r="AB323" i="3"/>
  <c r="AC323" i="3"/>
  <c r="AD323" i="3"/>
  <c r="AB324" i="3"/>
  <c r="AC324" i="3"/>
  <c r="AD324" i="3"/>
  <c r="AB325" i="3"/>
  <c r="AC325" i="3"/>
  <c r="AD325" i="3"/>
  <c r="AB326" i="3"/>
  <c r="AC326" i="3"/>
  <c r="AD326" i="3"/>
  <c r="AB327" i="3"/>
  <c r="AC327" i="3"/>
  <c r="AD327" i="3"/>
  <c r="AB328" i="3"/>
  <c r="AC328" i="3"/>
  <c r="AD328" i="3"/>
  <c r="AB329" i="3"/>
  <c r="AC329" i="3"/>
  <c r="AD329" i="3"/>
  <c r="AB330" i="3"/>
  <c r="AC330" i="3"/>
  <c r="AD330" i="3"/>
  <c r="AB331" i="3"/>
  <c r="AC331" i="3"/>
  <c r="AD331" i="3"/>
  <c r="AB332" i="3"/>
  <c r="AC332" i="3"/>
  <c r="AD332" i="3"/>
  <c r="AB333" i="3"/>
  <c r="AC333" i="3"/>
  <c r="AD333" i="3"/>
  <c r="AB334" i="3"/>
  <c r="AC334" i="3"/>
  <c r="AD334" i="3"/>
  <c r="AB335" i="3"/>
  <c r="AC335" i="3"/>
  <c r="AD335" i="3"/>
  <c r="AB336" i="3"/>
  <c r="AC336" i="3"/>
  <c r="AD336" i="3"/>
  <c r="AB337" i="3"/>
  <c r="AC337" i="3"/>
  <c r="AD337" i="3"/>
  <c r="AB338" i="3"/>
  <c r="AC338" i="3"/>
  <c r="AD338" i="3"/>
  <c r="AB339" i="3"/>
  <c r="AC339" i="3"/>
  <c r="AD339" i="3"/>
  <c r="AB340" i="3"/>
  <c r="AC340" i="3"/>
  <c r="AD340" i="3"/>
  <c r="AB341" i="3"/>
  <c r="AC341" i="3"/>
  <c r="AD341" i="3"/>
  <c r="AB342" i="3"/>
  <c r="AC342" i="3"/>
  <c r="AD342" i="3"/>
  <c r="AB343" i="3"/>
  <c r="AC343" i="3"/>
  <c r="AD343" i="3"/>
  <c r="AB344" i="3"/>
  <c r="AC344" i="3"/>
  <c r="AD344" i="3"/>
  <c r="AB345" i="3"/>
  <c r="AC345" i="3"/>
  <c r="AD345" i="3"/>
  <c r="AB346" i="3"/>
  <c r="AC346" i="3"/>
  <c r="AD346" i="3"/>
  <c r="AB347" i="3"/>
  <c r="AC347" i="3"/>
  <c r="AD347" i="3"/>
  <c r="AE347" i="3"/>
  <c r="AF347" i="3"/>
  <c r="AB348" i="3"/>
  <c r="AC348" i="3"/>
  <c r="AD348" i="3"/>
  <c r="AE348" i="3"/>
  <c r="AF348" i="3"/>
  <c r="AB349" i="3"/>
  <c r="AB350" i="3"/>
  <c r="AB351" i="3"/>
  <c r="AB352" i="3"/>
  <c r="AC352" i="3"/>
  <c r="AD352" i="3"/>
  <c r="AB353" i="3"/>
  <c r="AC353" i="3"/>
  <c r="AD353" i="3"/>
  <c r="AB354" i="3"/>
  <c r="AC354" i="3"/>
  <c r="AD354" i="3"/>
  <c r="AB355" i="3"/>
  <c r="AC355" i="3"/>
  <c r="AD355" i="3"/>
  <c r="AB356" i="3"/>
  <c r="AC356" i="3"/>
  <c r="AD356" i="3"/>
  <c r="AB357" i="3"/>
  <c r="AC357" i="3"/>
  <c r="AD357" i="3"/>
  <c r="AB358" i="3"/>
  <c r="AC358" i="3"/>
  <c r="AD358" i="3"/>
  <c r="AB359" i="3"/>
  <c r="AC359" i="3"/>
  <c r="AD359" i="3"/>
  <c r="AB360" i="3"/>
  <c r="AC360" i="3"/>
  <c r="AD360" i="3"/>
  <c r="AB361" i="3"/>
  <c r="AC361" i="3"/>
  <c r="AD361" i="3"/>
  <c r="AB362" i="3"/>
  <c r="AC362" i="3"/>
  <c r="AD362" i="3"/>
  <c r="AB363" i="3"/>
  <c r="AC363" i="3"/>
  <c r="AD363" i="3"/>
  <c r="AB364" i="3"/>
  <c r="AC364" i="3"/>
  <c r="AD364" i="3"/>
  <c r="AB365" i="3"/>
  <c r="AC365" i="3"/>
  <c r="AD365" i="3"/>
  <c r="AB366" i="3"/>
  <c r="AC366" i="3"/>
  <c r="AD366" i="3"/>
  <c r="AB367" i="3"/>
  <c r="AC367" i="3"/>
  <c r="AD367" i="3"/>
  <c r="AB368" i="3"/>
  <c r="AC368" i="3"/>
  <c r="AD368" i="3"/>
  <c r="AB369" i="3"/>
  <c r="AC369" i="3"/>
  <c r="AD369" i="3"/>
  <c r="AB370" i="3"/>
  <c r="AC370" i="3"/>
  <c r="AD370" i="3"/>
  <c r="AB371" i="3"/>
  <c r="AC371" i="3"/>
  <c r="AD371" i="3"/>
  <c r="AB372" i="3"/>
  <c r="AC372" i="3"/>
  <c r="AD372" i="3"/>
  <c r="AB373" i="3"/>
  <c r="AC373" i="3"/>
  <c r="AD373" i="3"/>
  <c r="AB374" i="3"/>
  <c r="AC374" i="3"/>
  <c r="AD374" i="3"/>
  <c r="AB375" i="3"/>
  <c r="AC375" i="3"/>
  <c r="AD375" i="3"/>
  <c r="AB376" i="3"/>
  <c r="AC376" i="3"/>
  <c r="AD376" i="3"/>
  <c r="AB377" i="3"/>
  <c r="AC377" i="3"/>
  <c r="AD377" i="3"/>
  <c r="AB378" i="3"/>
  <c r="AC378" i="3"/>
  <c r="AD378" i="3"/>
  <c r="AB379" i="3"/>
  <c r="AC379" i="3"/>
  <c r="AD379" i="3"/>
  <c r="AB380" i="3"/>
  <c r="AC380" i="3"/>
  <c r="AD380" i="3"/>
  <c r="AB381" i="3"/>
  <c r="AC381" i="3"/>
  <c r="AD381" i="3"/>
  <c r="AB382" i="3"/>
  <c r="AC382" i="3"/>
  <c r="AD382" i="3"/>
  <c r="AB383" i="3"/>
  <c r="AC383" i="3"/>
  <c r="AD383" i="3"/>
  <c r="AB384" i="3"/>
  <c r="AC384" i="3"/>
  <c r="AD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C398" i="3"/>
  <c r="AD398" i="3"/>
  <c r="AB399" i="3"/>
  <c r="AC399" i="3"/>
  <c r="AD399" i="3"/>
  <c r="AB400" i="3"/>
  <c r="AC400" i="3"/>
  <c r="AD400" i="3"/>
  <c r="AB401" i="3"/>
  <c r="AC401" i="3"/>
  <c r="AD401" i="3"/>
  <c r="AB402" i="3"/>
  <c r="AC402" i="3"/>
  <c r="AD402" i="3"/>
  <c r="AB403" i="3"/>
  <c r="AC403" i="3"/>
  <c r="AD403" i="3"/>
  <c r="AB404" i="3"/>
  <c r="AC404" i="3"/>
  <c r="AD404" i="3"/>
  <c r="AB405" i="3"/>
  <c r="AC405" i="3"/>
  <c r="AD405" i="3"/>
  <c r="AB406" i="3"/>
  <c r="AC406" i="3"/>
  <c r="AD406" i="3"/>
  <c r="AB407" i="3"/>
  <c r="AC407" i="3"/>
  <c r="AD407" i="3"/>
  <c r="AB408" i="3"/>
  <c r="AC408" i="3"/>
  <c r="AD408" i="3"/>
  <c r="AB409" i="3"/>
  <c r="AC409" i="3"/>
  <c r="AD409" i="3"/>
  <c r="AB410" i="3"/>
  <c r="AC410" i="3"/>
  <c r="AD410" i="3"/>
  <c r="AB411" i="3"/>
  <c r="AC411" i="3"/>
  <c r="AD411" i="3"/>
  <c r="AB412" i="3"/>
  <c r="AC412" i="3"/>
  <c r="AD412" i="3"/>
  <c r="AB413" i="3"/>
  <c r="AC413" i="3"/>
  <c r="AD413" i="3"/>
  <c r="AB414" i="3"/>
  <c r="AC414" i="3"/>
  <c r="AD414" i="3"/>
  <c r="AB415" i="3"/>
  <c r="AC415" i="3"/>
  <c r="AD415" i="3"/>
  <c r="AB416" i="3"/>
  <c r="AC416" i="3"/>
  <c r="AD416" i="3"/>
  <c r="AB417" i="3"/>
  <c r="AC417" i="3"/>
  <c r="AD417" i="3"/>
  <c r="AB418" i="3"/>
  <c r="AC418" i="3"/>
  <c r="AD418" i="3"/>
  <c r="AB419" i="3"/>
  <c r="AC419" i="3"/>
  <c r="AD419" i="3"/>
  <c r="AB420" i="3"/>
  <c r="AC420" i="3"/>
  <c r="AD420" i="3"/>
  <c r="AB421" i="3"/>
  <c r="AC421" i="3"/>
  <c r="AD421" i="3"/>
  <c r="AB422" i="3"/>
  <c r="AC422" i="3"/>
  <c r="AD422" i="3"/>
  <c r="AB423" i="3"/>
  <c r="AC423" i="3"/>
  <c r="AD423" i="3"/>
  <c r="AB424" i="3"/>
  <c r="AC424" i="3"/>
  <c r="AD424" i="3"/>
  <c r="AB425" i="3"/>
  <c r="AC425" i="3"/>
  <c r="AD425" i="3"/>
  <c r="AB426" i="3"/>
  <c r="AC426" i="3"/>
  <c r="AD426" i="3"/>
  <c r="AB427" i="3"/>
  <c r="AC427" i="3"/>
  <c r="AD427" i="3"/>
  <c r="AB428" i="3"/>
  <c r="AC428" i="3"/>
  <c r="AD428" i="3"/>
  <c r="AB429" i="3"/>
  <c r="AC429" i="3"/>
  <c r="AD429" i="3"/>
  <c r="AB430" i="3"/>
  <c r="AC430" i="3"/>
  <c r="AD430" i="3"/>
  <c r="AB431" i="3"/>
  <c r="AC431" i="3"/>
  <c r="AD431" i="3"/>
  <c r="AB432" i="3"/>
  <c r="AC432" i="3"/>
  <c r="AD432" i="3"/>
  <c r="AB433" i="3"/>
  <c r="AC433" i="3"/>
  <c r="AD433" i="3"/>
  <c r="AB8" i="3"/>
  <c r="M29" i="3"/>
  <c r="M10" i="3"/>
  <c r="D434" i="3"/>
  <c r="O252" i="10"/>
  <c r="O37" i="10"/>
  <c r="O39" i="10" s="1"/>
  <c r="O111" i="7"/>
  <c r="O121" i="7" s="1"/>
  <c r="D76" i="5"/>
  <c r="O144" i="8"/>
  <c r="O147" i="8" s="1"/>
  <c r="J31" i="8"/>
  <c r="J33" i="8" s="1"/>
  <c r="J152" i="6"/>
  <c r="O719" i="10"/>
  <c r="O31" i="6"/>
  <c r="O250" i="10"/>
  <c r="O508" i="10"/>
  <c r="O509" i="10" s="1"/>
  <c r="O78" i="5"/>
  <c r="O169" i="10"/>
  <c r="U111" i="4"/>
  <c r="U117" i="10"/>
  <c r="U671" i="10"/>
  <c r="U15" i="10"/>
  <c r="U143" i="4"/>
  <c r="AN226" i="3"/>
  <c r="AS226" i="3" s="1"/>
  <c r="L226" i="20" s="1"/>
  <c r="AJ226" i="3"/>
  <c r="P226" i="3"/>
  <c r="M226" i="3"/>
  <c r="I226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U33" i="3" s="1"/>
  <c r="M33" i="19" s="1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8" i="3"/>
  <c r="O184" i="10"/>
  <c r="O191" i="10" s="1"/>
  <c r="A103" i="10"/>
  <c r="AJ189" i="3"/>
  <c r="O244" i="10"/>
  <c r="O184" i="6"/>
  <c r="J620" i="10"/>
  <c r="J251" i="10"/>
  <c r="J45" i="6"/>
  <c r="O107" i="5"/>
  <c r="O665" i="10"/>
  <c r="O664" i="10"/>
  <c r="O720" i="10"/>
  <c r="O717" i="10"/>
  <c r="O715" i="10"/>
  <c r="Q621" i="10"/>
  <c r="O172" i="9"/>
  <c r="O123" i="9"/>
  <c r="O127" i="9" s="1"/>
  <c r="Q127" i="9"/>
  <c r="O284" i="10"/>
  <c r="O139" i="4"/>
  <c r="J328" i="10"/>
  <c r="J331" i="10" s="1"/>
  <c r="L331" i="10"/>
  <c r="AH318" i="3" s="1"/>
  <c r="AI318" i="3" s="1"/>
  <c r="J44" i="6"/>
  <c r="J47" i="6" s="1"/>
  <c r="O442" i="10"/>
  <c r="M390" i="3"/>
  <c r="AJ390" i="3"/>
  <c r="J102" i="8"/>
  <c r="J105" i="8" s="1"/>
  <c r="L105" i="8" s="1"/>
  <c r="AH261" i="3" s="1"/>
  <c r="AI261" i="3" s="1"/>
  <c r="J94" i="7"/>
  <c r="J156" i="5"/>
  <c r="J157" i="5" s="1"/>
  <c r="O104" i="4"/>
  <c r="O105" i="4" s="1"/>
  <c r="O171" i="9"/>
  <c r="O13" i="9"/>
  <c r="J174" i="9"/>
  <c r="J177" i="9" s="1"/>
  <c r="Q331" i="10"/>
  <c r="O96" i="5"/>
  <c r="O163" i="10"/>
  <c r="O167" i="10"/>
  <c r="O147" i="10"/>
  <c r="O146" i="10"/>
  <c r="O149" i="10" s="1"/>
  <c r="O601" i="10"/>
  <c r="O602" i="10" s="1"/>
  <c r="Q602" i="10"/>
  <c r="O394" i="10"/>
  <c r="O165" i="9"/>
  <c r="O134" i="9"/>
  <c r="J475" i="10"/>
  <c r="J478" i="10" s="1"/>
  <c r="L478" i="10" s="1"/>
  <c r="AH335" i="3" s="1"/>
  <c r="AI335" i="3" s="1"/>
  <c r="J721" i="10"/>
  <c r="J723" i="10" s="1"/>
  <c r="L723" i="10" s="1"/>
  <c r="AH363" i="3" s="1"/>
  <c r="AI363" i="3" s="1"/>
  <c r="L40" i="20"/>
  <c r="L41" i="20"/>
  <c r="L43" i="20"/>
  <c r="L44" i="20"/>
  <c r="L46" i="20"/>
  <c r="L47" i="20"/>
  <c r="L49" i="20"/>
  <c r="L50" i="20"/>
  <c r="L61" i="20"/>
  <c r="L62" i="20"/>
  <c r="L64" i="20"/>
  <c r="L65" i="20"/>
  <c r="L67" i="20"/>
  <c r="L68" i="20"/>
  <c r="L70" i="20"/>
  <c r="L71" i="20"/>
  <c r="L73" i="20"/>
  <c r="L74" i="20"/>
  <c r="L76" i="20"/>
  <c r="L77" i="20"/>
  <c r="L130" i="20"/>
  <c r="L131" i="20"/>
  <c r="L133" i="20"/>
  <c r="L134" i="20"/>
  <c r="L136" i="20"/>
  <c r="L137" i="20"/>
  <c r="L139" i="20"/>
  <c r="L140" i="20"/>
  <c r="L142" i="20"/>
  <c r="L143" i="20"/>
  <c r="L145" i="20"/>
  <c r="L146" i="20"/>
  <c r="L148" i="20"/>
  <c r="L149" i="20"/>
  <c r="L151" i="20"/>
  <c r="L152" i="20"/>
  <c r="L154" i="20"/>
  <c r="L155" i="20"/>
  <c r="L183" i="20"/>
  <c r="L184" i="20"/>
  <c r="L186" i="20"/>
  <c r="L187" i="20"/>
  <c r="L189" i="20"/>
  <c r="L190" i="20"/>
  <c r="L192" i="20"/>
  <c r="L193" i="20"/>
  <c r="L195" i="20"/>
  <c r="L196" i="20"/>
  <c r="L198" i="20"/>
  <c r="L199" i="20"/>
  <c r="L201" i="20"/>
  <c r="L202" i="20"/>
  <c r="L204" i="20"/>
  <c r="L205" i="20"/>
  <c r="L232" i="20"/>
  <c r="L233" i="20"/>
  <c r="L235" i="20"/>
  <c r="L236" i="20"/>
  <c r="L238" i="20"/>
  <c r="L239" i="20"/>
  <c r="L241" i="20"/>
  <c r="L242" i="20"/>
  <c r="L259" i="20"/>
  <c r="L260" i="20"/>
  <c r="L268" i="20"/>
  <c r="L269" i="20"/>
  <c r="L271" i="20"/>
  <c r="L272" i="20"/>
  <c r="L274" i="20"/>
  <c r="L275" i="20"/>
  <c r="L277" i="20"/>
  <c r="L278" i="20"/>
  <c r="L280" i="20"/>
  <c r="L281" i="20"/>
  <c r="L350" i="20"/>
  <c r="L351" i="20"/>
  <c r="L353" i="20"/>
  <c r="L354" i="20"/>
  <c r="L356" i="20"/>
  <c r="L357" i="20"/>
  <c r="L359" i="20"/>
  <c r="L360" i="20"/>
  <c r="L362" i="20"/>
  <c r="L363" i="20"/>
  <c r="L365" i="20"/>
  <c r="L366" i="20"/>
  <c r="L368" i="20"/>
  <c r="L369" i="20"/>
  <c r="L371" i="20"/>
  <c r="L372" i="20"/>
  <c r="L374" i="20"/>
  <c r="L375" i="20"/>
  <c r="L377" i="20"/>
  <c r="L378" i="20"/>
  <c r="L380" i="20"/>
  <c r="L381" i="20"/>
  <c r="L383" i="20"/>
  <c r="L384" i="20"/>
  <c r="L414" i="20"/>
  <c r="L415" i="20"/>
  <c r="L417" i="20"/>
  <c r="L418" i="20"/>
  <c r="L420" i="20"/>
  <c r="L421" i="20"/>
  <c r="L423" i="20"/>
  <c r="L424" i="20"/>
  <c r="L426" i="20"/>
  <c r="L427" i="20"/>
  <c r="L429" i="20"/>
  <c r="L430" i="20"/>
  <c r="L432" i="20"/>
  <c r="L433" i="20"/>
  <c r="J40" i="20"/>
  <c r="J41" i="20"/>
  <c r="J43" i="20"/>
  <c r="J44" i="20"/>
  <c r="J46" i="20"/>
  <c r="J47" i="20"/>
  <c r="J186" i="20"/>
  <c r="J187" i="20"/>
  <c r="J195" i="20"/>
  <c r="J196" i="20"/>
  <c r="J201" i="20"/>
  <c r="J202" i="20"/>
  <c r="J232" i="20"/>
  <c r="J233" i="20"/>
  <c r="J241" i="20"/>
  <c r="J242" i="20"/>
  <c r="J259" i="20"/>
  <c r="J260" i="20"/>
  <c r="J268" i="20"/>
  <c r="J269" i="20"/>
  <c r="J350" i="20"/>
  <c r="J351" i="20"/>
  <c r="J356" i="20"/>
  <c r="J357" i="20"/>
  <c r="J362" i="20"/>
  <c r="J363" i="20"/>
  <c r="J374" i="20"/>
  <c r="J375" i="20"/>
  <c r="J420" i="20"/>
  <c r="J421" i="20"/>
  <c r="J432" i="20"/>
  <c r="J433" i="20"/>
  <c r="I40" i="20"/>
  <c r="I41" i="20"/>
  <c r="I43" i="20"/>
  <c r="I44" i="20"/>
  <c r="I46" i="20"/>
  <c r="I47" i="20"/>
  <c r="I49" i="20"/>
  <c r="I50" i="20"/>
  <c r="I61" i="20"/>
  <c r="I62" i="20"/>
  <c r="I64" i="20"/>
  <c r="I65" i="20"/>
  <c r="I67" i="20"/>
  <c r="I68" i="20"/>
  <c r="I70" i="20"/>
  <c r="I71" i="20"/>
  <c r="I73" i="20"/>
  <c r="I74" i="20"/>
  <c r="I76" i="20"/>
  <c r="I77" i="20"/>
  <c r="I130" i="20"/>
  <c r="I131" i="20"/>
  <c r="I133" i="20"/>
  <c r="I134" i="20"/>
  <c r="I136" i="20"/>
  <c r="I137" i="20"/>
  <c r="I139" i="20"/>
  <c r="I140" i="20"/>
  <c r="I142" i="20"/>
  <c r="I143" i="20"/>
  <c r="I145" i="20"/>
  <c r="I146" i="20"/>
  <c r="I148" i="20"/>
  <c r="I149" i="20"/>
  <c r="I151" i="20"/>
  <c r="I152" i="20"/>
  <c r="I154" i="20"/>
  <c r="I155" i="20"/>
  <c r="I183" i="20"/>
  <c r="I184" i="20"/>
  <c r="I186" i="20"/>
  <c r="I187" i="20"/>
  <c r="I189" i="20"/>
  <c r="I190" i="20"/>
  <c r="I192" i="20"/>
  <c r="I193" i="20"/>
  <c r="I195" i="20"/>
  <c r="I196" i="20"/>
  <c r="I198" i="20"/>
  <c r="I199" i="20"/>
  <c r="I201" i="20"/>
  <c r="I202" i="20"/>
  <c r="I204" i="20"/>
  <c r="I205" i="20"/>
  <c r="I232" i="20"/>
  <c r="I233" i="20"/>
  <c r="I235" i="20"/>
  <c r="I236" i="20"/>
  <c r="I238" i="20"/>
  <c r="I239" i="20"/>
  <c r="I241" i="20"/>
  <c r="I242" i="20"/>
  <c r="I259" i="20"/>
  <c r="I260" i="20"/>
  <c r="I268" i="20"/>
  <c r="I269" i="20"/>
  <c r="I271" i="20"/>
  <c r="I272" i="20"/>
  <c r="I274" i="20"/>
  <c r="I275" i="20"/>
  <c r="I277" i="20"/>
  <c r="I278" i="20"/>
  <c r="I280" i="20"/>
  <c r="I281" i="20"/>
  <c r="I350" i="20"/>
  <c r="I351" i="20"/>
  <c r="I353" i="20"/>
  <c r="I354" i="20"/>
  <c r="I356" i="20"/>
  <c r="I357" i="20"/>
  <c r="I359" i="20"/>
  <c r="I360" i="20"/>
  <c r="I362" i="20"/>
  <c r="I363" i="20"/>
  <c r="I365" i="20"/>
  <c r="I366" i="20"/>
  <c r="I368" i="20"/>
  <c r="I369" i="20"/>
  <c r="I371" i="20"/>
  <c r="I372" i="20"/>
  <c r="I374" i="20"/>
  <c r="I375" i="20"/>
  <c r="I377" i="20"/>
  <c r="I378" i="20"/>
  <c r="I380" i="20"/>
  <c r="I381" i="20"/>
  <c r="I383" i="20"/>
  <c r="I384" i="20"/>
  <c r="I414" i="20"/>
  <c r="I415" i="20"/>
  <c r="I417" i="20"/>
  <c r="I418" i="20"/>
  <c r="I420" i="20"/>
  <c r="I421" i="20"/>
  <c r="I423" i="20"/>
  <c r="I424" i="20"/>
  <c r="I426" i="20"/>
  <c r="I427" i="20"/>
  <c r="I429" i="20"/>
  <c r="I430" i="20"/>
  <c r="I432" i="20"/>
  <c r="I433" i="20"/>
  <c r="D8" i="20"/>
  <c r="E8" i="20"/>
  <c r="F8" i="20"/>
  <c r="G8" i="20"/>
  <c r="H8" i="20"/>
  <c r="D9" i="20"/>
  <c r="E9" i="20"/>
  <c r="F9" i="20"/>
  <c r="G9" i="20"/>
  <c r="H9" i="20"/>
  <c r="D10" i="20"/>
  <c r="E10" i="20"/>
  <c r="F10" i="20"/>
  <c r="G10" i="20"/>
  <c r="H10" i="20"/>
  <c r="D11" i="20"/>
  <c r="E11" i="20"/>
  <c r="F11" i="20"/>
  <c r="G11" i="20"/>
  <c r="H11" i="20"/>
  <c r="D12" i="20"/>
  <c r="E12" i="20"/>
  <c r="F12" i="20"/>
  <c r="G12" i="20"/>
  <c r="H12" i="20"/>
  <c r="D13" i="20"/>
  <c r="E13" i="20"/>
  <c r="F13" i="20"/>
  <c r="G13" i="20"/>
  <c r="H13" i="20"/>
  <c r="D14" i="20"/>
  <c r="E14" i="20"/>
  <c r="F14" i="20"/>
  <c r="G14" i="20"/>
  <c r="H14" i="20"/>
  <c r="D15" i="20"/>
  <c r="E15" i="20"/>
  <c r="F15" i="20"/>
  <c r="G15" i="20"/>
  <c r="H15" i="20"/>
  <c r="D16" i="20"/>
  <c r="E16" i="20"/>
  <c r="F16" i="20"/>
  <c r="G16" i="20"/>
  <c r="H16" i="20"/>
  <c r="D17" i="20"/>
  <c r="E17" i="20"/>
  <c r="F17" i="20"/>
  <c r="G17" i="20"/>
  <c r="H17" i="20"/>
  <c r="D18" i="20"/>
  <c r="E18" i="20"/>
  <c r="F18" i="20"/>
  <c r="G18" i="20"/>
  <c r="H18" i="20"/>
  <c r="D19" i="20"/>
  <c r="E19" i="20"/>
  <c r="F19" i="20"/>
  <c r="G19" i="20"/>
  <c r="H19" i="20"/>
  <c r="D20" i="20"/>
  <c r="E20" i="20"/>
  <c r="F20" i="20"/>
  <c r="G20" i="20"/>
  <c r="H20" i="20"/>
  <c r="D21" i="20"/>
  <c r="E21" i="20"/>
  <c r="F21" i="20"/>
  <c r="G21" i="20"/>
  <c r="H21" i="20"/>
  <c r="D22" i="20"/>
  <c r="E22" i="20"/>
  <c r="F22" i="20"/>
  <c r="G22" i="20"/>
  <c r="H22" i="20"/>
  <c r="D23" i="20"/>
  <c r="E23" i="20"/>
  <c r="F23" i="20"/>
  <c r="G23" i="20"/>
  <c r="H23" i="20"/>
  <c r="D24" i="20"/>
  <c r="E24" i="20"/>
  <c r="F24" i="20"/>
  <c r="G24" i="20"/>
  <c r="H24" i="20"/>
  <c r="D25" i="20"/>
  <c r="E25" i="20"/>
  <c r="F25" i="20"/>
  <c r="G25" i="20"/>
  <c r="H25" i="20"/>
  <c r="D26" i="20"/>
  <c r="E26" i="20"/>
  <c r="F26" i="20"/>
  <c r="G26" i="20"/>
  <c r="H26" i="20"/>
  <c r="D27" i="20"/>
  <c r="E27" i="20"/>
  <c r="F27" i="20"/>
  <c r="G27" i="20"/>
  <c r="H27" i="20"/>
  <c r="D28" i="20"/>
  <c r="E28" i="20"/>
  <c r="F28" i="20"/>
  <c r="G28" i="20"/>
  <c r="H28" i="20"/>
  <c r="D29" i="20"/>
  <c r="E29" i="20"/>
  <c r="F29" i="20"/>
  <c r="G29" i="20"/>
  <c r="H29" i="20"/>
  <c r="D30" i="20"/>
  <c r="E30" i="20"/>
  <c r="F30" i="20"/>
  <c r="G30" i="20"/>
  <c r="H30" i="20"/>
  <c r="D31" i="20"/>
  <c r="E31" i="20"/>
  <c r="F31" i="20"/>
  <c r="G31" i="20"/>
  <c r="H31" i="20"/>
  <c r="D32" i="20"/>
  <c r="E32" i="20"/>
  <c r="F32" i="20"/>
  <c r="G32" i="20"/>
  <c r="H32" i="20"/>
  <c r="D33" i="20"/>
  <c r="E33" i="20"/>
  <c r="F33" i="20"/>
  <c r="G33" i="20"/>
  <c r="H33" i="20"/>
  <c r="D34" i="20"/>
  <c r="E34" i="20"/>
  <c r="F34" i="20"/>
  <c r="G34" i="20"/>
  <c r="H34" i="20"/>
  <c r="D35" i="20"/>
  <c r="E35" i="20"/>
  <c r="F35" i="20"/>
  <c r="G35" i="20"/>
  <c r="H35" i="20"/>
  <c r="D36" i="20"/>
  <c r="E36" i="20"/>
  <c r="F36" i="20"/>
  <c r="G36" i="20"/>
  <c r="H36" i="20"/>
  <c r="D37" i="20"/>
  <c r="E37" i="20"/>
  <c r="F37" i="20"/>
  <c r="G37" i="20"/>
  <c r="H37" i="20"/>
  <c r="D38" i="20"/>
  <c r="E38" i="20"/>
  <c r="F38" i="20"/>
  <c r="G38" i="20"/>
  <c r="H38" i="20"/>
  <c r="D39" i="20"/>
  <c r="E39" i="20"/>
  <c r="F39" i="20"/>
  <c r="G39" i="20"/>
  <c r="H39" i="20"/>
  <c r="D40" i="20"/>
  <c r="E40" i="20"/>
  <c r="F40" i="20"/>
  <c r="G40" i="20"/>
  <c r="H40" i="20"/>
  <c r="D41" i="20"/>
  <c r="E41" i="20"/>
  <c r="F41" i="20"/>
  <c r="G41" i="20"/>
  <c r="H41" i="20"/>
  <c r="D42" i="20"/>
  <c r="E42" i="20"/>
  <c r="F42" i="20"/>
  <c r="G42" i="20"/>
  <c r="H42" i="20"/>
  <c r="D43" i="20"/>
  <c r="E43" i="20"/>
  <c r="F43" i="20"/>
  <c r="G43" i="20"/>
  <c r="H43" i="20"/>
  <c r="D44" i="20"/>
  <c r="E44" i="20"/>
  <c r="F44" i="20"/>
  <c r="G44" i="20"/>
  <c r="H44" i="20"/>
  <c r="D45" i="20"/>
  <c r="E45" i="20"/>
  <c r="F45" i="20"/>
  <c r="G45" i="20"/>
  <c r="H45" i="20"/>
  <c r="D46" i="20"/>
  <c r="E46" i="20"/>
  <c r="F46" i="20"/>
  <c r="G46" i="20"/>
  <c r="H46" i="20"/>
  <c r="D47" i="20"/>
  <c r="E47" i="20"/>
  <c r="F47" i="20"/>
  <c r="G47" i="20"/>
  <c r="H47" i="20"/>
  <c r="D48" i="20"/>
  <c r="E48" i="20"/>
  <c r="F48" i="20"/>
  <c r="G48" i="20"/>
  <c r="H48" i="20"/>
  <c r="D49" i="20"/>
  <c r="E49" i="20"/>
  <c r="F49" i="20"/>
  <c r="G49" i="20"/>
  <c r="H49" i="20"/>
  <c r="D50" i="20"/>
  <c r="E50" i="20"/>
  <c r="F50" i="20"/>
  <c r="G50" i="20"/>
  <c r="H50" i="20"/>
  <c r="D51" i="20"/>
  <c r="E51" i="20"/>
  <c r="F51" i="20"/>
  <c r="G51" i="20"/>
  <c r="H51" i="20"/>
  <c r="D52" i="20"/>
  <c r="E52" i="20"/>
  <c r="F52" i="20"/>
  <c r="G52" i="20"/>
  <c r="H52" i="20"/>
  <c r="D53" i="20"/>
  <c r="E53" i="20"/>
  <c r="F53" i="20"/>
  <c r="G53" i="20"/>
  <c r="H53" i="20"/>
  <c r="D54" i="20"/>
  <c r="E54" i="20"/>
  <c r="F54" i="20"/>
  <c r="G54" i="20"/>
  <c r="H54" i="20"/>
  <c r="D55" i="20"/>
  <c r="E55" i="20"/>
  <c r="F55" i="20"/>
  <c r="G55" i="20"/>
  <c r="H55" i="20"/>
  <c r="D56" i="20"/>
  <c r="E56" i="20"/>
  <c r="F56" i="20"/>
  <c r="G56" i="20"/>
  <c r="H56" i="20"/>
  <c r="D57" i="20"/>
  <c r="E57" i="20"/>
  <c r="F57" i="20"/>
  <c r="G57" i="20"/>
  <c r="H57" i="20"/>
  <c r="D58" i="20"/>
  <c r="E58" i="20"/>
  <c r="F58" i="20"/>
  <c r="G58" i="20"/>
  <c r="H58" i="20"/>
  <c r="D59" i="20"/>
  <c r="E59" i="20"/>
  <c r="F59" i="20"/>
  <c r="G59" i="20"/>
  <c r="H59" i="20"/>
  <c r="D60" i="20"/>
  <c r="E60" i="20"/>
  <c r="F60" i="20"/>
  <c r="G60" i="20"/>
  <c r="H60" i="20"/>
  <c r="D61" i="20"/>
  <c r="E61" i="20"/>
  <c r="F61" i="20"/>
  <c r="G61" i="20"/>
  <c r="H61" i="20"/>
  <c r="D62" i="20"/>
  <c r="E62" i="20"/>
  <c r="F62" i="20"/>
  <c r="G62" i="20"/>
  <c r="H62" i="20"/>
  <c r="D63" i="20"/>
  <c r="E63" i="20"/>
  <c r="F63" i="20"/>
  <c r="G63" i="20"/>
  <c r="H63" i="20"/>
  <c r="D64" i="20"/>
  <c r="E64" i="20"/>
  <c r="F64" i="20"/>
  <c r="G64" i="20"/>
  <c r="H64" i="20"/>
  <c r="D65" i="20"/>
  <c r="E65" i="20"/>
  <c r="F65" i="20"/>
  <c r="G65" i="20"/>
  <c r="H65" i="20"/>
  <c r="D66" i="20"/>
  <c r="E66" i="20"/>
  <c r="F66" i="20"/>
  <c r="G66" i="20"/>
  <c r="H66" i="20"/>
  <c r="D67" i="20"/>
  <c r="E67" i="20"/>
  <c r="F67" i="20"/>
  <c r="G67" i="20"/>
  <c r="H67" i="20"/>
  <c r="D68" i="20"/>
  <c r="E68" i="20"/>
  <c r="F68" i="20"/>
  <c r="G68" i="20"/>
  <c r="H68" i="20"/>
  <c r="D69" i="20"/>
  <c r="E69" i="20"/>
  <c r="F69" i="20"/>
  <c r="G69" i="20"/>
  <c r="H69" i="20"/>
  <c r="D70" i="20"/>
  <c r="E70" i="20"/>
  <c r="F70" i="20"/>
  <c r="G70" i="20"/>
  <c r="H70" i="20"/>
  <c r="D71" i="20"/>
  <c r="E71" i="20"/>
  <c r="F71" i="20"/>
  <c r="G71" i="20"/>
  <c r="H71" i="20"/>
  <c r="D72" i="20"/>
  <c r="E72" i="20"/>
  <c r="F72" i="20"/>
  <c r="G72" i="20"/>
  <c r="H72" i="20"/>
  <c r="D73" i="20"/>
  <c r="E73" i="20"/>
  <c r="F73" i="20"/>
  <c r="G73" i="20"/>
  <c r="H73" i="20"/>
  <c r="D74" i="20"/>
  <c r="E74" i="20"/>
  <c r="F74" i="20"/>
  <c r="G74" i="20"/>
  <c r="H74" i="20"/>
  <c r="D75" i="20"/>
  <c r="E75" i="20"/>
  <c r="F75" i="20"/>
  <c r="G75" i="20"/>
  <c r="H75" i="20"/>
  <c r="D76" i="20"/>
  <c r="E76" i="20"/>
  <c r="F76" i="20"/>
  <c r="G76" i="20"/>
  <c r="H76" i="20"/>
  <c r="D77" i="20"/>
  <c r="E77" i="20"/>
  <c r="F77" i="20"/>
  <c r="G77" i="20"/>
  <c r="H77" i="20"/>
  <c r="D78" i="20"/>
  <c r="E78" i="20"/>
  <c r="F78" i="20"/>
  <c r="G78" i="20"/>
  <c r="H78" i="20"/>
  <c r="D79" i="20"/>
  <c r="E79" i="20"/>
  <c r="F79" i="20"/>
  <c r="G79" i="20"/>
  <c r="H79" i="20"/>
  <c r="D80" i="20"/>
  <c r="E80" i="20"/>
  <c r="F80" i="20"/>
  <c r="G80" i="20"/>
  <c r="H80" i="20"/>
  <c r="D81" i="20"/>
  <c r="E81" i="20"/>
  <c r="F81" i="20"/>
  <c r="G81" i="20"/>
  <c r="H81" i="20"/>
  <c r="D82" i="20"/>
  <c r="E82" i="20"/>
  <c r="F82" i="20"/>
  <c r="G82" i="20"/>
  <c r="H82" i="20"/>
  <c r="D83" i="20"/>
  <c r="E83" i="20"/>
  <c r="F83" i="20"/>
  <c r="G83" i="20"/>
  <c r="H83" i="20"/>
  <c r="D84" i="20"/>
  <c r="E84" i="20"/>
  <c r="F84" i="20"/>
  <c r="G84" i="20"/>
  <c r="H84" i="20"/>
  <c r="D85" i="20"/>
  <c r="E85" i="20"/>
  <c r="F85" i="20"/>
  <c r="G85" i="20"/>
  <c r="H85" i="20"/>
  <c r="D86" i="20"/>
  <c r="E86" i="20"/>
  <c r="F86" i="20"/>
  <c r="G86" i="20"/>
  <c r="H86" i="20"/>
  <c r="D87" i="20"/>
  <c r="E87" i="20"/>
  <c r="F87" i="20"/>
  <c r="G87" i="20"/>
  <c r="H87" i="20"/>
  <c r="D88" i="20"/>
  <c r="E88" i="20"/>
  <c r="F88" i="20"/>
  <c r="G88" i="20"/>
  <c r="H88" i="20"/>
  <c r="D89" i="20"/>
  <c r="E89" i="20"/>
  <c r="F89" i="20"/>
  <c r="G89" i="20"/>
  <c r="H89" i="20"/>
  <c r="D90" i="20"/>
  <c r="E90" i="20"/>
  <c r="F90" i="20"/>
  <c r="G90" i="20"/>
  <c r="H90" i="20"/>
  <c r="D91" i="20"/>
  <c r="E91" i="20"/>
  <c r="F91" i="20"/>
  <c r="G91" i="20"/>
  <c r="H91" i="20"/>
  <c r="D92" i="20"/>
  <c r="E92" i="20"/>
  <c r="F92" i="20"/>
  <c r="G92" i="20"/>
  <c r="H92" i="20"/>
  <c r="D93" i="20"/>
  <c r="E93" i="20"/>
  <c r="F93" i="20"/>
  <c r="G93" i="20"/>
  <c r="H93" i="20"/>
  <c r="D94" i="20"/>
  <c r="E94" i="20"/>
  <c r="F94" i="20"/>
  <c r="G94" i="20"/>
  <c r="H94" i="20"/>
  <c r="D95" i="20"/>
  <c r="E95" i="20"/>
  <c r="F95" i="20"/>
  <c r="G95" i="20"/>
  <c r="H95" i="20"/>
  <c r="D96" i="20"/>
  <c r="E96" i="20"/>
  <c r="F96" i="20"/>
  <c r="G96" i="20"/>
  <c r="H96" i="20"/>
  <c r="D97" i="20"/>
  <c r="E97" i="20"/>
  <c r="F97" i="20"/>
  <c r="G97" i="20"/>
  <c r="H97" i="20"/>
  <c r="D98" i="20"/>
  <c r="E98" i="20"/>
  <c r="F98" i="20"/>
  <c r="G98" i="20"/>
  <c r="H98" i="20"/>
  <c r="D99" i="20"/>
  <c r="E99" i="20"/>
  <c r="F99" i="20"/>
  <c r="G99" i="20"/>
  <c r="H99" i="20"/>
  <c r="D100" i="20"/>
  <c r="E100" i="20"/>
  <c r="F100" i="20"/>
  <c r="G100" i="20"/>
  <c r="H100" i="20"/>
  <c r="D101" i="20"/>
  <c r="E101" i="20"/>
  <c r="F101" i="20"/>
  <c r="G101" i="20"/>
  <c r="H101" i="20"/>
  <c r="D102" i="20"/>
  <c r="E102" i="20"/>
  <c r="F102" i="20"/>
  <c r="G102" i="20"/>
  <c r="H102" i="20"/>
  <c r="D103" i="20"/>
  <c r="E103" i="20"/>
  <c r="F103" i="20"/>
  <c r="G103" i="20"/>
  <c r="H103" i="20"/>
  <c r="D104" i="20"/>
  <c r="E104" i="20"/>
  <c r="F104" i="20"/>
  <c r="G104" i="20"/>
  <c r="H104" i="20"/>
  <c r="D105" i="20"/>
  <c r="E105" i="20"/>
  <c r="F105" i="20"/>
  <c r="G105" i="20"/>
  <c r="H105" i="20"/>
  <c r="D106" i="20"/>
  <c r="E106" i="20"/>
  <c r="F106" i="20"/>
  <c r="G106" i="20"/>
  <c r="H106" i="20"/>
  <c r="D107" i="20"/>
  <c r="E107" i="20"/>
  <c r="F107" i="20"/>
  <c r="G107" i="20"/>
  <c r="H107" i="20"/>
  <c r="D108" i="20"/>
  <c r="E108" i="20"/>
  <c r="F108" i="20"/>
  <c r="G108" i="20"/>
  <c r="H108" i="20"/>
  <c r="D109" i="20"/>
  <c r="E109" i="20"/>
  <c r="F109" i="20"/>
  <c r="G109" i="20"/>
  <c r="H109" i="20"/>
  <c r="D110" i="20"/>
  <c r="E110" i="20"/>
  <c r="F110" i="20"/>
  <c r="G110" i="20"/>
  <c r="H110" i="20"/>
  <c r="D111" i="20"/>
  <c r="E111" i="20"/>
  <c r="F111" i="20"/>
  <c r="G111" i="20"/>
  <c r="H111" i="20"/>
  <c r="D112" i="20"/>
  <c r="E112" i="20"/>
  <c r="F112" i="20"/>
  <c r="G112" i="20"/>
  <c r="H112" i="20"/>
  <c r="D113" i="20"/>
  <c r="E113" i="20"/>
  <c r="F113" i="20"/>
  <c r="G113" i="20"/>
  <c r="H113" i="20"/>
  <c r="D114" i="20"/>
  <c r="E114" i="20"/>
  <c r="F114" i="20"/>
  <c r="G114" i="20"/>
  <c r="H114" i="20"/>
  <c r="D115" i="20"/>
  <c r="E115" i="20"/>
  <c r="F115" i="20"/>
  <c r="G115" i="20"/>
  <c r="H115" i="20"/>
  <c r="D116" i="20"/>
  <c r="E116" i="20"/>
  <c r="F116" i="20"/>
  <c r="G116" i="20"/>
  <c r="H116" i="20"/>
  <c r="D117" i="20"/>
  <c r="E117" i="20"/>
  <c r="F117" i="20"/>
  <c r="G117" i="20"/>
  <c r="H117" i="20"/>
  <c r="D118" i="20"/>
  <c r="E118" i="20"/>
  <c r="F118" i="20"/>
  <c r="G118" i="20"/>
  <c r="H118" i="20"/>
  <c r="D119" i="20"/>
  <c r="E119" i="20"/>
  <c r="F119" i="20"/>
  <c r="G119" i="20"/>
  <c r="H119" i="20"/>
  <c r="D120" i="20"/>
  <c r="E120" i="20"/>
  <c r="F120" i="20"/>
  <c r="G120" i="20"/>
  <c r="H120" i="20"/>
  <c r="D121" i="20"/>
  <c r="E121" i="20"/>
  <c r="F121" i="20"/>
  <c r="G121" i="20"/>
  <c r="H121" i="20"/>
  <c r="D122" i="20"/>
  <c r="E122" i="20"/>
  <c r="F122" i="20"/>
  <c r="G122" i="20"/>
  <c r="H122" i="20"/>
  <c r="D123" i="20"/>
  <c r="E123" i="20"/>
  <c r="F123" i="20"/>
  <c r="G123" i="20"/>
  <c r="H123" i="20"/>
  <c r="D124" i="20"/>
  <c r="E124" i="20"/>
  <c r="F124" i="20"/>
  <c r="G124" i="20"/>
  <c r="H124" i="20"/>
  <c r="D125" i="20"/>
  <c r="E125" i="20"/>
  <c r="F125" i="20"/>
  <c r="G125" i="20"/>
  <c r="H125" i="20"/>
  <c r="D126" i="20"/>
  <c r="E126" i="20"/>
  <c r="F126" i="20"/>
  <c r="G126" i="20"/>
  <c r="H126" i="20"/>
  <c r="D127" i="20"/>
  <c r="E127" i="20"/>
  <c r="F127" i="20"/>
  <c r="G127" i="20"/>
  <c r="H127" i="20"/>
  <c r="D128" i="20"/>
  <c r="E128" i="20"/>
  <c r="F128" i="20"/>
  <c r="G128" i="20"/>
  <c r="H128" i="20"/>
  <c r="D129" i="20"/>
  <c r="E129" i="20"/>
  <c r="F129" i="20"/>
  <c r="G129" i="20"/>
  <c r="H129" i="20"/>
  <c r="D130" i="20"/>
  <c r="E130" i="20"/>
  <c r="F130" i="20"/>
  <c r="G130" i="20"/>
  <c r="H130" i="20"/>
  <c r="D131" i="20"/>
  <c r="E131" i="20"/>
  <c r="F131" i="20"/>
  <c r="G131" i="20"/>
  <c r="H131" i="20"/>
  <c r="D132" i="20"/>
  <c r="E132" i="20"/>
  <c r="F132" i="20"/>
  <c r="G132" i="20"/>
  <c r="H132" i="20"/>
  <c r="D133" i="20"/>
  <c r="E133" i="20"/>
  <c r="F133" i="20"/>
  <c r="G133" i="20"/>
  <c r="H133" i="20"/>
  <c r="D134" i="20"/>
  <c r="E134" i="20"/>
  <c r="F134" i="20"/>
  <c r="G134" i="20"/>
  <c r="H134" i="20"/>
  <c r="D135" i="20"/>
  <c r="E135" i="20"/>
  <c r="F135" i="20"/>
  <c r="G135" i="20"/>
  <c r="H135" i="20"/>
  <c r="D136" i="20"/>
  <c r="E136" i="20"/>
  <c r="F136" i="20"/>
  <c r="G136" i="20"/>
  <c r="H136" i="20"/>
  <c r="D137" i="20"/>
  <c r="E137" i="20"/>
  <c r="F137" i="20"/>
  <c r="G137" i="20"/>
  <c r="H137" i="20"/>
  <c r="D138" i="20"/>
  <c r="E138" i="20"/>
  <c r="F138" i="20"/>
  <c r="G138" i="20"/>
  <c r="H138" i="20"/>
  <c r="D139" i="20"/>
  <c r="E139" i="20"/>
  <c r="F139" i="20"/>
  <c r="G139" i="20"/>
  <c r="H139" i="20"/>
  <c r="D140" i="20"/>
  <c r="E140" i="20"/>
  <c r="F140" i="20"/>
  <c r="G140" i="20"/>
  <c r="H140" i="20"/>
  <c r="D141" i="20"/>
  <c r="E141" i="20"/>
  <c r="F141" i="20"/>
  <c r="G141" i="20"/>
  <c r="H141" i="20"/>
  <c r="D142" i="20"/>
  <c r="E142" i="20"/>
  <c r="F142" i="20"/>
  <c r="G142" i="20"/>
  <c r="H142" i="20"/>
  <c r="D143" i="20"/>
  <c r="E143" i="20"/>
  <c r="F143" i="20"/>
  <c r="G143" i="20"/>
  <c r="H143" i="20"/>
  <c r="D144" i="20"/>
  <c r="E144" i="20"/>
  <c r="F144" i="20"/>
  <c r="G144" i="20"/>
  <c r="H144" i="20"/>
  <c r="D145" i="20"/>
  <c r="E145" i="20"/>
  <c r="F145" i="20"/>
  <c r="G145" i="20"/>
  <c r="H145" i="20"/>
  <c r="D146" i="20"/>
  <c r="E146" i="20"/>
  <c r="F146" i="20"/>
  <c r="G146" i="20"/>
  <c r="H146" i="20"/>
  <c r="D147" i="20"/>
  <c r="E147" i="20"/>
  <c r="F147" i="20"/>
  <c r="G147" i="20"/>
  <c r="H147" i="20"/>
  <c r="D148" i="20"/>
  <c r="E148" i="20"/>
  <c r="F148" i="20"/>
  <c r="G148" i="20"/>
  <c r="H148" i="20"/>
  <c r="D149" i="20"/>
  <c r="E149" i="20"/>
  <c r="F149" i="20"/>
  <c r="G149" i="20"/>
  <c r="H149" i="20"/>
  <c r="D150" i="20"/>
  <c r="E150" i="20"/>
  <c r="F150" i="20"/>
  <c r="G150" i="20"/>
  <c r="H150" i="20"/>
  <c r="D151" i="20"/>
  <c r="E151" i="20"/>
  <c r="F151" i="20"/>
  <c r="G151" i="20"/>
  <c r="H151" i="20"/>
  <c r="D152" i="20"/>
  <c r="E152" i="20"/>
  <c r="F152" i="20"/>
  <c r="G152" i="20"/>
  <c r="H152" i="20"/>
  <c r="D153" i="20"/>
  <c r="E153" i="20"/>
  <c r="F153" i="20"/>
  <c r="G153" i="20"/>
  <c r="H153" i="20"/>
  <c r="D154" i="20"/>
  <c r="E154" i="20"/>
  <c r="F154" i="20"/>
  <c r="G154" i="20"/>
  <c r="H154" i="20"/>
  <c r="D155" i="20"/>
  <c r="E155" i="20"/>
  <c r="F155" i="20"/>
  <c r="G155" i="20"/>
  <c r="H155" i="20"/>
  <c r="D156" i="20"/>
  <c r="E156" i="20"/>
  <c r="F156" i="20"/>
  <c r="G156" i="20"/>
  <c r="H156" i="20"/>
  <c r="D157" i="20"/>
  <c r="E157" i="20"/>
  <c r="F157" i="20"/>
  <c r="G157" i="20"/>
  <c r="H157" i="20"/>
  <c r="D158" i="20"/>
  <c r="E158" i="20"/>
  <c r="F158" i="20"/>
  <c r="G158" i="20"/>
  <c r="H158" i="20"/>
  <c r="D159" i="20"/>
  <c r="E159" i="20"/>
  <c r="F159" i="20"/>
  <c r="G159" i="20"/>
  <c r="H159" i="20"/>
  <c r="D160" i="20"/>
  <c r="E160" i="20"/>
  <c r="F160" i="20"/>
  <c r="G160" i="20"/>
  <c r="H160" i="20"/>
  <c r="D161" i="20"/>
  <c r="E161" i="20"/>
  <c r="F161" i="20"/>
  <c r="G161" i="20"/>
  <c r="H161" i="20"/>
  <c r="D162" i="20"/>
  <c r="E162" i="20"/>
  <c r="F162" i="20"/>
  <c r="G162" i="20"/>
  <c r="H162" i="20"/>
  <c r="D163" i="20"/>
  <c r="E163" i="20"/>
  <c r="F163" i="20"/>
  <c r="G163" i="20"/>
  <c r="H163" i="20"/>
  <c r="D164" i="20"/>
  <c r="E164" i="20"/>
  <c r="F164" i="20"/>
  <c r="G164" i="20"/>
  <c r="H164" i="20"/>
  <c r="D165" i="20"/>
  <c r="E165" i="20"/>
  <c r="F165" i="20"/>
  <c r="G165" i="20"/>
  <c r="H165" i="20"/>
  <c r="D166" i="20"/>
  <c r="E166" i="20"/>
  <c r="F166" i="20"/>
  <c r="G166" i="20"/>
  <c r="H166" i="20"/>
  <c r="D167" i="20"/>
  <c r="E167" i="20"/>
  <c r="F167" i="20"/>
  <c r="G167" i="20"/>
  <c r="H167" i="20"/>
  <c r="D168" i="20"/>
  <c r="E168" i="20"/>
  <c r="F168" i="20"/>
  <c r="G168" i="20"/>
  <c r="H168" i="20"/>
  <c r="D169" i="20"/>
  <c r="E169" i="20"/>
  <c r="F169" i="20"/>
  <c r="G169" i="20"/>
  <c r="H169" i="20"/>
  <c r="D170" i="20"/>
  <c r="E170" i="20"/>
  <c r="F170" i="20"/>
  <c r="G170" i="20"/>
  <c r="H170" i="20"/>
  <c r="D171" i="20"/>
  <c r="E171" i="20"/>
  <c r="F171" i="20"/>
  <c r="G171" i="20"/>
  <c r="H171" i="20"/>
  <c r="D172" i="20"/>
  <c r="E172" i="20"/>
  <c r="F172" i="20"/>
  <c r="G172" i="20"/>
  <c r="H172" i="20"/>
  <c r="D173" i="20"/>
  <c r="E173" i="20"/>
  <c r="F173" i="20"/>
  <c r="G173" i="20"/>
  <c r="H173" i="20"/>
  <c r="D174" i="20"/>
  <c r="E174" i="20"/>
  <c r="F174" i="20"/>
  <c r="G174" i="20"/>
  <c r="H174" i="20"/>
  <c r="D175" i="20"/>
  <c r="E175" i="20"/>
  <c r="F175" i="20"/>
  <c r="G175" i="20"/>
  <c r="H175" i="20"/>
  <c r="D176" i="20"/>
  <c r="E176" i="20"/>
  <c r="F176" i="20"/>
  <c r="G176" i="20"/>
  <c r="H176" i="20"/>
  <c r="D177" i="20"/>
  <c r="E177" i="20"/>
  <c r="F177" i="20"/>
  <c r="G177" i="20"/>
  <c r="H177" i="20"/>
  <c r="D178" i="20"/>
  <c r="E178" i="20"/>
  <c r="F178" i="20"/>
  <c r="G178" i="20"/>
  <c r="H178" i="20"/>
  <c r="D179" i="20"/>
  <c r="E179" i="20"/>
  <c r="F179" i="20"/>
  <c r="G179" i="20"/>
  <c r="H179" i="20"/>
  <c r="D180" i="20"/>
  <c r="E180" i="20"/>
  <c r="F180" i="20"/>
  <c r="G180" i="20"/>
  <c r="H180" i="20"/>
  <c r="D181" i="20"/>
  <c r="E181" i="20"/>
  <c r="F181" i="20"/>
  <c r="G181" i="20"/>
  <c r="H181" i="20"/>
  <c r="D182" i="20"/>
  <c r="E182" i="20"/>
  <c r="F182" i="20"/>
  <c r="G182" i="20"/>
  <c r="H182" i="20"/>
  <c r="D183" i="20"/>
  <c r="E183" i="20"/>
  <c r="F183" i="20"/>
  <c r="G183" i="20"/>
  <c r="H183" i="20"/>
  <c r="D184" i="20"/>
  <c r="E184" i="20"/>
  <c r="F184" i="20"/>
  <c r="G184" i="20"/>
  <c r="H184" i="20"/>
  <c r="D185" i="20"/>
  <c r="E185" i="20"/>
  <c r="F185" i="20"/>
  <c r="G185" i="20"/>
  <c r="H185" i="20"/>
  <c r="D186" i="20"/>
  <c r="E186" i="20"/>
  <c r="F186" i="20"/>
  <c r="G186" i="20"/>
  <c r="H186" i="20"/>
  <c r="D187" i="20"/>
  <c r="E187" i="20"/>
  <c r="F187" i="20"/>
  <c r="G187" i="20"/>
  <c r="H187" i="20"/>
  <c r="D188" i="20"/>
  <c r="E188" i="20"/>
  <c r="F188" i="20"/>
  <c r="G188" i="20"/>
  <c r="H188" i="20"/>
  <c r="D189" i="20"/>
  <c r="E189" i="20"/>
  <c r="F189" i="20"/>
  <c r="G189" i="20"/>
  <c r="H189" i="20"/>
  <c r="D190" i="20"/>
  <c r="E190" i="20"/>
  <c r="F190" i="20"/>
  <c r="G190" i="20"/>
  <c r="H190" i="20"/>
  <c r="D191" i="20"/>
  <c r="E191" i="20"/>
  <c r="F191" i="20"/>
  <c r="G191" i="20"/>
  <c r="H191" i="20"/>
  <c r="D192" i="20"/>
  <c r="E192" i="20"/>
  <c r="F192" i="20"/>
  <c r="G192" i="20"/>
  <c r="H192" i="20"/>
  <c r="D193" i="20"/>
  <c r="E193" i="20"/>
  <c r="F193" i="20"/>
  <c r="G193" i="20"/>
  <c r="H193" i="20"/>
  <c r="D194" i="20"/>
  <c r="E194" i="20"/>
  <c r="F194" i="20"/>
  <c r="G194" i="20"/>
  <c r="H194" i="20"/>
  <c r="D195" i="20"/>
  <c r="E195" i="20"/>
  <c r="F195" i="20"/>
  <c r="G195" i="20"/>
  <c r="H195" i="20"/>
  <c r="D196" i="20"/>
  <c r="E196" i="20"/>
  <c r="F196" i="20"/>
  <c r="G196" i="20"/>
  <c r="H196" i="20"/>
  <c r="D197" i="20"/>
  <c r="E197" i="20"/>
  <c r="F197" i="20"/>
  <c r="G197" i="20"/>
  <c r="H197" i="20"/>
  <c r="D198" i="20"/>
  <c r="E198" i="20"/>
  <c r="F198" i="20"/>
  <c r="G198" i="20"/>
  <c r="H198" i="20"/>
  <c r="D199" i="20"/>
  <c r="E199" i="20"/>
  <c r="F199" i="20"/>
  <c r="G199" i="20"/>
  <c r="H199" i="20"/>
  <c r="D200" i="20"/>
  <c r="E200" i="20"/>
  <c r="F200" i="20"/>
  <c r="G200" i="20"/>
  <c r="H200" i="20"/>
  <c r="D201" i="20"/>
  <c r="E201" i="20"/>
  <c r="F201" i="20"/>
  <c r="G201" i="20"/>
  <c r="H201" i="20"/>
  <c r="D202" i="20"/>
  <c r="E202" i="20"/>
  <c r="F202" i="20"/>
  <c r="G202" i="20"/>
  <c r="H202" i="20"/>
  <c r="D203" i="20"/>
  <c r="E203" i="20"/>
  <c r="F203" i="20"/>
  <c r="G203" i="20"/>
  <c r="H203" i="20"/>
  <c r="D204" i="20"/>
  <c r="E204" i="20"/>
  <c r="F204" i="20"/>
  <c r="G204" i="20"/>
  <c r="H204" i="20"/>
  <c r="D205" i="20"/>
  <c r="E205" i="20"/>
  <c r="F205" i="20"/>
  <c r="G205" i="20"/>
  <c r="H205" i="20"/>
  <c r="D206" i="20"/>
  <c r="E206" i="20"/>
  <c r="F206" i="20"/>
  <c r="G206" i="20"/>
  <c r="H206" i="20"/>
  <c r="D207" i="20"/>
  <c r="E207" i="20"/>
  <c r="F207" i="20"/>
  <c r="G207" i="20"/>
  <c r="H207" i="20"/>
  <c r="D208" i="20"/>
  <c r="E208" i="20"/>
  <c r="F208" i="20"/>
  <c r="G208" i="20"/>
  <c r="H208" i="20"/>
  <c r="D209" i="20"/>
  <c r="E209" i="20"/>
  <c r="F209" i="20"/>
  <c r="G209" i="20"/>
  <c r="H209" i="20"/>
  <c r="D210" i="20"/>
  <c r="E210" i="20"/>
  <c r="F210" i="20"/>
  <c r="G210" i="20"/>
  <c r="H210" i="20"/>
  <c r="D211" i="20"/>
  <c r="E211" i="20"/>
  <c r="F211" i="20"/>
  <c r="G211" i="20"/>
  <c r="H211" i="20"/>
  <c r="D212" i="20"/>
  <c r="E212" i="20"/>
  <c r="F212" i="20"/>
  <c r="G212" i="20"/>
  <c r="H212" i="20"/>
  <c r="D213" i="20"/>
  <c r="E213" i="20"/>
  <c r="F213" i="20"/>
  <c r="G213" i="20"/>
  <c r="H213" i="20"/>
  <c r="D214" i="20"/>
  <c r="E214" i="20"/>
  <c r="F214" i="20"/>
  <c r="G214" i="20"/>
  <c r="H214" i="20"/>
  <c r="D215" i="20"/>
  <c r="E215" i="20"/>
  <c r="F215" i="20"/>
  <c r="G215" i="20"/>
  <c r="H215" i="20"/>
  <c r="D216" i="20"/>
  <c r="E216" i="20"/>
  <c r="F216" i="20"/>
  <c r="G216" i="20"/>
  <c r="H216" i="20"/>
  <c r="D217" i="20"/>
  <c r="E217" i="20"/>
  <c r="F217" i="20"/>
  <c r="G217" i="20"/>
  <c r="H217" i="20"/>
  <c r="D218" i="20"/>
  <c r="E218" i="20"/>
  <c r="F218" i="20"/>
  <c r="G218" i="20"/>
  <c r="H218" i="20"/>
  <c r="D219" i="20"/>
  <c r="E219" i="20"/>
  <c r="F219" i="20"/>
  <c r="G219" i="20"/>
  <c r="H219" i="20"/>
  <c r="D220" i="20"/>
  <c r="E220" i="20"/>
  <c r="F220" i="20"/>
  <c r="G220" i="20"/>
  <c r="H220" i="20"/>
  <c r="D221" i="20"/>
  <c r="E221" i="20"/>
  <c r="F221" i="20"/>
  <c r="G221" i="20"/>
  <c r="H221" i="20"/>
  <c r="D222" i="20"/>
  <c r="E222" i="20"/>
  <c r="F222" i="20"/>
  <c r="G222" i="20"/>
  <c r="H222" i="20"/>
  <c r="D223" i="20"/>
  <c r="E223" i="20"/>
  <c r="F223" i="20"/>
  <c r="G223" i="20"/>
  <c r="H223" i="20"/>
  <c r="D224" i="20"/>
  <c r="E224" i="20"/>
  <c r="F224" i="20"/>
  <c r="G224" i="20"/>
  <c r="H224" i="20"/>
  <c r="D225" i="20"/>
  <c r="E225" i="20"/>
  <c r="F225" i="20"/>
  <c r="G225" i="20"/>
  <c r="H225" i="20"/>
  <c r="D226" i="20"/>
  <c r="E226" i="20"/>
  <c r="F226" i="20"/>
  <c r="G226" i="20"/>
  <c r="H226" i="20"/>
  <c r="D227" i="20"/>
  <c r="E227" i="20"/>
  <c r="F227" i="20"/>
  <c r="G227" i="20"/>
  <c r="H227" i="20"/>
  <c r="D228" i="20"/>
  <c r="E228" i="20"/>
  <c r="F228" i="20"/>
  <c r="G228" i="20"/>
  <c r="H228" i="20"/>
  <c r="D229" i="20"/>
  <c r="E229" i="20"/>
  <c r="F229" i="20"/>
  <c r="G229" i="20"/>
  <c r="H229" i="20"/>
  <c r="D230" i="20"/>
  <c r="E230" i="20"/>
  <c r="F230" i="20"/>
  <c r="G230" i="20"/>
  <c r="H230" i="20"/>
  <c r="D231" i="20"/>
  <c r="E231" i="20"/>
  <c r="F231" i="20"/>
  <c r="G231" i="20"/>
  <c r="H231" i="20"/>
  <c r="D232" i="20"/>
  <c r="E232" i="20"/>
  <c r="F232" i="20"/>
  <c r="G232" i="20"/>
  <c r="H232" i="20"/>
  <c r="D233" i="20"/>
  <c r="E233" i="20"/>
  <c r="F233" i="20"/>
  <c r="G233" i="20"/>
  <c r="H233" i="20"/>
  <c r="D234" i="20"/>
  <c r="E234" i="20"/>
  <c r="F234" i="20"/>
  <c r="G234" i="20"/>
  <c r="H234" i="20"/>
  <c r="D235" i="20"/>
  <c r="E235" i="20"/>
  <c r="F235" i="20"/>
  <c r="G235" i="20"/>
  <c r="H235" i="20"/>
  <c r="D236" i="20"/>
  <c r="E236" i="20"/>
  <c r="F236" i="20"/>
  <c r="G236" i="20"/>
  <c r="H236" i="20"/>
  <c r="D237" i="20"/>
  <c r="E237" i="20"/>
  <c r="F237" i="20"/>
  <c r="G237" i="20"/>
  <c r="H237" i="20"/>
  <c r="D238" i="20"/>
  <c r="E238" i="20"/>
  <c r="F238" i="20"/>
  <c r="G238" i="20"/>
  <c r="H238" i="20"/>
  <c r="D239" i="20"/>
  <c r="E239" i="20"/>
  <c r="F239" i="20"/>
  <c r="G239" i="20"/>
  <c r="H239" i="20"/>
  <c r="D240" i="20"/>
  <c r="E240" i="20"/>
  <c r="F240" i="20"/>
  <c r="G240" i="20"/>
  <c r="H240" i="20"/>
  <c r="D241" i="20"/>
  <c r="E241" i="20"/>
  <c r="F241" i="20"/>
  <c r="G241" i="20"/>
  <c r="H241" i="20"/>
  <c r="D242" i="20"/>
  <c r="E242" i="20"/>
  <c r="F242" i="20"/>
  <c r="G242" i="20"/>
  <c r="H242" i="20"/>
  <c r="D243" i="20"/>
  <c r="E243" i="20"/>
  <c r="F243" i="20"/>
  <c r="G243" i="20"/>
  <c r="H243" i="20"/>
  <c r="D244" i="20"/>
  <c r="E244" i="20"/>
  <c r="F244" i="20"/>
  <c r="G244" i="20"/>
  <c r="H244" i="20"/>
  <c r="D245" i="20"/>
  <c r="E245" i="20"/>
  <c r="F245" i="20"/>
  <c r="G245" i="20"/>
  <c r="H245" i="20"/>
  <c r="D246" i="20"/>
  <c r="E246" i="20"/>
  <c r="F246" i="20"/>
  <c r="G246" i="20"/>
  <c r="H246" i="20"/>
  <c r="D247" i="20"/>
  <c r="E247" i="20"/>
  <c r="F247" i="20"/>
  <c r="G247" i="20"/>
  <c r="H247" i="20"/>
  <c r="D248" i="20"/>
  <c r="E248" i="20"/>
  <c r="F248" i="20"/>
  <c r="G248" i="20"/>
  <c r="H248" i="20"/>
  <c r="D249" i="20"/>
  <c r="E249" i="20"/>
  <c r="F249" i="20"/>
  <c r="G249" i="20"/>
  <c r="H249" i="20"/>
  <c r="D250" i="20"/>
  <c r="E250" i="20"/>
  <c r="F250" i="20"/>
  <c r="G250" i="20"/>
  <c r="H250" i="20"/>
  <c r="D251" i="20"/>
  <c r="E251" i="20"/>
  <c r="F251" i="20"/>
  <c r="G251" i="20"/>
  <c r="H251" i="20"/>
  <c r="D252" i="20"/>
  <c r="E252" i="20"/>
  <c r="F252" i="20"/>
  <c r="G252" i="20"/>
  <c r="H252" i="20"/>
  <c r="D253" i="20"/>
  <c r="E253" i="20"/>
  <c r="F253" i="20"/>
  <c r="G253" i="20"/>
  <c r="H253" i="20"/>
  <c r="D254" i="20"/>
  <c r="E254" i="20"/>
  <c r="F254" i="20"/>
  <c r="G254" i="20"/>
  <c r="H254" i="20"/>
  <c r="D255" i="20"/>
  <c r="E255" i="20"/>
  <c r="F255" i="20"/>
  <c r="G255" i="20"/>
  <c r="H255" i="20"/>
  <c r="D256" i="20"/>
  <c r="E256" i="20"/>
  <c r="F256" i="20"/>
  <c r="G256" i="20"/>
  <c r="H256" i="20"/>
  <c r="D257" i="20"/>
  <c r="E257" i="20"/>
  <c r="F257" i="20"/>
  <c r="G257" i="20"/>
  <c r="H257" i="20"/>
  <c r="D258" i="20"/>
  <c r="E258" i="20"/>
  <c r="F258" i="20"/>
  <c r="G258" i="20"/>
  <c r="H258" i="20"/>
  <c r="D259" i="20"/>
  <c r="E259" i="20"/>
  <c r="F259" i="20"/>
  <c r="G259" i="20"/>
  <c r="H259" i="20"/>
  <c r="D260" i="20"/>
  <c r="E260" i="20"/>
  <c r="F260" i="20"/>
  <c r="G260" i="20"/>
  <c r="H260" i="20"/>
  <c r="D261" i="20"/>
  <c r="E261" i="20"/>
  <c r="F261" i="20"/>
  <c r="G261" i="20"/>
  <c r="H261" i="20"/>
  <c r="D262" i="20"/>
  <c r="E262" i="20"/>
  <c r="F262" i="20"/>
  <c r="G262" i="20"/>
  <c r="H262" i="20"/>
  <c r="D263" i="20"/>
  <c r="E263" i="20"/>
  <c r="F263" i="20"/>
  <c r="G263" i="20"/>
  <c r="H263" i="20"/>
  <c r="D264" i="20"/>
  <c r="E264" i="20"/>
  <c r="F264" i="20"/>
  <c r="G264" i="20"/>
  <c r="H264" i="20"/>
  <c r="D265" i="20"/>
  <c r="E265" i="20"/>
  <c r="F265" i="20"/>
  <c r="G265" i="20"/>
  <c r="H265" i="20"/>
  <c r="D266" i="20"/>
  <c r="E266" i="20"/>
  <c r="F266" i="20"/>
  <c r="G266" i="20"/>
  <c r="H266" i="20"/>
  <c r="D267" i="20"/>
  <c r="E267" i="20"/>
  <c r="F267" i="20"/>
  <c r="G267" i="20"/>
  <c r="H267" i="20"/>
  <c r="D268" i="20"/>
  <c r="E268" i="20"/>
  <c r="F268" i="20"/>
  <c r="G268" i="20"/>
  <c r="H268" i="20"/>
  <c r="D269" i="20"/>
  <c r="E269" i="20"/>
  <c r="F269" i="20"/>
  <c r="G269" i="20"/>
  <c r="H269" i="20"/>
  <c r="D270" i="20"/>
  <c r="E270" i="20"/>
  <c r="F270" i="20"/>
  <c r="G270" i="20"/>
  <c r="H270" i="20"/>
  <c r="D271" i="20"/>
  <c r="E271" i="20"/>
  <c r="F271" i="20"/>
  <c r="G271" i="20"/>
  <c r="H271" i="20"/>
  <c r="D272" i="20"/>
  <c r="E272" i="20"/>
  <c r="F272" i="20"/>
  <c r="G272" i="20"/>
  <c r="H272" i="20"/>
  <c r="D273" i="20"/>
  <c r="E273" i="20"/>
  <c r="F273" i="20"/>
  <c r="G273" i="20"/>
  <c r="H273" i="20"/>
  <c r="D274" i="20"/>
  <c r="E274" i="20"/>
  <c r="F274" i="20"/>
  <c r="G274" i="20"/>
  <c r="H274" i="20"/>
  <c r="D275" i="20"/>
  <c r="E275" i="20"/>
  <c r="F275" i="20"/>
  <c r="G275" i="20"/>
  <c r="H275" i="20"/>
  <c r="D276" i="20"/>
  <c r="E276" i="20"/>
  <c r="F276" i="20"/>
  <c r="G276" i="20"/>
  <c r="H276" i="20"/>
  <c r="D277" i="20"/>
  <c r="E277" i="20"/>
  <c r="F277" i="20"/>
  <c r="G277" i="20"/>
  <c r="H277" i="20"/>
  <c r="D278" i="20"/>
  <c r="E278" i="20"/>
  <c r="F278" i="20"/>
  <c r="G278" i="20"/>
  <c r="H278" i="20"/>
  <c r="D279" i="20"/>
  <c r="E279" i="20"/>
  <c r="F279" i="20"/>
  <c r="G279" i="20"/>
  <c r="H279" i="20"/>
  <c r="D280" i="20"/>
  <c r="E280" i="20"/>
  <c r="F280" i="20"/>
  <c r="G280" i="20"/>
  <c r="H280" i="20"/>
  <c r="D281" i="20"/>
  <c r="E281" i="20"/>
  <c r="F281" i="20"/>
  <c r="G281" i="20"/>
  <c r="H281" i="20"/>
  <c r="D282" i="20"/>
  <c r="E282" i="20"/>
  <c r="F282" i="20"/>
  <c r="G282" i="20"/>
  <c r="H282" i="20"/>
  <c r="D283" i="20"/>
  <c r="E283" i="20"/>
  <c r="F283" i="20"/>
  <c r="G283" i="20"/>
  <c r="H283" i="20"/>
  <c r="D284" i="20"/>
  <c r="E284" i="20"/>
  <c r="F284" i="20"/>
  <c r="G284" i="20"/>
  <c r="H284" i="20"/>
  <c r="D285" i="20"/>
  <c r="E285" i="20"/>
  <c r="F285" i="20"/>
  <c r="G285" i="20"/>
  <c r="H285" i="20"/>
  <c r="D286" i="20"/>
  <c r="E286" i="20"/>
  <c r="F286" i="20"/>
  <c r="G286" i="20"/>
  <c r="H286" i="20"/>
  <c r="D287" i="20"/>
  <c r="E287" i="20"/>
  <c r="F287" i="20"/>
  <c r="G287" i="20"/>
  <c r="H287" i="20"/>
  <c r="D288" i="20"/>
  <c r="E288" i="20"/>
  <c r="F288" i="20"/>
  <c r="G288" i="20"/>
  <c r="H288" i="20"/>
  <c r="D289" i="20"/>
  <c r="E289" i="20"/>
  <c r="F289" i="20"/>
  <c r="G289" i="20"/>
  <c r="H289" i="20"/>
  <c r="D290" i="20"/>
  <c r="E290" i="20"/>
  <c r="F290" i="20"/>
  <c r="G290" i="20"/>
  <c r="H290" i="20"/>
  <c r="D291" i="20"/>
  <c r="E291" i="20"/>
  <c r="F291" i="20"/>
  <c r="G291" i="20"/>
  <c r="H291" i="20"/>
  <c r="D292" i="20"/>
  <c r="E292" i="20"/>
  <c r="F292" i="20"/>
  <c r="G292" i="20"/>
  <c r="H292" i="20"/>
  <c r="D293" i="20"/>
  <c r="E293" i="20"/>
  <c r="F293" i="20"/>
  <c r="G293" i="20"/>
  <c r="H293" i="20"/>
  <c r="D294" i="20"/>
  <c r="E294" i="20"/>
  <c r="F294" i="20"/>
  <c r="G294" i="20"/>
  <c r="H294" i="20"/>
  <c r="D295" i="20"/>
  <c r="E295" i="20"/>
  <c r="F295" i="20"/>
  <c r="G295" i="20"/>
  <c r="H295" i="20"/>
  <c r="D296" i="20"/>
  <c r="E296" i="20"/>
  <c r="F296" i="20"/>
  <c r="G296" i="20"/>
  <c r="H296" i="20"/>
  <c r="D297" i="20"/>
  <c r="E297" i="20"/>
  <c r="F297" i="20"/>
  <c r="G297" i="20"/>
  <c r="H297" i="20"/>
  <c r="D298" i="20"/>
  <c r="E298" i="20"/>
  <c r="F298" i="20"/>
  <c r="G298" i="20"/>
  <c r="H298" i="20"/>
  <c r="D299" i="20"/>
  <c r="E299" i="20"/>
  <c r="F299" i="20"/>
  <c r="G299" i="20"/>
  <c r="H299" i="20"/>
  <c r="D300" i="20"/>
  <c r="E300" i="20"/>
  <c r="F300" i="20"/>
  <c r="G300" i="20"/>
  <c r="H300" i="20"/>
  <c r="D301" i="20"/>
  <c r="E301" i="20"/>
  <c r="F301" i="20"/>
  <c r="G301" i="20"/>
  <c r="H301" i="20"/>
  <c r="D302" i="20"/>
  <c r="E302" i="20"/>
  <c r="F302" i="20"/>
  <c r="G302" i="20"/>
  <c r="H302" i="20"/>
  <c r="D303" i="20"/>
  <c r="E303" i="20"/>
  <c r="F303" i="20"/>
  <c r="G303" i="20"/>
  <c r="H303" i="20"/>
  <c r="D304" i="20"/>
  <c r="E304" i="20"/>
  <c r="F304" i="20"/>
  <c r="G304" i="20"/>
  <c r="H304" i="20"/>
  <c r="D305" i="20"/>
  <c r="E305" i="20"/>
  <c r="F305" i="20"/>
  <c r="G305" i="20"/>
  <c r="H305" i="20"/>
  <c r="D306" i="20"/>
  <c r="E306" i="20"/>
  <c r="F306" i="20"/>
  <c r="G306" i="20"/>
  <c r="H306" i="20"/>
  <c r="D307" i="20"/>
  <c r="E307" i="20"/>
  <c r="F307" i="20"/>
  <c r="G307" i="20"/>
  <c r="H307" i="20"/>
  <c r="D308" i="20"/>
  <c r="E308" i="20"/>
  <c r="F308" i="20"/>
  <c r="G308" i="20"/>
  <c r="H308" i="20"/>
  <c r="D309" i="20"/>
  <c r="E309" i="20"/>
  <c r="F309" i="20"/>
  <c r="G309" i="20"/>
  <c r="H309" i="20"/>
  <c r="D310" i="20"/>
  <c r="E310" i="20"/>
  <c r="F310" i="20"/>
  <c r="G310" i="20"/>
  <c r="H310" i="20"/>
  <c r="D311" i="20"/>
  <c r="E311" i="20"/>
  <c r="F311" i="20"/>
  <c r="G311" i="20"/>
  <c r="H311" i="20"/>
  <c r="D312" i="20"/>
  <c r="E312" i="20"/>
  <c r="F312" i="20"/>
  <c r="G312" i="20"/>
  <c r="H312" i="20"/>
  <c r="D313" i="20"/>
  <c r="E313" i="20"/>
  <c r="F313" i="20"/>
  <c r="G313" i="20"/>
  <c r="H313" i="20"/>
  <c r="D314" i="20"/>
  <c r="E314" i="20"/>
  <c r="F314" i="20"/>
  <c r="G314" i="20"/>
  <c r="H314" i="20"/>
  <c r="D315" i="20"/>
  <c r="E315" i="20"/>
  <c r="F315" i="20"/>
  <c r="G315" i="20"/>
  <c r="H315" i="20"/>
  <c r="D316" i="20"/>
  <c r="E316" i="20"/>
  <c r="F316" i="20"/>
  <c r="G316" i="20"/>
  <c r="H316" i="20"/>
  <c r="D317" i="20"/>
  <c r="E317" i="20"/>
  <c r="F317" i="20"/>
  <c r="G317" i="20"/>
  <c r="H317" i="20"/>
  <c r="D318" i="20"/>
  <c r="E318" i="20"/>
  <c r="F318" i="20"/>
  <c r="G318" i="20"/>
  <c r="H318" i="20"/>
  <c r="D319" i="20"/>
  <c r="E319" i="20"/>
  <c r="F319" i="20"/>
  <c r="G319" i="20"/>
  <c r="H319" i="20"/>
  <c r="D320" i="20"/>
  <c r="E320" i="20"/>
  <c r="F320" i="20"/>
  <c r="G320" i="20"/>
  <c r="H320" i="20"/>
  <c r="D321" i="20"/>
  <c r="E321" i="20"/>
  <c r="F321" i="20"/>
  <c r="G321" i="20"/>
  <c r="H321" i="20"/>
  <c r="D322" i="20"/>
  <c r="E322" i="20"/>
  <c r="F322" i="20"/>
  <c r="G322" i="20"/>
  <c r="H322" i="20"/>
  <c r="D323" i="20"/>
  <c r="E323" i="20"/>
  <c r="F323" i="20"/>
  <c r="G323" i="20"/>
  <c r="H323" i="20"/>
  <c r="D324" i="20"/>
  <c r="E324" i="20"/>
  <c r="F324" i="20"/>
  <c r="G324" i="20"/>
  <c r="H324" i="20"/>
  <c r="D325" i="20"/>
  <c r="E325" i="20"/>
  <c r="F325" i="20"/>
  <c r="G325" i="20"/>
  <c r="H325" i="20"/>
  <c r="D326" i="20"/>
  <c r="E326" i="20"/>
  <c r="F326" i="20"/>
  <c r="G326" i="20"/>
  <c r="H326" i="20"/>
  <c r="D327" i="20"/>
  <c r="E327" i="20"/>
  <c r="F327" i="20"/>
  <c r="G327" i="20"/>
  <c r="H327" i="20"/>
  <c r="D328" i="20"/>
  <c r="E328" i="20"/>
  <c r="F328" i="20"/>
  <c r="G328" i="20"/>
  <c r="H328" i="20"/>
  <c r="D329" i="20"/>
  <c r="E329" i="20"/>
  <c r="F329" i="20"/>
  <c r="G329" i="20"/>
  <c r="H329" i="20"/>
  <c r="D330" i="20"/>
  <c r="E330" i="20"/>
  <c r="F330" i="20"/>
  <c r="G330" i="20"/>
  <c r="H330" i="20"/>
  <c r="D331" i="20"/>
  <c r="E331" i="20"/>
  <c r="F331" i="20"/>
  <c r="G331" i="20"/>
  <c r="H331" i="20"/>
  <c r="D332" i="20"/>
  <c r="E332" i="20"/>
  <c r="F332" i="20"/>
  <c r="G332" i="20"/>
  <c r="H332" i="20"/>
  <c r="D333" i="20"/>
  <c r="E333" i="20"/>
  <c r="F333" i="20"/>
  <c r="G333" i="20"/>
  <c r="H333" i="20"/>
  <c r="D334" i="20"/>
  <c r="E334" i="20"/>
  <c r="F334" i="20"/>
  <c r="G334" i="20"/>
  <c r="H334" i="20"/>
  <c r="D335" i="20"/>
  <c r="E335" i="20"/>
  <c r="F335" i="20"/>
  <c r="G335" i="20"/>
  <c r="H335" i="20"/>
  <c r="D336" i="20"/>
  <c r="E336" i="20"/>
  <c r="F336" i="20"/>
  <c r="G336" i="20"/>
  <c r="H336" i="20"/>
  <c r="D337" i="20"/>
  <c r="E337" i="20"/>
  <c r="F337" i="20"/>
  <c r="G337" i="20"/>
  <c r="H337" i="20"/>
  <c r="D338" i="20"/>
  <c r="E338" i="20"/>
  <c r="F338" i="20"/>
  <c r="G338" i="20"/>
  <c r="H338" i="20"/>
  <c r="D339" i="20"/>
  <c r="E339" i="20"/>
  <c r="F339" i="20"/>
  <c r="G339" i="20"/>
  <c r="H339" i="20"/>
  <c r="D340" i="20"/>
  <c r="E340" i="20"/>
  <c r="F340" i="20"/>
  <c r="G340" i="20"/>
  <c r="H340" i="20"/>
  <c r="D341" i="20"/>
  <c r="E341" i="20"/>
  <c r="F341" i="20"/>
  <c r="G341" i="20"/>
  <c r="H341" i="20"/>
  <c r="D342" i="20"/>
  <c r="E342" i="20"/>
  <c r="F342" i="20"/>
  <c r="G342" i="20"/>
  <c r="H342" i="20"/>
  <c r="D343" i="20"/>
  <c r="E343" i="20"/>
  <c r="F343" i="20"/>
  <c r="G343" i="20"/>
  <c r="H343" i="20"/>
  <c r="D344" i="20"/>
  <c r="E344" i="20"/>
  <c r="F344" i="20"/>
  <c r="G344" i="20"/>
  <c r="H344" i="20"/>
  <c r="D345" i="20"/>
  <c r="E345" i="20"/>
  <c r="F345" i="20"/>
  <c r="G345" i="20"/>
  <c r="H345" i="20"/>
  <c r="D346" i="20"/>
  <c r="E346" i="20"/>
  <c r="F346" i="20"/>
  <c r="G346" i="20"/>
  <c r="H346" i="20"/>
  <c r="D347" i="20"/>
  <c r="E347" i="20"/>
  <c r="F347" i="20"/>
  <c r="G347" i="20"/>
  <c r="H347" i="20"/>
  <c r="D348" i="20"/>
  <c r="E348" i="20"/>
  <c r="F348" i="20"/>
  <c r="G348" i="20"/>
  <c r="H348" i="20"/>
  <c r="D349" i="20"/>
  <c r="E349" i="20"/>
  <c r="F349" i="20"/>
  <c r="G349" i="20"/>
  <c r="H349" i="20"/>
  <c r="D350" i="20"/>
  <c r="E350" i="20"/>
  <c r="F350" i="20"/>
  <c r="G350" i="20"/>
  <c r="H350" i="20"/>
  <c r="D351" i="20"/>
  <c r="E351" i="20"/>
  <c r="F351" i="20"/>
  <c r="G351" i="20"/>
  <c r="H351" i="20"/>
  <c r="D352" i="20"/>
  <c r="E352" i="20"/>
  <c r="F352" i="20"/>
  <c r="G352" i="20"/>
  <c r="H352" i="20"/>
  <c r="D353" i="20"/>
  <c r="E353" i="20"/>
  <c r="F353" i="20"/>
  <c r="G353" i="20"/>
  <c r="H353" i="20"/>
  <c r="D354" i="20"/>
  <c r="E354" i="20"/>
  <c r="F354" i="20"/>
  <c r="G354" i="20"/>
  <c r="H354" i="20"/>
  <c r="D355" i="20"/>
  <c r="E355" i="20"/>
  <c r="F355" i="20"/>
  <c r="G355" i="20"/>
  <c r="H355" i="20"/>
  <c r="D356" i="20"/>
  <c r="E356" i="20"/>
  <c r="F356" i="20"/>
  <c r="G356" i="20"/>
  <c r="H356" i="20"/>
  <c r="D357" i="20"/>
  <c r="E357" i="20"/>
  <c r="F357" i="20"/>
  <c r="G357" i="20"/>
  <c r="H357" i="20"/>
  <c r="D358" i="20"/>
  <c r="E358" i="20"/>
  <c r="F358" i="20"/>
  <c r="G358" i="20"/>
  <c r="H358" i="20"/>
  <c r="D359" i="20"/>
  <c r="E359" i="20"/>
  <c r="F359" i="20"/>
  <c r="G359" i="20"/>
  <c r="H359" i="20"/>
  <c r="D360" i="20"/>
  <c r="E360" i="20"/>
  <c r="F360" i="20"/>
  <c r="G360" i="20"/>
  <c r="H360" i="20"/>
  <c r="D361" i="20"/>
  <c r="E361" i="20"/>
  <c r="F361" i="20"/>
  <c r="G361" i="20"/>
  <c r="H361" i="20"/>
  <c r="D362" i="20"/>
  <c r="E362" i="20"/>
  <c r="F362" i="20"/>
  <c r="G362" i="20"/>
  <c r="H362" i="20"/>
  <c r="D363" i="20"/>
  <c r="E363" i="20"/>
  <c r="F363" i="20"/>
  <c r="G363" i="20"/>
  <c r="H363" i="20"/>
  <c r="D364" i="20"/>
  <c r="E364" i="20"/>
  <c r="F364" i="20"/>
  <c r="G364" i="20"/>
  <c r="H364" i="20"/>
  <c r="D365" i="20"/>
  <c r="E365" i="20"/>
  <c r="F365" i="20"/>
  <c r="G365" i="20"/>
  <c r="H365" i="20"/>
  <c r="D366" i="20"/>
  <c r="E366" i="20"/>
  <c r="F366" i="20"/>
  <c r="G366" i="20"/>
  <c r="H366" i="20"/>
  <c r="D367" i="20"/>
  <c r="E367" i="20"/>
  <c r="F367" i="20"/>
  <c r="G367" i="20"/>
  <c r="H367" i="20"/>
  <c r="D368" i="20"/>
  <c r="E368" i="20"/>
  <c r="F368" i="20"/>
  <c r="G368" i="20"/>
  <c r="H368" i="20"/>
  <c r="D369" i="20"/>
  <c r="E369" i="20"/>
  <c r="F369" i="20"/>
  <c r="G369" i="20"/>
  <c r="H369" i="20"/>
  <c r="D370" i="20"/>
  <c r="E370" i="20"/>
  <c r="F370" i="20"/>
  <c r="G370" i="20"/>
  <c r="H370" i="20"/>
  <c r="D371" i="20"/>
  <c r="E371" i="20"/>
  <c r="F371" i="20"/>
  <c r="G371" i="20"/>
  <c r="H371" i="20"/>
  <c r="D372" i="20"/>
  <c r="E372" i="20"/>
  <c r="F372" i="20"/>
  <c r="G372" i="20"/>
  <c r="H372" i="20"/>
  <c r="D373" i="20"/>
  <c r="E373" i="20"/>
  <c r="F373" i="20"/>
  <c r="G373" i="20"/>
  <c r="H373" i="20"/>
  <c r="D374" i="20"/>
  <c r="E374" i="20"/>
  <c r="F374" i="20"/>
  <c r="G374" i="20"/>
  <c r="H374" i="20"/>
  <c r="D375" i="20"/>
  <c r="E375" i="20"/>
  <c r="F375" i="20"/>
  <c r="G375" i="20"/>
  <c r="H375" i="20"/>
  <c r="D376" i="20"/>
  <c r="E376" i="20"/>
  <c r="F376" i="20"/>
  <c r="G376" i="20"/>
  <c r="H376" i="20"/>
  <c r="D377" i="20"/>
  <c r="E377" i="20"/>
  <c r="F377" i="20"/>
  <c r="G377" i="20"/>
  <c r="H377" i="20"/>
  <c r="D378" i="20"/>
  <c r="E378" i="20"/>
  <c r="F378" i="20"/>
  <c r="G378" i="20"/>
  <c r="H378" i="20"/>
  <c r="D379" i="20"/>
  <c r="E379" i="20"/>
  <c r="F379" i="20"/>
  <c r="G379" i="20"/>
  <c r="H379" i="20"/>
  <c r="D380" i="20"/>
  <c r="E380" i="20"/>
  <c r="F380" i="20"/>
  <c r="G380" i="20"/>
  <c r="H380" i="20"/>
  <c r="D381" i="20"/>
  <c r="E381" i="20"/>
  <c r="F381" i="20"/>
  <c r="G381" i="20"/>
  <c r="H381" i="20"/>
  <c r="D382" i="20"/>
  <c r="E382" i="20"/>
  <c r="F382" i="20"/>
  <c r="G382" i="20"/>
  <c r="H382" i="20"/>
  <c r="D383" i="20"/>
  <c r="E383" i="20"/>
  <c r="F383" i="20"/>
  <c r="G383" i="20"/>
  <c r="H383" i="20"/>
  <c r="D384" i="20"/>
  <c r="E384" i="20"/>
  <c r="F384" i="20"/>
  <c r="G384" i="20"/>
  <c r="H384" i="20"/>
  <c r="D385" i="20"/>
  <c r="E385" i="20"/>
  <c r="F385" i="20"/>
  <c r="G385" i="20"/>
  <c r="H385" i="20"/>
  <c r="D386" i="20"/>
  <c r="E386" i="20"/>
  <c r="F386" i="20"/>
  <c r="G386" i="20"/>
  <c r="H386" i="20"/>
  <c r="D387" i="20"/>
  <c r="E387" i="20"/>
  <c r="F387" i="20"/>
  <c r="G387" i="20"/>
  <c r="H387" i="20"/>
  <c r="D388" i="20"/>
  <c r="E388" i="20"/>
  <c r="F388" i="20"/>
  <c r="G388" i="20"/>
  <c r="H388" i="20"/>
  <c r="D389" i="20"/>
  <c r="E389" i="20"/>
  <c r="F389" i="20"/>
  <c r="G389" i="20"/>
  <c r="H389" i="20"/>
  <c r="D390" i="20"/>
  <c r="E390" i="20"/>
  <c r="F390" i="20"/>
  <c r="G390" i="20"/>
  <c r="H390" i="20"/>
  <c r="D391" i="20"/>
  <c r="E391" i="20"/>
  <c r="F391" i="20"/>
  <c r="G391" i="20"/>
  <c r="H391" i="20"/>
  <c r="D392" i="20"/>
  <c r="E392" i="20"/>
  <c r="F392" i="20"/>
  <c r="G392" i="20"/>
  <c r="H392" i="20"/>
  <c r="D393" i="20"/>
  <c r="E393" i="20"/>
  <c r="F393" i="20"/>
  <c r="G393" i="20"/>
  <c r="H393" i="20"/>
  <c r="D394" i="20"/>
  <c r="E394" i="20"/>
  <c r="F394" i="20"/>
  <c r="G394" i="20"/>
  <c r="H394" i="20"/>
  <c r="D395" i="20"/>
  <c r="E395" i="20"/>
  <c r="F395" i="20"/>
  <c r="G395" i="20"/>
  <c r="H395" i="20"/>
  <c r="D396" i="20"/>
  <c r="E396" i="20"/>
  <c r="F396" i="20"/>
  <c r="G396" i="20"/>
  <c r="H396" i="20"/>
  <c r="D397" i="20"/>
  <c r="E397" i="20"/>
  <c r="F397" i="20"/>
  <c r="G397" i="20"/>
  <c r="H397" i="20"/>
  <c r="D398" i="20"/>
  <c r="E398" i="20"/>
  <c r="F398" i="20"/>
  <c r="G398" i="20"/>
  <c r="H398" i="20"/>
  <c r="D399" i="20"/>
  <c r="E399" i="20"/>
  <c r="F399" i="20"/>
  <c r="G399" i="20"/>
  <c r="H399" i="20"/>
  <c r="D400" i="20"/>
  <c r="E400" i="20"/>
  <c r="F400" i="20"/>
  <c r="G400" i="20"/>
  <c r="H400" i="20"/>
  <c r="D401" i="20"/>
  <c r="E401" i="20"/>
  <c r="F401" i="20"/>
  <c r="G401" i="20"/>
  <c r="H401" i="20"/>
  <c r="D402" i="20"/>
  <c r="E402" i="20"/>
  <c r="F402" i="20"/>
  <c r="G402" i="20"/>
  <c r="H402" i="20"/>
  <c r="D403" i="20"/>
  <c r="E403" i="20"/>
  <c r="F403" i="20"/>
  <c r="G403" i="20"/>
  <c r="H403" i="20"/>
  <c r="D404" i="20"/>
  <c r="E404" i="20"/>
  <c r="F404" i="20"/>
  <c r="G404" i="20"/>
  <c r="H404" i="20"/>
  <c r="D405" i="20"/>
  <c r="E405" i="20"/>
  <c r="F405" i="20"/>
  <c r="G405" i="20"/>
  <c r="H405" i="20"/>
  <c r="D406" i="20"/>
  <c r="E406" i="20"/>
  <c r="F406" i="20"/>
  <c r="G406" i="20"/>
  <c r="H406" i="20"/>
  <c r="D407" i="20"/>
  <c r="E407" i="20"/>
  <c r="F407" i="20"/>
  <c r="G407" i="20"/>
  <c r="H407" i="20"/>
  <c r="D408" i="20"/>
  <c r="E408" i="20"/>
  <c r="F408" i="20"/>
  <c r="G408" i="20"/>
  <c r="H408" i="20"/>
  <c r="D409" i="20"/>
  <c r="E409" i="20"/>
  <c r="F409" i="20"/>
  <c r="G409" i="20"/>
  <c r="H409" i="20"/>
  <c r="D410" i="20"/>
  <c r="E410" i="20"/>
  <c r="F410" i="20"/>
  <c r="G410" i="20"/>
  <c r="H410" i="20"/>
  <c r="D411" i="20"/>
  <c r="E411" i="20"/>
  <c r="F411" i="20"/>
  <c r="G411" i="20"/>
  <c r="H411" i="20"/>
  <c r="D412" i="20"/>
  <c r="E412" i="20"/>
  <c r="F412" i="20"/>
  <c r="G412" i="20"/>
  <c r="H412" i="20"/>
  <c r="D413" i="20"/>
  <c r="E413" i="20"/>
  <c r="F413" i="20"/>
  <c r="G413" i="20"/>
  <c r="H413" i="20"/>
  <c r="D414" i="20"/>
  <c r="E414" i="20"/>
  <c r="F414" i="20"/>
  <c r="G414" i="20"/>
  <c r="H414" i="20"/>
  <c r="D415" i="20"/>
  <c r="E415" i="20"/>
  <c r="F415" i="20"/>
  <c r="G415" i="20"/>
  <c r="H415" i="20"/>
  <c r="D416" i="20"/>
  <c r="E416" i="20"/>
  <c r="F416" i="20"/>
  <c r="G416" i="20"/>
  <c r="H416" i="20"/>
  <c r="D417" i="20"/>
  <c r="E417" i="20"/>
  <c r="F417" i="20"/>
  <c r="G417" i="20"/>
  <c r="H417" i="20"/>
  <c r="D418" i="20"/>
  <c r="E418" i="20"/>
  <c r="F418" i="20"/>
  <c r="G418" i="20"/>
  <c r="H418" i="20"/>
  <c r="D419" i="20"/>
  <c r="E419" i="20"/>
  <c r="F419" i="20"/>
  <c r="G419" i="20"/>
  <c r="H419" i="20"/>
  <c r="D420" i="20"/>
  <c r="E420" i="20"/>
  <c r="F420" i="20"/>
  <c r="G420" i="20"/>
  <c r="H420" i="20"/>
  <c r="D421" i="20"/>
  <c r="E421" i="20"/>
  <c r="F421" i="20"/>
  <c r="G421" i="20"/>
  <c r="H421" i="20"/>
  <c r="D422" i="20"/>
  <c r="E422" i="20"/>
  <c r="F422" i="20"/>
  <c r="G422" i="20"/>
  <c r="H422" i="20"/>
  <c r="D423" i="20"/>
  <c r="E423" i="20"/>
  <c r="F423" i="20"/>
  <c r="G423" i="20"/>
  <c r="H423" i="20"/>
  <c r="D424" i="20"/>
  <c r="E424" i="20"/>
  <c r="F424" i="20"/>
  <c r="G424" i="20"/>
  <c r="H424" i="20"/>
  <c r="D425" i="20"/>
  <c r="E425" i="20"/>
  <c r="F425" i="20"/>
  <c r="G425" i="20"/>
  <c r="H425" i="20"/>
  <c r="D426" i="20"/>
  <c r="E426" i="20"/>
  <c r="F426" i="20"/>
  <c r="G426" i="20"/>
  <c r="H426" i="20"/>
  <c r="D427" i="20"/>
  <c r="E427" i="20"/>
  <c r="F427" i="20"/>
  <c r="G427" i="20"/>
  <c r="H427" i="20"/>
  <c r="D428" i="20"/>
  <c r="E428" i="20"/>
  <c r="F428" i="20"/>
  <c r="G428" i="20"/>
  <c r="H428" i="20"/>
  <c r="D429" i="20"/>
  <c r="E429" i="20"/>
  <c r="F429" i="20"/>
  <c r="G429" i="20"/>
  <c r="H429" i="20"/>
  <c r="D430" i="20"/>
  <c r="E430" i="20"/>
  <c r="F430" i="20"/>
  <c r="G430" i="20"/>
  <c r="H430" i="20"/>
  <c r="D431" i="20"/>
  <c r="E431" i="20"/>
  <c r="F431" i="20"/>
  <c r="G431" i="20"/>
  <c r="H431" i="20"/>
  <c r="D432" i="20"/>
  <c r="E432" i="20"/>
  <c r="F432" i="20"/>
  <c r="G432" i="20"/>
  <c r="H432" i="20"/>
  <c r="D433" i="20"/>
  <c r="E433" i="20"/>
  <c r="F433" i="20"/>
  <c r="G433" i="20"/>
  <c r="H433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M40" i="19"/>
  <c r="M41" i="19"/>
  <c r="M43" i="19"/>
  <c r="M44" i="19"/>
  <c r="M46" i="19"/>
  <c r="M47" i="19"/>
  <c r="M49" i="19"/>
  <c r="M50" i="19"/>
  <c r="M61" i="19"/>
  <c r="M62" i="19"/>
  <c r="M64" i="19"/>
  <c r="M65" i="19"/>
  <c r="M67" i="19"/>
  <c r="M68" i="19"/>
  <c r="M70" i="19"/>
  <c r="M71" i="19"/>
  <c r="M73" i="19"/>
  <c r="M74" i="19"/>
  <c r="M76" i="19"/>
  <c r="M77" i="19"/>
  <c r="M130" i="19"/>
  <c r="M131" i="19"/>
  <c r="M133" i="19"/>
  <c r="M134" i="19"/>
  <c r="M136" i="19"/>
  <c r="M137" i="19"/>
  <c r="M139" i="19"/>
  <c r="M140" i="19"/>
  <c r="M142" i="19"/>
  <c r="M143" i="19"/>
  <c r="M145" i="19"/>
  <c r="M146" i="19"/>
  <c r="M148" i="19"/>
  <c r="M149" i="19"/>
  <c r="M151" i="19"/>
  <c r="M152" i="19"/>
  <c r="M154" i="19"/>
  <c r="M155" i="19"/>
  <c r="M183" i="19"/>
  <c r="M184" i="19"/>
  <c r="M186" i="19"/>
  <c r="M187" i="19"/>
  <c r="M189" i="19"/>
  <c r="M190" i="19"/>
  <c r="M192" i="19"/>
  <c r="M193" i="19"/>
  <c r="M195" i="19"/>
  <c r="M196" i="19"/>
  <c r="M198" i="19"/>
  <c r="M199" i="19"/>
  <c r="M201" i="19"/>
  <c r="M202" i="19"/>
  <c r="M204" i="19"/>
  <c r="M205" i="19"/>
  <c r="M232" i="19"/>
  <c r="M233" i="19"/>
  <c r="M235" i="19"/>
  <c r="M236" i="19"/>
  <c r="M238" i="19"/>
  <c r="M239" i="19"/>
  <c r="M241" i="19"/>
  <c r="M242" i="19"/>
  <c r="M259" i="19"/>
  <c r="M260" i="19"/>
  <c r="M268" i="19"/>
  <c r="M269" i="19"/>
  <c r="M271" i="19"/>
  <c r="M272" i="19"/>
  <c r="M274" i="19"/>
  <c r="M275" i="19"/>
  <c r="M277" i="19"/>
  <c r="M278" i="19"/>
  <c r="M280" i="19"/>
  <c r="M281" i="19"/>
  <c r="M350" i="19"/>
  <c r="M351" i="19"/>
  <c r="M353" i="19"/>
  <c r="M354" i="19"/>
  <c r="M356" i="19"/>
  <c r="M357" i="19"/>
  <c r="M359" i="19"/>
  <c r="M360" i="19"/>
  <c r="M362" i="19"/>
  <c r="M363" i="19"/>
  <c r="M365" i="19"/>
  <c r="M366" i="19"/>
  <c r="M368" i="19"/>
  <c r="M369" i="19"/>
  <c r="M371" i="19"/>
  <c r="M372" i="19"/>
  <c r="M374" i="19"/>
  <c r="M375" i="19"/>
  <c r="M377" i="19"/>
  <c r="M378" i="19"/>
  <c r="M380" i="19"/>
  <c r="M381" i="19"/>
  <c r="M383" i="19"/>
  <c r="M384" i="19"/>
  <c r="M414" i="19"/>
  <c r="M415" i="19"/>
  <c r="M417" i="19"/>
  <c r="M418" i="19"/>
  <c r="M420" i="19"/>
  <c r="M421" i="19"/>
  <c r="M423" i="19"/>
  <c r="M424" i="19"/>
  <c r="M426" i="19"/>
  <c r="M427" i="19"/>
  <c r="M429" i="19"/>
  <c r="M430" i="19"/>
  <c r="M432" i="19"/>
  <c r="M433" i="19"/>
  <c r="K40" i="19"/>
  <c r="K41" i="19"/>
  <c r="K43" i="19"/>
  <c r="K44" i="19"/>
  <c r="K46" i="19"/>
  <c r="K47" i="19"/>
  <c r="K195" i="19"/>
  <c r="K196" i="19"/>
  <c r="K201" i="19"/>
  <c r="K202" i="19"/>
  <c r="K241" i="19"/>
  <c r="K242" i="19"/>
  <c r="K259" i="19"/>
  <c r="K260" i="19"/>
  <c r="K268" i="19"/>
  <c r="K269" i="19"/>
  <c r="K350" i="19"/>
  <c r="K351" i="19"/>
  <c r="K356" i="19"/>
  <c r="K357" i="19"/>
  <c r="K371" i="19"/>
  <c r="K372" i="19"/>
  <c r="K377" i="19"/>
  <c r="K378" i="19"/>
  <c r="K380" i="19"/>
  <c r="K381" i="19"/>
  <c r="K383" i="19"/>
  <c r="K384" i="19"/>
  <c r="K414" i="19"/>
  <c r="K415" i="19"/>
  <c r="K429" i="19"/>
  <c r="K430" i="19"/>
  <c r="K432" i="19"/>
  <c r="K433" i="19"/>
  <c r="J40" i="19"/>
  <c r="J41" i="19"/>
  <c r="J43" i="19"/>
  <c r="J44" i="19"/>
  <c r="J46" i="19"/>
  <c r="J47" i="19"/>
  <c r="J49" i="19"/>
  <c r="J50" i="19"/>
  <c r="J61" i="19"/>
  <c r="J62" i="19"/>
  <c r="J64" i="19"/>
  <c r="J65" i="19"/>
  <c r="J67" i="19"/>
  <c r="J68" i="19"/>
  <c r="J70" i="19"/>
  <c r="J71" i="19"/>
  <c r="J73" i="19"/>
  <c r="J74" i="19"/>
  <c r="J76" i="19"/>
  <c r="J77" i="19"/>
  <c r="J130" i="19"/>
  <c r="J131" i="19"/>
  <c r="J133" i="19"/>
  <c r="J134" i="19"/>
  <c r="J136" i="19"/>
  <c r="J137" i="19"/>
  <c r="J139" i="19"/>
  <c r="J140" i="19"/>
  <c r="J142" i="19"/>
  <c r="J143" i="19"/>
  <c r="J145" i="19"/>
  <c r="J146" i="19"/>
  <c r="J148" i="19"/>
  <c r="J149" i="19"/>
  <c r="J151" i="19"/>
  <c r="J152" i="19"/>
  <c r="J154" i="19"/>
  <c r="J155" i="19"/>
  <c r="J183" i="19"/>
  <c r="J184" i="19"/>
  <c r="J186" i="19"/>
  <c r="J187" i="19"/>
  <c r="J189" i="19"/>
  <c r="J190" i="19"/>
  <c r="J192" i="19"/>
  <c r="J193" i="19"/>
  <c r="J195" i="19"/>
  <c r="J196" i="19"/>
  <c r="J198" i="19"/>
  <c r="J199" i="19"/>
  <c r="J201" i="19"/>
  <c r="J202" i="19"/>
  <c r="J204" i="19"/>
  <c r="J205" i="19"/>
  <c r="J232" i="19"/>
  <c r="J233" i="19"/>
  <c r="J235" i="19"/>
  <c r="J236" i="19"/>
  <c r="J238" i="19"/>
  <c r="J239" i="19"/>
  <c r="J241" i="19"/>
  <c r="J242" i="19"/>
  <c r="I259" i="19"/>
  <c r="J259" i="19"/>
  <c r="J260" i="19"/>
  <c r="J268" i="19"/>
  <c r="J269" i="19"/>
  <c r="J271" i="19"/>
  <c r="J272" i="19"/>
  <c r="J274" i="19"/>
  <c r="J275" i="19"/>
  <c r="J277" i="19"/>
  <c r="J278" i="19"/>
  <c r="J280" i="19"/>
  <c r="J281" i="19"/>
  <c r="J350" i="19"/>
  <c r="J351" i="19"/>
  <c r="J353" i="19"/>
  <c r="J354" i="19"/>
  <c r="J356" i="19"/>
  <c r="J357" i="19"/>
  <c r="J359" i="19"/>
  <c r="J360" i="19"/>
  <c r="J362" i="19"/>
  <c r="J363" i="19"/>
  <c r="J365" i="19"/>
  <c r="J366" i="19"/>
  <c r="J368" i="19"/>
  <c r="J369" i="19"/>
  <c r="J371" i="19"/>
  <c r="J372" i="19"/>
  <c r="J374" i="19"/>
  <c r="J375" i="19"/>
  <c r="J377" i="19"/>
  <c r="J378" i="19"/>
  <c r="J380" i="19"/>
  <c r="J381" i="19"/>
  <c r="J383" i="19"/>
  <c r="J384" i="19"/>
  <c r="J414" i="19"/>
  <c r="J415" i="19"/>
  <c r="J417" i="19"/>
  <c r="J418" i="19"/>
  <c r="J420" i="19"/>
  <c r="J421" i="19"/>
  <c r="J423" i="19"/>
  <c r="J424" i="19"/>
  <c r="J426" i="19"/>
  <c r="J427" i="19"/>
  <c r="J429" i="19"/>
  <c r="J430" i="19"/>
  <c r="J432" i="19"/>
  <c r="J433" i="19"/>
  <c r="D8" i="19"/>
  <c r="E8" i="19"/>
  <c r="F8" i="19"/>
  <c r="G8" i="19"/>
  <c r="H8" i="19"/>
  <c r="D9" i="19"/>
  <c r="E9" i="19"/>
  <c r="F9" i="19"/>
  <c r="G9" i="19"/>
  <c r="H9" i="19"/>
  <c r="D10" i="19"/>
  <c r="E10" i="19"/>
  <c r="F10" i="19"/>
  <c r="G10" i="19"/>
  <c r="H10" i="19"/>
  <c r="D11" i="19"/>
  <c r="E11" i="19"/>
  <c r="F11" i="19"/>
  <c r="G11" i="19"/>
  <c r="H11" i="19"/>
  <c r="D12" i="19"/>
  <c r="E12" i="19"/>
  <c r="F12" i="19"/>
  <c r="G12" i="19"/>
  <c r="H12" i="19"/>
  <c r="D13" i="19"/>
  <c r="E13" i="19"/>
  <c r="F13" i="19"/>
  <c r="G13" i="19"/>
  <c r="H13" i="19"/>
  <c r="D14" i="19"/>
  <c r="E14" i="19"/>
  <c r="F14" i="19"/>
  <c r="G14" i="19"/>
  <c r="H14" i="19"/>
  <c r="D15" i="19"/>
  <c r="E15" i="19"/>
  <c r="F15" i="19"/>
  <c r="G15" i="19"/>
  <c r="H15" i="19"/>
  <c r="D16" i="19"/>
  <c r="E16" i="19"/>
  <c r="F16" i="19"/>
  <c r="G16" i="19"/>
  <c r="H16" i="19"/>
  <c r="D17" i="19"/>
  <c r="E17" i="19"/>
  <c r="F17" i="19"/>
  <c r="G17" i="19"/>
  <c r="H17" i="19"/>
  <c r="D18" i="19"/>
  <c r="E18" i="19"/>
  <c r="F18" i="19"/>
  <c r="G18" i="19"/>
  <c r="H18" i="19"/>
  <c r="D19" i="19"/>
  <c r="E19" i="19"/>
  <c r="F19" i="19"/>
  <c r="G19" i="19"/>
  <c r="H19" i="19"/>
  <c r="D20" i="19"/>
  <c r="E20" i="19"/>
  <c r="F20" i="19"/>
  <c r="G20" i="19"/>
  <c r="H20" i="19"/>
  <c r="D21" i="19"/>
  <c r="E21" i="19"/>
  <c r="F21" i="19"/>
  <c r="G21" i="19"/>
  <c r="H21" i="19"/>
  <c r="D22" i="19"/>
  <c r="E22" i="19"/>
  <c r="F22" i="19"/>
  <c r="G22" i="19"/>
  <c r="H22" i="19"/>
  <c r="D23" i="19"/>
  <c r="E23" i="19"/>
  <c r="F23" i="19"/>
  <c r="G23" i="19"/>
  <c r="H23" i="19"/>
  <c r="D24" i="19"/>
  <c r="E24" i="19"/>
  <c r="F24" i="19"/>
  <c r="G24" i="19"/>
  <c r="H24" i="19"/>
  <c r="D25" i="19"/>
  <c r="E25" i="19"/>
  <c r="F25" i="19"/>
  <c r="G25" i="19"/>
  <c r="H25" i="19"/>
  <c r="D26" i="19"/>
  <c r="E26" i="19"/>
  <c r="F26" i="19"/>
  <c r="G26" i="19"/>
  <c r="H26" i="19"/>
  <c r="D27" i="19"/>
  <c r="E27" i="19"/>
  <c r="F27" i="19"/>
  <c r="G27" i="19"/>
  <c r="H27" i="19"/>
  <c r="D28" i="19"/>
  <c r="E28" i="19"/>
  <c r="F28" i="19"/>
  <c r="G28" i="19"/>
  <c r="H28" i="19"/>
  <c r="D29" i="19"/>
  <c r="E29" i="19"/>
  <c r="F29" i="19"/>
  <c r="G29" i="19"/>
  <c r="H29" i="19"/>
  <c r="D30" i="19"/>
  <c r="E30" i="19"/>
  <c r="F30" i="19"/>
  <c r="G30" i="19"/>
  <c r="H30" i="19"/>
  <c r="D31" i="19"/>
  <c r="E31" i="19"/>
  <c r="F31" i="19"/>
  <c r="G31" i="19"/>
  <c r="H31" i="19"/>
  <c r="D32" i="19"/>
  <c r="E32" i="19"/>
  <c r="F32" i="19"/>
  <c r="G32" i="19"/>
  <c r="H32" i="19"/>
  <c r="D33" i="19"/>
  <c r="E33" i="19"/>
  <c r="F33" i="19"/>
  <c r="G33" i="19"/>
  <c r="H33" i="19"/>
  <c r="D34" i="19"/>
  <c r="E34" i="19"/>
  <c r="F34" i="19"/>
  <c r="G34" i="19"/>
  <c r="H34" i="19"/>
  <c r="D35" i="19"/>
  <c r="E35" i="19"/>
  <c r="F35" i="19"/>
  <c r="G35" i="19"/>
  <c r="H35" i="19"/>
  <c r="D36" i="19"/>
  <c r="E36" i="19"/>
  <c r="F36" i="19"/>
  <c r="G36" i="19"/>
  <c r="H36" i="19"/>
  <c r="D37" i="19"/>
  <c r="E37" i="19"/>
  <c r="F37" i="19"/>
  <c r="G37" i="19"/>
  <c r="H37" i="19"/>
  <c r="D38" i="19"/>
  <c r="E38" i="19"/>
  <c r="F38" i="19"/>
  <c r="G38" i="19"/>
  <c r="H38" i="19"/>
  <c r="D39" i="19"/>
  <c r="E39" i="19"/>
  <c r="F39" i="19"/>
  <c r="G39" i="19"/>
  <c r="H39" i="19"/>
  <c r="D40" i="19"/>
  <c r="E40" i="19"/>
  <c r="F40" i="19"/>
  <c r="G40" i="19"/>
  <c r="H40" i="19"/>
  <c r="D41" i="19"/>
  <c r="E41" i="19"/>
  <c r="F41" i="19"/>
  <c r="G41" i="19"/>
  <c r="H41" i="19"/>
  <c r="D42" i="19"/>
  <c r="E42" i="19"/>
  <c r="F42" i="19"/>
  <c r="G42" i="19"/>
  <c r="H42" i="19"/>
  <c r="D43" i="19"/>
  <c r="E43" i="19"/>
  <c r="F43" i="19"/>
  <c r="G43" i="19"/>
  <c r="H43" i="19"/>
  <c r="D44" i="19"/>
  <c r="E44" i="19"/>
  <c r="F44" i="19"/>
  <c r="G44" i="19"/>
  <c r="H44" i="19"/>
  <c r="D45" i="19"/>
  <c r="E45" i="19"/>
  <c r="F45" i="19"/>
  <c r="G45" i="19"/>
  <c r="H45" i="19"/>
  <c r="D46" i="19"/>
  <c r="E46" i="19"/>
  <c r="F46" i="19"/>
  <c r="G46" i="19"/>
  <c r="H46" i="19"/>
  <c r="D47" i="19"/>
  <c r="E47" i="19"/>
  <c r="F47" i="19"/>
  <c r="G47" i="19"/>
  <c r="H47" i="19"/>
  <c r="D48" i="19"/>
  <c r="E48" i="19"/>
  <c r="F48" i="19"/>
  <c r="G48" i="19"/>
  <c r="H48" i="19"/>
  <c r="D49" i="19"/>
  <c r="E49" i="19"/>
  <c r="F49" i="19"/>
  <c r="G49" i="19"/>
  <c r="H49" i="19"/>
  <c r="D50" i="19"/>
  <c r="E50" i="19"/>
  <c r="F50" i="19"/>
  <c r="G50" i="19"/>
  <c r="H50" i="19"/>
  <c r="D51" i="19"/>
  <c r="E51" i="19"/>
  <c r="F51" i="19"/>
  <c r="G51" i="19"/>
  <c r="H51" i="19"/>
  <c r="D52" i="19"/>
  <c r="E52" i="19"/>
  <c r="F52" i="19"/>
  <c r="G52" i="19"/>
  <c r="H52" i="19"/>
  <c r="D53" i="19"/>
  <c r="E53" i="19"/>
  <c r="F53" i="19"/>
  <c r="G53" i="19"/>
  <c r="H53" i="19"/>
  <c r="D54" i="19"/>
  <c r="E54" i="19"/>
  <c r="F54" i="19"/>
  <c r="G54" i="19"/>
  <c r="H54" i="19"/>
  <c r="D55" i="19"/>
  <c r="E55" i="19"/>
  <c r="F55" i="19"/>
  <c r="G55" i="19"/>
  <c r="H55" i="19"/>
  <c r="D56" i="19"/>
  <c r="E56" i="19"/>
  <c r="F56" i="19"/>
  <c r="G56" i="19"/>
  <c r="H56" i="19"/>
  <c r="D57" i="19"/>
  <c r="E57" i="19"/>
  <c r="F57" i="19"/>
  <c r="G57" i="19"/>
  <c r="H57" i="19"/>
  <c r="D58" i="19"/>
  <c r="E58" i="19"/>
  <c r="F58" i="19"/>
  <c r="G58" i="19"/>
  <c r="H58" i="19"/>
  <c r="D59" i="19"/>
  <c r="E59" i="19"/>
  <c r="F59" i="19"/>
  <c r="G59" i="19"/>
  <c r="H59" i="19"/>
  <c r="D60" i="19"/>
  <c r="E60" i="19"/>
  <c r="F60" i="19"/>
  <c r="G60" i="19"/>
  <c r="H60" i="19"/>
  <c r="D61" i="19"/>
  <c r="E61" i="19"/>
  <c r="F61" i="19"/>
  <c r="G61" i="19"/>
  <c r="H61" i="19"/>
  <c r="D62" i="19"/>
  <c r="E62" i="19"/>
  <c r="F62" i="19"/>
  <c r="G62" i="19"/>
  <c r="H62" i="19"/>
  <c r="D63" i="19"/>
  <c r="E63" i="19"/>
  <c r="F63" i="19"/>
  <c r="G63" i="19"/>
  <c r="H63" i="19"/>
  <c r="D64" i="19"/>
  <c r="E64" i="19"/>
  <c r="F64" i="19"/>
  <c r="G64" i="19"/>
  <c r="H64" i="19"/>
  <c r="D65" i="19"/>
  <c r="E65" i="19"/>
  <c r="F65" i="19"/>
  <c r="G65" i="19"/>
  <c r="H65" i="19"/>
  <c r="D66" i="19"/>
  <c r="E66" i="19"/>
  <c r="F66" i="19"/>
  <c r="G66" i="19"/>
  <c r="H66" i="19"/>
  <c r="D67" i="19"/>
  <c r="E67" i="19"/>
  <c r="F67" i="19"/>
  <c r="G67" i="19"/>
  <c r="H67" i="19"/>
  <c r="D68" i="19"/>
  <c r="E68" i="19"/>
  <c r="F68" i="19"/>
  <c r="G68" i="19"/>
  <c r="H68" i="19"/>
  <c r="D69" i="19"/>
  <c r="E69" i="19"/>
  <c r="F69" i="19"/>
  <c r="G69" i="19"/>
  <c r="H69" i="19"/>
  <c r="D70" i="19"/>
  <c r="E70" i="19"/>
  <c r="F70" i="19"/>
  <c r="G70" i="19"/>
  <c r="H70" i="19"/>
  <c r="D71" i="19"/>
  <c r="E71" i="19"/>
  <c r="F71" i="19"/>
  <c r="G71" i="19"/>
  <c r="H71" i="19"/>
  <c r="D72" i="19"/>
  <c r="E72" i="19"/>
  <c r="F72" i="19"/>
  <c r="G72" i="19"/>
  <c r="H72" i="19"/>
  <c r="D73" i="19"/>
  <c r="E73" i="19"/>
  <c r="F73" i="19"/>
  <c r="G73" i="19"/>
  <c r="H73" i="19"/>
  <c r="D74" i="19"/>
  <c r="E74" i="19"/>
  <c r="F74" i="19"/>
  <c r="G74" i="19"/>
  <c r="H74" i="19"/>
  <c r="D75" i="19"/>
  <c r="E75" i="19"/>
  <c r="F75" i="19"/>
  <c r="G75" i="19"/>
  <c r="H75" i="19"/>
  <c r="D76" i="19"/>
  <c r="E76" i="19"/>
  <c r="F76" i="19"/>
  <c r="G76" i="19"/>
  <c r="H76" i="19"/>
  <c r="D77" i="19"/>
  <c r="E77" i="19"/>
  <c r="F77" i="19"/>
  <c r="G77" i="19"/>
  <c r="H77" i="19"/>
  <c r="D78" i="19"/>
  <c r="E78" i="19"/>
  <c r="F78" i="19"/>
  <c r="G78" i="19"/>
  <c r="H78" i="19"/>
  <c r="D79" i="19"/>
  <c r="E79" i="19"/>
  <c r="F79" i="19"/>
  <c r="G79" i="19"/>
  <c r="H79" i="19"/>
  <c r="D80" i="19"/>
  <c r="E80" i="19"/>
  <c r="F80" i="19"/>
  <c r="G80" i="19"/>
  <c r="H80" i="19"/>
  <c r="D81" i="19"/>
  <c r="E81" i="19"/>
  <c r="F81" i="19"/>
  <c r="G81" i="19"/>
  <c r="H81" i="19"/>
  <c r="D82" i="19"/>
  <c r="E82" i="19"/>
  <c r="F82" i="19"/>
  <c r="G82" i="19"/>
  <c r="H82" i="19"/>
  <c r="D83" i="19"/>
  <c r="E83" i="19"/>
  <c r="F83" i="19"/>
  <c r="G83" i="19"/>
  <c r="H83" i="19"/>
  <c r="D84" i="19"/>
  <c r="E84" i="19"/>
  <c r="F84" i="19"/>
  <c r="G84" i="19"/>
  <c r="H84" i="19"/>
  <c r="D85" i="19"/>
  <c r="E85" i="19"/>
  <c r="F85" i="19"/>
  <c r="G85" i="19"/>
  <c r="H85" i="19"/>
  <c r="D86" i="19"/>
  <c r="E86" i="19"/>
  <c r="F86" i="19"/>
  <c r="G86" i="19"/>
  <c r="H86" i="19"/>
  <c r="D87" i="19"/>
  <c r="E87" i="19"/>
  <c r="F87" i="19"/>
  <c r="G87" i="19"/>
  <c r="H87" i="19"/>
  <c r="D88" i="19"/>
  <c r="E88" i="19"/>
  <c r="F88" i="19"/>
  <c r="G88" i="19"/>
  <c r="H88" i="19"/>
  <c r="D89" i="19"/>
  <c r="E89" i="19"/>
  <c r="F89" i="19"/>
  <c r="G89" i="19"/>
  <c r="H89" i="19"/>
  <c r="D90" i="19"/>
  <c r="E90" i="19"/>
  <c r="F90" i="19"/>
  <c r="G90" i="19"/>
  <c r="H90" i="19"/>
  <c r="D91" i="19"/>
  <c r="E91" i="19"/>
  <c r="F91" i="19"/>
  <c r="G91" i="19"/>
  <c r="H91" i="19"/>
  <c r="D92" i="19"/>
  <c r="E92" i="19"/>
  <c r="F92" i="19"/>
  <c r="G92" i="19"/>
  <c r="H92" i="19"/>
  <c r="D93" i="19"/>
  <c r="E93" i="19"/>
  <c r="F93" i="19"/>
  <c r="G93" i="19"/>
  <c r="H93" i="19"/>
  <c r="D94" i="19"/>
  <c r="E94" i="19"/>
  <c r="F94" i="19"/>
  <c r="G94" i="19"/>
  <c r="H94" i="19"/>
  <c r="D95" i="19"/>
  <c r="E95" i="19"/>
  <c r="F95" i="19"/>
  <c r="G95" i="19"/>
  <c r="H95" i="19"/>
  <c r="D96" i="19"/>
  <c r="E96" i="19"/>
  <c r="F96" i="19"/>
  <c r="G96" i="19"/>
  <c r="H96" i="19"/>
  <c r="D97" i="19"/>
  <c r="E97" i="19"/>
  <c r="F97" i="19"/>
  <c r="G97" i="19"/>
  <c r="H97" i="19"/>
  <c r="D98" i="19"/>
  <c r="E98" i="19"/>
  <c r="F98" i="19"/>
  <c r="G98" i="19"/>
  <c r="H98" i="19"/>
  <c r="D99" i="19"/>
  <c r="E99" i="19"/>
  <c r="F99" i="19"/>
  <c r="G99" i="19"/>
  <c r="H99" i="19"/>
  <c r="D100" i="19"/>
  <c r="E100" i="19"/>
  <c r="F100" i="19"/>
  <c r="G100" i="19"/>
  <c r="H100" i="19"/>
  <c r="D101" i="19"/>
  <c r="E101" i="19"/>
  <c r="F101" i="19"/>
  <c r="G101" i="19"/>
  <c r="H101" i="19"/>
  <c r="D102" i="19"/>
  <c r="E102" i="19"/>
  <c r="F102" i="19"/>
  <c r="G102" i="19"/>
  <c r="H102" i="19"/>
  <c r="D103" i="19"/>
  <c r="E103" i="19"/>
  <c r="F103" i="19"/>
  <c r="G103" i="19"/>
  <c r="H103" i="19"/>
  <c r="D104" i="19"/>
  <c r="E104" i="19"/>
  <c r="F104" i="19"/>
  <c r="G104" i="19"/>
  <c r="H104" i="19"/>
  <c r="D105" i="19"/>
  <c r="E105" i="19"/>
  <c r="F105" i="19"/>
  <c r="G105" i="19"/>
  <c r="H105" i="19"/>
  <c r="D106" i="19"/>
  <c r="E106" i="19"/>
  <c r="F106" i="19"/>
  <c r="G106" i="19"/>
  <c r="H106" i="19"/>
  <c r="D107" i="19"/>
  <c r="E107" i="19"/>
  <c r="F107" i="19"/>
  <c r="G107" i="19"/>
  <c r="H107" i="19"/>
  <c r="D108" i="19"/>
  <c r="E108" i="19"/>
  <c r="F108" i="19"/>
  <c r="G108" i="19"/>
  <c r="H108" i="19"/>
  <c r="D109" i="19"/>
  <c r="E109" i="19"/>
  <c r="F109" i="19"/>
  <c r="G109" i="19"/>
  <c r="H109" i="19"/>
  <c r="D110" i="19"/>
  <c r="E110" i="19"/>
  <c r="F110" i="19"/>
  <c r="G110" i="19"/>
  <c r="H110" i="19"/>
  <c r="D111" i="19"/>
  <c r="E111" i="19"/>
  <c r="F111" i="19"/>
  <c r="G111" i="19"/>
  <c r="H111" i="19"/>
  <c r="D112" i="19"/>
  <c r="E112" i="19"/>
  <c r="F112" i="19"/>
  <c r="G112" i="19"/>
  <c r="H112" i="19"/>
  <c r="D113" i="19"/>
  <c r="E113" i="19"/>
  <c r="F113" i="19"/>
  <c r="G113" i="19"/>
  <c r="H113" i="19"/>
  <c r="D114" i="19"/>
  <c r="E114" i="19"/>
  <c r="F114" i="19"/>
  <c r="G114" i="19"/>
  <c r="H114" i="19"/>
  <c r="D115" i="19"/>
  <c r="E115" i="19"/>
  <c r="F115" i="19"/>
  <c r="G115" i="19"/>
  <c r="H115" i="19"/>
  <c r="D116" i="19"/>
  <c r="E116" i="19"/>
  <c r="F116" i="19"/>
  <c r="G116" i="19"/>
  <c r="H116" i="19"/>
  <c r="D117" i="19"/>
  <c r="E117" i="19"/>
  <c r="F117" i="19"/>
  <c r="G117" i="19"/>
  <c r="H117" i="19"/>
  <c r="D118" i="19"/>
  <c r="E118" i="19"/>
  <c r="F118" i="19"/>
  <c r="G118" i="19"/>
  <c r="H118" i="19"/>
  <c r="D119" i="19"/>
  <c r="E119" i="19"/>
  <c r="F119" i="19"/>
  <c r="G119" i="19"/>
  <c r="H119" i="19"/>
  <c r="D120" i="19"/>
  <c r="E120" i="19"/>
  <c r="F120" i="19"/>
  <c r="G120" i="19"/>
  <c r="H120" i="19"/>
  <c r="D121" i="19"/>
  <c r="E121" i="19"/>
  <c r="F121" i="19"/>
  <c r="G121" i="19"/>
  <c r="H121" i="19"/>
  <c r="D122" i="19"/>
  <c r="E122" i="19"/>
  <c r="F122" i="19"/>
  <c r="G122" i="19"/>
  <c r="H122" i="19"/>
  <c r="D123" i="19"/>
  <c r="E123" i="19"/>
  <c r="F123" i="19"/>
  <c r="G123" i="19"/>
  <c r="H123" i="19"/>
  <c r="D124" i="19"/>
  <c r="E124" i="19"/>
  <c r="F124" i="19"/>
  <c r="G124" i="19"/>
  <c r="H124" i="19"/>
  <c r="D125" i="19"/>
  <c r="E125" i="19"/>
  <c r="F125" i="19"/>
  <c r="G125" i="19"/>
  <c r="H125" i="19"/>
  <c r="D126" i="19"/>
  <c r="E126" i="19"/>
  <c r="F126" i="19"/>
  <c r="G126" i="19"/>
  <c r="H126" i="19"/>
  <c r="D127" i="19"/>
  <c r="E127" i="19"/>
  <c r="F127" i="19"/>
  <c r="G127" i="19"/>
  <c r="H127" i="19"/>
  <c r="D128" i="19"/>
  <c r="E128" i="19"/>
  <c r="F128" i="19"/>
  <c r="G128" i="19"/>
  <c r="H128" i="19"/>
  <c r="D129" i="19"/>
  <c r="E129" i="19"/>
  <c r="F129" i="19"/>
  <c r="G129" i="19"/>
  <c r="H129" i="19"/>
  <c r="D130" i="19"/>
  <c r="E130" i="19"/>
  <c r="F130" i="19"/>
  <c r="G130" i="19"/>
  <c r="H130" i="19"/>
  <c r="D131" i="19"/>
  <c r="E131" i="19"/>
  <c r="F131" i="19"/>
  <c r="G131" i="19"/>
  <c r="H131" i="19"/>
  <c r="D132" i="19"/>
  <c r="E132" i="19"/>
  <c r="F132" i="19"/>
  <c r="G132" i="19"/>
  <c r="H132" i="19"/>
  <c r="D133" i="19"/>
  <c r="E133" i="19"/>
  <c r="F133" i="19"/>
  <c r="G133" i="19"/>
  <c r="H133" i="19"/>
  <c r="D134" i="19"/>
  <c r="E134" i="19"/>
  <c r="F134" i="19"/>
  <c r="G134" i="19"/>
  <c r="H134" i="19"/>
  <c r="D135" i="19"/>
  <c r="E135" i="19"/>
  <c r="F135" i="19"/>
  <c r="G135" i="19"/>
  <c r="H135" i="19"/>
  <c r="D136" i="19"/>
  <c r="E136" i="19"/>
  <c r="F136" i="19"/>
  <c r="G136" i="19"/>
  <c r="H136" i="19"/>
  <c r="D137" i="19"/>
  <c r="E137" i="19"/>
  <c r="F137" i="19"/>
  <c r="G137" i="19"/>
  <c r="H137" i="19"/>
  <c r="D138" i="19"/>
  <c r="E138" i="19"/>
  <c r="F138" i="19"/>
  <c r="G138" i="19"/>
  <c r="H138" i="19"/>
  <c r="D139" i="19"/>
  <c r="E139" i="19"/>
  <c r="F139" i="19"/>
  <c r="G139" i="19"/>
  <c r="H139" i="19"/>
  <c r="D140" i="19"/>
  <c r="E140" i="19"/>
  <c r="F140" i="19"/>
  <c r="G140" i="19"/>
  <c r="H140" i="19"/>
  <c r="D141" i="19"/>
  <c r="E141" i="19"/>
  <c r="F141" i="19"/>
  <c r="G141" i="19"/>
  <c r="H141" i="19"/>
  <c r="D142" i="19"/>
  <c r="E142" i="19"/>
  <c r="F142" i="19"/>
  <c r="G142" i="19"/>
  <c r="H142" i="19"/>
  <c r="D143" i="19"/>
  <c r="E143" i="19"/>
  <c r="F143" i="19"/>
  <c r="G143" i="19"/>
  <c r="H143" i="19"/>
  <c r="D144" i="19"/>
  <c r="E144" i="19"/>
  <c r="F144" i="19"/>
  <c r="G144" i="19"/>
  <c r="H144" i="19"/>
  <c r="D145" i="19"/>
  <c r="E145" i="19"/>
  <c r="F145" i="19"/>
  <c r="G145" i="19"/>
  <c r="H145" i="19"/>
  <c r="D146" i="19"/>
  <c r="E146" i="19"/>
  <c r="F146" i="19"/>
  <c r="G146" i="19"/>
  <c r="H146" i="19"/>
  <c r="D147" i="19"/>
  <c r="E147" i="19"/>
  <c r="F147" i="19"/>
  <c r="G147" i="19"/>
  <c r="H147" i="19"/>
  <c r="D148" i="19"/>
  <c r="E148" i="19"/>
  <c r="F148" i="19"/>
  <c r="G148" i="19"/>
  <c r="H148" i="19"/>
  <c r="D149" i="19"/>
  <c r="E149" i="19"/>
  <c r="F149" i="19"/>
  <c r="G149" i="19"/>
  <c r="H149" i="19"/>
  <c r="D150" i="19"/>
  <c r="E150" i="19"/>
  <c r="F150" i="19"/>
  <c r="G150" i="19"/>
  <c r="H150" i="19"/>
  <c r="D151" i="19"/>
  <c r="E151" i="19"/>
  <c r="F151" i="19"/>
  <c r="G151" i="19"/>
  <c r="H151" i="19"/>
  <c r="D152" i="19"/>
  <c r="E152" i="19"/>
  <c r="F152" i="19"/>
  <c r="G152" i="19"/>
  <c r="H152" i="19"/>
  <c r="D153" i="19"/>
  <c r="E153" i="19"/>
  <c r="F153" i="19"/>
  <c r="G153" i="19"/>
  <c r="H153" i="19"/>
  <c r="D154" i="19"/>
  <c r="E154" i="19"/>
  <c r="F154" i="19"/>
  <c r="G154" i="19"/>
  <c r="H154" i="19"/>
  <c r="D155" i="19"/>
  <c r="E155" i="19"/>
  <c r="F155" i="19"/>
  <c r="G155" i="19"/>
  <c r="H155" i="19"/>
  <c r="D156" i="19"/>
  <c r="E156" i="19"/>
  <c r="F156" i="19"/>
  <c r="G156" i="19"/>
  <c r="H156" i="19"/>
  <c r="D157" i="19"/>
  <c r="E157" i="19"/>
  <c r="F157" i="19"/>
  <c r="G157" i="19"/>
  <c r="H157" i="19"/>
  <c r="D158" i="19"/>
  <c r="E158" i="19"/>
  <c r="F158" i="19"/>
  <c r="G158" i="19"/>
  <c r="H158" i="19"/>
  <c r="D159" i="19"/>
  <c r="E159" i="19"/>
  <c r="F159" i="19"/>
  <c r="G159" i="19"/>
  <c r="H159" i="19"/>
  <c r="D160" i="19"/>
  <c r="E160" i="19"/>
  <c r="F160" i="19"/>
  <c r="G160" i="19"/>
  <c r="H160" i="19"/>
  <c r="D161" i="19"/>
  <c r="E161" i="19"/>
  <c r="F161" i="19"/>
  <c r="G161" i="19"/>
  <c r="H161" i="19"/>
  <c r="D162" i="19"/>
  <c r="E162" i="19"/>
  <c r="F162" i="19"/>
  <c r="G162" i="19"/>
  <c r="H162" i="19"/>
  <c r="D163" i="19"/>
  <c r="E163" i="19"/>
  <c r="F163" i="19"/>
  <c r="G163" i="19"/>
  <c r="H163" i="19"/>
  <c r="D164" i="19"/>
  <c r="E164" i="19"/>
  <c r="F164" i="19"/>
  <c r="G164" i="19"/>
  <c r="H164" i="19"/>
  <c r="D165" i="19"/>
  <c r="E165" i="19"/>
  <c r="F165" i="19"/>
  <c r="G165" i="19"/>
  <c r="H165" i="19"/>
  <c r="D166" i="19"/>
  <c r="E166" i="19"/>
  <c r="F166" i="19"/>
  <c r="G166" i="19"/>
  <c r="H166" i="19"/>
  <c r="D167" i="19"/>
  <c r="E167" i="19"/>
  <c r="F167" i="19"/>
  <c r="G167" i="19"/>
  <c r="H167" i="19"/>
  <c r="D168" i="19"/>
  <c r="E168" i="19"/>
  <c r="F168" i="19"/>
  <c r="G168" i="19"/>
  <c r="H168" i="19"/>
  <c r="D169" i="19"/>
  <c r="E169" i="19"/>
  <c r="F169" i="19"/>
  <c r="G169" i="19"/>
  <c r="H169" i="19"/>
  <c r="D170" i="19"/>
  <c r="E170" i="19"/>
  <c r="F170" i="19"/>
  <c r="G170" i="19"/>
  <c r="H170" i="19"/>
  <c r="D171" i="19"/>
  <c r="E171" i="19"/>
  <c r="F171" i="19"/>
  <c r="G171" i="19"/>
  <c r="H171" i="19"/>
  <c r="D172" i="19"/>
  <c r="E172" i="19"/>
  <c r="F172" i="19"/>
  <c r="G172" i="19"/>
  <c r="H172" i="19"/>
  <c r="D173" i="19"/>
  <c r="E173" i="19"/>
  <c r="F173" i="19"/>
  <c r="G173" i="19"/>
  <c r="H173" i="19"/>
  <c r="D174" i="19"/>
  <c r="E174" i="19"/>
  <c r="F174" i="19"/>
  <c r="G174" i="19"/>
  <c r="H174" i="19"/>
  <c r="D175" i="19"/>
  <c r="E175" i="19"/>
  <c r="F175" i="19"/>
  <c r="G175" i="19"/>
  <c r="H175" i="19"/>
  <c r="D176" i="19"/>
  <c r="E176" i="19"/>
  <c r="F176" i="19"/>
  <c r="G176" i="19"/>
  <c r="H176" i="19"/>
  <c r="D177" i="19"/>
  <c r="E177" i="19"/>
  <c r="F177" i="19"/>
  <c r="G177" i="19"/>
  <c r="H177" i="19"/>
  <c r="D178" i="19"/>
  <c r="E178" i="19"/>
  <c r="F178" i="19"/>
  <c r="G178" i="19"/>
  <c r="H178" i="19"/>
  <c r="D179" i="19"/>
  <c r="E179" i="19"/>
  <c r="F179" i="19"/>
  <c r="G179" i="19"/>
  <c r="H179" i="19"/>
  <c r="D180" i="19"/>
  <c r="E180" i="19"/>
  <c r="F180" i="19"/>
  <c r="G180" i="19"/>
  <c r="H180" i="19"/>
  <c r="D181" i="19"/>
  <c r="E181" i="19"/>
  <c r="F181" i="19"/>
  <c r="G181" i="19"/>
  <c r="H181" i="19"/>
  <c r="D182" i="19"/>
  <c r="E182" i="19"/>
  <c r="F182" i="19"/>
  <c r="G182" i="19"/>
  <c r="H182" i="19"/>
  <c r="D183" i="19"/>
  <c r="E183" i="19"/>
  <c r="F183" i="19"/>
  <c r="G183" i="19"/>
  <c r="H183" i="19"/>
  <c r="D184" i="19"/>
  <c r="E184" i="19"/>
  <c r="F184" i="19"/>
  <c r="G184" i="19"/>
  <c r="H184" i="19"/>
  <c r="D185" i="19"/>
  <c r="E185" i="19"/>
  <c r="F185" i="19"/>
  <c r="G185" i="19"/>
  <c r="H185" i="19"/>
  <c r="D186" i="19"/>
  <c r="E186" i="19"/>
  <c r="F186" i="19"/>
  <c r="G186" i="19"/>
  <c r="H186" i="19"/>
  <c r="D187" i="19"/>
  <c r="E187" i="19"/>
  <c r="F187" i="19"/>
  <c r="G187" i="19"/>
  <c r="H187" i="19"/>
  <c r="D188" i="19"/>
  <c r="E188" i="19"/>
  <c r="F188" i="19"/>
  <c r="G188" i="19"/>
  <c r="H188" i="19"/>
  <c r="D189" i="19"/>
  <c r="E189" i="19"/>
  <c r="F189" i="19"/>
  <c r="G189" i="19"/>
  <c r="H189" i="19"/>
  <c r="D190" i="19"/>
  <c r="E190" i="19"/>
  <c r="F190" i="19"/>
  <c r="G190" i="19"/>
  <c r="H190" i="19"/>
  <c r="D191" i="19"/>
  <c r="E191" i="19"/>
  <c r="F191" i="19"/>
  <c r="G191" i="19"/>
  <c r="H191" i="19"/>
  <c r="D192" i="19"/>
  <c r="E192" i="19"/>
  <c r="F192" i="19"/>
  <c r="G192" i="19"/>
  <c r="H192" i="19"/>
  <c r="D193" i="19"/>
  <c r="E193" i="19"/>
  <c r="F193" i="19"/>
  <c r="G193" i="19"/>
  <c r="H193" i="19"/>
  <c r="D194" i="19"/>
  <c r="E194" i="19"/>
  <c r="F194" i="19"/>
  <c r="G194" i="19"/>
  <c r="H194" i="19"/>
  <c r="D195" i="19"/>
  <c r="E195" i="19"/>
  <c r="F195" i="19"/>
  <c r="G195" i="19"/>
  <c r="H195" i="19"/>
  <c r="D196" i="19"/>
  <c r="E196" i="19"/>
  <c r="F196" i="19"/>
  <c r="G196" i="19"/>
  <c r="H196" i="19"/>
  <c r="D197" i="19"/>
  <c r="E197" i="19"/>
  <c r="F197" i="19"/>
  <c r="G197" i="19"/>
  <c r="H197" i="19"/>
  <c r="D198" i="19"/>
  <c r="E198" i="19"/>
  <c r="F198" i="19"/>
  <c r="G198" i="19"/>
  <c r="H198" i="19"/>
  <c r="D199" i="19"/>
  <c r="E199" i="19"/>
  <c r="F199" i="19"/>
  <c r="G199" i="19"/>
  <c r="H199" i="19"/>
  <c r="D200" i="19"/>
  <c r="E200" i="19"/>
  <c r="F200" i="19"/>
  <c r="G200" i="19"/>
  <c r="H200" i="19"/>
  <c r="D201" i="19"/>
  <c r="E201" i="19"/>
  <c r="F201" i="19"/>
  <c r="G201" i="19"/>
  <c r="H201" i="19"/>
  <c r="D202" i="19"/>
  <c r="E202" i="19"/>
  <c r="F202" i="19"/>
  <c r="G202" i="19"/>
  <c r="H202" i="19"/>
  <c r="D203" i="19"/>
  <c r="E203" i="19"/>
  <c r="F203" i="19"/>
  <c r="G203" i="19"/>
  <c r="H203" i="19"/>
  <c r="D204" i="19"/>
  <c r="E204" i="19"/>
  <c r="F204" i="19"/>
  <c r="G204" i="19"/>
  <c r="H204" i="19"/>
  <c r="D205" i="19"/>
  <c r="E205" i="19"/>
  <c r="F205" i="19"/>
  <c r="G205" i="19"/>
  <c r="H205" i="19"/>
  <c r="D206" i="19"/>
  <c r="E206" i="19"/>
  <c r="F206" i="19"/>
  <c r="G206" i="19"/>
  <c r="H206" i="19"/>
  <c r="D207" i="19"/>
  <c r="E207" i="19"/>
  <c r="F207" i="19"/>
  <c r="G207" i="19"/>
  <c r="H207" i="19"/>
  <c r="D208" i="19"/>
  <c r="E208" i="19"/>
  <c r="F208" i="19"/>
  <c r="G208" i="19"/>
  <c r="H208" i="19"/>
  <c r="D209" i="19"/>
  <c r="E209" i="19"/>
  <c r="F209" i="19"/>
  <c r="G209" i="19"/>
  <c r="H209" i="19"/>
  <c r="D210" i="19"/>
  <c r="E210" i="19"/>
  <c r="F210" i="19"/>
  <c r="G210" i="19"/>
  <c r="H210" i="19"/>
  <c r="D211" i="19"/>
  <c r="E211" i="19"/>
  <c r="F211" i="19"/>
  <c r="G211" i="19"/>
  <c r="H211" i="19"/>
  <c r="D212" i="19"/>
  <c r="E212" i="19"/>
  <c r="F212" i="19"/>
  <c r="G212" i="19"/>
  <c r="H212" i="19"/>
  <c r="D213" i="19"/>
  <c r="E213" i="19"/>
  <c r="F213" i="19"/>
  <c r="G213" i="19"/>
  <c r="H213" i="19"/>
  <c r="D214" i="19"/>
  <c r="E214" i="19"/>
  <c r="F214" i="19"/>
  <c r="G214" i="19"/>
  <c r="H214" i="19"/>
  <c r="D215" i="19"/>
  <c r="E215" i="19"/>
  <c r="F215" i="19"/>
  <c r="G215" i="19"/>
  <c r="H215" i="19"/>
  <c r="D216" i="19"/>
  <c r="E216" i="19"/>
  <c r="F216" i="19"/>
  <c r="G216" i="19"/>
  <c r="H216" i="19"/>
  <c r="D217" i="19"/>
  <c r="E217" i="19"/>
  <c r="F217" i="19"/>
  <c r="G217" i="19"/>
  <c r="H217" i="19"/>
  <c r="D218" i="19"/>
  <c r="E218" i="19"/>
  <c r="F218" i="19"/>
  <c r="G218" i="19"/>
  <c r="H218" i="19"/>
  <c r="D219" i="19"/>
  <c r="E219" i="19"/>
  <c r="F219" i="19"/>
  <c r="G219" i="19"/>
  <c r="H219" i="19"/>
  <c r="D220" i="19"/>
  <c r="E220" i="19"/>
  <c r="F220" i="19"/>
  <c r="G220" i="19"/>
  <c r="H220" i="19"/>
  <c r="D221" i="19"/>
  <c r="E221" i="19"/>
  <c r="F221" i="19"/>
  <c r="G221" i="19"/>
  <c r="H221" i="19"/>
  <c r="D222" i="19"/>
  <c r="E222" i="19"/>
  <c r="F222" i="19"/>
  <c r="G222" i="19"/>
  <c r="H222" i="19"/>
  <c r="D223" i="19"/>
  <c r="E223" i="19"/>
  <c r="F223" i="19"/>
  <c r="G223" i="19"/>
  <c r="H223" i="19"/>
  <c r="D224" i="19"/>
  <c r="E224" i="19"/>
  <c r="F224" i="19"/>
  <c r="G224" i="19"/>
  <c r="H224" i="19"/>
  <c r="D225" i="19"/>
  <c r="E225" i="19"/>
  <c r="F225" i="19"/>
  <c r="G225" i="19"/>
  <c r="H225" i="19"/>
  <c r="D226" i="19"/>
  <c r="E226" i="19"/>
  <c r="F226" i="19"/>
  <c r="G226" i="19"/>
  <c r="H226" i="19"/>
  <c r="D227" i="19"/>
  <c r="E227" i="19"/>
  <c r="F227" i="19"/>
  <c r="G227" i="19"/>
  <c r="H227" i="19"/>
  <c r="D228" i="19"/>
  <c r="E228" i="19"/>
  <c r="F228" i="19"/>
  <c r="G228" i="19"/>
  <c r="H228" i="19"/>
  <c r="D229" i="19"/>
  <c r="E229" i="19"/>
  <c r="F229" i="19"/>
  <c r="G229" i="19"/>
  <c r="H229" i="19"/>
  <c r="D230" i="19"/>
  <c r="E230" i="19"/>
  <c r="F230" i="19"/>
  <c r="G230" i="19"/>
  <c r="H230" i="19"/>
  <c r="D231" i="19"/>
  <c r="E231" i="19"/>
  <c r="F231" i="19"/>
  <c r="G231" i="19"/>
  <c r="H231" i="19"/>
  <c r="D232" i="19"/>
  <c r="E232" i="19"/>
  <c r="F232" i="19"/>
  <c r="G232" i="19"/>
  <c r="H232" i="19"/>
  <c r="D233" i="19"/>
  <c r="E233" i="19"/>
  <c r="F233" i="19"/>
  <c r="G233" i="19"/>
  <c r="H233" i="19"/>
  <c r="D234" i="19"/>
  <c r="E234" i="19"/>
  <c r="F234" i="19"/>
  <c r="G234" i="19"/>
  <c r="H234" i="19"/>
  <c r="D235" i="19"/>
  <c r="E235" i="19"/>
  <c r="F235" i="19"/>
  <c r="G235" i="19"/>
  <c r="H235" i="19"/>
  <c r="D236" i="19"/>
  <c r="E236" i="19"/>
  <c r="F236" i="19"/>
  <c r="G236" i="19"/>
  <c r="H236" i="19"/>
  <c r="D237" i="19"/>
  <c r="E237" i="19"/>
  <c r="F237" i="19"/>
  <c r="G237" i="19"/>
  <c r="H237" i="19"/>
  <c r="D238" i="19"/>
  <c r="E238" i="19"/>
  <c r="F238" i="19"/>
  <c r="G238" i="19"/>
  <c r="H238" i="19"/>
  <c r="D239" i="19"/>
  <c r="E239" i="19"/>
  <c r="F239" i="19"/>
  <c r="G239" i="19"/>
  <c r="H239" i="19"/>
  <c r="D240" i="19"/>
  <c r="E240" i="19"/>
  <c r="F240" i="19"/>
  <c r="G240" i="19"/>
  <c r="H240" i="19"/>
  <c r="D241" i="19"/>
  <c r="E241" i="19"/>
  <c r="F241" i="19"/>
  <c r="G241" i="19"/>
  <c r="H241" i="19"/>
  <c r="D242" i="19"/>
  <c r="E242" i="19"/>
  <c r="F242" i="19"/>
  <c r="G242" i="19"/>
  <c r="H242" i="19"/>
  <c r="D243" i="19"/>
  <c r="E243" i="19"/>
  <c r="F243" i="19"/>
  <c r="G243" i="19"/>
  <c r="H243" i="19"/>
  <c r="D244" i="19"/>
  <c r="E244" i="19"/>
  <c r="F244" i="19"/>
  <c r="G244" i="19"/>
  <c r="H244" i="19"/>
  <c r="D245" i="19"/>
  <c r="E245" i="19"/>
  <c r="F245" i="19"/>
  <c r="G245" i="19"/>
  <c r="H245" i="19"/>
  <c r="D246" i="19"/>
  <c r="E246" i="19"/>
  <c r="F246" i="19"/>
  <c r="G246" i="19"/>
  <c r="H246" i="19"/>
  <c r="D247" i="19"/>
  <c r="E247" i="19"/>
  <c r="F247" i="19"/>
  <c r="G247" i="19"/>
  <c r="H247" i="19"/>
  <c r="D248" i="19"/>
  <c r="E248" i="19"/>
  <c r="F248" i="19"/>
  <c r="G248" i="19"/>
  <c r="H248" i="19"/>
  <c r="D249" i="19"/>
  <c r="E249" i="19"/>
  <c r="F249" i="19"/>
  <c r="G249" i="19"/>
  <c r="H249" i="19"/>
  <c r="D250" i="19"/>
  <c r="E250" i="19"/>
  <c r="F250" i="19"/>
  <c r="G250" i="19"/>
  <c r="H250" i="19"/>
  <c r="D251" i="19"/>
  <c r="E251" i="19"/>
  <c r="F251" i="19"/>
  <c r="G251" i="19"/>
  <c r="H251" i="19"/>
  <c r="D252" i="19"/>
  <c r="E252" i="19"/>
  <c r="F252" i="19"/>
  <c r="G252" i="19"/>
  <c r="H252" i="19"/>
  <c r="D253" i="19"/>
  <c r="E253" i="19"/>
  <c r="F253" i="19"/>
  <c r="G253" i="19"/>
  <c r="H253" i="19"/>
  <c r="D254" i="19"/>
  <c r="E254" i="19"/>
  <c r="F254" i="19"/>
  <c r="G254" i="19"/>
  <c r="H254" i="19"/>
  <c r="D255" i="19"/>
  <c r="E255" i="19"/>
  <c r="F255" i="19"/>
  <c r="G255" i="19"/>
  <c r="H255" i="19"/>
  <c r="D256" i="19"/>
  <c r="E256" i="19"/>
  <c r="F256" i="19"/>
  <c r="G256" i="19"/>
  <c r="H256" i="19"/>
  <c r="D257" i="19"/>
  <c r="E257" i="19"/>
  <c r="F257" i="19"/>
  <c r="G257" i="19"/>
  <c r="H257" i="19"/>
  <c r="D258" i="19"/>
  <c r="E258" i="19"/>
  <c r="F258" i="19"/>
  <c r="G258" i="19"/>
  <c r="H258" i="19"/>
  <c r="D259" i="19"/>
  <c r="E259" i="19"/>
  <c r="F259" i="19"/>
  <c r="G259" i="19"/>
  <c r="H259" i="19"/>
  <c r="D260" i="19"/>
  <c r="E260" i="19"/>
  <c r="F260" i="19"/>
  <c r="G260" i="19"/>
  <c r="H260" i="19"/>
  <c r="D261" i="19"/>
  <c r="E261" i="19"/>
  <c r="F261" i="19"/>
  <c r="G261" i="19"/>
  <c r="H261" i="19"/>
  <c r="D262" i="19"/>
  <c r="E262" i="19"/>
  <c r="F262" i="19"/>
  <c r="G262" i="19"/>
  <c r="H262" i="19"/>
  <c r="D263" i="19"/>
  <c r="E263" i="19"/>
  <c r="F263" i="19"/>
  <c r="G263" i="19"/>
  <c r="H263" i="19"/>
  <c r="D264" i="19"/>
  <c r="E264" i="19"/>
  <c r="F264" i="19"/>
  <c r="G264" i="19"/>
  <c r="H264" i="19"/>
  <c r="D265" i="19"/>
  <c r="E265" i="19"/>
  <c r="F265" i="19"/>
  <c r="G265" i="19"/>
  <c r="H265" i="19"/>
  <c r="D266" i="19"/>
  <c r="E266" i="19"/>
  <c r="F266" i="19"/>
  <c r="G266" i="19"/>
  <c r="H266" i="19"/>
  <c r="D267" i="19"/>
  <c r="E267" i="19"/>
  <c r="F267" i="19"/>
  <c r="G267" i="19"/>
  <c r="H267" i="19"/>
  <c r="D268" i="19"/>
  <c r="E268" i="19"/>
  <c r="F268" i="19"/>
  <c r="G268" i="19"/>
  <c r="H268" i="19"/>
  <c r="D269" i="19"/>
  <c r="E269" i="19"/>
  <c r="F269" i="19"/>
  <c r="G269" i="19"/>
  <c r="H269" i="19"/>
  <c r="D270" i="19"/>
  <c r="E270" i="19"/>
  <c r="F270" i="19"/>
  <c r="G270" i="19"/>
  <c r="H270" i="19"/>
  <c r="D271" i="19"/>
  <c r="E271" i="19"/>
  <c r="F271" i="19"/>
  <c r="G271" i="19"/>
  <c r="H271" i="19"/>
  <c r="D272" i="19"/>
  <c r="E272" i="19"/>
  <c r="F272" i="19"/>
  <c r="G272" i="19"/>
  <c r="H272" i="19"/>
  <c r="D273" i="19"/>
  <c r="E273" i="19"/>
  <c r="F273" i="19"/>
  <c r="G273" i="19"/>
  <c r="H273" i="19"/>
  <c r="D274" i="19"/>
  <c r="E274" i="19"/>
  <c r="F274" i="19"/>
  <c r="G274" i="19"/>
  <c r="H274" i="19"/>
  <c r="D275" i="19"/>
  <c r="E275" i="19"/>
  <c r="F275" i="19"/>
  <c r="G275" i="19"/>
  <c r="H275" i="19"/>
  <c r="D276" i="19"/>
  <c r="E276" i="19"/>
  <c r="F276" i="19"/>
  <c r="G276" i="19"/>
  <c r="H276" i="19"/>
  <c r="D277" i="19"/>
  <c r="E277" i="19"/>
  <c r="F277" i="19"/>
  <c r="G277" i="19"/>
  <c r="H277" i="19"/>
  <c r="D278" i="19"/>
  <c r="E278" i="19"/>
  <c r="F278" i="19"/>
  <c r="G278" i="19"/>
  <c r="H278" i="19"/>
  <c r="D279" i="19"/>
  <c r="E279" i="19"/>
  <c r="F279" i="19"/>
  <c r="G279" i="19"/>
  <c r="H279" i="19"/>
  <c r="D280" i="19"/>
  <c r="E280" i="19"/>
  <c r="F280" i="19"/>
  <c r="G280" i="19"/>
  <c r="H280" i="19"/>
  <c r="D281" i="19"/>
  <c r="E281" i="19"/>
  <c r="F281" i="19"/>
  <c r="G281" i="19"/>
  <c r="H281" i="19"/>
  <c r="D282" i="19"/>
  <c r="E282" i="19"/>
  <c r="F282" i="19"/>
  <c r="G282" i="19"/>
  <c r="H282" i="19"/>
  <c r="D283" i="19"/>
  <c r="E283" i="19"/>
  <c r="F283" i="19"/>
  <c r="G283" i="19"/>
  <c r="H283" i="19"/>
  <c r="D284" i="19"/>
  <c r="E284" i="19"/>
  <c r="F284" i="19"/>
  <c r="G284" i="19"/>
  <c r="H284" i="19"/>
  <c r="D285" i="19"/>
  <c r="E285" i="19"/>
  <c r="F285" i="19"/>
  <c r="G285" i="19"/>
  <c r="H285" i="19"/>
  <c r="D286" i="19"/>
  <c r="E286" i="19"/>
  <c r="F286" i="19"/>
  <c r="G286" i="19"/>
  <c r="H286" i="19"/>
  <c r="D287" i="19"/>
  <c r="E287" i="19"/>
  <c r="F287" i="19"/>
  <c r="G287" i="19"/>
  <c r="H287" i="19"/>
  <c r="D288" i="19"/>
  <c r="E288" i="19"/>
  <c r="F288" i="19"/>
  <c r="G288" i="19"/>
  <c r="H288" i="19"/>
  <c r="D289" i="19"/>
  <c r="E289" i="19"/>
  <c r="F289" i="19"/>
  <c r="G289" i="19"/>
  <c r="H289" i="19"/>
  <c r="D290" i="19"/>
  <c r="E290" i="19"/>
  <c r="F290" i="19"/>
  <c r="G290" i="19"/>
  <c r="H290" i="19"/>
  <c r="D291" i="19"/>
  <c r="E291" i="19"/>
  <c r="F291" i="19"/>
  <c r="G291" i="19"/>
  <c r="H291" i="19"/>
  <c r="D292" i="19"/>
  <c r="E292" i="19"/>
  <c r="F292" i="19"/>
  <c r="G292" i="19"/>
  <c r="H292" i="19"/>
  <c r="D293" i="19"/>
  <c r="E293" i="19"/>
  <c r="F293" i="19"/>
  <c r="G293" i="19"/>
  <c r="H293" i="19"/>
  <c r="D294" i="19"/>
  <c r="E294" i="19"/>
  <c r="F294" i="19"/>
  <c r="G294" i="19"/>
  <c r="H294" i="19"/>
  <c r="D295" i="19"/>
  <c r="E295" i="19"/>
  <c r="F295" i="19"/>
  <c r="G295" i="19"/>
  <c r="H295" i="19"/>
  <c r="D296" i="19"/>
  <c r="E296" i="19"/>
  <c r="F296" i="19"/>
  <c r="G296" i="19"/>
  <c r="H296" i="19"/>
  <c r="D297" i="19"/>
  <c r="E297" i="19"/>
  <c r="F297" i="19"/>
  <c r="G297" i="19"/>
  <c r="H297" i="19"/>
  <c r="D298" i="19"/>
  <c r="E298" i="19"/>
  <c r="F298" i="19"/>
  <c r="G298" i="19"/>
  <c r="H298" i="19"/>
  <c r="D299" i="19"/>
  <c r="E299" i="19"/>
  <c r="F299" i="19"/>
  <c r="G299" i="19"/>
  <c r="H299" i="19"/>
  <c r="D300" i="19"/>
  <c r="E300" i="19"/>
  <c r="F300" i="19"/>
  <c r="G300" i="19"/>
  <c r="H300" i="19"/>
  <c r="D301" i="19"/>
  <c r="E301" i="19"/>
  <c r="F301" i="19"/>
  <c r="G301" i="19"/>
  <c r="H301" i="19"/>
  <c r="D302" i="19"/>
  <c r="E302" i="19"/>
  <c r="F302" i="19"/>
  <c r="G302" i="19"/>
  <c r="H302" i="19"/>
  <c r="D303" i="19"/>
  <c r="E303" i="19"/>
  <c r="F303" i="19"/>
  <c r="G303" i="19"/>
  <c r="H303" i="19"/>
  <c r="D304" i="19"/>
  <c r="E304" i="19"/>
  <c r="F304" i="19"/>
  <c r="G304" i="19"/>
  <c r="H304" i="19"/>
  <c r="D305" i="19"/>
  <c r="E305" i="19"/>
  <c r="F305" i="19"/>
  <c r="G305" i="19"/>
  <c r="H305" i="19"/>
  <c r="D306" i="19"/>
  <c r="E306" i="19"/>
  <c r="F306" i="19"/>
  <c r="G306" i="19"/>
  <c r="H306" i="19"/>
  <c r="D307" i="19"/>
  <c r="E307" i="19"/>
  <c r="F307" i="19"/>
  <c r="G307" i="19"/>
  <c r="H307" i="19"/>
  <c r="D308" i="19"/>
  <c r="E308" i="19"/>
  <c r="F308" i="19"/>
  <c r="G308" i="19"/>
  <c r="H308" i="19"/>
  <c r="D309" i="19"/>
  <c r="E309" i="19"/>
  <c r="F309" i="19"/>
  <c r="G309" i="19"/>
  <c r="H309" i="19"/>
  <c r="D310" i="19"/>
  <c r="E310" i="19"/>
  <c r="F310" i="19"/>
  <c r="G310" i="19"/>
  <c r="H310" i="19"/>
  <c r="D311" i="19"/>
  <c r="E311" i="19"/>
  <c r="F311" i="19"/>
  <c r="G311" i="19"/>
  <c r="H311" i="19"/>
  <c r="D312" i="19"/>
  <c r="E312" i="19"/>
  <c r="F312" i="19"/>
  <c r="G312" i="19"/>
  <c r="H312" i="19"/>
  <c r="D313" i="19"/>
  <c r="E313" i="19"/>
  <c r="F313" i="19"/>
  <c r="G313" i="19"/>
  <c r="H313" i="19"/>
  <c r="D314" i="19"/>
  <c r="E314" i="19"/>
  <c r="F314" i="19"/>
  <c r="G314" i="19"/>
  <c r="H314" i="19"/>
  <c r="D315" i="19"/>
  <c r="E315" i="19"/>
  <c r="F315" i="19"/>
  <c r="G315" i="19"/>
  <c r="H315" i="19"/>
  <c r="D316" i="19"/>
  <c r="E316" i="19"/>
  <c r="F316" i="19"/>
  <c r="G316" i="19"/>
  <c r="H316" i="19"/>
  <c r="D317" i="19"/>
  <c r="E317" i="19"/>
  <c r="F317" i="19"/>
  <c r="G317" i="19"/>
  <c r="H317" i="19"/>
  <c r="D318" i="19"/>
  <c r="E318" i="19"/>
  <c r="F318" i="19"/>
  <c r="G318" i="19"/>
  <c r="H318" i="19"/>
  <c r="D319" i="19"/>
  <c r="E319" i="19"/>
  <c r="F319" i="19"/>
  <c r="G319" i="19"/>
  <c r="H319" i="19"/>
  <c r="D320" i="19"/>
  <c r="E320" i="19"/>
  <c r="F320" i="19"/>
  <c r="G320" i="19"/>
  <c r="H320" i="19"/>
  <c r="D321" i="19"/>
  <c r="E321" i="19"/>
  <c r="F321" i="19"/>
  <c r="G321" i="19"/>
  <c r="H321" i="19"/>
  <c r="D322" i="19"/>
  <c r="E322" i="19"/>
  <c r="F322" i="19"/>
  <c r="G322" i="19"/>
  <c r="H322" i="19"/>
  <c r="D323" i="19"/>
  <c r="E323" i="19"/>
  <c r="F323" i="19"/>
  <c r="G323" i="19"/>
  <c r="H323" i="19"/>
  <c r="D324" i="19"/>
  <c r="E324" i="19"/>
  <c r="F324" i="19"/>
  <c r="G324" i="19"/>
  <c r="H324" i="19"/>
  <c r="D325" i="19"/>
  <c r="E325" i="19"/>
  <c r="F325" i="19"/>
  <c r="G325" i="19"/>
  <c r="H325" i="19"/>
  <c r="D326" i="19"/>
  <c r="E326" i="19"/>
  <c r="F326" i="19"/>
  <c r="G326" i="19"/>
  <c r="H326" i="19"/>
  <c r="D327" i="19"/>
  <c r="E327" i="19"/>
  <c r="F327" i="19"/>
  <c r="G327" i="19"/>
  <c r="H327" i="19"/>
  <c r="D328" i="19"/>
  <c r="E328" i="19"/>
  <c r="F328" i="19"/>
  <c r="G328" i="19"/>
  <c r="H328" i="19"/>
  <c r="D329" i="19"/>
  <c r="E329" i="19"/>
  <c r="F329" i="19"/>
  <c r="G329" i="19"/>
  <c r="H329" i="19"/>
  <c r="D330" i="19"/>
  <c r="E330" i="19"/>
  <c r="F330" i="19"/>
  <c r="G330" i="19"/>
  <c r="H330" i="19"/>
  <c r="D331" i="19"/>
  <c r="E331" i="19"/>
  <c r="F331" i="19"/>
  <c r="G331" i="19"/>
  <c r="H331" i="19"/>
  <c r="D332" i="19"/>
  <c r="E332" i="19"/>
  <c r="F332" i="19"/>
  <c r="G332" i="19"/>
  <c r="H332" i="19"/>
  <c r="D333" i="19"/>
  <c r="E333" i="19"/>
  <c r="F333" i="19"/>
  <c r="G333" i="19"/>
  <c r="H333" i="19"/>
  <c r="D334" i="19"/>
  <c r="E334" i="19"/>
  <c r="F334" i="19"/>
  <c r="G334" i="19"/>
  <c r="H334" i="19"/>
  <c r="D335" i="19"/>
  <c r="E335" i="19"/>
  <c r="F335" i="19"/>
  <c r="G335" i="19"/>
  <c r="H335" i="19"/>
  <c r="D336" i="19"/>
  <c r="E336" i="19"/>
  <c r="F336" i="19"/>
  <c r="G336" i="19"/>
  <c r="H336" i="19"/>
  <c r="D337" i="19"/>
  <c r="E337" i="19"/>
  <c r="F337" i="19"/>
  <c r="G337" i="19"/>
  <c r="H337" i="19"/>
  <c r="D338" i="19"/>
  <c r="E338" i="19"/>
  <c r="F338" i="19"/>
  <c r="G338" i="19"/>
  <c r="H338" i="19"/>
  <c r="D339" i="19"/>
  <c r="E339" i="19"/>
  <c r="F339" i="19"/>
  <c r="G339" i="19"/>
  <c r="H339" i="19"/>
  <c r="D340" i="19"/>
  <c r="E340" i="19"/>
  <c r="F340" i="19"/>
  <c r="G340" i="19"/>
  <c r="H340" i="19"/>
  <c r="D341" i="19"/>
  <c r="E341" i="19"/>
  <c r="F341" i="19"/>
  <c r="G341" i="19"/>
  <c r="H341" i="19"/>
  <c r="D342" i="19"/>
  <c r="E342" i="19"/>
  <c r="F342" i="19"/>
  <c r="G342" i="19"/>
  <c r="H342" i="19"/>
  <c r="D343" i="19"/>
  <c r="E343" i="19"/>
  <c r="F343" i="19"/>
  <c r="G343" i="19"/>
  <c r="H343" i="19"/>
  <c r="D344" i="19"/>
  <c r="E344" i="19"/>
  <c r="F344" i="19"/>
  <c r="G344" i="19"/>
  <c r="H344" i="19"/>
  <c r="D345" i="19"/>
  <c r="E345" i="19"/>
  <c r="F345" i="19"/>
  <c r="G345" i="19"/>
  <c r="H345" i="19"/>
  <c r="D346" i="19"/>
  <c r="E346" i="19"/>
  <c r="F346" i="19"/>
  <c r="G346" i="19"/>
  <c r="H346" i="19"/>
  <c r="D347" i="19"/>
  <c r="E347" i="19"/>
  <c r="F347" i="19"/>
  <c r="G347" i="19"/>
  <c r="H347" i="19"/>
  <c r="D348" i="19"/>
  <c r="E348" i="19"/>
  <c r="F348" i="19"/>
  <c r="G348" i="19"/>
  <c r="H348" i="19"/>
  <c r="D349" i="19"/>
  <c r="E349" i="19"/>
  <c r="F349" i="19"/>
  <c r="G349" i="19"/>
  <c r="H349" i="19"/>
  <c r="D350" i="19"/>
  <c r="E350" i="19"/>
  <c r="F350" i="19"/>
  <c r="G350" i="19"/>
  <c r="H350" i="19"/>
  <c r="D351" i="19"/>
  <c r="E351" i="19"/>
  <c r="F351" i="19"/>
  <c r="G351" i="19"/>
  <c r="H351" i="19"/>
  <c r="D352" i="19"/>
  <c r="E352" i="19"/>
  <c r="F352" i="19"/>
  <c r="G352" i="19"/>
  <c r="H352" i="19"/>
  <c r="D353" i="19"/>
  <c r="E353" i="19"/>
  <c r="F353" i="19"/>
  <c r="G353" i="19"/>
  <c r="H353" i="19"/>
  <c r="D354" i="19"/>
  <c r="E354" i="19"/>
  <c r="F354" i="19"/>
  <c r="G354" i="19"/>
  <c r="H354" i="19"/>
  <c r="D355" i="19"/>
  <c r="E355" i="19"/>
  <c r="F355" i="19"/>
  <c r="G355" i="19"/>
  <c r="H355" i="19"/>
  <c r="D356" i="19"/>
  <c r="E356" i="19"/>
  <c r="F356" i="19"/>
  <c r="G356" i="19"/>
  <c r="H356" i="19"/>
  <c r="D357" i="19"/>
  <c r="E357" i="19"/>
  <c r="F357" i="19"/>
  <c r="G357" i="19"/>
  <c r="H357" i="19"/>
  <c r="D358" i="19"/>
  <c r="E358" i="19"/>
  <c r="F358" i="19"/>
  <c r="G358" i="19"/>
  <c r="H358" i="19"/>
  <c r="D359" i="19"/>
  <c r="E359" i="19"/>
  <c r="F359" i="19"/>
  <c r="G359" i="19"/>
  <c r="H359" i="19"/>
  <c r="D360" i="19"/>
  <c r="E360" i="19"/>
  <c r="F360" i="19"/>
  <c r="G360" i="19"/>
  <c r="H360" i="19"/>
  <c r="D361" i="19"/>
  <c r="E361" i="19"/>
  <c r="F361" i="19"/>
  <c r="G361" i="19"/>
  <c r="H361" i="19"/>
  <c r="D362" i="19"/>
  <c r="E362" i="19"/>
  <c r="F362" i="19"/>
  <c r="G362" i="19"/>
  <c r="H362" i="19"/>
  <c r="D363" i="19"/>
  <c r="E363" i="19"/>
  <c r="F363" i="19"/>
  <c r="G363" i="19"/>
  <c r="H363" i="19"/>
  <c r="D364" i="19"/>
  <c r="E364" i="19"/>
  <c r="F364" i="19"/>
  <c r="G364" i="19"/>
  <c r="H364" i="19"/>
  <c r="D365" i="19"/>
  <c r="E365" i="19"/>
  <c r="F365" i="19"/>
  <c r="G365" i="19"/>
  <c r="H365" i="19"/>
  <c r="D366" i="19"/>
  <c r="E366" i="19"/>
  <c r="F366" i="19"/>
  <c r="G366" i="19"/>
  <c r="H366" i="19"/>
  <c r="D367" i="19"/>
  <c r="E367" i="19"/>
  <c r="F367" i="19"/>
  <c r="G367" i="19"/>
  <c r="H367" i="19"/>
  <c r="D368" i="19"/>
  <c r="E368" i="19"/>
  <c r="F368" i="19"/>
  <c r="G368" i="19"/>
  <c r="H368" i="19"/>
  <c r="D369" i="19"/>
  <c r="E369" i="19"/>
  <c r="F369" i="19"/>
  <c r="G369" i="19"/>
  <c r="H369" i="19"/>
  <c r="D370" i="19"/>
  <c r="E370" i="19"/>
  <c r="F370" i="19"/>
  <c r="G370" i="19"/>
  <c r="H370" i="19"/>
  <c r="D371" i="19"/>
  <c r="E371" i="19"/>
  <c r="F371" i="19"/>
  <c r="G371" i="19"/>
  <c r="H371" i="19"/>
  <c r="D372" i="19"/>
  <c r="E372" i="19"/>
  <c r="F372" i="19"/>
  <c r="G372" i="19"/>
  <c r="H372" i="19"/>
  <c r="D373" i="19"/>
  <c r="E373" i="19"/>
  <c r="F373" i="19"/>
  <c r="G373" i="19"/>
  <c r="H373" i="19"/>
  <c r="D374" i="19"/>
  <c r="E374" i="19"/>
  <c r="F374" i="19"/>
  <c r="G374" i="19"/>
  <c r="H374" i="19"/>
  <c r="D375" i="19"/>
  <c r="E375" i="19"/>
  <c r="F375" i="19"/>
  <c r="G375" i="19"/>
  <c r="H375" i="19"/>
  <c r="D376" i="19"/>
  <c r="E376" i="19"/>
  <c r="F376" i="19"/>
  <c r="G376" i="19"/>
  <c r="H376" i="19"/>
  <c r="D377" i="19"/>
  <c r="E377" i="19"/>
  <c r="F377" i="19"/>
  <c r="G377" i="19"/>
  <c r="H377" i="19"/>
  <c r="D378" i="19"/>
  <c r="E378" i="19"/>
  <c r="F378" i="19"/>
  <c r="G378" i="19"/>
  <c r="H378" i="19"/>
  <c r="D379" i="19"/>
  <c r="E379" i="19"/>
  <c r="F379" i="19"/>
  <c r="G379" i="19"/>
  <c r="H379" i="19"/>
  <c r="D380" i="19"/>
  <c r="E380" i="19"/>
  <c r="F380" i="19"/>
  <c r="G380" i="19"/>
  <c r="H380" i="19"/>
  <c r="D381" i="19"/>
  <c r="E381" i="19"/>
  <c r="F381" i="19"/>
  <c r="G381" i="19"/>
  <c r="H381" i="19"/>
  <c r="D382" i="19"/>
  <c r="E382" i="19"/>
  <c r="F382" i="19"/>
  <c r="G382" i="19"/>
  <c r="H382" i="19"/>
  <c r="D383" i="19"/>
  <c r="E383" i="19"/>
  <c r="F383" i="19"/>
  <c r="G383" i="19"/>
  <c r="H383" i="19"/>
  <c r="D384" i="19"/>
  <c r="E384" i="19"/>
  <c r="F384" i="19"/>
  <c r="G384" i="19"/>
  <c r="H384" i="19"/>
  <c r="D385" i="19"/>
  <c r="E385" i="19"/>
  <c r="F385" i="19"/>
  <c r="G385" i="19"/>
  <c r="H385" i="19"/>
  <c r="D386" i="19"/>
  <c r="E386" i="19"/>
  <c r="F386" i="19"/>
  <c r="G386" i="19"/>
  <c r="H386" i="19"/>
  <c r="D387" i="19"/>
  <c r="E387" i="19"/>
  <c r="F387" i="19"/>
  <c r="G387" i="19"/>
  <c r="H387" i="19"/>
  <c r="D388" i="19"/>
  <c r="E388" i="19"/>
  <c r="F388" i="19"/>
  <c r="G388" i="19"/>
  <c r="H388" i="19"/>
  <c r="D389" i="19"/>
  <c r="E389" i="19"/>
  <c r="F389" i="19"/>
  <c r="G389" i="19"/>
  <c r="H389" i="19"/>
  <c r="D390" i="19"/>
  <c r="E390" i="19"/>
  <c r="F390" i="19"/>
  <c r="G390" i="19"/>
  <c r="H390" i="19"/>
  <c r="D391" i="19"/>
  <c r="E391" i="19"/>
  <c r="F391" i="19"/>
  <c r="G391" i="19"/>
  <c r="H391" i="19"/>
  <c r="D392" i="19"/>
  <c r="E392" i="19"/>
  <c r="F392" i="19"/>
  <c r="G392" i="19"/>
  <c r="H392" i="19"/>
  <c r="D393" i="19"/>
  <c r="E393" i="19"/>
  <c r="F393" i="19"/>
  <c r="G393" i="19"/>
  <c r="H393" i="19"/>
  <c r="D394" i="19"/>
  <c r="E394" i="19"/>
  <c r="F394" i="19"/>
  <c r="G394" i="19"/>
  <c r="H394" i="19"/>
  <c r="D395" i="19"/>
  <c r="E395" i="19"/>
  <c r="F395" i="19"/>
  <c r="G395" i="19"/>
  <c r="H395" i="19"/>
  <c r="D396" i="19"/>
  <c r="E396" i="19"/>
  <c r="F396" i="19"/>
  <c r="G396" i="19"/>
  <c r="H396" i="19"/>
  <c r="D397" i="19"/>
  <c r="E397" i="19"/>
  <c r="F397" i="19"/>
  <c r="G397" i="19"/>
  <c r="H397" i="19"/>
  <c r="D398" i="19"/>
  <c r="E398" i="19"/>
  <c r="F398" i="19"/>
  <c r="G398" i="19"/>
  <c r="H398" i="19"/>
  <c r="D399" i="19"/>
  <c r="E399" i="19"/>
  <c r="F399" i="19"/>
  <c r="G399" i="19"/>
  <c r="H399" i="19"/>
  <c r="D400" i="19"/>
  <c r="E400" i="19"/>
  <c r="F400" i="19"/>
  <c r="G400" i="19"/>
  <c r="H400" i="19"/>
  <c r="D401" i="19"/>
  <c r="E401" i="19"/>
  <c r="F401" i="19"/>
  <c r="G401" i="19"/>
  <c r="H401" i="19"/>
  <c r="D402" i="19"/>
  <c r="E402" i="19"/>
  <c r="F402" i="19"/>
  <c r="G402" i="19"/>
  <c r="H402" i="19"/>
  <c r="D403" i="19"/>
  <c r="E403" i="19"/>
  <c r="F403" i="19"/>
  <c r="G403" i="19"/>
  <c r="H403" i="19"/>
  <c r="D404" i="19"/>
  <c r="E404" i="19"/>
  <c r="F404" i="19"/>
  <c r="G404" i="19"/>
  <c r="H404" i="19"/>
  <c r="D405" i="19"/>
  <c r="E405" i="19"/>
  <c r="F405" i="19"/>
  <c r="G405" i="19"/>
  <c r="H405" i="19"/>
  <c r="D406" i="19"/>
  <c r="E406" i="19"/>
  <c r="F406" i="19"/>
  <c r="G406" i="19"/>
  <c r="H406" i="19"/>
  <c r="D407" i="19"/>
  <c r="E407" i="19"/>
  <c r="F407" i="19"/>
  <c r="G407" i="19"/>
  <c r="H407" i="19"/>
  <c r="D408" i="19"/>
  <c r="E408" i="19"/>
  <c r="F408" i="19"/>
  <c r="G408" i="19"/>
  <c r="H408" i="19"/>
  <c r="D409" i="19"/>
  <c r="E409" i="19"/>
  <c r="F409" i="19"/>
  <c r="G409" i="19"/>
  <c r="H409" i="19"/>
  <c r="D410" i="19"/>
  <c r="E410" i="19"/>
  <c r="F410" i="19"/>
  <c r="G410" i="19"/>
  <c r="H410" i="19"/>
  <c r="D411" i="19"/>
  <c r="E411" i="19"/>
  <c r="F411" i="19"/>
  <c r="G411" i="19"/>
  <c r="H411" i="19"/>
  <c r="D412" i="19"/>
  <c r="E412" i="19"/>
  <c r="F412" i="19"/>
  <c r="G412" i="19"/>
  <c r="H412" i="19"/>
  <c r="D413" i="19"/>
  <c r="E413" i="19"/>
  <c r="F413" i="19"/>
  <c r="G413" i="19"/>
  <c r="H413" i="19"/>
  <c r="D414" i="19"/>
  <c r="E414" i="19"/>
  <c r="F414" i="19"/>
  <c r="G414" i="19"/>
  <c r="H414" i="19"/>
  <c r="D415" i="19"/>
  <c r="E415" i="19"/>
  <c r="F415" i="19"/>
  <c r="G415" i="19"/>
  <c r="H415" i="19"/>
  <c r="D416" i="19"/>
  <c r="E416" i="19"/>
  <c r="F416" i="19"/>
  <c r="G416" i="19"/>
  <c r="H416" i="19"/>
  <c r="D417" i="19"/>
  <c r="E417" i="19"/>
  <c r="F417" i="19"/>
  <c r="G417" i="19"/>
  <c r="H417" i="19"/>
  <c r="D418" i="19"/>
  <c r="E418" i="19"/>
  <c r="F418" i="19"/>
  <c r="G418" i="19"/>
  <c r="H418" i="19"/>
  <c r="D419" i="19"/>
  <c r="E419" i="19"/>
  <c r="F419" i="19"/>
  <c r="G419" i="19"/>
  <c r="H419" i="19"/>
  <c r="D420" i="19"/>
  <c r="E420" i="19"/>
  <c r="F420" i="19"/>
  <c r="G420" i="19"/>
  <c r="H420" i="19"/>
  <c r="D421" i="19"/>
  <c r="E421" i="19"/>
  <c r="F421" i="19"/>
  <c r="G421" i="19"/>
  <c r="H421" i="19"/>
  <c r="D422" i="19"/>
  <c r="E422" i="19"/>
  <c r="F422" i="19"/>
  <c r="G422" i="19"/>
  <c r="H422" i="19"/>
  <c r="D423" i="19"/>
  <c r="E423" i="19"/>
  <c r="F423" i="19"/>
  <c r="G423" i="19"/>
  <c r="H423" i="19"/>
  <c r="D424" i="19"/>
  <c r="E424" i="19"/>
  <c r="F424" i="19"/>
  <c r="G424" i="19"/>
  <c r="H424" i="19"/>
  <c r="D425" i="19"/>
  <c r="E425" i="19"/>
  <c r="F425" i="19"/>
  <c r="G425" i="19"/>
  <c r="H425" i="19"/>
  <c r="D426" i="19"/>
  <c r="E426" i="19"/>
  <c r="F426" i="19"/>
  <c r="G426" i="19"/>
  <c r="H426" i="19"/>
  <c r="D427" i="19"/>
  <c r="E427" i="19"/>
  <c r="F427" i="19"/>
  <c r="G427" i="19"/>
  <c r="H427" i="19"/>
  <c r="D428" i="19"/>
  <c r="E428" i="19"/>
  <c r="F428" i="19"/>
  <c r="G428" i="19"/>
  <c r="H428" i="19"/>
  <c r="D429" i="19"/>
  <c r="E429" i="19"/>
  <c r="F429" i="19"/>
  <c r="G429" i="19"/>
  <c r="H429" i="19"/>
  <c r="D430" i="19"/>
  <c r="E430" i="19"/>
  <c r="F430" i="19"/>
  <c r="G430" i="19"/>
  <c r="H430" i="19"/>
  <c r="D431" i="19"/>
  <c r="E431" i="19"/>
  <c r="F431" i="19"/>
  <c r="G431" i="19"/>
  <c r="H431" i="19"/>
  <c r="D432" i="19"/>
  <c r="E432" i="19"/>
  <c r="F432" i="19"/>
  <c r="G432" i="19"/>
  <c r="H432" i="19"/>
  <c r="D433" i="19"/>
  <c r="E433" i="19"/>
  <c r="F433" i="19"/>
  <c r="G433" i="19"/>
  <c r="H433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I5" i="19"/>
  <c r="I7" i="19"/>
  <c r="J7" i="19"/>
  <c r="L259" i="19"/>
  <c r="AJ267" i="3"/>
  <c r="AG259" i="3"/>
  <c r="AG260" i="3"/>
  <c r="AN260" i="3"/>
  <c r="AN259" i="3"/>
  <c r="AN258" i="3"/>
  <c r="AL259" i="3"/>
  <c r="AJ260" i="3"/>
  <c r="AJ258" i="3"/>
  <c r="P267" i="3"/>
  <c r="P268" i="3"/>
  <c r="P269" i="3"/>
  <c r="M269" i="3"/>
  <c r="M260" i="3"/>
  <c r="P260" i="3"/>
  <c r="M259" i="3"/>
  <c r="L185" i="9"/>
  <c r="J196" i="9"/>
  <c r="L196" i="9" s="1"/>
  <c r="AH427" i="3" s="1"/>
  <c r="AI427" i="3" s="1"/>
  <c r="L116" i="9"/>
  <c r="J9" i="9"/>
  <c r="J142" i="9"/>
  <c r="L753" i="10"/>
  <c r="AH366" i="3" s="1"/>
  <c r="AI366" i="3" s="1"/>
  <c r="L595" i="10"/>
  <c r="AH346" i="3" s="1"/>
  <c r="AI346" i="3" s="1"/>
  <c r="L562" i="10"/>
  <c r="J509" i="10"/>
  <c r="L431" i="10"/>
  <c r="AH331" i="3" s="1"/>
  <c r="AI331" i="3" s="1"/>
  <c r="L410" i="10"/>
  <c r="AH327" i="3" s="1"/>
  <c r="AI327" i="3" s="1"/>
  <c r="J365" i="10"/>
  <c r="L358" i="10"/>
  <c r="AH322" i="3" s="1"/>
  <c r="AI322" i="3" s="1"/>
  <c r="L336" i="10"/>
  <c r="AH319" i="3" s="1"/>
  <c r="L142" i="10"/>
  <c r="AH304" i="3" s="1"/>
  <c r="AI304" i="3" s="1"/>
  <c r="L83" i="10"/>
  <c r="AH295" i="3" s="1"/>
  <c r="AI295" i="3" s="1"/>
  <c r="L121" i="7"/>
  <c r="L69" i="7"/>
  <c r="AH228" i="3" s="1"/>
  <c r="AI228" i="3" s="1"/>
  <c r="L141" i="8"/>
  <c r="AH272" i="3" s="1"/>
  <c r="AI272" i="3" s="1"/>
  <c r="L125" i="8"/>
  <c r="L118" i="8"/>
  <c r="AH265" i="3" s="1"/>
  <c r="AI265" i="3" s="1"/>
  <c r="L66" i="8"/>
  <c r="AH256" i="3" s="1"/>
  <c r="AI256" i="3" s="1"/>
  <c r="L49" i="8"/>
  <c r="AH252" i="3" s="1"/>
  <c r="J101" i="6"/>
  <c r="L101" i="6" s="1"/>
  <c r="AH166" i="3" s="1"/>
  <c r="AI166" i="3" s="1"/>
  <c r="L164" i="5"/>
  <c r="AH137" i="3" s="1"/>
  <c r="AI137" i="3" s="1"/>
  <c r="L66" i="5"/>
  <c r="AH98" i="3" s="1"/>
  <c r="AI98" i="3" s="1"/>
  <c r="L63" i="5"/>
  <c r="AH97" i="3" s="1"/>
  <c r="J73" i="4"/>
  <c r="A102" i="6"/>
  <c r="I260" i="19"/>
  <c r="L260" i="19"/>
  <c r="Q478" i="10"/>
  <c r="J434" i="3"/>
  <c r="AG76" i="3"/>
  <c r="M281" i="3"/>
  <c r="M305" i="3"/>
  <c r="J617" i="10"/>
  <c r="J621" i="10" s="1"/>
  <c r="L621" i="10" s="1"/>
  <c r="AH348" i="3" s="1"/>
  <c r="AI348" i="3" s="1"/>
  <c r="J92" i="7"/>
  <c r="J96" i="7" s="1"/>
  <c r="J19" i="10"/>
  <c r="Q703" i="10"/>
  <c r="O170" i="5"/>
  <c r="O124" i="6"/>
  <c r="O126" i="6" s="1"/>
  <c r="Q126" i="6" s="1"/>
  <c r="L56" i="10"/>
  <c r="AH288" i="3" s="1"/>
  <c r="AI288" i="3" s="1"/>
  <c r="J87" i="10"/>
  <c r="J88" i="10" s="1"/>
  <c r="L88" i="10"/>
  <c r="AH296" i="3" s="1"/>
  <c r="AI296" i="3" s="1"/>
  <c r="O106" i="6"/>
  <c r="O661" i="10"/>
  <c r="O671" i="10" s="1"/>
  <c r="Q671" i="10" s="1"/>
  <c r="Q22" i="10"/>
  <c r="O184" i="9"/>
  <c r="L602" i="10"/>
  <c r="AH347" i="3" s="1"/>
  <c r="AI347" i="3" s="1"/>
  <c r="L279" i="10"/>
  <c r="AH314" i="3" s="1"/>
  <c r="AI314" i="3" s="1"/>
  <c r="U350" i="10"/>
  <c r="L140" i="5"/>
  <c r="AH125" i="3" s="1"/>
  <c r="AI125" i="3" s="1"/>
  <c r="L131" i="5"/>
  <c r="AH122" i="3" s="1"/>
  <c r="AI122" i="3" s="1"/>
  <c r="L126" i="5"/>
  <c r="AH120" i="3" s="1"/>
  <c r="AI120" i="3" s="1"/>
  <c r="L73" i="5"/>
  <c r="AH101" i="3" s="1"/>
  <c r="AI101" i="3" s="1"/>
  <c r="L18" i="5"/>
  <c r="AH82" i="3" s="1"/>
  <c r="AI82" i="3" s="1"/>
  <c r="O125" i="4"/>
  <c r="Q497" i="10"/>
  <c r="O373" i="10"/>
  <c r="O400" i="10" s="1"/>
  <c r="Q400" i="10" s="1"/>
  <c r="O66" i="10"/>
  <c r="O65" i="10"/>
  <c r="Q83" i="10"/>
  <c r="Q795" i="10"/>
  <c r="Q771" i="10"/>
  <c r="Q534" i="10"/>
  <c r="O408" i="10"/>
  <c r="O410" i="10" s="1"/>
  <c r="Q410" i="10" s="1"/>
  <c r="O265" i="10"/>
  <c r="O136" i="8"/>
  <c r="O141" i="8" s="1"/>
  <c r="Q76" i="8"/>
  <c r="J685" i="10"/>
  <c r="J703" i="10" s="1"/>
  <c r="L703" i="10"/>
  <c r="AH360" i="3" s="1"/>
  <c r="AI360" i="3" s="1"/>
  <c r="J360" i="10"/>
  <c r="J363" i="10" s="1"/>
  <c r="L363" i="10"/>
  <c r="AH323" i="3" s="1"/>
  <c r="AI323" i="3" s="1"/>
  <c r="B672" i="10"/>
  <c r="D672" i="10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8" i="3"/>
  <c r="Q85" i="6"/>
  <c r="O283" i="10"/>
  <c r="O292" i="10" s="1"/>
  <c r="Q292" i="10" s="1"/>
  <c r="A135" i="4"/>
  <c r="A635" i="10"/>
  <c r="J152" i="9"/>
  <c r="J158" i="9" s="1"/>
  <c r="O199" i="10"/>
  <c r="O202" i="10" s="1"/>
  <c r="Q202" i="10" s="1"/>
  <c r="Q358" i="10"/>
  <c r="O163" i="9"/>
  <c r="O168" i="9" s="1"/>
  <c r="Q168" i="9"/>
  <c r="O136" i="4"/>
  <c r="O143" i="4" s="1"/>
  <c r="Q143" i="4"/>
  <c r="O47" i="6"/>
  <c r="Q39" i="10"/>
  <c r="O56" i="10"/>
  <c r="Q56" i="10"/>
  <c r="AL226" i="3"/>
  <c r="AO226" i="3" s="1"/>
  <c r="AP226" i="3" s="1"/>
  <c r="U63" i="7"/>
  <c r="W63" i="7" s="1"/>
  <c r="O63" i="7"/>
  <c r="Q63" i="7" s="1"/>
  <c r="J63" i="7"/>
  <c r="L63" i="7" s="1"/>
  <c r="AH226" i="3" s="1"/>
  <c r="P225" i="3"/>
  <c r="M225" i="3"/>
  <c r="AJ350" i="3"/>
  <c r="AL350" i="3" s="1"/>
  <c r="AN350" i="3" s="1"/>
  <c r="AO350" i="3" s="1"/>
  <c r="J65" i="6"/>
  <c r="O151" i="9"/>
  <c r="O158" i="9" s="1"/>
  <c r="Q158" i="9"/>
  <c r="O111" i="4"/>
  <c r="Q753" i="10"/>
  <c r="O133" i="10"/>
  <c r="O137" i="10" s="1"/>
  <c r="Q137" i="10"/>
  <c r="O188" i="5"/>
  <c r="J284" i="10"/>
  <c r="J292" i="10" s="1"/>
  <c r="L292" i="10" s="1"/>
  <c r="AH315" i="3" s="1"/>
  <c r="Q455" i="10"/>
  <c r="J764" i="10"/>
  <c r="J771" i="10" s="1"/>
  <c r="L771" i="10"/>
  <c r="AH372" i="3" s="1"/>
  <c r="AI372" i="3" s="1"/>
  <c r="Q65" i="7"/>
  <c r="Q264" i="6"/>
  <c r="Q193" i="6"/>
  <c r="Q170" i="6"/>
  <c r="O114" i="6"/>
  <c r="O101" i="6"/>
  <c r="Q101" i="6" s="1"/>
  <c r="Q68" i="6"/>
  <c r="O164" i="5"/>
  <c r="Q160" i="5"/>
  <c r="O150" i="5"/>
  <c r="Q143" i="5"/>
  <c r="Q101" i="5"/>
  <c r="Q75" i="5"/>
  <c r="O66" i="5"/>
  <c r="Q40" i="5"/>
  <c r="Q8" i="5"/>
  <c r="J134" i="4"/>
  <c r="O208" i="9"/>
  <c r="O210" i="9" s="1"/>
  <c r="Q210" i="9" s="1"/>
  <c r="J227" i="6"/>
  <c r="J229" i="6" s="1"/>
  <c r="L229" i="6" s="1"/>
  <c r="AH199" i="3" s="1"/>
  <c r="AI199" i="3" s="1"/>
  <c r="J109" i="4"/>
  <c r="J111" i="4" s="1"/>
  <c r="J258" i="6"/>
  <c r="J246" i="10"/>
  <c r="J256" i="10" s="1"/>
  <c r="L256" i="10" s="1"/>
  <c r="J515" i="10"/>
  <c r="J519" i="10" s="1"/>
  <c r="L519" i="10" s="1"/>
  <c r="AH339" i="3" s="1"/>
  <c r="AI339" i="3" s="1"/>
  <c r="Q578" i="10"/>
  <c r="O102" i="10"/>
  <c r="Q102" i="10"/>
  <c r="Q735" i="10"/>
  <c r="J790" i="10"/>
  <c r="J795" i="10" s="1"/>
  <c r="L795" i="10" s="1"/>
  <c r="AH381" i="3" s="1"/>
  <c r="AI381" i="3" s="1"/>
  <c r="J25" i="6"/>
  <c r="J31" i="6" s="1"/>
  <c r="O45" i="9"/>
  <c r="O60" i="7"/>
  <c r="O61" i="7" s="1"/>
  <c r="Q61" i="7" s="1"/>
  <c r="O246" i="10"/>
  <c r="O142" i="9"/>
  <c r="Q116" i="9"/>
  <c r="Q107" i="9"/>
  <c r="O50" i="9"/>
  <c r="Q50" i="9" s="1"/>
  <c r="Q782" i="10"/>
  <c r="Q634" i="10"/>
  <c r="Q629" i="10"/>
  <c r="Q567" i="10"/>
  <c r="L567" i="10"/>
  <c r="AH344" i="3" s="1"/>
  <c r="AI344" i="3" s="1"/>
  <c r="Q544" i="10"/>
  <c r="Q519" i="10"/>
  <c r="Q506" i="10"/>
  <c r="Q426" i="10"/>
  <c r="Q336" i="10"/>
  <c r="Q320" i="10"/>
  <c r="Q220" i="10"/>
  <c r="Q191" i="10"/>
  <c r="Q174" i="10"/>
  <c r="Q142" i="10"/>
  <c r="Q117" i="10"/>
  <c r="Q97" i="10"/>
  <c r="Q53" i="10"/>
  <c r="Q15" i="10"/>
  <c r="Q166" i="8"/>
  <c r="L147" i="8"/>
  <c r="Q118" i="8"/>
  <c r="O44" i="7"/>
  <c r="Q23" i="7"/>
  <c r="O73" i="5"/>
  <c r="O55" i="4"/>
  <c r="Q55" i="4"/>
  <c r="U771" i="10"/>
  <c r="W771" i="10"/>
  <c r="O105" i="7"/>
  <c r="O108" i="7" s="1"/>
  <c r="Q108" i="7" s="1"/>
  <c r="O88" i="8"/>
  <c r="O95" i="8" s="1"/>
  <c r="Q95" i="8" s="1"/>
  <c r="O94" i="6"/>
  <c r="O96" i="6" s="1"/>
  <c r="Q96" i="6" s="1"/>
  <c r="O222" i="6"/>
  <c r="O104" i="5"/>
  <c r="O105" i="5" s="1"/>
  <c r="Q105" i="5" s="1"/>
  <c r="Q157" i="5"/>
  <c r="O162" i="10"/>
  <c r="O131" i="9"/>
  <c r="O139" i="9" s="1"/>
  <c r="Q139" i="9" s="1"/>
  <c r="O189" i="9"/>
  <c r="O194" i="9" s="1"/>
  <c r="Q194" i="9" s="1"/>
  <c r="O132" i="4"/>
  <c r="O134" i="4" s="1"/>
  <c r="Q134" i="4" s="1"/>
  <c r="J17" i="10"/>
  <c r="J22" i="10" s="1"/>
  <c r="J160" i="8"/>
  <c r="J166" i="8" s="1"/>
  <c r="L166" i="8"/>
  <c r="AH278" i="3" s="1"/>
  <c r="AI278" i="3" s="1"/>
  <c r="D108" i="6"/>
  <c r="C108" i="6"/>
  <c r="B108" i="6"/>
  <c r="A108" i="6"/>
  <c r="O441" i="10"/>
  <c r="O447" i="10" s="1"/>
  <c r="Q447" i="10"/>
  <c r="O160" i="10"/>
  <c r="O127" i="5"/>
  <c r="O128" i="5" s="1"/>
  <c r="Q128" i="5" s="1"/>
  <c r="Q147" i="8"/>
  <c r="U147" i="8"/>
  <c r="W147" i="8" s="1"/>
  <c r="O159" i="10"/>
  <c r="O158" i="10"/>
  <c r="O55" i="8"/>
  <c r="O57" i="8" s="1"/>
  <c r="Q57" i="8" s="1"/>
  <c r="B796" i="10"/>
  <c r="C796" i="10"/>
  <c r="D796" i="10"/>
  <c r="A796" i="10"/>
  <c r="C783" i="10"/>
  <c r="D783" i="10"/>
  <c r="B783" i="10"/>
  <c r="A783" i="10"/>
  <c r="C774" i="10"/>
  <c r="D774" i="10"/>
  <c r="B774" i="10"/>
  <c r="O773" i="10"/>
  <c r="Q773" i="10"/>
  <c r="J773" i="10"/>
  <c r="AH375" i="3"/>
  <c r="AI375" i="3" s="1"/>
  <c r="B772" i="10"/>
  <c r="C772" i="10"/>
  <c r="D772" i="10"/>
  <c r="A772" i="10"/>
  <c r="A774" i="10"/>
  <c r="C757" i="10"/>
  <c r="D757" i="10"/>
  <c r="B757" i="10"/>
  <c r="A757" i="10"/>
  <c r="B754" i="10"/>
  <c r="C754" i="10"/>
  <c r="D754" i="10"/>
  <c r="A754" i="10"/>
  <c r="B724" i="10"/>
  <c r="C736" i="10"/>
  <c r="D736" i="10"/>
  <c r="B736" i="10"/>
  <c r="C724" i="10"/>
  <c r="D724" i="10"/>
  <c r="C630" i="10"/>
  <c r="D630" i="10"/>
  <c r="B630" i="10"/>
  <c r="C624" i="10"/>
  <c r="D624" i="10"/>
  <c r="B624" i="10"/>
  <c r="C704" i="10"/>
  <c r="D704" i="10"/>
  <c r="B704" i="10"/>
  <c r="C672" i="10"/>
  <c r="A672" i="10"/>
  <c r="C635" i="10"/>
  <c r="D635" i="10"/>
  <c r="B635" i="10"/>
  <c r="B622" i="10"/>
  <c r="A622" i="10"/>
  <c r="C603" i="10"/>
  <c r="D603" i="10"/>
  <c r="E603" i="10"/>
  <c r="F603" i="10"/>
  <c r="B603" i="10"/>
  <c r="A603" i="10"/>
  <c r="C596" i="10"/>
  <c r="D596" i="10"/>
  <c r="E596" i="10"/>
  <c r="F596" i="10"/>
  <c r="B596" i="10"/>
  <c r="A596" i="10"/>
  <c r="C580" i="10"/>
  <c r="D580" i="10"/>
  <c r="B580" i="10"/>
  <c r="A580" i="10"/>
  <c r="C568" i="10"/>
  <c r="D568" i="10"/>
  <c r="B568" i="10"/>
  <c r="A568" i="10"/>
  <c r="B563" i="10"/>
  <c r="C563" i="10"/>
  <c r="D563" i="10"/>
  <c r="A563" i="10"/>
  <c r="C545" i="10"/>
  <c r="D545" i="10"/>
  <c r="B545" i="10"/>
  <c r="A545" i="10"/>
  <c r="C540" i="10"/>
  <c r="D540" i="10"/>
  <c r="B540" i="10"/>
  <c r="A540" i="10"/>
  <c r="B535" i="10"/>
  <c r="C535" i="10"/>
  <c r="D535" i="10"/>
  <c r="A535" i="10"/>
  <c r="C520" i="10"/>
  <c r="D520" i="10"/>
  <c r="B520" i="10"/>
  <c r="A520" i="10"/>
  <c r="C510" i="10"/>
  <c r="D510" i="10"/>
  <c r="B510" i="10"/>
  <c r="A510" i="10"/>
  <c r="B507" i="10"/>
  <c r="C507" i="10"/>
  <c r="D507" i="10"/>
  <c r="A507" i="10"/>
  <c r="C498" i="10"/>
  <c r="D498" i="10"/>
  <c r="B498" i="10"/>
  <c r="A498" i="10"/>
  <c r="C479" i="10"/>
  <c r="D479" i="10"/>
  <c r="B479" i="10"/>
  <c r="A479" i="10"/>
  <c r="C471" i="10"/>
  <c r="D471" i="10"/>
  <c r="B471" i="10"/>
  <c r="A471" i="10"/>
  <c r="C456" i="10"/>
  <c r="D456" i="10"/>
  <c r="B456" i="10"/>
  <c r="A456" i="10"/>
  <c r="B448" i="10"/>
  <c r="C448" i="10"/>
  <c r="D448" i="10"/>
  <c r="A448" i="10"/>
  <c r="C432" i="10"/>
  <c r="D432" i="10"/>
  <c r="B432" i="10"/>
  <c r="A432" i="10"/>
  <c r="C427" i="10"/>
  <c r="D427" i="10"/>
  <c r="B427" i="10"/>
  <c r="A427" i="10"/>
  <c r="C424" i="10"/>
  <c r="D424" i="10"/>
  <c r="B424" i="10"/>
  <c r="A424" i="10"/>
  <c r="C422" i="10"/>
  <c r="D422" i="10"/>
  <c r="B422" i="10"/>
  <c r="A422" i="10"/>
  <c r="C411" i="10"/>
  <c r="D411" i="10"/>
  <c r="B411" i="10"/>
  <c r="C401" i="10"/>
  <c r="D401" i="10"/>
  <c r="C403" i="10"/>
  <c r="D403" i="10"/>
  <c r="A411" i="10"/>
  <c r="B403" i="10"/>
  <c r="A403" i="10"/>
  <c r="B401" i="10"/>
  <c r="A401" i="10"/>
  <c r="C366" i="10"/>
  <c r="D366" i="10"/>
  <c r="B366" i="10"/>
  <c r="A366" i="10"/>
  <c r="B364" i="10"/>
  <c r="C364" i="10"/>
  <c r="D364" i="10"/>
  <c r="A364" i="10"/>
  <c r="B359" i="10"/>
  <c r="C359" i="10"/>
  <c r="D359" i="10"/>
  <c r="A359" i="10"/>
  <c r="B354" i="10"/>
  <c r="C354" i="10"/>
  <c r="D354" i="10"/>
  <c r="A354" i="10"/>
  <c r="B351" i="10"/>
  <c r="C351" i="10"/>
  <c r="D351" i="10"/>
  <c r="A351" i="10"/>
  <c r="C337" i="10"/>
  <c r="D337" i="10"/>
  <c r="B337" i="10"/>
  <c r="A337" i="10"/>
  <c r="C332" i="10"/>
  <c r="D332" i="10"/>
  <c r="B332" i="10"/>
  <c r="A332" i="10"/>
  <c r="C321" i="10"/>
  <c r="D321" i="10"/>
  <c r="B321" i="10"/>
  <c r="A321" i="10"/>
  <c r="C311" i="10"/>
  <c r="D311" i="10"/>
  <c r="B311" i="10"/>
  <c r="A311" i="10"/>
  <c r="B293" i="10"/>
  <c r="C293" i="10"/>
  <c r="D293" i="10"/>
  <c r="A293" i="10"/>
  <c r="B280" i="10"/>
  <c r="C280" i="10"/>
  <c r="D280" i="10"/>
  <c r="A280" i="10"/>
  <c r="C270" i="10"/>
  <c r="D270" i="10"/>
  <c r="B270" i="10"/>
  <c r="A270" i="10"/>
  <c r="C257" i="10"/>
  <c r="D257" i="10"/>
  <c r="B257" i="10"/>
  <c r="A257" i="10"/>
  <c r="C221" i="10"/>
  <c r="D221" i="10"/>
  <c r="B221" i="10"/>
  <c r="C203" i="10"/>
  <c r="D203" i="10"/>
  <c r="B203" i="10"/>
  <c r="A221" i="10"/>
  <c r="C206" i="10"/>
  <c r="D206" i="10"/>
  <c r="B206" i="10"/>
  <c r="A206" i="10"/>
  <c r="A203" i="10"/>
  <c r="C192" i="10"/>
  <c r="D192" i="10"/>
  <c r="B192" i="10"/>
  <c r="A192" i="10"/>
  <c r="C176" i="10"/>
  <c r="D176" i="10"/>
  <c r="B176" i="10"/>
  <c r="A176" i="10"/>
  <c r="C171" i="10"/>
  <c r="D171" i="10"/>
  <c r="B171" i="10"/>
  <c r="A171" i="10"/>
  <c r="C150" i="10"/>
  <c r="D150" i="10"/>
  <c r="B150" i="10"/>
  <c r="A150" i="10"/>
  <c r="C143" i="10"/>
  <c r="D143" i="10"/>
  <c r="B143" i="10"/>
  <c r="A143" i="10"/>
  <c r="C138" i="10"/>
  <c r="D138" i="10"/>
  <c r="B138" i="10"/>
  <c r="A138" i="10"/>
  <c r="C129" i="10"/>
  <c r="D129" i="10"/>
  <c r="B129" i="10"/>
  <c r="A129" i="10"/>
  <c r="B118" i="10"/>
  <c r="C118" i="10"/>
  <c r="D118" i="10"/>
  <c r="A118" i="10"/>
  <c r="C103" i="10"/>
  <c r="D103" i="10"/>
  <c r="B103" i="10"/>
  <c r="C100" i="10"/>
  <c r="D100" i="10"/>
  <c r="B100" i="10"/>
  <c r="A100" i="10"/>
  <c r="B98" i="10"/>
  <c r="A98" i="10"/>
  <c r="B96" i="10"/>
  <c r="A96" i="10"/>
  <c r="B89" i="10"/>
  <c r="A89" i="10"/>
  <c r="B84" i="10"/>
  <c r="A84" i="10"/>
  <c r="B74" i="10"/>
  <c r="A74" i="10"/>
  <c r="B71" i="10"/>
  <c r="A71" i="10"/>
  <c r="B68" i="10"/>
  <c r="A68" i="10"/>
  <c r="B63" i="10"/>
  <c r="A63" i="10"/>
  <c r="B61" i="10"/>
  <c r="A61" i="10"/>
  <c r="B59" i="10"/>
  <c r="A59" i="10"/>
  <c r="B57" i="10"/>
  <c r="A57" i="10"/>
  <c r="B54" i="10"/>
  <c r="A54" i="10"/>
  <c r="B40" i="10"/>
  <c r="A40" i="10"/>
  <c r="B34" i="10"/>
  <c r="A34" i="10"/>
  <c r="B32" i="10"/>
  <c r="A32" i="10"/>
  <c r="B23" i="10"/>
  <c r="A23" i="10"/>
  <c r="B16" i="10"/>
  <c r="A16" i="10"/>
  <c r="B7" i="10"/>
  <c r="A7" i="10"/>
  <c r="Q18" i="8"/>
  <c r="C207" i="9"/>
  <c r="D207" i="9"/>
  <c r="B207" i="9"/>
  <c r="A207" i="9"/>
  <c r="C197" i="9"/>
  <c r="D197" i="9"/>
  <c r="B197" i="9"/>
  <c r="A197" i="9"/>
  <c r="C195" i="9"/>
  <c r="D195" i="9"/>
  <c r="B195" i="9"/>
  <c r="A195" i="9"/>
  <c r="C186" i="9"/>
  <c r="D186" i="9"/>
  <c r="B186" i="9"/>
  <c r="A186" i="9"/>
  <c r="C178" i="9"/>
  <c r="D178" i="9"/>
  <c r="B178" i="9"/>
  <c r="A178" i="9"/>
  <c r="C169" i="9"/>
  <c r="D169" i="9"/>
  <c r="B169" i="9"/>
  <c r="A169" i="9"/>
  <c r="C159" i="9"/>
  <c r="D159" i="9"/>
  <c r="B159" i="9"/>
  <c r="A159" i="9"/>
  <c r="C146" i="9"/>
  <c r="D146" i="9"/>
  <c r="B146" i="9"/>
  <c r="A146" i="9"/>
  <c r="B143" i="9"/>
  <c r="C143" i="9"/>
  <c r="D143" i="9"/>
  <c r="A143" i="9"/>
  <c r="C140" i="9"/>
  <c r="D140" i="9"/>
  <c r="B140" i="9"/>
  <c r="A140" i="9"/>
  <c r="C130" i="9"/>
  <c r="D130" i="9"/>
  <c r="B130" i="9"/>
  <c r="A130" i="9"/>
  <c r="C128" i="9"/>
  <c r="D128" i="9"/>
  <c r="B128" i="9"/>
  <c r="A128" i="9"/>
  <c r="C120" i="9"/>
  <c r="D120" i="9"/>
  <c r="B120" i="9"/>
  <c r="A120" i="9"/>
  <c r="C117" i="9"/>
  <c r="D117" i="9"/>
  <c r="B117" i="9"/>
  <c r="A117" i="9"/>
  <c r="C108" i="9"/>
  <c r="D108" i="9"/>
  <c r="B108" i="9"/>
  <c r="A108" i="9"/>
  <c r="C100" i="9"/>
  <c r="D100" i="9"/>
  <c r="B100" i="9"/>
  <c r="A100" i="9"/>
  <c r="B95" i="9"/>
  <c r="C95" i="9"/>
  <c r="D95" i="9"/>
  <c r="A95" i="9"/>
  <c r="B86" i="9"/>
  <c r="C86" i="9"/>
  <c r="D86" i="9"/>
  <c r="A86" i="9"/>
  <c r="B83" i="9"/>
  <c r="C83" i="9"/>
  <c r="D83" i="9"/>
  <c r="A83" i="9"/>
  <c r="C66" i="9"/>
  <c r="D66" i="9"/>
  <c r="B66" i="9"/>
  <c r="A66" i="9"/>
  <c r="C63" i="9"/>
  <c r="D63" i="9"/>
  <c r="B63" i="9"/>
  <c r="A63" i="9"/>
  <c r="C56" i="9"/>
  <c r="D56" i="9"/>
  <c r="B56" i="9"/>
  <c r="A56" i="9"/>
  <c r="B51" i="9"/>
  <c r="A51" i="9"/>
  <c r="B48" i="9"/>
  <c r="A48" i="9"/>
  <c r="B46" i="9"/>
  <c r="A46" i="9"/>
  <c r="B33" i="9"/>
  <c r="A33" i="9"/>
  <c r="B31" i="9"/>
  <c r="A31" i="9"/>
  <c r="B28" i="9"/>
  <c r="A28" i="9"/>
  <c r="B26" i="9"/>
  <c r="A26" i="9"/>
  <c r="B23" i="9"/>
  <c r="A23" i="9"/>
  <c r="B20" i="9"/>
  <c r="A20" i="9"/>
  <c r="B17" i="9"/>
  <c r="A17" i="9"/>
  <c r="B14" i="9"/>
  <c r="A14" i="9"/>
  <c r="B10" i="9"/>
  <c r="A10" i="9"/>
  <c r="B7" i="9"/>
  <c r="A7" i="9"/>
  <c r="C167" i="8"/>
  <c r="D167" i="8"/>
  <c r="B167" i="8"/>
  <c r="A167" i="8"/>
  <c r="C148" i="8"/>
  <c r="D148" i="8"/>
  <c r="B148" i="8"/>
  <c r="A148" i="8"/>
  <c r="C142" i="8"/>
  <c r="D142" i="8"/>
  <c r="B142" i="8"/>
  <c r="A142" i="8"/>
  <c r="C135" i="8"/>
  <c r="D135" i="8"/>
  <c r="B135" i="8"/>
  <c r="A135" i="8"/>
  <c r="C126" i="8"/>
  <c r="D126" i="8"/>
  <c r="B126" i="8"/>
  <c r="A126" i="8"/>
  <c r="C119" i="8"/>
  <c r="D119" i="8"/>
  <c r="B119" i="8"/>
  <c r="A119" i="8"/>
  <c r="C114" i="8"/>
  <c r="D114" i="8"/>
  <c r="B114" i="8"/>
  <c r="A114" i="8"/>
  <c r="B112" i="8"/>
  <c r="C112" i="8"/>
  <c r="D112" i="8"/>
  <c r="A112" i="8"/>
  <c r="B110" i="8"/>
  <c r="C110" i="8"/>
  <c r="D110" i="8"/>
  <c r="A110" i="8"/>
  <c r="B106" i="8"/>
  <c r="C106" i="8"/>
  <c r="D106" i="8"/>
  <c r="A106" i="8"/>
  <c r="C96" i="8"/>
  <c r="D96" i="8"/>
  <c r="B96" i="8"/>
  <c r="A96" i="8"/>
  <c r="C77" i="8"/>
  <c r="D77" i="8"/>
  <c r="B77" i="8"/>
  <c r="A77" i="8"/>
  <c r="C67" i="8"/>
  <c r="D67" i="8"/>
  <c r="B67" i="8"/>
  <c r="A67" i="8"/>
  <c r="C60" i="8"/>
  <c r="D60" i="8"/>
  <c r="B60" i="8"/>
  <c r="A60" i="8"/>
  <c r="B58" i="8"/>
  <c r="C58" i="8"/>
  <c r="D58" i="8"/>
  <c r="A58" i="8"/>
  <c r="B52" i="8"/>
  <c r="C52" i="8"/>
  <c r="D52" i="8"/>
  <c r="A52" i="8"/>
  <c r="B50" i="8"/>
  <c r="A50" i="8"/>
  <c r="B46" i="8"/>
  <c r="A46" i="8"/>
  <c r="B44" i="8"/>
  <c r="A44" i="8"/>
  <c r="B42" i="8"/>
  <c r="A42" i="8"/>
  <c r="B40" i="8"/>
  <c r="A40" i="8"/>
  <c r="B38" i="8"/>
  <c r="A38" i="8"/>
  <c r="B34" i="8"/>
  <c r="A34" i="8"/>
  <c r="B19" i="8"/>
  <c r="A19" i="8"/>
  <c r="B14" i="8"/>
  <c r="A14" i="8"/>
  <c r="B12" i="8"/>
  <c r="A12" i="8"/>
  <c r="B7" i="8"/>
  <c r="A7" i="8"/>
  <c r="C109" i="7"/>
  <c r="D109" i="7"/>
  <c r="B109" i="7"/>
  <c r="A109" i="7"/>
  <c r="C97" i="7"/>
  <c r="D97" i="7"/>
  <c r="B97" i="7"/>
  <c r="A97" i="7"/>
  <c r="C87" i="7"/>
  <c r="D87" i="7"/>
  <c r="B87" i="7"/>
  <c r="A87" i="7"/>
  <c r="C77" i="7"/>
  <c r="D77" i="7"/>
  <c r="B77" i="7"/>
  <c r="A77" i="7"/>
  <c r="B73" i="7"/>
  <c r="C73" i="7"/>
  <c r="D73" i="7"/>
  <c r="A73" i="7"/>
  <c r="C70" i="7"/>
  <c r="D70" i="7"/>
  <c r="B70" i="7"/>
  <c r="A70" i="7"/>
  <c r="C66" i="7"/>
  <c r="D66" i="7"/>
  <c r="B66" i="7"/>
  <c r="A66" i="7"/>
  <c r="B64" i="7"/>
  <c r="C64" i="7"/>
  <c r="D64" i="7"/>
  <c r="A64" i="7"/>
  <c r="B60" i="7"/>
  <c r="C60" i="7"/>
  <c r="D60" i="7"/>
  <c r="A60" i="7"/>
  <c r="B58" i="7"/>
  <c r="C58" i="7"/>
  <c r="D58" i="7"/>
  <c r="A58" i="7"/>
  <c r="B56" i="7"/>
  <c r="C56" i="7"/>
  <c r="D56" i="7"/>
  <c r="A56" i="7"/>
  <c r="C50" i="7"/>
  <c r="D50" i="7"/>
  <c r="B50" i="7"/>
  <c r="A50" i="7"/>
  <c r="B48" i="7"/>
  <c r="A48" i="7"/>
  <c r="B45" i="7"/>
  <c r="A45" i="7"/>
  <c r="B40" i="7"/>
  <c r="A40" i="7"/>
  <c r="B38" i="7"/>
  <c r="A38" i="7"/>
  <c r="B36" i="7"/>
  <c r="A36" i="7"/>
  <c r="B34" i="7"/>
  <c r="A34" i="7"/>
  <c r="B32" i="7"/>
  <c r="A32" i="7"/>
  <c r="B28" i="7"/>
  <c r="A28" i="7"/>
  <c r="B26" i="7"/>
  <c r="A26" i="7"/>
  <c r="B24" i="7"/>
  <c r="A24" i="7"/>
  <c r="B21" i="7"/>
  <c r="A21" i="7"/>
  <c r="B16" i="7"/>
  <c r="A16" i="7"/>
  <c r="B14" i="7"/>
  <c r="A14" i="7"/>
  <c r="B12" i="7"/>
  <c r="A12" i="7"/>
  <c r="B10" i="7"/>
  <c r="A10" i="7"/>
  <c r="B7" i="7"/>
  <c r="A7" i="7"/>
  <c r="B255" i="6"/>
  <c r="C255" i="6"/>
  <c r="D255" i="6"/>
  <c r="A255" i="6"/>
  <c r="C230" i="6"/>
  <c r="D230" i="6"/>
  <c r="B230" i="6"/>
  <c r="A230" i="6"/>
  <c r="C218" i="6"/>
  <c r="D218" i="6"/>
  <c r="B218" i="6"/>
  <c r="A218" i="6"/>
  <c r="C198" i="6"/>
  <c r="D198" i="6"/>
  <c r="B198" i="6"/>
  <c r="A198" i="6"/>
  <c r="B194" i="6"/>
  <c r="C194" i="6"/>
  <c r="D194" i="6"/>
  <c r="A194" i="6"/>
  <c r="C187" i="6"/>
  <c r="D187" i="6"/>
  <c r="B187" i="6"/>
  <c r="A187" i="6"/>
  <c r="C178" i="6"/>
  <c r="D178" i="6"/>
  <c r="B178" i="6"/>
  <c r="A178" i="6"/>
  <c r="B176" i="6"/>
  <c r="C176" i="6"/>
  <c r="D176" i="6"/>
  <c r="A176" i="6"/>
  <c r="B174" i="6"/>
  <c r="C174" i="6"/>
  <c r="D174" i="6"/>
  <c r="A174" i="6"/>
  <c r="B171" i="6"/>
  <c r="C171" i="6"/>
  <c r="D171" i="6"/>
  <c r="A171" i="6"/>
  <c r="B169" i="6"/>
  <c r="C169" i="6"/>
  <c r="D169" i="6"/>
  <c r="A169" i="6"/>
  <c r="B160" i="6"/>
  <c r="C160" i="6"/>
  <c r="D160" i="6"/>
  <c r="A160" i="6"/>
  <c r="B157" i="6"/>
  <c r="C157" i="6"/>
  <c r="D157" i="6"/>
  <c r="A157" i="6"/>
  <c r="B155" i="6"/>
  <c r="C155" i="6"/>
  <c r="D155" i="6"/>
  <c r="A155" i="6"/>
  <c r="B147" i="6"/>
  <c r="C147" i="6"/>
  <c r="D147" i="6"/>
  <c r="A147" i="6"/>
  <c r="B144" i="6"/>
  <c r="C144" i="6"/>
  <c r="D144" i="6"/>
  <c r="A144" i="6"/>
  <c r="B142" i="6"/>
  <c r="C142" i="6"/>
  <c r="D142" i="6"/>
  <c r="A142" i="6"/>
  <c r="B140" i="6"/>
  <c r="C140" i="6"/>
  <c r="D140" i="6"/>
  <c r="A140" i="6"/>
  <c r="C127" i="6"/>
  <c r="D127" i="6"/>
  <c r="B127" i="6"/>
  <c r="A127" i="6"/>
  <c r="B121" i="6"/>
  <c r="C121" i="6"/>
  <c r="D121" i="6"/>
  <c r="A121" i="6"/>
  <c r="B116" i="6"/>
  <c r="C116" i="6"/>
  <c r="D116" i="6"/>
  <c r="A116" i="6"/>
  <c r="B102" i="6"/>
  <c r="C102" i="6"/>
  <c r="D102" i="6"/>
  <c r="B98" i="6"/>
  <c r="C98" i="6"/>
  <c r="D98" i="6"/>
  <c r="A98" i="6"/>
  <c r="B92" i="6"/>
  <c r="C92" i="6"/>
  <c r="D92" i="6"/>
  <c r="A92" i="6"/>
  <c r="B88" i="6"/>
  <c r="C88" i="6"/>
  <c r="D88" i="6"/>
  <c r="A88" i="6"/>
  <c r="C86" i="6"/>
  <c r="D86" i="6"/>
  <c r="B86" i="6"/>
  <c r="A86" i="6"/>
  <c r="C69" i="6"/>
  <c r="D69" i="6"/>
  <c r="B69" i="6"/>
  <c r="A69" i="6"/>
  <c r="C62" i="6"/>
  <c r="D62" i="6"/>
  <c r="B62" i="6"/>
  <c r="A62" i="6"/>
  <c r="B60" i="6"/>
  <c r="C60" i="6"/>
  <c r="D60" i="6"/>
  <c r="A60" i="6"/>
  <c r="C48" i="6"/>
  <c r="D48" i="6"/>
  <c r="B48" i="6"/>
  <c r="A48" i="6"/>
  <c r="C32" i="6"/>
  <c r="D32" i="6"/>
  <c r="B32" i="6"/>
  <c r="A32" i="6"/>
  <c r="C12" i="6"/>
  <c r="D12" i="6"/>
  <c r="B12" i="6"/>
  <c r="A12" i="6"/>
  <c r="A7" i="6"/>
  <c r="B7" i="6"/>
  <c r="L194" i="5"/>
  <c r="AH149" i="3" s="1"/>
  <c r="AI149" i="3" s="1"/>
  <c r="Q10" i="5"/>
  <c r="C199" i="5"/>
  <c r="D199" i="5"/>
  <c r="B199" i="5"/>
  <c r="A199" i="5"/>
  <c r="C195" i="5"/>
  <c r="D195" i="5"/>
  <c r="B195" i="5"/>
  <c r="A195" i="5"/>
  <c r="C174" i="5"/>
  <c r="D174" i="5"/>
  <c r="B174" i="5"/>
  <c r="A174" i="5"/>
  <c r="C172" i="5"/>
  <c r="D172" i="5"/>
  <c r="B172" i="5"/>
  <c r="A172" i="5"/>
  <c r="C168" i="5"/>
  <c r="D168" i="5"/>
  <c r="B168" i="5"/>
  <c r="A168" i="5"/>
  <c r="C165" i="5"/>
  <c r="D165" i="5"/>
  <c r="B165" i="5"/>
  <c r="A165" i="5"/>
  <c r="C161" i="5"/>
  <c r="D161" i="5"/>
  <c r="B161" i="5"/>
  <c r="A161" i="5"/>
  <c r="C158" i="5"/>
  <c r="D158" i="5"/>
  <c r="B158" i="5"/>
  <c r="A158" i="5"/>
  <c r="C153" i="5"/>
  <c r="D153" i="5"/>
  <c r="B153" i="5"/>
  <c r="A153" i="5"/>
  <c r="B151" i="5"/>
  <c r="C151" i="5"/>
  <c r="D151" i="5"/>
  <c r="A151" i="5"/>
  <c r="C144" i="5"/>
  <c r="D144" i="5"/>
  <c r="B144" i="5"/>
  <c r="A144" i="5"/>
  <c r="C141" i="5"/>
  <c r="D141" i="5"/>
  <c r="B141" i="5"/>
  <c r="A141" i="5"/>
  <c r="C136" i="5"/>
  <c r="D136" i="5"/>
  <c r="B136" i="5"/>
  <c r="A136" i="5"/>
  <c r="C134" i="5"/>
  <c r="D134" i="5"/>
  <c r="B134" i="5"/>
  <c r="A134" i="5"/>
  <c r="C132" i="5"/>
  <c r="D132" i="5"/>
  <c r="B132" i="5"/>
  <c r="A132" i="5"/>
  <c r="C129" i="5"/>
  <c r="D129" i="5"/>
  <c r="B129" i="5"/>
  <c r="A129" i="5"/>
  <c r="C127" i="5"/>
  <c r="D127" i="5"/>
  <c r="B127" i="5"/>
  <c r="A127" i="5"/>
  <c r="C123" i="5"/>
  <c r="D123" i="5"/>
  <c r="B123" i="5"/>
  <c r="A123" i="5"/>
  <c r="C119" i="5"/>
  <c r="D119" i="5"/>
  <c r="B119" i="5"/>
  <c r="A119" i="5"/>
  <c r="B117" i="5"/>
  <c r="C117" i="5"/>
  <c r="D117" i="5"/>
  <c r="A117" i="5"/>
  <c r="B112" i="5"/>
  <c r="C112" i="5"/>
  <c r="D112" i="5"/>
  <c r="A112" i="5"/>
  <c r="B110" i="5"/>
  <c r="C110" i="5"/>
  <c r="D110" i="5"/>
  <c r="A110" i="5"/>
  <c r="B108" i="5"/>
  <c r="C108" i="5"/>
  <c r="D108" i="5"/>
  <c r="A108" i="5"/>
  <c r="C106" i="5"/>
  <c r="D106" i="5"/>
  <c r="B106" i="5"/>
  <c r="A106" i="5"/>
  <c r="C104" i="5"/>
  <c r="D104" i="5"/>
  <c r="B104" i="5"/>
  <c r="A104" i="5"/>
  <c r="C102" i="5"/>
  <c r="D102" i="5"/>
  <c r="B102" i="5"/>
  <c r="A102" i="5"/>
  <c r="C99" i="5"/>
  <c r="D99" i="5"/>
  <c r="B99" i="5"/>
  <c r="A99" i="5"/>
  <c r="C97" i="5"/>
  <c r="D97" i="5"/>
  <c r="B97" i="5"/>
  <c r="A97" i="5"/>
  <c r="C92" i="5"/>
  <c r="D92" i="5"/>
  <c r="B92" i="5"/>
  <c r="A92" i="5"/>
  <c r="C89" i="5"/>
  <c r="D89" i="5"/>
  <c r="B89" i="5"/>
  <c r="A89" i="5"/>
  <c r="C87" i="5"/>
  <c r="D87" i="5"/>
  <c r="B87" i="5"/>
  <c r="A87" i="5"/>
  <c r="C84" i="5"/>
  <c r="D84" i="5"/>
  <c r="B84" i="5"/>
  <c r="A84" i="5"/>
  <c r="C82" i="5"/>
  <c r="D82" i="5"/>
  <c r="B82" i="5"/>
  <c r="A82" i="5"/>
  <c r="C79" i="5"/>
  <c r="D79" i="5"/>
  <c r="B79" i="5"/>
  <c r="A79" i="5"/>
  <c r="C76" i="5"/>
  <c r="B76" i="5"/>
  <c r="A76" i="5"/>
  <c r="C74" i="5"/>
  <c r="D74" i="5"/>
  <c r="B74" i="5"/>
  <c r="A74" i="5"/>
  <c r="C71" i="5"/>
  <c r="D71" i="5"/>
  <c r="B71" i="5"/>
  <c r="A71" i="5"/>
  <c r="C69" i="5"/>
  <c r="D69" i="5"/>
  <c r="B69" i="5"/>
  <c r="A69" i="5"/>
  <c r="C67" i="5"/>
  <c r="D67" i="5"/>
  <c r="B67" i="5"/>
  <c r="A67" i="5"/>
  <c r="C64" i="5"/>
  <c r="D64" i="5"/>
  <c r="B64" i="5"/>
  <c r="A64" i="5"/>
  <c r="C58" i="5"/>
  <c r="D58" i="5"/>
  <c r="B58" i="5"/>
  <c r="A58" i="5"/>
  <c r="C53" i="5"/>
  <c r="D53" i="5"/>
  <c r="B53" i="5"/>
  <c r="A53" i="5"/>
  <c r="B51" i="5"/>
  <c r="C51" i="5"/>
  <c r="D51" i="5"/>
  <c r="A51" i="5"/>
  <c r="B49" i="5"/>
  <c r="C49" i="5"/>
  <c r="D49" i="5"/>
  <c r="A49" i="5"/>
  <c r="C46" i="5"/>
  <c r="D46" i="5"/>
  <c r="B46" i="5"/>
  <c r="A46" i="5"/>
  <c r="C43" i="5"/>
  <c r="D43" i="5"/>
  <c r="B43" i="5"/>
  <c r="A43" i="5"/>
  <c r="C41" i="5"/>
  <c r="D41" i="5"/>
  <c r="B41" i="5"/>
  <c r="A41" i="5"/>
  <c r="C37" i="5"/>
  <c r="D37" i="5"/>
  <c r="B37" i="5"/>
  <c r="A37" i="5"/>
  <c r="C35" i="5"/>
  <c r="D35" i="5"/>
  <c r="B35" i="5"/>
  <c r="A35" i="5"/>
  <c r="C33" i="5"/>
  <c r="D33" i="5"/>
  <c r="B33" i="5"/>
  <c r="A33" i="5"/>
  <c r="B25" i="5"/>
  <c r="B28" i="5"/>
  <c r="A28" i="5"/>
  <c r="A25" i="5"/>
  <c r="B23" i="5"/>
  <c r="A23" i="5"/>
  <c r="B21" i="5"/>
  <c r="A21" i="5"/>
  <c r="B19" i="5"/>
  <c r="A19" i="5"/>
  <c r="B16" i="5"/>
  <c r="A16" i="5"/>
  <c r="B14" i="5"/>
  <c r="A14" i="5"/>
  <c r="B11" i="5"/>
  <c r="A11" i="5"/>
  <c r="B9" i="5"/>
  <c r="A9" i="5"/>
  <c r="B7" i="5"/>
  <c r="A7" i="5"/>
  <c r="Q37" i="4"/>
  <c r="C148" i="4"/>
  <c r="D148" i="4"/>
  <c r="B148" i="4"/>
  <c r="A148" i="4"/>
  <c r="C146" i="4"/>
  <c r="D146" i="4"/>
  <c r="B146" i="4"/>
  <c r="A146" i="4"/>
  <c r="C144" i="4"/>
  <c r="D144" i="4"/>
  <c r="B144" i="4"/>
  <c r="A144" i="4"/>
  <c r="C136" i="4"/>
  <c r="D136" i="4"/>
  <c r="B136" i="4"/>
  <c r="C131" i="4"/>
  <c r="D131" i="4"/>
  <c r="B131" i="4"/>
  <c r="A131" i="4"/>
  <c r="C127" i="4"/>
  <c r="D127" i="4"/>
  <c r="B127" i="4"/>
  <c r="A127" i="4"/>
  <c r="C123" i="4"/>
  <c r="D123" i="4"/>
  <c r="B123" i="4"/>
  <c r="A123" i="4"/>
  <c r="C121" i="4"/>
  <c r="D121" i="4"/>
  <c r="B121" i="4"/>
  <c r="A121" i="4"/>
  <c r="C117" i="4"/>
  <c r="D117" i="4"/>
  <c r="B117" i="4"/>
  <c r="A117" i="4"/>
  <c r="C114" i="4"/>
  <c r="D114" i="4"/>
  <c r="B114" i="4"/>
  <c r="A114" i="4"/>
  <c r="C112" i="4"/>
  <c r="D112" i="4"/>
  <c r="B112" i="4"/>
  <c r="A112" i="4"/>
  <c r="C107" i="4"/>
  <c r="D107" i="4"/>
  <c r="B107" i="4"/>
  <c r="A107" i="4"/>
  <c r="D97" i="4"/>
  <c r="C97" i="4"/>
  <c r="B97" i="4"/>
  <c r="A97" i="4"/>
  <c r="C90" i="4"/>
  <c r="D90" i="4"/>
  <c r="B90" i="4"/>
  <c r="A90" i="4"/>
  <c r="C87" i="4"/>
  <c r="D87" i="4"/>
  <c r="B87" i="4"/>
  <c r="A87" i="4"/>
  <c r="B85" i="4"/>
  <c r="A85" i="4"/>
  <c r="B83" i="4"/>
  <c r="A83" i="4"/>
  <c r="B81" i="4"/>
  <c r="A81" i="4"/>
  <c r="A79" i="4"/>
  <c r="A77" i="4"/>
  <c r="A69" i="4"/>
  <c r="A67" i="4"/>
  <c r="B65" i="4"/>
  <c r="A65" i="4"/>
  <c r="A61" i="4"/>
  <c r="A58" i="4"/>
  <c r="A56" i="4"/>
  <c r="A54" i="4"/>
  <c r="A52" i="4"/>
  <c r="A49" i="4"/>
  <c r="A44" i="4"/>
  <c r="A42" i="4"/>
  <c r="B40" i="4"/>
  <c r="A40" i="4"/>
  <c r="A38" i="4"/>
  <c r="A36" i="4"/>
  <c r="A34" i="4"/>
  <c r="A32" i="4"/>
  <c r="A30" i="4"/>
  <c r="A27" i="4"/>
  <c r="A24" i="4"/>
  <c r="A22" i="4"/>
  <c r="A20" i="4"/>
  <c r="A17" i="4"/>
  <c r="A15" i="4"/>
  <c r="A13" i="4"/>
  <c r="A11" i="4"/>
  <c r="A9" i="4"/>
  <c r="B7" i="4"/>
  <c r="A7" i="4"/>
  <c r="Q81" i="5"/>
  <c r="L782" i="10"/>
  <c r="AH378" i="3" s="1"/>
  <c r="AI378" i="3" s="1"/>
  <c r="L735" i="10"/>
  <c r="AH365" i="3" s="1"/>
  <c r="L671" i="10"/>
  <c r="AH357" i="3" s="1"/>
  <c r="AI357" i="3" s="1"/>
  <c r="L629" i="10"/>
  <c r="AH353" i="3" s="1"/>
  <c r="Q595" i="10"/>
  <c r="L578" i="10"/>
  <c r="AH345" i="3" s="1"/>
  <c r="AI345" i="3" s="1"/>
  <c r="Q562" i="10"/>
  <c r="AH343" i="3"/>
  <c r="AI343" i="3" s="1"/>
  <c r="L506" i="10"/>
  <c r="AH337" i="3" s="1"/>
  <c r="AI337" i="3" s="1"/>
  <c r="L470" i="10"/>
  <c r="L455" i="10"/>
  <c r="AH333" i="3" s="1"/>
  <c r="AI333" i="3" s="1"/>
  <c r="L447" i="10"/>
  <c r="Q431" i="10"/>
  <c r="Q421" i="10"/>
  <c r="L421" i="10"/>
  <c r="AH328" i="3" s="1"/>
  <c r="AI328" i="3" s="1"/>
  <c r="Q353" i="10"/>
  <c r="Q350" i="10"/>
  <c r="L350" i="10"/>
  <c r="AH320" i="3" s="1"/>
  <c r="L320" i="10"/>
  <c r="AH317" i="3" s="1"/>
  <c r="AI317" i="3" s="1"/>
  <c r="Q279" i="10"/>
  <c r="L268" i="10"/>
  <c r="AH313" i="3" s="1"/>
  <c r="AI313" i="3" s="1"/>
  <c r="L202" i="10"/>
  <c r="AH309" i="3" s="1"/>
  <c r="L191" i="10"/>
  <c r="AH308" i="3" s="1"/>
  <c r="AI308" i="3" s="1"/>
  <c r="L174" i="10"/>
  <c r="AH307" i="3" s="1"/>
  <c r="AI307" i="3" s="1"/>
  <c r="L170" i="10"/>
  <c r="AH306" i="3" s="1"/>
  <c r="AI306" i="3" s="1"/>
  <c r="L128" i="10"/>
  <c r="AH302" i="3" s="1"/>
  <c r="AI302" i="3" s="1"/>
  <c r="L117" i="10"/>
  <c r="AH301" i="3" s="1"/>
  <c r="AI301" i="3" s="1"/>
  <c r="U421" i="10"/>
  <c r="W421" i="10"/>
  <c r="U400" i="10"/>
  <c r="W400" i="10"/>
  <c r="U310" i="10"/>
  <c r="W310" i="10"/>
  <c r="U797" i="10"/>
  <c r="W797" i="10"/>
  <c r="U795" i="10"/>
  <c r="W795" i="10"/>
  <c r="U782" i="10"/>
  <c r="W782" i="10"/>
  <c r="U773" i="10"/>
  <c r="W773" i="10"/>
  <c r="U756" i="10"/>
  <c r="W756" i="10"/>
  <c r="U753" i="10"/>
  <c r="W753" i="10"/>
  <c r="U735" i="10"/>
  <c r="W735" i="10"/>
  <c r="U723" i="10"/>
  <c r="W723" i="10"/>
  <c r="U703" i="10"/>
  <c r="W703" i="10"/>
  <c r="W671" i="10"/>
  <c r="U634" i="10"/>
  <c r="W634" i="10" s="1"/>
  <c r="U629" i="10"/>
  <c r="W629" i="10" s="1"/>
  <c r="U623" i="10"/>
  <c r="W623" i="10" s="1"/>
  <c r="U621" i="10"/>
  <c r="W621" i="10" s="1"/>
  <c r="U602" i="10"/>
  <c r="W602" i="10" s="1"/>
  <c r="U595" i="10"/>
  <c r="W595" i="10" s="1"/>
  <c r="U578" i="10"/>
  <c r="W578" i="10" s="1"/>
  <c r="U567" i="10"/>
  <c r="W567" i="10" s="1"/>
  <c r="U562" i="10"/>
  <c r="W562" i="10" s="1"/>
  <c r="W544" i="10"/>
  <c r="U539" i="10"/>
  <c r="W539" i="10"/>
  <c r="U534" i="10"/>
  <c r="W534" i="10"/>
  <c r="U519" i="10"/>
  <c r="W519" i="10"/>
  <c r="U509" i="10"/>
  <c r="W509" i="10"/>
  <c r="U506" i="10"/>
  <c r="W506" i="10"/>
  <c r="U497" i="10"/>
  <c r="W497" i="10"/>
  <c r="U478" i="10"/>
  <c r="W478" i="10"/>
  <c r="U470" i="10"/>
  <c r="W470" i="10"/>
  <c r="U455" i="10"/>
  <c r="W455" i="10"/>
  <c r="U447" i="10"/>
  <c r="W447" i="10"/>
  <c r="U431" i="10"/>
  <c r="W431" i="10"/>
  <c r="U426" i="10"/>
  <c r="W426" i="10"/>
  <c r="U423" i="10"/>
  <c r="W423" i="10"/>
  <c r="U410" i="10"/>
  <c r="W410" i="10"/>
  <c r="U402" i="10"/>
  <c r="W402" i="10"/>
  <c r="U365" i="10"/>
  <c r="W365" i="10"/>
  <c r="U363" i="10"/>
  <c r="W363" i="10"/>
  <c r="U358" i="10"/>
  <c r="W358" i="10"/>
  <c r="U353" i="10"/>
  <c r="W353" i="10"/>
  <c r="W350" i="10"/>
  <c r="U336" i="10"/>
  <c r="W336" i="10" s="1"/>
  <c r="U331" i="10"/>
  <c r="W331" i="10" s="1"/>
  <c r="U320" i="10"/>
  <c r="W320" i="10" s="1"/>
  <c r="U292" i="10"/>
  <c r="W292" i="10" s="1"/>
  <c r="U279" i="10"/>
  <c r="W279" i="10" s="1"/>
  <c r="U268" i="10"/>
  <c r="W268" i="10" s="1"/>
  <c r="U256" i="10"/>
  <c r="W256" i="10" s="1"/>
  <c r="U220" i="10"/>
  <c r="W220" i="10" s="1"/>
  <c r="U205" i="10"/>
  <c r="W205" i="10" s="1"/>
  <c r="U202" i="10"/>
  <c r="W202" i="10" s="1"/>
  <c r="U191" i="10"/>
  <c r="W191" i="10" s="1"/>
  <c r="U174" i="10"/>
  <c r="W174" i="10" s="1"/>
  <c r="U170" i="10"/>
  <c r="W170" i="10" s="1"/>
  <c r="U149" i="10"/>
  <c r="W149" i="10" s="1"/>
  <c r="U142" i="10"/>
  <c r="W142" i="10" s="1"/>
  <c r="U137" i="10"/>
  <c r="W137" i="10" s="1"/>
  <c r="U128" i="10"/>
  <c r="W128" i="10" s="1"/>
  <c r="U102" i="10"/>
  <c r="W102" i="10" s="1"/>
  <c r="U99" i="10"/>
  <c r="W99" i="10" s="1"/>
  <c r="U97" i="10"/>
  <c r="W97" i="10" s="1"/>
  <c r="U95" i="10"/>
  <c r="W95" i="10" s="1"/>
  <c r="U83" i="10"/>
  <c r="W83" i="10" s="1"/>
  <c r="U73" i="10"/>
  <c r="W73" i="10" s="1"/>
  <c r="U70" i="10"/>
  <c r="W70" i="10" s="1"/>
  <c r="U67" i="10"/>
  <c r="W67" i="10" s="1"/>
  <c r="U62" i="10"/>
  <c r="W62" i="10" s="1"/>
  <c r="U60" i="10"/>
  <c r="W60" i="10" s="1"/>
  <c r="U58" i="10"/>
  <c r="W58" i="10" s="1"/>
  <c r="U56" i="10"/>
  <c r="W56" i="10" s="1"/>
  <c r="W53" i="10"/>
  <c r="U39" i="10"/>
  <c r="W39" i="10"/>
  <c r="U33" i="10"/>
  <c r="W33" i="10"/>
  <c r="W117" i="10"/>
  <c r="U31" i="10"/>
  <c r="W31" i="10" s="1"/>
  <c r="U22" i="10"/>
  <c r="W22" i="10" s="1"/>
  <c r="W15" i="10"/>
  <c r="L210" i="9"/>
  <c r="AH433" i="3"/>
  <c r="L194" i="9"/>
  <c r="AH424" i="3" s="1"/>
  <c r="L168" i="9"/>
  <c r="AH415" i="3" s="1"/>
  <c r="AI415" i="3" s="1"/>
  <c r="L82" i="9"/>
  <c r="AH400" i="3"/>
  <c r="AI400" i="3" s="1"/>
  <c r="L55" i="9"/>
  <c r="AH397" i="3" s="1"/>
  <c r="AI397" i="3" s="1"/>
  <c r="AS397" i="3" s="1"/>
  <c r="L397" i="20" s="1"/>
  <c r="U127" i="9"/>
  <c r="W127" i="9" s="1"/>
  <c r="U210" i="9"/>
  <c r="W210" i="9" s="1"/>
  <c r="U205" i="9"/>
  <c r="W205" i="9" s="1"/>
  <c r="U196" i="9"/>
  <c r="W196" i="9" s="1"/>
  <c r="U194" i="9"/>
  <c r="W194" i="9" s="1"/>
  <c r="W185" i="9"/>
  <c r="U177" i="9"/>
  <c r="W177" i="9"/>
  <c r="U168" i="9"/>
  <c r="W168" i="9"/>
  <c r="U158" i="9"/>
  <c r="W158" i="9"/>
  <c r="U145" i="9"/>
  <c r="W145" i="9"/>
  <c r="U142" i="9"/>
  <c r="W142" i="9"/>
  <c r="U139" i="9"/>
  <c r="W139" i="9"/>
  <c r="U129" i="9"/>
  <c r="W129" i="9"/>
  <c r="U119" i="9"/>
  <c r="W119" i="9"/>
  <c r="U116" i="9"/>
  <c r="W116" i="9"/>
  <c r="U107" i="9"/>
  <c r="W107" i="9"/>
  <c r="U99" i="9"/>
  <c r="W99" i="9"/>
  <c r="U94" i="9"/>
  <c r="W94" i="9"/>
  <c r="U85" i="9"/>
  <c r="W85" i="9"/>
  <c r="U82" i="9"/>
  <c r="W82" i="9"/>
  <c r="U65" i="9"/>
  <c r="W65" i="9"/>
  <c r="U62" i="9"/>
  <c r="W62" i="9"/>
  <c r="U55" i="9"/>
  <c r="W55" i="9"/>
  <c r="U50" i="9"/>
  <c r="W50" i="9"/>
  <c r="U47" i="9"/>
  <c r="W47" i="9"/>
  <c r="U45" i="9"/>
  <c r="W45" i="9"/>
  <c r="U32" i="9"/>
  <c r="W32" i="9"/>
  <c r="U30" i="9"/>
  <c r="W30" i="9"/>
  <c r="U27" i="9"/>
  <c r="W27" i="9"/>
  <c r="U25" i="9"/>
  <c r="W25" i="9"/>
  <c r="U22" i="9"/>
  <c r="W22" i="9"/>
  <c r="U19" i="9"/>
  <c r="W19" i="9"/>
  <c r="U16" i="9"/>
  <c r="W16" i="9"/>
  <c r="U13" i="9"/>
  <c r="W13" i="9"/>
  <c r="U9" i="9"/>
  <c r="W9" i="9"/>
  <c r="U95" i="8"/>
  <c r="W95" i="8"/>
  <c r="Q177" i="8"/>
  <c r="L177" i="8"/>
  <c r="AH281" i="3" s="1"/>
  <c r="Q134" i="8"/>
  <c r="Q109" i="8"/>
  <c r="L95" i="8"/>
  <c r="AH260" i="3" s="1"/>
  <c r="Q33" i="8"/>
  <c r="U177" i="8"/>
  <c r="W177" i="8" s="1"/>
  <c r="U166" i="8"/>
  <c r="W166" i="8" s="1"/>
  <c r="U141" i="8"/>
  <c r="W141" i="8" s="1"/>
  <c r="U134" i="8"/>
  <c r="W134" i="8" s="1"/>
  <c r="U125" i="8"/>
  <c r="W125" i="8" s="1"/>
  <c r="U118" i="8"/>
  <c r="W118" i="8" s="1"/>
  <c r="U113" i="8"/>
  <c r="W113" i="8" s="1"/>
  <c r="U111" i="8"/>
  <c r="W111" i="8" s="1"/>
  <c r="U109" i="8"/>
  <c r="W109" i="8" s="1"/>
  <c r="U105" i="8"/>
  <c r="W105" i="8" s="1"/>
  <c r="U76" i="8"/>
  <c r="W76" i="8" s="1"/>
  <c r="U66" i="8"/>
  <c r="W66" i="8" s="1"/>
  <c r="U59" i="8"/>
  <c r="W59" i="8" s="1"/>
  <c r="U57" i="8"/>
  <c r="W57" i="8" s="1"/>
  <c r="U51" i="8"/>
  <c r="W51" i="8" s="1"/>
  <c r="U49" i="8"/>
  <c r="W49" i="8" s="1"/>
  <c r="U45" i="8"/>
  <c r="W45" i="8" s="1"/>
  <c r="U43" i="8"/>
  <c r="W43" i="8" s="1"/>
  <c r="U41" i="8"/>
  <c r="W41" i="8" s="1"/>
  <c r="U39" i="8"/>
  <c r="W39" i="8" s="1"/>
  <c r="W37" i="8"/>
  <c r="U33" i="8"/>
  <c r="W33" i="8" s="1"/>
  <c r="U18" i="8"/>
  <c r="W18" i="8" s="1"/>
  <c r="U13" i="8"/>
  <c r="W13" i="8"/>
  <c r="U11" i="8"/>
  <c r="W11" i="8" s="1"/>
  <c r="L108" i="7"/>
  <c r="AH239" i="3" s="1"/>
  <c r="AI239" i="3" s="1"/>
  <c r="Q76" i="7"/>
  <c r="L55" i="7"/>
  <c r="AH222" i="3" s="1"/>
  <c r="L31" i="7"/>
  <c r="AH214" i="3" s="1"/>
  <c r="AI214" i="3" s="1"/>
  <c r="Q9" i="7"/>
  <c r="U121" i="7"/>
  <c r="W121" i="7"/>
  <c r="U108" i="7"/>
  <c r="W108" i="7"/>
  <c r="U96" i="7"/>
  <c r="W96" i="7"/>
  <c r="U86" i="7"/>
  <c r="W86" i="7"/>
  <c r="U76" i="7"/>
  <c r="W76" i="7"/>
  <c r="U72" i="7"/>
  <c r="W72" i="7"/>
  <c r="U69" i="7"/>
  <c r="W69" i="7"/>
  <c r="U65" i="7"/>
  <c r="W65" i="7"/>
  <c r="U61" i="7"/>
  <c r="W61" i="7"/>
  <c r="U59" i="7"/>
  <c r="W59" i="7"/>
  <c r="U57" i="7"/>
  <c r="W57" i="7"/>
  <c r="U55" i="7"/>
  <c r="W55" i="7"/>
  <c r="U49" i="7"/>
  <c r="W49" i="7"/>
  <c r="U47" i="7"/>
  <c r="W47" i="7"/>
  <c r="U44" i="7"/>
  <c r="W44" i="7"/>
  <c r="U39" i="7"/>
  <c r="W39" i="7"/>
  <c r="U37" i="7"/>
  <c r="W37" i="7"/>
  <c r="U35" i="7"/>
  <c r="W35" i="7"/>
  <c r="U33" i="7"/>
  <c r="W33" i="7"/>
  <c r="U31" i="7"/>
  <c r="W31" i="7"/>
  <c r="U27" i="7"/>
  <c r="W27" i="7"/>
  <c r="U25" i="7"/>
  <c r="W25" i="7"/>
  <c r="U23" i="7"/>
  <c r="W23" i="7"/>
  <c r="U20" i="7"/>
  <c r="W20" i="7"/>
  <c r="U15" i="7"/>
  <c r="W15" i="7"/>
  <c r="U13" i="7"/>
  <c r="W13" i="7"/>
  <c r="U11" i="7"/>
  <c r="W11" i="7"/>
  <c r="U9" i="7"/>
  <c r="W9" i="7"/>
  <c r="AE264" i="6"/>
  <c r="AG264" i="6" s="1"/>
  <c r="AE217" i="6"/>
  <c r="AG217" i="6" s="1"/>
  <c r="AE96" i="6"/>
  <c r="AG96" i="6" s="1"/>
  <c r="AE251" i="6"/>
  <c r="AG251" i="6" s="1"/>
  <c r="AE229" i="6"/>
  <c r="AG229" i="6"/>
  <c r="AE197" i="6"/>
  <c r="AG197" i="6" s="1"/>
  <c r="AE193" i="6"/>
  <c r="AG193" i="6" s="1"/>
  <c r="AE186" i="6"/>
  <c r="AG186" i="6" s="1"/>
  <c r="AE177" i="6"/>
  <c r="AG177" i="6" s="1"/>
  <c r="AE175" i="6"/>
  <c r="AG175" i="6" s="1"/>
  <c r="AE173" i="6"/>
  <c r="AG173" i="6" s="1"/>
  <c r="AE170" i="6"/>
  <c r="AG170" i="6" s="1"/>
  <c r="AE168" i="6"/>
  <c r="AG168" i="6" s="1"/>
  <c r="AE158" i="6"/>
  <c r="AG158" i="6" s="1"/>
  <c r="AE156" i="6"/>
  <c r="AG156" i="6" s="1"/>
  <c r="AE154" i="6"/>
  <c r="AG154" i="6"/>
  <c r="AE145" i="6"/>
  <c r="AG145" i="6" s="1"/>
  <c r="AE143" i="6"/>
  <c r="AG143" i="6" s="1"/>
  <c r="AE141" i="6"/>
  <c r="AG141" i="6" s="1"/>
  <c r="AE139" i="6"/>
  <c r="AG139" i="6"/>
  <c r="AE126" i="6"/>
  <c r="AG126" i="6" s="1"/>
  <c r="AE119" i="6"/>
  <c r="AG119" i="6" s="1"/>
  <c r="AE114" i="6"/>
  <c r="AG114" i="6" s="1"/>
  <c r="AE106" i="6"/>
  <c r="AG106" i="6"/>
  <c r="AE101" i="6"/>
  <c r="AG101" i="6" s="1"/>
  <c r="AE90" i="6"/>
  <c r="AG90" i="6" s="1"/>
  <c r="AE87" i="6"/>
  <c r="AG87" i="6" s="1"/>
  <c r="AE85" i="6"/>
  <c r="AG85" i="6"/>
  <c r="AE68" i="6"/>
  <c r="AG68" i="6" s="1"/>
  <c r="AE61" i="6"/>
  <c r="AG61" i="6" s="1"/>
  <c r="AE59" i="6"/>
  <c r="AG59" i="6" s="1"/>
  <c r="AE47" i="6"/>
  <c r="AG47" i="6"/>
  <c r="AE31" i="6"/>
  <c r="AG31" i="6" s="1"/>
  <c r="AE11" i="6"/>
  <c r="AG11" i="6" s="1"/>
  <c r="Q57" i="5"/>
  <c r="L40" i="5"/>
  <c r="AH90" i="3" s="1"/>
  <c r="AI90" i="3" s="1"/>
  <c r="U200" i="5"/>
  <c r="W200" i="5" s="1"/>
  <c r="U198" i="5"/>
  <c r="W198" i="5" s="1"/>
  <c r="U194" i="5"/>
  <c r="W194" i="5" s="1"/>
  <c r="U173" i="5"/>
  <c r="W173" i="5" s="1"/>
  <c r="U171" i="5"/>
  <c r="W171" i="5" s="1"/>
  <c r="U167" i="5"/>
  <c r="W167" i="5" s="1"/>
  <c r="U164" i="5"/>
  <c r="W164" i="5" s="1"/>
  <c r="U160" i="5"/>
  <c r="W160" i="5" s="1"/>
  <c r="U157" i="5"/>
  <c r="W157" i="5" s="1"/>
  <c r="U152" i="5"/>
  <c r="W152" i="5" s="1"/>
  <c r="U150" i="5"/>
  <c r="W150" i="5" s="1"/>
  <c r="U143" i="5"/>
  <c r="W143" i="5" s="1"/>
  <c r="U140" i="5"/>
  <c r="W140" i="5" s="1"/>
  <c r="U135" i="5"/>
  <c r="W135" i="5" s="1"/>
  <c r="U133" i="5"/>
  <c r="W133" i="5" s="1"/>
  <c r="U131" i="5"/>
  <c r="W131" i="5" s="1"/>
  <c r="U128" i="5"/>
  <c r="W128" i="5" s="1"/>
  <c r="U126" i="5"/>
  <c r="W126" i="5" s="1"/>
  <c r="U122" i="5"/>
  <c r="W122" i="5" s="1"/>
  <c r="U118" i="5"/>
  <c r="W118" i="5"/>
  <c r="U116" i="5"/>
  <c r="W116" i="5" s="1"/>
  <c r="U111" i="5"/>
  <c r="W111" i="5" s="1"/>
  <c r="U109" i="5"/>
  <c r="W109" i="5" s="1"/>
  <c r="U107" i="5"/>
  <c r="W107" i="5" s="1"/>
  <c r="U105" i="5"/>
  <c r="W105" i="5" s="1"/>
  <c r="U103" i="5"/>
  <c r="W103" i="5" s="1"/>
  <c r="U101" i="5"/>
  <c r="W101" i="5" s="1"/>
  <c r="U98" i="5"/>
  <c r="W98" i="5" s="1"/>
  <c r="U96" i="5"/>
  <c r="W96" i="5" s="1"/>
  <c r="U91" i="5"/>
  <c r="W91" i="5" s="1"/>
  <c r="U88" i="5"/>
  <c r="W88" i="5" s="1"/>
  <c r="U86" i="5"/>
  <c r="W86" i="5" s="1"/>
  <c r="U83" i="5"/>
  <c r="W83" i="5" s="1"/>
  <c r="U81" i="5"/>
  <c r="W81" i="5" s="1"/>
  <c r="U78" i="5"/>
  <c r="W78" i="5" s="1"/>
  <c r="U75" i="5"/>
  <c r="W75" i="5" s="1"/>
  <c r="U73" i="5"/>
  <c r="W73" i="5"/>
  <c r="U70" i="5"/>
  <c r="W70" i="5" s="1"/>
  <c r="U68" i="5"/>
  <c r="W68" i="5" s="1"/>
  <c r="U66" i="5"/>
  <c r="W66" i="5" s="1"/>
  <c r="U63" i="5"/>
  <c r="W63" i="5" s="1"/>
  <c r="U57" i="5"/>
  <c r="W57" i="5" s="1"/>
  <c r="U52" i="5"/>
  <c r="W52" i="5"/>
  <c r="U50" i="5"/>
  <c r="W50" i="5" s="1"/>
  <c r="U48" i="5"/>
  <c r="W48" i="5" s="1"/>
  <c r="U45" i="5"/>
  <c r="W45" i="5" s="1"/>
  <c r="U42" i="5"/>
  <c r="W42" i="5" s="1"/>
  <c r="U40" i="5"/>
  <c r="W40" i="5" s="1"/>
  <c r="U36" i="5"/>
  <c r="W36" i="5" s="1"/>
  <c r="U34" i="5"/>
  <c r="W34" i="5"/>
  <c r="U32" i="5"/>
  <c r="W32" i="5" s="1"/>
  <c r="U27" i="5"/>
  <c r="W27" i="5" s="1"/>
  <c r="U24" i="5"/>
  <c r="W24" i="5" s="1"/>
  <c r="U22" i="5"/>
  <c r="W22" i="5"/>
  <c r="U20" i="5"/>
  <c r="W20" i="5" s="1"/>
  <c r="U18" i="5"/>
  <c r="W18" i="5" s="1"/>
  <c r="U15" i="5"/>
  <c r="W15" i="5" s="1"/>
  <c r="U13" i="5"/>
  <c r="W13" i="5" s="1"/>
  <c r="U10" i="5"/>
  <c r="W10" i="5" s="1"/>
  <c r="U8" i="5"/>
  <c r="W8" i="5" s="1"/>
  <c r="B79" i="4"/>
  <c r="B77" i="4"/>
  <c r="B75" i="4"/>
  <c r="B72" i="4"/>
  <c r="B69" i="4"/>
  <c r="B67" i="4"/>
  <c r="B61" i="4"/>
  <c r="B58" i="4"/>
  <c r="B56" i="4"/>
  <c r="B54" i="4"/>
  <c r="B52" i="4"/>
  <c r="B49" i="4"/>
  <c r="B47" i="4"/>
  <c r="B44" i="4"/>
  <c r="B42" i="4"/>
  <c r="B38" i="4"/>
  <c r="B36" i="4"/>
  <c r="B34" i="4"/>
  <c r="B32" i="4"/>
  <c r="B30" i="4"/>
  <c r="B27" i="4"/>
  <c r="B24" i="4"/>
  <c r="B22" i="4"/>
  <c r="B20" i="4"/>
  <c r="B17" i="4"/>
  <c r="B15" i="4"/>
  <c r="B13" i="4"/>
  <c r="B11" i="4"/>
  <c r="B9" i="4"/>
  <c r="U150" i="4"/>
  <c r="W150" i="4"/>
  <c r="U147" i="4"/>
  <c r="W147" i="4"/>
  <c r="U145" i="4"/>
  <c r="W145" i="4"/>
  <c r="W143" i="4"/>
  <c r="U134" i="4"/>
  <c r="W134" i="4" s="1"/>
  <c r="W130" i="4"/>
  <c r="U125" i="4"/>
  <c r="W125" i="4"/>
  <c r="U122" i="4"/>
  <c r="W122" i="4"/>
  <c r="U120" i="4"/>
  <c r="W120" i="4"/>
  <c r="U115" i="4"/>
  <c r="W115" i="4"/>
  <c r="U113" i="4"/>
  <c r="W113" i="4"/>
  <c r="W111" i="4"/>
  <c r="U105" i="4"/>
  <c r="W105" i="4" s="1"/>
  <c r="U95" i="4"/>
  <c r="W95" i="4" s="1"/>
  <c r="U86" i="4"/>
  <c r="W86" i="4" s="1"/>
  <c r="U88" i="4"/>
  <c r="W88" i="4" s="1"/>
  <c r="U84" i="4"/>
  <c r="W84" i="4" s="1"/>
  <c r="U82" i="4"/>
  <c r="W82" i="4" s="1"/>
  <c r="U80" i="4"/>
  <c r="W80" i="4" s="1"/>
  <c r="U78" i="4"/>
  <c r="W78" i="4" s="1"/>
  <c r="U76" i="4"/>
  <c r="W76" i="4" s="1"/>
  <c r="U73" i="4"/>
  <c r="W73" i="4" s="1"/>
  <c r="U70" i="4"/>
  <c r="W70" i="4" s="1"/>
  <c r="U68" i="4"/>
  <c r="W68" i="4" s="1"/>
  <c r="U66" i="4"/>
  <c r="W66" i="4" s="1"/>
  <c r="U64" i="4"/>
  <c r="W64" i="4" s="1"/>
  <c r="U59" i="4"/>
  <c r="W59" i="4" s="1"/>
  <c r="U57" i="4"/>
  <c r="W57" i="4" s="1"/>
  <c r="U55" i="4"/>
  <c r="W55" i="4" s="1"/>
  <c r="U53" i="4"/>
  <c r="W53" i="4" s="1"/>
  <c r="U51" i="4"/>
  <c r="W51" i="4" s="1"/>
  <c r="U48" i="4"/>
  <c r="W48" i="4" s="1"/>
  <c r="U45" i="4"/>
  <c r="W45" i="4" s="1"/>
  <c r="U43" i="4"/>
  <c r="W43" i="4" s="1"/>
  <c r="U41" i="4"/>
  <c r="W41" i="4" s="1"/>
  <c r="U39" i="4"/>
  <c r="W39" i="4" s="1"/>
  <c r="U37" i="4"/>
  <c r="W37" i="4" s="1"/>
  <c r="U35" i="4"/>
  <c r="W35" i="4" s="1"/>
  <c r="U33" i="4"/>
  <c r="W33" i="4" s="1"/>
  <c r="U31" i="4"/>
  <c r="W31" i="4" s="1"/>
  <c r="U28" i="4"/>
  <c r="W28" i="4" s="1"/>
  <c r="U26" i="4"/>
  <c r="W26" i="4" s="1"/>
  <c r="U23" i="4"/>
  <c r="W23" i="4" s="1"/>
  <c r="U21" i="4"/>
  <c r="W21" i="4" s="1"/>
  <c r="U19" i="4"/>
  <c r="W19" i="4" s="1"/>
  <c r="U16" i="4"/>
  <c r="W16" i="4" s="1"/>
  <c r="U14" i="4"/>
  <c r="W14" i="4" s="1"/>
  <c r="U12" i="4"/>
  <c r="W12" i="4" s="1"/>
  <c r="U10" i="4"/>
  <c r="W10" i="4" s="1"/>
  <c r="U8" i="4"/>
  <c r="W8" i="4" s="1"/>
  <c r="Q147" i="4"/>
  <c r="Q82" i="4"/>
  <c r="O73" i="4"/>
  <c r="Q73" i="4" s="1"/>
  <c r="L634" i="10"/>
  <c r="AH354" i="3" s="1"/>
  <c r="O423" i="10"/>
  <c r="Q423" i="10"/>
  <c r="Q310" i="10"/>
  <c r="Q128" i="10"/>
  <c r="Q73" i="10"/>
  <c r="Q60" i="10"/>
  <c r="O196" i="9"/>
  <c r="J47" i="9"/>
  <c r="L47" i="9" s="1"/>
  <c r="AH395" i="3"/>
  <c r="AI395" i="3" s="1"/>
  <c r="Q44" i="7"/>
  <c r="O173" i="6"/>
  <c r="Q173" i="6" s="1"/>
  <c r="Q154" i="6"/>
  <c r="Q139" i="6"/>
  <c r="O119" i="6"/>
  <c r="Q119" i="6" s="1"/>
  <c r="Q114" i="6"/>
  <c r="L59" i="6"/>
  <c r="AH159" i="3" s="1"/>
  <c r="AI159" i="3" s="1"/>
  <c r="L11" i="6"/>
  <c r="AH156" i="3" s="1"/>
  <c r="AI156" i="3" s="1"/>
  <c r="AS156" i="3" s="1"/>
  <c r="L156" i="20" s="1"/>
  <c r="Q91" i="5"/>
  <c r="Q63" i="5"/>
  <c r="Q32" i="5"/>
  <c r="J27" i="5"/>
  <c r="L27" i="5" s="1"/>
  <c r="AH86" i="3" s="1"/>
  <c r="AI86" i="3" s="1"/>
  <c r="Q105" i="4"/>
  <c r="L251" i="6"/>
  <c r="AH202" i="3" s="1"/>
  <c r="L186" i="6"/>
  <c r="AH187" i="3" s="1"/>
  <c r="AI187" i="3" s="1"/>
  <c r="L126" i="6"/>
  <c r="AH170" i="3" s="1"/>
  <c r="AI170" i="3" s="1"/>
  <c r="L90" i="6"/>
  <c r="AH164" i="3" s="1"/>
  <c r="AI164" i="3" s="1"/>
  <c r="J383" i="10"/>
  <c r="L400" i="10"/>
  <c r="Q31" i="6"/>
  <c r="AI64" i="3"/>
  <c r="AI46" i="3"/>
  <c r="P200" i="3"/>
  <c r="Q539" i="10"/>
  <c r="L539" i="10"/>
  <c r="AH341" i="3" s="1"/>
  <c r="AI341" i="3" s="1"/>
  <c r="O90" i="6"/>
  <c r="Q59" i="6"/>
  <c r="O61" i="6"/>
  <c r="Q61" i="6" s="1"/>
  <c r="O11" i="6"/>
  <c r="Q11" i="6" s="1"/>
  <c r="L426" i="10"/>
  <c r="AH330" i="3"/>
  <c r="L119" i="9"/>
  <c r="O49" i="8"/>
  <c r="Q49" i="8" s="1"/>
  <c r="J212" i="10"/>
  <c r="J108" i="6"/>
  <c r="L31" i="10"/>
  <c r="AH284" i="3" s="1"/>
  <c r="AI284" i="3" s="1"/>
  <c r="L33" i="10"/>
  <c r="AH285" i="3" s="1"/>
  <c r="AI285" i="3" s="1"/>
  <c r="O33" i="10"/>
  <c r="Q33" i="10" s="1"/>
  <c r="J58" i="10"/>
  <c r="L58" i="10" s="1"/>
  <c r="AH289" i="3"/>
  <c r="AI289" i="3" s="1"/>
  <c r="O58" i="10"/>
  <c r="Q58" i="10"/>
  <c r="J60" i="10"/>
  <c r="L60" i="10"/>
  <c r="AH290" i="3" s="1"/>
  <c r="AI290" i="3" s="1"/>
  <c r="J62" i="10"/>
  <c r="L62" i="10" s="1"/>
  <c r="AH291" i="3"/>
  <c r="AI291" i="3" s="1"/>
  <c r="O62" i="10"/>
  <c r="Q62" i="10"/>
  <c r="J67" i="10"/>
  <c r="L67" i="10"/>
  <c r="AH292" i="3" s="1"/>
  <c r="AI292" i="3" s="1"/>
  <c r="J70" i="10"/>
  <c r="L70" i="10" s="1"/>
  <c r="AH293" i="3"/>
  <c r="AI293" i="3" s="1"/>
  <c r="AS293" i="3" s="1"/>
  <c r="L293" i="20" s="1"/>
  <c r="O70" i="10"/>
  <c r="Q70" i="10"/>
  <c r="L73" i="10"/>
  <c r="Q88" i="10"/>
  <c r="Q95" i="10"/>
  <c r="J97" i="10"/>
  <c r="L97" i="10" s="1"/>
  <c r="AH298" i="3" s="1"/>
  <c r="AI298" i="3" s="1"/>
  <c r="AS298" i="3" s="1"/>
  <c r="L298" i="20" s="1"/>
  <c r="J99" i="10"/>
  <c r="L99" i="10"/>
  <c r="AH299" i="3" s="1"/>
  <c r="AI299" i="3" s="1"/>
  <c r="O99" i="10"/>
  <c r="Q99" i="10" s="1"/>
  <c r="L137" i="10"/>
  <c r="AH303" i="3" s="1"/>
  <c r="AI303" i="3" s="1"/>
  <c r="L149" i="10"/>
  <c r="AH305" i="3" s="1"/>
  <c r="AI305" i="3" s="1"/>
  <c r="O157" i="10"/>
  <c r="O170" i="10" s="1"/>
  <c r="Q170" i="10" s="1"/>
  <c r="L205" i="10"/>
  <c r="Q205" i="10"/>
  <c r="O264" i="10"/>
  <c r="O268" i="10" s="1"/>
  <c r="Q268" i="10" s="1"/>
  <c r="L310" i="10"/>
  <c r="AH316" i="3" s="1"/>
  <c r="AI316" i="3" s="1"/>
  <c r="L353" i="10"/>
  <c r="Q363" i="10"/>
  <c r="L365" i="10"/>
  <c r="AH324" i="3"/>
  <c r="AI324" i="3" s="1"/>
  <c r="O365" i="10"/>
  <c r="Q365" i="10"/>
  <c r="J402" i="10"/>
  <c r="L402" i="10"/>
  <c r="AH326" i="3" s="1"/>
  <c r="AI326" i="3" s="1"/>
  <c r="O402" i="10"/>
  <c r="Q402" i="10" s="1"/>
  <c r="J423" i="10"/>
  <c r="L423" i="10" s="1"/>
  <c r="AH329" i="3"/>
  <c r="AI329" i="3" s="1"/>
  <c r="O459" i="10"/>
  <c r="O470" i="10" s="1"/>
  <c r="Q470" i="10"/>
  <c r="L497" i="10"/>
  <c r="AH336" i="3" s="1"/>
  <c r="AI336" i="3" s="1"/>
  <c r="L509" i="10"/>
  <c r="AH338" i="3" s="1"/>
  <c r="AI338" i="3" s="1"/>
  <c r="Q509" i="10"/>
  <c r="L534" i="10"/>
  <c r="AH340" i="3" s="1"/>
  <c r="L544" i="10"/>
  <c r="AH342" i="3" s="1"/>
  <c r="AI342" i="3" s="1"/>
  <c r="J623" i="10"/>
  <c r="L623" i="10"/>
  <c r="AH351" i="3" s="1"/>
  <c r="AI351" i="3" s="1"/>
  <c r="O623" i="10"/>
  <c r="Q623" i="10" s="1"/>
  <c r="O714" i="10"/>
  <c r="O723" i="10" s="1"/>
  <c r="L756" i="10"/>
  <c r="AH369" i="3" s="1"/>
  <c r="AI369" i="3" s="1"/>
  <c r="Q756" i="10"/>
  <c r="J797" i="10"/>
  <c r="L797" i="10"/>
  <c r="AH384" i="3" s="1"/>
  <c r="AI384" i="3" s="1"/>
  <c r="O797" i="10"/>
  <c r="Q797" i="10" s="1"/>
  <c r="L9" i="9"/>
  <c r="AH385" i="3" s="1"/>
  <c r="O9" i="9"/>
  <c r="Q9" i="9" s="1"/>
  <c r="L13" i="9"/>
  <c r="AH386" i="3" s="1"/>
  <c r="AI386" i="3" s="1"/>
  <c r="Q13" i="9"/>
  <c r="J16" i="9"/>
  <c r="L16" i="9"/>
  <c r="AH387" i="3" s="1"/>
  <c r="AI387" i="3" s="1"/>
  <c r="O16" i="9"/>
  <c r="Q16" i="9" s="1"/>
  <c r="J19" i="9"/>
  <c r="L19" i="9" s="1"/>
  <c r="AH388" i="3" s="1"/>
  <c r="O19" i="9"/>
  <c r="Q19" i="9"/>
  <c r="J22" i="9"/>
  <c r="L22" i="9"/>
  <c r="AH389" i="3" s="1"/>
  <c r="AI389" i="3" s="1"/>
  <c r="O22" i="9"/>
  <c r="Q22" i="9" s="1"/>
  <c r="L25" i="9"/>
  <c r="O25" i="9"/>
  <c r="Q25" i="9" s="1"/>
  <c r="J27" i="9"/>
  <c r="L27" i="9" s="1"/>
  <c r="AH391" i="3" s="1"/>
  <c r="AI391" i="3" s="1"/>
  <c r="O27" i="9"/>
  <c r="Q27" i="9"/>
  <c r="J30" i="9"/>
  <c r="L30" i="9"/>
  <c r="O30" i="9"/>
  <c r="Q30" i="9"/>
  <c r="J32" i="9"/>
  <c r="L32" i="9"/>
  <c r="AH393" i="3" s="1"/>
  <c r="AI393" i="3" s="1"/>
  <c r="O32" i="9"/>
  <c r="Q32" i="9" s="1"/>
  <c r="L45" i="9"/>
  <c r="Q45" i="9"/>
  <c r="O47" i="9"/>
  <c r="Q47" i="9" s="1"/>
  <c r="J50" i="9"/>
  <c r="L50" i="9" s="1"/>
  <c r="AH396" i="3" s="1"/>
  <c r="AI396" i="3" s="1"/>
  <c r="Q55" i="9"/>
  <c r="L62" i="9"/>
  <c r="AH398" i="3" s="1"/>
  <c r="Q62" i="9"/>
  <c r="L65" i="9"/>
  <c r="AH399" i="3" s="1"/>
  <c r="AI399" i="3" s="1"/>
  <c r="O65" i="9"/>
  <c r="Q65" i="9"/>
  <c r="L85" i="9"/>
  <c r="AH401" i="3" s="1"/>
  <c r="AI401" i="3" s="1"/>
  <c r="O85" i="9"/>
  <c r="Q85" i="9" s="1"/>
  <c r="L94" i="9"/>
  <c r="AH402" i="3" s="1"/>
  <c r="AI402" i="3" s="1"/>
  <c r="Q94" i="9"/>
  <c r="L99" i="9"/>
  <c r="AH403" i="3" s="1"/>
  <c r="Q99" i="9"/>
  <c r="L107" i="9"/>
  <c r="O119" i="9"/>
  <c r="Q119" i="9" s="1"/>
  <c r="L127" i="9"/>
  <c r="AH407" i="3" s="1"/>
  <c r="AI407" i="3" s="1"/>
  <c r="J129" i="9"/>
  <c r="L129" i="9"/>
  <c r="AH408" i="3" s="1"/>
  <c r="AI408" i="3" s="1"/>
  <c r="AL408" i="3" s="1"/>
  <c r="AO408" i="3" s="1"/>
  <c r="AP408" i="3" s="1"/>
  <c r="AR408" i="3" s="1"/>
  <c r="O129" i="9"/>
  <c r="Q129" i="9" s="1"/>
  <c r="L142" i="9"/>
  <c r="AH410" i="3" s="1"/>
  <c r="AI410" i="3" s="1"/>
  <c r="AS410" i="3" s="1"/>
  <c r="L410" i="20" s="1"/>
  <c r="Q142" i="9"/>
  <c r="L145" i="9"/>
  <c r="AH411" i="3" s="1"/>
  <c r="AI411" i="3" s="1"/>
  <c r="Q145" i="9"/>
  <c r="L177" i="9"/>
  <c r="O181" i="9"/>
  <c r="O185" i="9" s="1"/>
  <c r="Q185" i="9" s="1"/>
  <c r="AH421" i="3"/>
  <c r="AI421" i="3" s="1"/>
  <c r="Q196" i="9"/>
  <c r="L205" i="9"/>
  <c r="AH430" i="3" s="1"/>
  <c r="AI430" i="3" s="1"/>
  <c r="Q205" i="9"/>
  <c r="Q11" i="8"/>
  <c r="J13" i="8"/>
  <c r="L13" i="8" s="1"/>
  <c r="O13" i="8"/>
  <c r="Q13" i="8" s="1"/>
  <c r="L18" i="8"/>
  <c r="AH245" i="3" s="1"/>
  <c r="AI245" i="3" s="1"/>
  <c r="L37" i="8"/>
  <c r="AH247" i="3" s="1"/>
  <c r="AI247" i="3" s="1"/>
  <c r="O37" i="8"/>
  <c r="Q37" i="8" s="1"/>
  <c r="J39" i="8"/>
  <c r="L39" i="8" s="1"/>
  <c r="AH248" i="3" s="1"/>
  <c r="O39" i="8"/>
  <c r="Q39" i="8" s="1"/>
  <c r="J41" i="8"/>
  <c r="L41" i="8" s="1"/>
  <c r="AH249" i="3" s="1"/>
  <c r="AI249" i="3" s="1"/>
  <c r="O41" i="8"/>
  <c r="Q41" i="8" s="1"/>
  <c r="J43" i="8"/>
  <c r="L43" i="8" s="1"/>
  <c r="AH250" i="3" s="1"/>
  <c r="AI250" i="3" s="1"/>
  <c r="O43" i="8"/>
  <c r="Q43" i="8" s="1"/>
  <c r="J45" i="8"/>
  <c r="L45" i="8" s="1"/>
  <c r="AH251" i="3" s="1"/>
  <c r="AI251" i="3" s="1"/>
  <c r="O45" i="8"/>
  <c r="Q45" i="8" s="1"/>
  <c r="J51" i="8"/>
  <c r="L51" i="8" s="1"/>
  <c r="AH253" i="3" s="1"/>
  <c r="AI253" i="3" s="1"/>
  <c r="O51" i="8"/>
  <c r="Q51" i="8"/>
  <c r="L57" i="8"/>
  <c r="AH254" i="3" s="1"/>
  <c r="AI254" i="3" s="1"/>
  <c r="J59" i="8"/>
  <c r="L59" i="8" s="1"/>
  <c r="AH255" i="3" s="1"/>
  <c r="AI255" i="3" s="1"/>
  <c r="O59" i="8"/>
  <c r="Q59" i="8" s="1"/>
  <c r="Q66" i="8"/>
  <c r="L76" i="8"/>
  <c r="AH257" i="3" s="1"/>
  <c r="AI257" i="3" s="1"/>
  <c r="Q105" i="8"/>
  <c r="J111" i="8"/>
  <c r="L111" i="8"/>
  <c r="AH263" i="3" s="1"/>
  <c r="AI263" i="3" s="1"/>
  <c r="O111" i="8"/>
  <c r="Q111" i="8"/>
  <c r="J113" i="8"/>
  <c r="L113" i="8" s="1"/>
  <c r="AH264" i="3" s="1"/>
  <c r="AI264" i="3" s="1"/>
  <c r="O113" i="8"/>
  <c r="Q113" i="8" s="1"/>
  <c r="AH266" i="3"/>
  <c r="AI266" i="3" s="1"/>
  <c r="Q125" i="8"/>
  <c r="L134" i="8"/>
  <c r="AH269" i="3" s="1"/>
  <c r="AI269" i="3" s="1"/>
  <c r="Q141" i="8"/>
  <c r="J9" i="7"/>
  <c r="L9" i="7"/>
  <c r="J11" i="7"/>
  <c r="O11" i="7"/>
  <c r="Q11" i="7" s="1"/>
  <c r="J13" i="7"/>
  <c r="L13" i="7" s="1"/>
  <c r="AH208" i="3" s="1"/>
  <c r="AI208" i="3" s="1"/>
  <c r="O13" i="7"/>
  <c r="Q13" i="7"/>
  <c r="J15" i="7"/>
  <c r="L15" i="7"/>
  <c r="AH209" i="3" s="1"/>
  <c r="AI209" i="3" s="1"/>
  <c r="AS209" i="3" s="1"/>
  <c r="L209" i="20" s="1"/>
  <c r="O15" i="7"/>
  <c r="Q15" i="7" s="1"/>
  <c r="L20" i="7"/>
  <c r="AH210" i="3" s="1"/>
  <c r="Q20" i="7"/>
  <c r="L23" i="7"/>
  <c r="AH211" i="3" s="1"/>
  <c r="AI211" i="3" s="1"/>
  <c r="J25" i="7"/>
  <c r="L25" i="7"/>
  <c r="AH212" i="3" s="1"/>
  <c r="AI212" i="3" s="1"/>
  <c r="O25" i="7"/>
  <c r="Q25" i="7" s="1"/>
  <c r="J27" i="7"/>
  <c r="L27" i="7" s="1"/>
  <c r="AH213" i="3" s="1"/>
  <c r="AI213" i="3" s="1"/>
  <c r="O27" i="7"/>
  <c r="Q27" i="7"/>
  <c r="Q31" i="7"/>
  <c r="J33" i="7"/>
  <c r="L33" i="7" s="1"/>
  <c r="AH215" i="3" s="1"/>
  <c r="AI215" i="3" s="1"/>
  <c r="O33" i="7"/>
  <c r="Q33" i="7"/>
  <c r="J35" i="7"/>
  <c r="L35" i="7"/>
  <c r="AH216" i="3" s="1"/>
  <c r="AI216" i="3" s="1"/>
  <c r="O35" i="7"/>
  <c r="Q35" i="7" s="1"/>
  <c r="J37" i="7"/>
  <c r="L37" i="7" s="1"/>
  <c r="AH217" i="3" s="1"/>
  <c r="AI217" i="3" s="1"/>
  <c r="AS217" i="3" s="1"/>
  <c r="L217" i="20" s="1"/>
  <c r="O37" i="7"/>
  <c r="Q37" i="7"/>
  <c r="J39" i="7"/>
  <c r="L39" i="7"/>
  <c r="AH218" i="3" s="1"/>
  <c r="AI218" i="3" s="1"/>
  <c r="AS218" i="3" s="1"/>
  <c r="L218" i="20" s="1"/>
  <c r="O39" i="7"/>
  <c r="Q39" i="7" s="1"/>
  <c r="L44" i="7"/>
  <c r="J47" i="7"/>
  <c r="L47" i="7"/>
  <c r="AH220" i="3" s="1"/>
  <c r="AI220" i="3" s="1"/>
  <c r="AS220" i="3" s="1"/>
  <c r="L220" i="20" s="1"/>
  <c r="O47" i="7"/>
  <c r="Q47" i="7" s="1"/>
  <c r="J49" i="7"/>
  <c r="L49" i="7" s="1"/>
  <c r="AH221" i="3" s="1"/>
  <c r="AI221" i="3" s="1"/>
  <c r="AS221" i="3" s="1"/>
  <c r="L221" i="20" s="1"/>
  <c r="O49" i="7"/>
  <c r="Q49" i="7"/>
  <c r="Q55" i="7"/>
  <c r="J57" i="7"/>
  <c r="L57" i="7" s="1"/>
  <c r="AH223" i="3" s="1"/>
  <c r="AI223" i="3" s="1"/>
  <c r="AL223" i="3" s="1"/>
  <c r="AO223" i="3" s="1"/>
  <c r="AP223" i="3" s="1"/>
  <c r="AR223" i="3" s="1"/>
  <c r="O57" i="7"/>
  <c r="Q57" i="7"/>
  <c r="J59" i="7"/>
  <c r="L59" i="7"/>
  <c r="AH224" i="3" s="1"/>
  <c r="AI224" i="3" s="1"/>
  <c r="O59" i="7"/>
  <c r="Q59" i="7" s="1"/>
  <c r="J61" i="7"/>
  <c r="L61" i="7" s="1"/>
  <c r="AH225" i="3" s="1"/>
  <c r="AI225" i="3" s="1"/>
  <c r="J65" i="7"/>
  <c r="L65" i="7"/>
  <c r="AH227" i="3" s="1"/>
  <c r="AI227" i="3" s="1"/>
  <c r="Q69" i="7"/>
  <c r="J72" i="7"/>
  <c r="L72" i="7"/>
  <c r="AH229" i="3" s="1"/>
  <c r="AI229" i="3" s="1"/>
  <c r="O72" i="7"/>
  <c r="Q72" i="7" s="1"/>
  <c r="L76" i="7"/>
  <c r="L86" i="7"/>
  <c r="AH233" i="3"/>
  <c r="AI233" i="3" s="1"/>
  <c r="Q86" i="7"/>
  <c r="J90" i="7"/>
  <c r="L96" i="7"/>
  <c r="AH236" i="3" s="1"/>
  <c r="AI236" i="3" s="1"/>
  <c r="Q96" i="7"/>
  <c r="AH242" i="3"/>
  <c r="AI242" i="3" s="1"/>
  <c r="Q121" i="7"/>
  <c r="T11" i="6"/>
  <c r="V11" i="6"/>
  <c r="Y11" i="6"/>
  <c r="AA11" i="6" s="1"/>
  <c r="T31" i="6"/>
  <c r="V31" i="6" s="1"/>
  <c r="Y31" i="6"/>
  <c r="AA31" i="6" s="1"/>
  <c r="Q47" i="6"/>
  <c r="T47" i="6"/>
  <c r="V47" i="6" s="1"/>
  <c r="Y47" i="6"/>
  <c r="AA47" i="6"/>
  <c r="T59" i="6"/>
  <c r="V59" i="6" s="1"/>
  <c r="Y59" i="6"/>
  <c r="AA59" i="6" s="1"/>
  <c r="J61" i="6"/>
  <c r="L61" i="6" s="1"/>
  <c r="AH160" i="3" s="1"/>
  <c r="AI160" i="3" s="1"/>
  <c r="T61" i="6"/>
  <c r="V61" i="6"/>
  <c r="Y61" i="6"/>
  <c r="AA61" i="6" s="1"/>
  <c r="T68" i="6"/>
  <c r="V68" i="6" s="1"/>
  <c r="Y68" i="6"/>
  <c r="AA68" i="6"/>
  <c r="L85" i="6"/>
  <c r="AH162" i="3" s="1"/>
  <c r="AI162" i="3" s="1"/>
  <c r="T85" i="6"/>
  <c r="V85" i="6" s="1"/>
  <c r="Y85" i="6"/>
  <c r="AA85" i="6" s="1"/>
  <c r="J87" i="6"/>
  <c r="L87" i="6"/>
  <c r="AH163" i="3" s="1"/>
  <c r="O87" i="6"/>
  <c r="Q87" i="6"/>
  <c r="T87" i="6"/>
  <c r="V87" i="6" s="1"/>
  <c r="Y87" i="6"/>
  <c r="AA87" i="6" s="1"/>
  <c r="Q90" i="6"/>
  <c r="T90" i="6"/>
  <c r="V90" i="6" s="1"/>
  <c r="Y90" i="6"/>
  <c r="AA90" i="6" s="1"/>
  <c r="L96" i="6"/>
  <c r="AH165" i="3" s="1"/>
  <c r="AI165" i="3" s="1"/>
  <c r="T96" i="6"/>
  <c r="V96" i="6"/>
  <c r="Y96" i="6"/>
  <c r="AA96" i="6" s="1"/>
  <c r="T101" i="6"/>
  <c r="V101" i="6" s="1"/>
  <c r="Y101" i="6"/>
  <c r="AA101" i="6"/>
  <c r="L106" i="6"/>
  <c r="AH167" i="3" s="1"/>
  <c r="AI167" i="3" s="1"/>
  <c r="Q106" i="6"/>
  <c r="T106" i="6"/>
  <c r="V106" i="6"/>
  <c r="Y106" i="6"/>
  <c r="AA106" i="6" s="1"/>
  <c r="T114" i="6"/>
  <c r="V114" i="6" s="1"/>
  <c r="Y114" i="6"/>
  <c r="AA114" i="6" s="1"/>
  <c r="L119" i="6"/>
  <c r="AH169" i="3" s="1"/>
  <c r="T119" i="6"/>
  <c r="V119" i="6"/>
  <c r="Y119" i="6"/>
  <c r="AA119" i="6" s="1"/>
  <c r="T126" i="6"/>
  <c r="V126" i="6" s="1"/>
  <c r="Y126" i="6"/>
  <c r="AA126" i="6" s="1"/>
  <c r="L139" i="6"/>
  <c r="T139" i="6"/>
  <c r="V139" i="6" s="1"/>
  <c r="Y139" i="6"/>
  <c r="AA139" i="6" s="1"/>
  <c r="J141" i="6"/>
  <c r="L141" i="6" s="1"/>
  <c r="AH172" i="3" s="1"/>
  <c r="AI172" i="3" s="1"/>
  <c r="O141" i="6"/>
  <c r="Q141" i="6" s="1"/>
  <c r="T141" i="6"/>
  <c r="V141" i="6" s="1"/>
  <c r="Y141" i="6"/>
  <c r="AA141" i="6" s="1"/>
  <c r="J143" i="6"/>
  <c r="L143" i="6" s="1"/>
  <c r="AH173" i="3" s="1"/>
  <c r="AI173" i="3" s="1"/>
  <c r="O143" i="6"/>
  <c r="Q143" i="6" s="1"/>
  <c r="T143" i="6"/>
  <c r="V143" i="6" s="1"/>
  <c r="Y143" i="6"/>
  <c r="AA143" i="6" s="1"/>
  <c r="J145" i="6"/>
  <c r="L145" i="6" s="1"/>
  <c r="AH174" i="3" s="1"/>
  <c r="O145" i="6"/>
  <c r="Q145" i="6" s="1"/>
  <c r="T145" i="6"/>
  <c r="V145" i="6" s="1"/>
  <c r="Y145" i="6"/>
  <c r="AA145" i="6" s="1"/>
  <c r="T154" i="6"/>
  <c r="V154" i="6" s="1"/>
  <c r="Y154" i="6"/>
  <c r="AA154" i="6" s="1"/>
  <c r="J156" i="6"/>
  <c r="L156" i="6" s="1"/>
  <c r="AH176" i="3" s="1"/>
  <c r="AI176" i="3" s="1"/>
  <c r="O156" i="6"/>
  <c r="Q156" i="6"/>
  <c r="T156" i="6"/>
  <c r="V156" i="6" s="1"/>
  <c r="Y156" i="6"/>
  <c r="AA156" i="6" s="1"/>
  <c r="J158" i="6"/>
  <c r="L158" i="6" s="1"/>
  <c r="AH177" i="3" s="1"/>
  <c r="O158" i="6"/>
  <c r="Q158" i="6" s="1"/>
  <c r="T158" i="6"/>
  <c r="V158" i="6" s="1"/>
  <c r="Y158" i="6"/>
  <c r="AA158" i="6" s="1"/>
  <c r="L168" i="6"/>
  <c r="AH178" i="3" s="1"/>
  <c r="AI178" i="3" s="1"/>
  <c r="Q168" i="6"/>
  <c r="T168" i="6"/>
  <c r="V168" i="6" s="1"/>
  <c r="Y168" i="6"/>
  <c r="AA168" i="6"/>
  <c r="J170" i="6"/>
  <c r="L170" i="6" s="1"/>
  <c r="AH179" i="3" s="1"/>
  <c r="AI179" i="3" s="1"/>
  <c r="T170" i="6"/>
  <c r="V170" i="6" s="1"/>
  <c r="Y170" i="6"/>
  <c r="AA170" i="6" s="1"/>
  <c r="L173" i="6"/>
  <c r="AH180" i="3" s="1"/>
  <c r="AI180" i="3" s="1"/>
  <c r="T173" i="6"/>
  <c r="V173" i="6"/>
  <c r="Y173" i="6"/>
  <c r="AA173" i="6" s="1"/>
  <c r="J175" i="6"/>
  <c r="L175" i="6" s="1"/>
  <c r="AH181" i="3" s="1"/>
  <c r="AI181" i="3" s="1"/>
  <c r="O175" i="6"/>
  <c r="Q175" i="6" s="1"/>
  <c r="T175" i="6"/>
  <c r="V175" i="6" s="1"/>
  <c r="Y175" i="6"/>
  <c r="AA175" i="6" s="1"/>
  <c r="J177" i="6"/>
  <c r="L177" i="6"/>
  <c r="AH184" i="3" s="1"/>
  <c r="O177" i="6"/>
  <c r="Q177" i="6"/>
  <c r="T177" i="6"/>
  <c r="V177" i="6" s="1"/>
  <c r="Y177" i="6"/>
  <c r="AA177" i="6" s="1"/>
  <c r="T186" i="6"/>
  <c r="V186" i="6" s="1"/>
  <c r="Y186" i="6"/>
  <c r="AA186" i="6"/>
  <c r="L193" i="6"/>
  <c r="AH190" i="3" s="1"/>
  <c r="AI190" i="3" s="1"/>
  <c r="T193" i="6"/>
  <c r="V193" i="6" s="1"/>
  <c r="Y193" i="6"/>
  <c r="AA193" i="6" s="1"/>
  <c r="L197" i="6"/>
  <c r="Q197" i="6"/>
  <c r="T197" i="6"/>
  <c r="V197" i="6" s="1"/>
  <c r="Y197" i="6"/>
  <c r="AA197" i="6" s="1"/>
  <c r="L217" i="6"/>
  <c r="AH196" i="3" s="1"/>
  <c r="AI196" i="3" s="1"/>
  <c r="Q217" i="6"/>
  <c r="T217" i="6"/>
  <c r="V217" i="6" s="1"/>
  <c r="Y217" i="6"/>
  <c r="AA217" i="6" s="1"/>
  <c r="T229" i="6"/>
  <c r="V229" i="6"/>
  <c r="Y229" i="6"/>
  <c r="AA229" i="6" s="1"/>
  <c r="Q251" i="6"/>
  <c r="T251" i="6"/>
  <c r="V251" i="6" s="1"/>
  <c r="Y251" i="6"/>
  <c r="AA251" i="6" s="1"/>
  <c r="T264" i="6"/>
  <c r="V264" i="6" s="1"/>
  <c r="Y264" i="6"/>
  <c r="AA264" i="6"/>
  <c r="J8" i="5"/>
  <c r="L8" i="5" s="1"/>
  <c r="AH78" i="3" s="1"/>
  <c r="AI78" i="3" s="1"/>
  <c r="J10" i="5"/>
  <c r="L10" i="5" s="1"/>
  <c r="AH79" i="3" s="1"/>
  <c r="AI79" i="3" s="1"/>
  <c r="L13" i="5"/>
  <c r="AH80" i="3" s="1"/>
  <c r="AI80" i="3" s="1"/>
  <c r="O13" i="5"/>
  <c r="Q13" i="5" s="1"/>
  <c r="J15" i="5"/>
  <c r="L15" i="5" s="1"/>
  <c r="AH81" i="3" s="1"/>
  <c r="AI81" i="3" s="1"/>
  <c r="O15" i="5"/>
  <c r="Q15" i="5" s="1"/>
  <c r="O18" i="5"/>
  <c r="Q18" i="5" s="1"/>
  <c r="J20" i="5"/>
  <c r="L20" i="5" s="1"/>
  <c r="AH83" i="3" s="1"/>
  <c r="AI83" i="3" s="1"/>
  <c r="O20" i="5"/>
  <c r="Q20" i="5" s="1"/>
  <c r="J22" i="5"/>
  <c r="L22" i="5"/>
  <c r="AH84" i="3" s="1"/>
  <c r="O22" i="5"/>
  <c r="Q22" i="5" s="1"/>
  <c r="J24" i="5"/>
  <c r="L24" i="5" s="1"/>
  <c r="O24" i="5"/>
  <c r="Q24" i="5" s="1"/>
  <c r="O27" i="5"/>
  <c r="Q27" i="5" s="1"/>
  <c r="J32" i="5"/>
  <c r="L32" i="5"/>
  <c r="AH87" i="3" s="1"/>
  <c r="AI87" i="3" s="1"/>
  <c r="AS87" i="3" s="1"/>
  <c r="L87" i="20" s="1"/>
  <c r="J34" i="5"/>
  <c r="L34" i="5"/>
  <c r="AH88" i="3" s="1"/>
  <c r="AI88" i="3" s="1"/>
  <c r="AL88" i="3" s="1"/>
  <c r="AO88" i="3" s="1"/>
  <c r="AP88" i="3" s="1"/>
  <c r="AR88" i="3" s="1"/>
  <c r="Q34" i="5"/>
  <c r="J36" i="5"/>
  <c r="L36" i="5"/>
  <c r="AH89" i="3" s="1"/>
  <c r="AI89" i="3" s="1"/>
  <c r="O36" i="5"/>
  <c r="Q36" i="5" s="1"/>
  <c r="L42" i="5"/>
  <c r="AH91" i="3" s="1"/>
  <c r="AI91" i="3" s="1"/>
  <c r="O42" i="5"/>
  <c r="Q42" i="5" s="1"/>
  <c r="L45" i="5"/>
  <c r="AH92" i="3" s="1"/>
  <c r="AI92" i="3" s="1"/>
  <c r="O45" i="5"/>
  <c r="Q45" i="5" s="1"/>
  <c r="L48" i="5"/>
  <c r="AH93" i="3" s="1"/>
  <c r="AI93" i="3" s="1"/>
  <c r="Q48" i="5"/>
  <c r="J50" i="5"/>
  <c r="L50" i="5" s="1"/>
  <c r="AH94" i="3" s="1"/>
  <c r="AI94" i="3" s="1"/>
  <c r="O50" i="5"/>
  <c r="Q50" i="5" s="1"/>
  <c r="J52" i="5"/>
  <c r="L52" i="5" s="1"/>
  <c r="AH95" i="3" s="1"/>
  <c r="AI95" i="3" s="1"/>
  <c r="O52" i="5"/>
  <c r="Q52" i="5" s="1"/>
  <c r="J54" i="5"/>
  <c r="L57" i="5" s="1"/>
  <c r="AH96" i="3" s="1"/>
  <c r="AI96" i="3" s="1"/>
  <c r="Q66" i="5"/>
  <c r="J68" i="5"/>
  <c r="L68" i="5" s="1"/>
  <c r="AH99" i="3" s="1"/>
  <c r="O68" i="5"/>
  <c r="Q68" i="5" s="1"/>
  <c r="J70" i="5"/>
  <c r="L70" i="5" s="1"/>
  <c r="AH100" i="3" s="1"/>
  <c r="O70" i="5"/>
  <c r="Q70" i="5" s="1"/>
  <c r="Q73" i="5"/>
  <c r="J75" i="5"/>
  <c r="L75" i="5" s="1"/>
  <c r="AH102" i="3" s="1"/>
  <c r="L78" i="5"/>
  <c r="AH103" i="3" s="1"/>
  <c r="AI103" i="3" s="1"/>
  <c r="Q78" i="5"/>
  <c r="J81" i="5"/>
  <c r="L81" i="5" s="1"/>
  <c r="AH104" i="3" s="1"/>
  <c r="AI104" i="3" s="1"/>
  <c r="J83" i="5"/>
  <c r="L83" i="5" s="1"/>
  <c r="AH105" i="3" s="1"/>
  <c r="AI105" i="3" s="1"/>
  <c r="O83" i="5"/>
  <c r="Q83" i="5" s="1"/>
  <c r="J86" i="5"/>
  <c r="L86" i="5"/>
  <c r="AH106" i="3" s="1"/>
  <c r="AI106" i="3" s="1"/>
  <c r="Q86" i="5"/>
  <c r="J88" i="5"/>
  <c r="L88" i="5"/>
  <c r="AH107" i="3" s="1"/>
  <c r="AI107" i="3" s="1"/>
  <c r="O88" i="5"/>
  <c r="Q88" i="5" s="1"/>
  <c r="J91" i="5"/>
  <c r="L91" i="5" s="1"/>
  <c r="AH108" i="3" s="1"/>
  <c r="AI108" i="3" s="1"/>
  <c r="L96" i="5"/>
  <c r="Q96" i="5"/>
  <c r="J98" i="5"/>
  <c r="L98" i="5" s="1"/>
  <c r="AH110" i="3" s="1"/>
  <c r="AI110" i="3" s="1"/>
  <c r="O98" i="5"/>
  <c r="Q98" i="5" s="1"/>
  <c r="J101" i="5"/>
  <c r="L101" i="5"/>
  <c r="AH111" i="3" s="1"/>
  <c r="AI111" i="3" s="1"/>
  <c r="J103" i="5"/>
  <c r="L103" i="5" s="1"/>
  <c r="AH112" i="3" s="1"/>
  <c r="AI112" i="3" s="1"/>
  <c r="O103" i="5"/>
  <c r="Q103" i="5" s="1"/>
  <c r="J105" i="5"/>
  <c r="L105" i="5" s="1"/>
  <c r="AH113" i="3" s="1"/>
  <c r="AI113" i="3" s="1"/>
  <c r="J107" i="5"/>
  <c r="L107" i="5" s="1"/>
  <c r="AH114" i="3" s="1"/>
  <c r="AI114" i="3" s="1"/>
  <c r="Q107" i="5"/>
  <c r="J109" i="5"/>
  <c r="L109" i="5" s="1"/>
  <c r="AH115" i="3" s="1"/>
  <c r="AI115" i="3" s="1"/>
  <c r="O109" i="5"/>
  <c r="Q109" i="5" s="1"/>
  <c r="J111" i="5"/>
  <c r="L111" i="5" s="1"/>
  <c r="AH116" i="3" s="1"/>
  <c r="AI116" i="3" s="1"/>
  <c r="O111" i="5"/>
  <c r="Q111" i="5" s="1"/>
  <c r="L116" i="5"/>
  <c r="J118" i="5"/>
  <c r="L118" i="5" s="1"/>
  <c r="AH118" i="3" s="1"/>
  <c r="AI118" i="3" s="1"/>
  <c r="O118" i="5"/>
  <c r="Q118" i="5" s="1"/>
  <c r="L122" i="5"/>
  <c r="AH119" i="3" s="1"/>
  <c r="AI119" i="3" s="1"/>
  <c r="Q122" i="5"/>
  <c r="J128" i="5"/>
  <c r="L128" i="5" s="1"/>
  <c r="AH121" i="3" s="1"/>
  <c r="AI121" i="3" s="1"/>
  <c r="O131" i="5"/>
  <c r="Q131" i="5" s="1"/>
  <c r="J133" i="5"/>
  <c r="L133" i="5" s="1"/>
  <c r="AH123" i="3" s="1"/>
  <c r="AI123" i="3" s="1"/>
  <c r="O133" i="5"/>
  <c r="Q133" i="5"/>
  <c r="J135" i="5"/>
  <c r="L135" i="5" s="1"/>
  <c r="AH124" i="3" s="1"/>
  <c r="AI124" i="3" s="1"/>
  <c r="O135" i="5"/>
  <c r="Q135" i="5" s="1"/>
  <c r="O140" i="5"/>
  <c r="Q140" i="5" s="1"/>
  <c r="J143" i="5"/>
  <c r="L143" i="5" s="1"/>
  <c r="AH126" i="3" s="1"/>
  <c r="AI126" i="3" s="1"/>
  <c r="L150" i="5"/>
  <c r="AH127" i="3" s="1"/>
  <c r="AI127" i="3" s="1"/>
  <c r="Q150" i="5"/>
  <c r="J152" i="5"/>
  <c r="L152" i="5" s="1"/>
  <c r="AH128" i="3" s="1"/>
  <c r="AI128" i="3" s="1"/>
  <c r="O152" i="5"/>
  <c r="Q152" i="5" s="1"/>
  <c r="L160" i="5"/>
  <c r="AH134" i="3" s="1"/>
  <c r="AI134" i="3" s="1"/>
  <c r="Q164" i="5"/>
  <c r="L167" i="5"/>
  <c r="AH140" i="3" s="1"/>
  <c r="AI140" i="3" s="1"/>
  <c r="O167" i="5"/>
  <c r="Q167" i="5"/>
  <c r="J171" i="5"/>
  <c r="L171" i="5" s="1"/>
  <c r="AH143" i="3" s="1"/>
  <c r="AI143" i="3" s="1"/>
  <c r="J173" i="5"/>
  <c r="L173" i="5" s="1"/>
  <c r="AH146" i="3" s="1"/>
  <c r="AI146" i="3" s="1"/>
  <c r="O173" i="5"/>
  <c r="Q173" i="5"/>
  <c r="L198" i="5"/>
  <c r="AH152" i="3" s="1"/>
  <c r="AI152" i="3" s="1"/>
  <c r="Q198" i="5"/>
  <c r="J200" i="5"/>
  <c r="L200" i="5" s="1"/>
  <c r="O200" i="5"/>
  <c r="Q200" i="5" s="1"/>
  <c r="L8" i="4"/>
  <c r="AH8" i="3" s="1"/>
  <c r="AI8" i="3" s="1"/>
  <c r="AO8" i="3" s="1"/>
  <c r="AP8" i="3" s="1"/>
  <c r="AR8" i="3" s="1"/>
  <c r="O8" i="4"/>
  <c r="Q8" i="4"/>
  <c r="J10" i="4"/>
  <c r="L10" i="4"/>
  <c r="AH9" i="3" s="1"/>
  <c r="AI9" i="3" s="1"/>
  <c r="O10" i="4"/>
  <c r="Q10" i="4" s="1"/>
  <c r="J12" i="4"/>
  <c r="L12" i="4" s="1"/>
  <c r="AH10" i="3" s="1"/>
  <c r="AI10" i="3" s="1"/>
  <c r="O12" i="4"/>
  <c r="Q12" i="4"/>
  <c r="J14" i="4"/>
  <c r="L14" i="4"/>
  <c r="AH11" i="3" s="1"/>
  <c r="AI11" i="3" s="1"/>
  <c r="O14" i="4"/>
  <c r="Q14" i="4" s="1"/>
  <c r="J16" i="4"/>
  <c r="L16" i="4" s="1"/>
  <c r="AH12" i="3" s="1"/>
  <c r="AI12" i="3" s="1"/>
  <c r="AS12" i="3" s="1"/>
  <c r="L12" i="20" s="1"/>
  <c r="O16" i="4"/>
  <c r="Q16" i="4"/>
  <c r="L19" i="4"/>
  <c r="O19" i="4"/>
  <c r="Q19" i="4" s="1"/>
  <c r="J21" i="4"/>
  <c r="L21" i="4" s="1"/>
  <c r="AH14" i="3" s="1"/>
  <c r="AI14" i="3" s="1"/>
  <c r="O21" i="4"/>
  <c r="Q21" i="4"/>
  <c r="J23" i="4"/>
  <c r="L23" i="4"/>
  <c r="AH15" i="3" s="1"/>
  <c r="AI15" i="3" s="1"/>
  <c r="O23" i="4"/>
  <c r="Q23" i="4" s="1"/>
  <c r="J26" i="4"/>
  <c r="L26" i="4" s="1"/>
  <c r="AH16" i="3" s="1"/>
  <c r="AI16" i="3" s="1"/>
  <c r="O26" i="4"/>
  <c r="Q26" i="4"/>
  <c r="J28" i="4"/>
  <c r="L28" i="4"/>
  <c r="AH17" i="3" s="1"/>
  <c r="AI17" i="3" s="1"/>
  <c r="AO17" i="3" s="1"/>
  <c r="AP17" i="3" s="1"/>
  <c r="AR17" i="3" s="1"/>
  <c r="O28" i="4"/>
  <c r="Q28" i="4" s="1"/>
  <c r="L31" i="4"/>
  <c r="O31" i="4"/>
  <c r="Q31" i="4"/>
  <c r="J33" i="4"/>
  <c r="L33" i="4"/>
  <c r="AH19" i="3" s="1"/>
  <c r="AI19" i="3" s="1"/>
  <c r="O33" i="4"/>
  <c r="Q33" i="4" s="1"/>
  <c r="J35" i="4"/>
  <c r="L35" i="4" s="1"/>
  <c r="AH20" i="3" s="1"/>
  <c r="AI20" i="3" s="1"/>
  <c r="AS20" i="3" s="1"/>
  <c r="L20" i="20" s="1"/>
  <c r="O35" i="4"/>
  <c r="Q35" i="4"/>
  <c r="J37" i="4"/>
  <c r="L37" i="4"/>
  <c r="AH21" i="3" s="1"/>
  <c r="AI21" i="3" s="1"/>
  <c r="J39" i="4"/>
  <c r="L39" i="4" s="1"/>
  <c r="AH22" i="3" s="1"/>
  <c r="AI22" i="3" s="1"/>
  <c r="O39" i="4"/>
  <c r="Q39" i="4"/>
  <c r="J41" i="4"/>
  <c r="L41" i="4"/>
  <c r="O41" i="4"/>
  <c r="Q41" i="4"/>
  <c r="J43" i="4"/>
  <c r="L43" i="4"/>
  <c r="AH24" i="3" s="1"/>
  <c r="AI24" i="3" s="1"/>
  <c r="AS24" i="3" s="1"/>
  <c r="L24" i="20" s="1"/>
  <c r="O43" i="4"/>
  <c r="Q43" i="4" s="1"/>
  <c r="J45" i="4"/>
  <c r="L45" i="4" s="1"/>
  <c r="AH25" i="3" s="1"/>
  <c r="AI25" i="3" s="1"/>
  <c r="AO25" i="3" s="1"/>
  <c r="AP25" i="3" s="1"/>
  <c r="AR25" i="3" s="1"/>
  <c r="O45" i="4"/>
  <c r="Q45" i="4" s="1"/>
  <c r="L48" i="4"/>
  <c r="O48" i="4"/>
  <c r="Q48" i="4"/>
  <c r="L51" i="4"/>
  <c r="Q51" i="4"/>
  <c r="J53" i="4"/>
  <c r="L53" i="4"/>
  <c r="O53" i="4"/>
  <c r="Q53" i="4"/>
  <c r="J55" i="4"/>
  <c r="L55" i="4"/>
  <c r="J57" i="4"/>
  <c r="L57" i="4"/>
  <c r="AH30" i="3" s="1"/>
  <c r="AI30" i="3" s="1"/>
  <c r="O57" i="4"/>
  <c r="Q57" i="4" s="1"/>
  <c r="J59" i="4"/>
  <c r="L59" i="4" s="1"/>
  <c r="AH31" i="3" s="1"/>
  <c r="AI31" i="3" s="1"/>
  <c r="O59" i="4"/>
  <c r="Q59" i="4"/>
  <c r="L64" i="4"/>
  <c r="AH32" i="3"/>
  <c r="AH40" i="3" s="1"/>
  <c r="Q64" i="4"/>
  <c r="J66" i="4"/>
  <c r="L66" i="4" s="1"/>
  <c r="AH33" i="3" s="1"/>
  <c r="AI33" i="3" s="1"/>
  <c r="O66" i="4"/>
  <c r="Q66" i="4" s="1"/>
  <c r="J68" i="4"/>
  <c r="L68" i="4" s="1"/>
  <c r="AH34" i="3" s="1"/>
  <c r="AI34" i="3" s="1"/>
  <c r="O68" i="4"/>
  <c r="Q68" i="4" s="1"/>
  <c r="J70" i="4"/>
  <c r="L70" i="4" s="1"/>
  <c r="AH35" i="3" s="1"/>
  <c r="AI35" i="3" s="1"/>
  <c r="O70" i="4"/>
  <c r="Q70" i="4" s="1"/>
  <c r="L73" i="4"/>
  <c r="L76" i="4"/>
  <c r="Q76" i="4"/>
  <c r="J78" i="4"/>
  <c r="L78" i="4"/>
  <c r="O78" i="4"/>
  <c r="Q78" i="4"/>
  <c r="J80" i="4"/>
  <c r="L80" i="4"/>
  <c r="AH41" i="3" s="1"/>
  <c r="AI41" i="3" s="1"/>
  <c r="O80" i="4"/>
  <c r="Q80" i="4" s="1"/>
  <c r="J82" i="4"/>
  <c r="L82" i="4" s="1"/>
  <c r="AH44" i="3" s="1"/>
  <c r="AI44" i="3" s="1"/>
  <c r="J84" i="4"/>
  <c r="L84" i="4"/>
  <c r="AH47" i="3" s="1"/>
  <c r="AI47" i="3" s="1"/>
  <c r="Q84" i="4"/>
  <c r="J88" i="4"/>
  <c r="L88" i="4"/>
  <c r="O88" i="4"/>
  <c r="Q88" i="4"/>
  <c r="J86" i="4"/>
  <c r="L86" i="4"/>
  <c r="O86" i="4"/>
  <c r="Q86" i="4"/>
  <c r="Q95" i="4"/>
  <c r="J97" i="4"/>
  <c r="Q111" i="4"/>
  <c r="J113" i="4"/>
  <c r="L113" i="4" s="1"/>
  <c r="AH55" i="3" s="1"/>
  <c r="AI55" i="3" s="1"/>
  <c r="O113" i="4"/>
  <c r="Q113" i="4" s="1"/>
  <c r="J115" i="4"/>
  <c r="L115" i="4" s="1"/>
  <c r="AH56" i="3" s="1"/>
  <c r="AI56" i="3" s="1"/>
  <c r="O115" i="4"/>
  <c r="Q115" i="4" s="1"/>
  <c r="L120" i="4"/>
  <c r="Q120" i="4"/>
  <c r="J122" i="4"/>
  <c r="L122" i="4" s="1"/>
  <c r="AH58" i="3" s="1"/>
  <c r="AI58" i="3" s="1"/>
  <c r="O122" i="4"/>
  <c r="Q122" i="4"/>
  <c r="L125" i="4"/>
  <c r="AH59" i="3"/>
  <c r="AI59" i="3" s="1"/>
  <c r="Q125" i="4"/>
  <c r="L130" i="4"/>
  <c r="AH62" i="3" s="1"/>
  <c r="AI62" i="3" s="1"/>
  <c r="Q130" i="4"/>
  <c r="L134" i="4"/>
  <c r="L143" i="4"/>
  <c r="J145" i="4"/>
  <c r="L145" i="4" s="1"/>
  <c r="O145" i="4"/>
  <c r="Q145" i="4"/>
  <c r="J147" i="4"/>
  <c r="L147" i="4"/>
  <c r="AH74" i="3" s="1"/>
  <c r="AI74" i="3" s="1"/>
  <c r="L150" i="4"/>
  <c r="Q150" i="4"/>
  <c r="A4" i="20"/>
  <c r="C4" i="20"/>
  <c r="D4" i="20"/>
  <c r="J4" i="20"/>
  <c r="K4" i="20"/>
  <c r="L4" i="20"/>
  <c r="D5" i="20"/>
  <c r="A7" i="20"/>
  <c r="C7" i="20"/>
  <c r="D7" i="20"/>
  <c r="J7" i="20"/>
  <c r="K7" i="20"/>
  <c r="L7" i="20"/>
  <c r="A4" i="19"/>
  <c r="C4" i="19"/>
  <c r="D4" i="19"/>
  <c r="K4" i="19"/>
  <c r="L4" i="19"/>
  <c r="M4" i="19"/>
  <c r="D5" i="19"/>
  <c r="A7" i="19"/>
  <c r="C7" i="19"/>
  <c r="D7" i="19"/>
  <c r="K7" i="19"/>
  <c r="L7" i="19"/>
  <c r="M7" i="19"/>
  <c r="M8" i="3"/>
  <c r="U8" i="3"/>
  <c r="M8" i="19" s="1"/>
  <c r="M9" i="3"/>
  <c r="P9" i="3" s="1"/>
  <c r="U9" i="3"/>
  <c r="M9" i="19" s="1"/>
  <c r="AL9" i="3"/>
  <c r="U10" i="3"/>
  <c r="M10" i="19"/>
  <c r="AJ10" i="3"/>
  <c r="M11" i="3"/>
  <c r="P11" i="3" s="1"/>
  <c r="U11" i="3"/>
  <c r="M11" i="19"/>
  <c r="AJ11" i="3"/>
  <c r="M12" i="3"/>
  <c r="U12" i="3"/>
  <c r="M12" i="19"/>
  <c r="AJ12" i="3"/>
  <c r="M13" i="3"/>
  <c r="P13" i="3" s="1"/>
  <c r="U13" i="3"/>
  <c r="M13" i="19"/>
  <c r="AJ13" i="3"/>
  <c r="M14" i="3"/>
  <c r="U14" i="3"/>
  <c r="M14" i="19"/>
  <c r="AJ14" i="3"/>
  <c r="M15" i="3"/>
  <c r="U15" i="3"/>
  <c r="M15" i="19"/>
  <c r="AJ15" i="3"/>
  <c r="M16" i="3"/>
  <c r="P16" i="3" s="1"/>
  <c r="U16" i="3"/>
  <c r="M16" i="19" s="1"/>
  <c r="AJ16" i="3"/>
  <c r="M17" i="3"/>
  <c r="U17" i="3"/>
  <c r="M17" i="19" s="1"/>
  <c r="AJ17" i="3"/>
  <c r="AL17" i="3" s="1"/>
  <c r="AN17" i="3" s="1"/>
  <c r="M18" i="3"/>
  <c r="P18" i="3" s="1"/>
  <c r="Q18" i="3" s="1"/>
  <c r="R18" i="3" s="1"/>
  <c r="T18" i="3" s="1"/>
  <c r="U18" i="3"/>
  <c r="M18" i="19" s="1"/>
  <c r="AH18" i="3"/>
  <c r="AI18" i="3" s="1"/>
  <c r="AS18" i="3" s="1"/>
  <c r="L18" i="20" s="1"/>
  <c r="AJ18" i="3"/>
  <c r="AL18" i="3" s="1"/>
  <c r="AN18" i="3" s="1"/>
  <c r="M19" i="3"/>
  <c r="U19" i="3"/>
  <c r="M19" i="19" s="1"/>
  <c r="AJ19" i="3"/>
  <c r="AL19" i="3" s="1"/>
  <c r="AN19" i="3" s="1"/>
  <c r="M20" i="3"/>
  <c r="U20" i="3"/>
  <c r="M20" i="19" s="1"/>
  <c r="AJ20" i="3"/>
  <c r="M21" i="3"/>
  <c r="P21" i="3" s="1"/>
  <c r="U21" i="3"/>
  <c r="M21" i="19" s="1"/>
  <c r="AJ21" i="3"/>
  <c r="M22" i="3"/>
  <c r="U22" i="3"/>
  <c r="M22" i="19" s="1"/>
  <c r="AJ22" i="3"/>
  <c r="AL22" i="3" s="1"/>
  <c r="M23" i="3"/>
  <c r="P23" i="3" s="1"/>
  <c r="Q23" i="3" s="1"/>
  <c r="U23" i="3"/>
  <c r="M23" i="19" s="1"/>
  <c r="AH23" i="3"/>
  <c r="AI23" i="3" s="1"/>
  <c r="AJ23" i="3"/>
  <c r="AL23" i="3" s="1"/>
  <c r="AN23" i="3" s="1"/>
  <c r="M24" i="3"/>
  <c r="U24" i="3"/>
  <c r="M24" i="19" s="1"/>
  <c r="AJ24" i="3"/>
  <c r="M25" i="3"/>
  <c r="P25" i="3" s="1"/>
  <c r="Q25" i="3" s="1"/>
  <c r="U25" i="3"/>
  <c r="M25" i="19" s="1"/>
  <c r="AJ25" i="3"/>
  <c r="AL25" i="3" s="1"/>
  <c r="AN25" i="3" s="1"/>
  <c r="M26" i="3"/>
  <c r="P26" i="3" s="1"/>
  <c r="Q26" i="3" s="1"/>
  <c r="I26" i="19" s="1"/>
  <c r="U26" i="3"/>
  <c r="M26" i="19" s="1"/>
  <c r="AH26" i="3"/>
  <c r="AI26" i="3" s="1"/>
  <c r="AJ26" i="3"/>
  <c r="P27" i="3"/>
  <c r="Q27" i="3" s="1"/>
  <c r="U27" i="3"/>
  <c r="M27" i="19" s="1"/>
  <c r="AJ27" i="3"/>
  <c r="U28" i="3"/>
  <c r="M28" i="19" s="1"/>
  <c r="AH28" i="3"/>
  <c r="AI28" i="3" s="1"/>
  <c r="AJ28" i="3"/>
  <c r="AL28" i="3" s="1"/>
  <c r="AN28" i="3" s="1"/>
  <c r="U29" i="3"/>
  <c r="M29" i="19" s="1"/>
  <c r="AH29" i="3"/>
  <c r="AH45" i="3" s="1"/>
  <c r="AI45" i="3" s="1"/>
  <c r="AJ29" i="3"/>
  <c r="M30" i="3"/>
  <c r="U30" i="3"/>
  <c r="M30" i="19" s="1"/>
  <c r="AJ30" i="3"/>
  <c r="M31" i="3"/>
  <c r="U31" i="3"/>
  <c r="M31" i="19" s="1"/>
  <c r="AJ31" i="3"/>
  <c r="U32" i="3"/>
  <c r="M32" i="19" s="1"/>
  <c r="AJ32" i="3"/>
  <c r="M33" i="3"/>
  <c r="AJ33" i="3"/>
  <c r="M34" i="3"/>
  <c r="P34" i="3" s="1"/>
  <c r="U34" i="3"/>
  <c r="M34" i="19" s="1"/>
  <c r="AJ34" i="3"/>
  <c r="AL34" i="3" s="1"/>
  <c r="M35" i="3"/>
  <c r="U35" i="3"/>
  <c r="M35" i="19" s="1"/>
  <c r="AJ35" i="3"/>
  <c r="M36" i="3"/>
  <c r="U36" i="3"/>
  <c r="M36" i="19" s="1"/>
  <c r="AH36" i="3"/>
  <c r="AI36" i="3" s="1"/>
  <c r="AJ36" i="3"/>
  <c r="M37" i="3"/>
  <c r="P37" i="3" s="1"/>
  <c r="Q37" i="3" s="1"/>
  <c r="U37" i="3"/>
  <c r="M37" i="19" s="1"/>
  <c r="AH37" i="3"/>
  <c r="AI37" i="3" s="1"/>
  <c r="AJ37" i="3"/>
  <c r="M38" i="3"/>
  <c r="U38" i="3"/>
  <c r="M38" i="19" s="1"/>
  <c r="AJ38" i="3"/>
  <c r="AL38" i="3" s="1"/>
  <c r="AN38" i="3" s="1"/>
  <c r="M39" i="3"/>
  <c r="U39" i="3"/>
  <c r="M39" i="19" s="1"/>
  <c r="AJ39" i="3"/>
  <c r="M40" i="3"/>
  <c r="AJ40" i="3"/>
  <c r="AL40" i="3" s="1"/>
  <c r="AN40" i="3" s="1"/>
  <c r="M41" i="3"/>
  <c r="P41" i="3" s="1"/>
  <c r="Q41" i="3" s="1"/>
  <c r="I41" i="19" s="1"/>
  <c r="AJ41" i="3"/>
  <c r="M42" i="3"/>
  <c r="U42" i="3"/>
  <c r="M42" i="19" s="1"/>
  <c r="AJ42" i="3"/>
  <c r="M43" i="3"/>
  <c r="AJ43" i="3"/>
  <c r="M44" i="3"/>
  <c r="P44" i="3" s="1"/>
  <c r="Q44" i="3" s="1"/>
  <c r="I44" i="19" s="1"/>
  <c r="AJ44" i="3"/>
  <c r="M45" i="3"/>
  <c r="P45" i="3" s="1"/>
  <c r="U45" i="3"/>
  <c r="M45" i="19" s="1"/>
  <c r="AJ45" i="3"/>
  <c r="M46" i="3"/>
  <c r="AJ46" i="3"/>
  <c r="M47" i="3"/>
  <c r="AJ47" i="3"/>
  <c r="AL47" i="3" s="1"/>
  <c r="AN47" i="3" s="1"/>
  <c r="M48" i="3"/>
  <c r="P48" i="3" s="1"/>
  <c r="U48" i="3"/>
  <c r="M48" i="19" s="1"/>
  <c r="AJ48" i="3"/>
  <c r="M49" i="3"/>
  <c r="P49" i="3" s="1"/>
  <c r="AJ49" i="3"/>
  <c r="M50" i="3"/>
  <c r="AH50" i="3"/>
  <c r="AI50" i="3" s="1"/>
  <c r="AJ50" i="3"/>
  <c r="M51" i="3"/>
  <c r="P51" i="3"/>
  <c r="AH51" i="3"/>
  <c r="AI51" i="3" s="1"/>
  <c r="AJ51" i="3"/>
  <c r="AN51" i="3"/>
  <c r="M52" i="3"/>
  <c r="P52" i="3"/>
  <c r="U52" i="3" s="1"/>
  <c r="M52" i="19" s="1"/>
  <c r="AH52" i="3"/>
  <c r="AI52" i="3" s="1"/>
  <c r="AJ52" i="3"/>
  <c r="AN52" i="3"/>
  <c r="M53" i="3"/>
  <c r="P53" i="3"/>
  <c r="AJ53" i="3"/>
  <c r="AN53" i="3"/>
  <c r="M54" i="3"/>
  <c r="P54" i="3"/>
  <c r="U54" i="3" s="1"/>
  <c r="M54" i="19" s="1"/>
  <c r="AJ54" i="3"/>
  <c r="AN54" i="3"/>
  <c r="M55" i="3"/>
  <c r="P55" i="3"/>
  <c r="AJ55" i="3"/>
  <c r="AN55" i="3"/>
  <c r="M56" i="3"/>
  <c r="P56" i="3"/>
  <c r="U56" i="3" s="1"/>
  <c r="M56" i="19" s="1"/>
  <c r="AJ56" i="3"/>
  <c r="AN56" i="3"/>
  <c r="M57" i="3"/>
  <c r="P57" i="3"/>
  <c r="AH57" i="3"/>
  <c r="AI57" i="3" s="1"/>
  <c r="AJ57" i="3"/>
  <c r="AN57" i="3"/>
  <c r="M58" i="3"/>
  <c r="P58" i="3"/>
  <c r="AJ58" i="3"/>
  <c r="AN58" i="3"/>
  <c r="M59" i="3"/>
  <c r="P59" i="3"/>
  <c r="U59" i="3" s="1"/>
  <c r="AJ59" i="3"/>
  <c r="AN59" i="3"/>
  <c r="M60" i="3"/>
  <c r="P60" i="3"/>
  <c r="AJ60" i="3"/>
  <c r="AN60" i="3"/>
  <c r="M61" i="3"/>
  <c r="P61" i="3"/>
  <c r="AJ61" i="3"/>
  <c r="AN61" i="3"/>
  <c r="M62" i="3"/>
  <c r="P62" i="3"/>
  <c r="AJ62" i="3"/>
  <c r="AN62" i="3"/>
  <c r="M63" i="3"/>
  <c r="P63" i="3"/>
  <c r="AJ63" i="3"/>
  <c r="AN63" i="3"/>
  <c r="M64" i="3"/>
  <c r="P64" i="3"/>
  <c r="AJ64" i="3"/>
  <c r="AN64" i="3"/>
  <c r="M65" i="3"/>
  <c r="P65" i="3"/>
  <c r="AH65" i="3"/>
  <c r="AI65" i="3" s="1"/>
  <c r="AJ65" i="3"/>
  <c r="AN65" i="3"/>
  <c r="M66" i="3"/>
  <c r="P66" i="3"/>
  <c r="AJ66" i="3"/>
  <c r="AN66" i="3"/>
  <c r="M67" i="3"/>
  <c r="P67" i="3"/>
  <c r="AJ67" i="3"/>
  <c r="AN67" i="3"/>
  <c r="M68" i="3"/>
  <c r="P68" i="3"/>
  <c r="AH68" i="3"/>
  <c r="AI68" i="3" s="1"/>
  <c r="AJ68" i="3"/>
  <c r="AN68" i="3"/>
  <c r="M69" i="3"/>
  <c r="P69" i="3"/>
  <c r="U69" i="3" s="1"/>
  <c r="M69" i="19" s="1"/>
  <c r="AJ69" i="3"/>
  <c r="AN69" i="3"/>
  <c r="M70" i="3"/>
  <c r="P70" i="3"/>
  <c r="AJ70" i="3"/>
  <c r="AN70" i="3"/>
  <c r="M71" i="3"/>
  <c r="P71" i="3"/>
  <c r="AJ71" i="3"/>
  <c r="AN71" i="3"/>
  <c r="M72" i="3"/>
  <c r="P72" i="3"/>
  <c r="U72" i="3" s="1"/>
  <c r="AJ72" i="3"/>
  <c r="AN72" i="3"/>
  <c r="M73" i="3"/>
  <c r="P73" i="3"/>
  <c r="AJ73" i="3"/>
  <c r="AN73" i="3"/>
  <c r="M74" i="3"/>
  <c r="P74" i="3"/>
  <c r="AJ74" i="3"/>
  <c r="AN74" i="3"/>
  <c r="M75" i="3"/>
  <c r="P75" i="3"/>
  <c r="AJ75" i="3"/>
  <c r="AN75" i="3"/>
  <c r="M76" i="3"/>
  <c r="P76" i="3"/>
  <c r="AJ76" i="3"/>
  <c r="AN76" i="3"/>
  <c r="M77" i="3"/>
  <c r="P77" i="3"/>
  <c r="AH77" i="3"/>
  <c r="AI77" i="3" s="1"/>
  <c r="AJ77" i="3"/>
  <c r="AN77" i="3"/>
  <c r="M78" i="3"/>
  <c r="P78" i="3" s="1"/>
  <c r="Q78" i="3" s="1"/>
  <c r="I78" i="19" s="1"/>
  <c r="U78" i="3"/>
  <c r="M78" i="19" s="1"/>
  <c r="AJ78" i="3"/>
  <c r="AL78" i="3" s="1"/>
  <c r="AN78" i="3" s="1"/>
  <c r="M79" i="3"/>
  <c r="P79" i="3" s="1"/>
  <c r="U79" i="3"/>
  <c r="M79" i="19" s="1"/>
  <c r="AJ79" i="3"/>
  <c r="M80" i="3"/>
  <c r="P80" i="3" s="1"/>
  <c r="U80" i="3"/>
  <c r="M80" i="19" s="1"/>
  <c r="AJ80" i="3"/>
  <c r="M81" i="3"/>
  <c r="P81" i="3" s="1"/>
  <c r="U81" i="3"/>
  <c r="M81" i="19" s="1"/>
  <c r="AJ81" i="3"/>
  <c r="AL81" i="3" s="1"/>
  <c r="AN81" i="3" s="1"/>
  <c r="M82" i="3"/>
  <c r="P82" i="3" s="1"/>
  <c r="Q82" i="3" s="1"/>
  <c r="U82" i="3"/>
  <c r="M82" i="19" s="1"/>
  <c r="AJ82" i="3"/>
  <c r="M83" i="3"/>
  <c r="P83" i="3" s="1"/>
  <c r="Q83" i="3" s="1"/>
  <c r="I83" i="19" s="1"/>
  <c r="U83" i="3"/>
  <c r="M83" i="19" s="1"/>
  <c r="AJ83" i="3"/>
  <c r="M84" i="3"/>
  <c r="U84" i="3"/>
  <c r="M84" i="19" s="1"/>
  <c r="AJ84" i="3"/>
  <c r="AL84" i="3" s="1"/>
  <c r="AN84" i="3" s="1"/>
  <c r="M85" i="3"/>
  <c r="P85" i="3" s="1"/>
  <c r="Q85" i="3" s="1"/>
  <c r="I85" i="19" s="1"/>
  <c r="U85" i="3"/>
  <c r="M85" i="19" s="1"/>
  <c r="AJ85" i="3"/>
  <c r="M86" i="3"/>
  <c r="P86" i="3" s="1"/>
  <c r="Q86" i="3" s="1"/>
  <c r="I86" i="19" s="1"/>
  <c r="U86" i="3"/>
  <c r="M86" i="19" s="1"/>
  <c r="AJ86" i="3"/>
  <c r="AL86" i="3" s="1"/>
  <c r="AN86" i="3" s="1"/>
  <c r="M87" i="3"/>
  <c r="P87" i="3" s="1"/>
  <c r="U87" i="3"/>
  <c r="M87" i="19" s="1"/>
  <c r="AJ87" i="3"/>
  <c r="AL87" i="3" s="1"/>
  <c r="AN87" i="3" s="1"/>
  <c r="M88" i="3"/>
  <c r="P88" i="3"/>
  <c r="AJ88" i="3"/>
  <c r="AN88" i="3"/>
  <c r="M89" i="3"/>
  <c r="P89" i="3"/>
  <c r="AJ89" i="3"/>
  <c r="AN89" i="3"/>
  <c r="M90" i="3"/>
  <c r="P90" i="3"/>
  <c r="AJ90" i="3"/>
  <c r="AN90" i="3"/>
  <c r="M91" i="3"/>
  <c r="P91" i="3"/>
  <c r="U91" i="3" s="1"/>
  <c r="M91" i="19" s="1"/>
  <c r="AJ91" i="3"/>
  <c r="AN91" i="3"/>
  <c r="M92" i="3"/>
  <c r="P92" i="3"/>
  <c r="U92" i="3" s="1"/>
  <c r="M92" i="19" s="1"/>
  <c r="AJ92" i="3"/>
  <c r="AN92" i="3"/>
  <c r="M93" i="3"/>
  <c r="P93" i="3"/>
  <c r="AJ93" i="3"/>
  <c r="AN93" i="3"/>
  <c r="M94" i="3"/>
  <c r="P94" i="3"/>
  <c r="AJ94" i="3"/>
  <c r="AN94" i="3"/>
  <c r="M95" i="3"/>
  <c r="P95" i="3"/>
  <c r="AJ95" i="3"/>
  <c r="AN95" i="3"/>
  <c r="M96" i="3"/>
  <c r="P96" i="3"/>
  <c r="AJ96" i="3"/>
  <c r="AN96" i="3"/>
  <c r="M97" i="3"/>
  <c r="P97" i="3"/>
  <c r="AJ97" i="3"/>
  <c r="AN97" i="3"/>
  <c r="M98" i="3"/>
  <c r="P98" i="3"/>
  <c r="AJ98" i="3"/>
  <c r="AN98" i="3"/>
  <c r="M99" i="3"/>
  <c r="P99" i="3"/>
  <c r="U99" i="3" s="1"/>
  <c r="M99" i="19" s="1"/>
  <c r="AJ99" i="3"/>
  <c r="AN99" i="3"/>
  <c r="M100" i="3"/>
  <c r="P100" i="3"/>
  <c r="AJ100" i="3"/>
  <c r="AN100" i="3"/>
  <c r="M101" i="3"/>
  <c r="P101" i="3"/>
  <c r="U101" i="3" s="1"/>
  <c r="M101" i="19" s="1"/>
  <c r="AJ101" i="3"/>
  <c r="AN101" i="3"/>
  <c r="M102" i="3"/>
  <c r="P102" i="3"/>
  <c r="AJ102" i="3"/>
  <c r="AN102" i="3"/>
  <c r="M103" i="3"/>
  <c r="P103" i="3"/>
  <c r="U103" i="3" s="1"/>
  <c r="M103" i="19" s="1"/>
  <c r="AJ103" i="3"/>
  <c r="AN103" i="3"/>
  <c r="M104" i="3"/>
  <c r="P104" i="3"/>
  <c r="U104" i="3" s="1"/>
  <c r="M104" i="19" s="1"/>
  <c r="AJ104" i="3"/>
  <c r="AN104" i="3"/>
  <c r="M105" i="3"/>
  <c r="P105" i="3"/>
  <c r="U105" i="3" s="1"/>
  <c r="M105" i="19" s="1"/>
  <c r="AJ105" i="3"/>
  <c r="AN105" i="3"/>
  <c r="M106" i="3"/>
  <c r="P106" i="3"/>
  <c r="U106" i="3" s="1"/>
  <c r="M106" i="19" s="1"/>
  <c r="AJ106" i="3"/>
  <c r="AN106" i="3"/>
  <c r="M107" i="3"/>
  <c r="P107" i="3"/>
  <c r="U107" i="3" s="1"/>
  <c r="M107" i="19" s="1"/>
  <c r="AJ107" i="3"/>
  <c r="AN107" i="3"/>
  <c r="M108" i="3"/>
  <c r="P108" i="3"/>
  <c r="AJ108" i="3"/>
  <c r="AN108" i="3"/>
  <c r="M109" i="3"/>
  <c r="P109" i="3"/>
  <c r="U109" i="3" s="1"/>
  <c r="M109" i="19" s="1"/>
  <c r="AH109" i="3"/>
  <c r="AI109" i="3" s="1"/>
  <c r="AJ109" i="3"/>
  <c r="AN109" i="3"/>
  <c r="M110" i="3"/>
  <c r="P110" i="3"/>
  <c r="AJ110" i="3"/>
  <c r="AN110" i="3"/>
  <c r="M111" i="3"/>
  <c r="P111" i="3"/>
  <c r="AJ111" i="3"/>
  <c r="AN111" i="3"/>
  <c r="M112" i="3"/>
  <c r="P112" i="3"/>
  <c r="AJ112" i="3"/>
  <c r="AN112" i="3"/>
  <c r="M113" i="3"/>
  <c r="P113" i="3"/>
  <c r="AJ113" i="3"/>
  <c r="AN113" i="3"/>
  <c r="M114" i="3"/>
  <c r="P114" i="3"/>
  <c r="AJ114" i="3"/>
  <c r="AN114" i="3"/>
  <c r="M115" i="3"/>
  <c r="P115" i="3"/>
  <c r="U115" i="3" s="1"/>
  <c r="M115" i="19" s="1"/>
  <c r="AJ115" i="3"/>
  <c r="AN115" i="3"/>
  <c r="M116" i="3"/>
  <c r="P116" i="3"/>
  <c r="U116" i="3" s="1"/>
  <c r="AJ116" i="3"/>
  <c r="AN116" i="3"/>
  <c r="M117" i="3"/>
  <c r="P117" i="3"/>
  <c r="AJ117" i="3"/>
  <c r="AN117" i="3"/>
  <c r="M118" i="3"/>
  <c r="P118" i="3"/>
  <c r="AJ118" i="3"/>
  <c r="AN118" i="3"/>
  <c r="M119" i="3"/>
  <c r="P119" i="3"/>
  <c r="AJ119" i="3"/>
  <c r="AN119" i="3"/>
  <c r="M120" i="3"/>
  <c r="P120" i="3"/>
  <c r="U120" i="3" s="1"/>
  <c r="M120" i="19" s="1"/>
  <c r="AJ120" i="3"/>
  <c r="AN120" i="3"/>
  <c r="M121" i="3"/>
  <c r="P121" i="3"/>
  <c r="AJ121" i="3"/>
  <c r="AN121" i="3"/>
  <c r="M122" i="3"/>
  <c r="P122" i="3"/>
  <c r="U122" i="3" s="1"/>
  <c r="AJ122" i="3"/>
  <c r="AN122" i="3"/>
  <c r="M123" i="3"/>
  <c r="P123" i="3"/>
  <c r="U123" i="3" s="1"/>
  <c r="AJ123" i="3"/>
  <c r="AN123" i="3"/>
  <c r="M124" i="3"/>
  <c r="P124" i="3"/>
  <c r="AJ124" i="3"/>
  <c r="AN124" i="3"/>
  <c r="M125" i="3"/>
  <c r="P125" i="3"/>
  <c r="AJ125" i="3"/>
  <c r="AN125" i="3"/>
  <c r="M126" i="3"/>
  <c r="P126" i="3"/>
  <c r="U126" i="3" s="1"/>
  <c r="M126" i="19" s="1"/>
  <c r="AJ126" i="3"/>
  <c r="AN126" i="3"/>
  <c r="M127" i="3"/>
  <c r="P127" i="3"/>
  <c r="AJ127" i="3"/>
  <c r="AN127" i="3"/>
  <c r="M128" i="3"/>
  <c r="P128" i="3"/>
  <c r="AJ128" i="3"/>
  <c r="AN128" i="3"/>
  <c r="M129" i="3"/>
  <c r="P129" i="3"/>
  <c r="AJ129" i="3"/>
  <c r="AN129" i="3"/>
  <c r="M130" i="3"/>
  <c r="P130" i="3"/>
  <c r="AI130" i="3"/>
  <c r="AJ130" i="3"/>
  <c r="AL130" i="3" s="1"/>
  <c r="AO130" i="3" s="1"/>
  <c r="AN130" i="3"/>
  <c r="M131" i="3"/>
  <c r="P131" i="3"/>
  <c r="AJ131" i="3"/>
  <c r="AN131" i="3"/>
  <c r="M132" i="3"/>
  <c r="P132" i="3"/>
  <c r="AJ132" i="3"/>
  <c r="AN132" i="3"/>
  <c r="M133" i="3"/>
  <c r="P133" i="3"/>
  <c r="AJ133" i="3"/>
  <c r="AN133" i="3"/>
  <c r="M134" i="3"/>
  <c r="P134" i="3"/>
  <c r="AJ134" i="3"/>
  <c r="AN134" i="3"/>
  <c r="M135" i="3"/>
  <c r="P135" i="3"/>
  <c r="U135" i="3" s="1"/>
  <c r="M135" i="19" s="1"/>
  <c r="AJ135" i="3"/>
  <c r="AN135" i="3"/>
  <c r="M136" i="3"/>
  <c r="P136" i="3"/>
  <c r="AJ136" i="3"/>
  <c r="AN136" i="3"/>
  <c r="M137" i="3"/>
  <c r="P137" i="3"/>
  <c r="AJ137" i="3"/>
  <c r="AN137" i="3"/>
  <c r="M138" i="3"/>
  <c r="P138" i="3"/>
  <c r="AJ138" i="3"/>
  <c r="AN138" i="3"/>
  <c r="M139" i="3"/>
  <c r="P139" i="3"/>
  <c r="AJ139" i="3"/>
  <c r="AN139" i="3"/>
  <c r="M140" i="3"/>
  <c r="P140" i="3"/>
  <c r="AJ140" i="3"/>
  <c r="AN140" i="3"/>
  <c r="M141" i="3"/>
  <c r="P141" i="3"/>
  <c r="AJ141" i="3"/>
  <c r="AN141" i="3"/>
  <c r="M142" i="3"/>
  <c r="P142" i="3"/>
  <c r="AJ142" i="3"/>
  <c r="AN142" i="3"/>
  <c r="M143" i="3"/>
  <c r="P143" i="3"/>
  <c r="AJ143" i="3"/>
  <c r="AN143" i="3"/>
  <c r="M144" i="3"/>
  <c r="P144" i="3"/>
  <c r="AJ144" i="3"/>
  <c r="AN144" i="3"/>
  <c r="M145" i="3"/>
  <c r="P145" i="3"/>
  <c r="AJ145" i="3"/>
  <c r="AN145" i="3"/>
  <c r="M146" i="3"/>
  <c r="P146" i="3"/>
  <c r="AJ146" i="3"/>
  <c r="AN146" i="3"/>
  <c r="M147" i="3"/>
  <c r="P147" i="3"/>
  <c r="U147" i="3" s="1"/>
  <c r="AJ147" i="3"/>
  <c r="AN147" i="3"/>
  <c r="M148" i="3"/>
  <c r="P148" i="3"/>
  <c r="AJ148" i="3"/>
  <c r="AN148" i="3"/>
  <c r="M149" i="3"/>
  <c r="P149" i="3"/>
  <c r="AJ149" i="3"/>
  <c r="AN149" i="3"/>
  <c r="M150" i="3"/>
  <c r="P150" i="3"/>
  <c r="AJ150" i="3"/>
  <c r="AN150" i="3"/>
  <c r="M151" i="3"/>
  <c r="P151" i="3"/>
  <c r="AJ151" i="3"/>
  <c r="AN151" i="3"/>
  <c r="M152" i="3"/>
  <c r="P152" i="3"/>
  <c r="AJ152" i="3"/>
  <c r="AN152" i="3"/>
  <c r="M153" i="3"/>
  <c r="P153" i="3"/>
  <c r="U153" i="3" s="1"/>
  <c r="M153" i="19" s="1"/>
  <c r="AJ153" i="3"/>
  <c r="AN153" i="3"/>
  <c r="M154" i="3"/>
  <c r="P154" i="3"/>
  <c r="AJ154" i="3"/>
  <c r="AN154" i="3"/>
  <c r="M155" i="3"/>
  <c r="P155" i="3"/>
  <c r="AJ155" i="3"/>
  <c r="AN155" i="3"/>
  <c r="M156" i="3"/>
  <c r="U156" i="3"/>
  <c r="M156" i="19" s="1"/>
  <c r="AJ156" i="3"/>
  <c r="M157" i="3"/>
  <c r="P157" i="3"/>
  <c r="AJ157" i="3"/>
  <c r="AN157" i="3"/>
  <c r="M158" i="3"/>
  <c r="P158" i="3"/>
  <c r="AJ158" i="3"/>
  <c r="AN158" i="3"/>
  <c r="M159" i="3"/>
  <c r="P159" i="3"/>
  <c r="AJ159" i="3"/>
  <c r="AN159" i="3"/>
  <c r="M160" i="3"/>
  <c r="P160" i="3"/>
  <c r="U160" i="3" s="1"/>
  <c r="M160" i="19" s="1"/>
  <c r="AJ160" i="3"/>
  <c r="AN160" i="3"/>
  <c r="M161" i="3"/>
  <c r="P161" i="3"/>
  <c r="AJ161" i="3"/>
  <c r="AN161" i="3"/>
  <c r="M162" i="3"/>
  <c r="P162" i="3"/>
  <c r="Q162" i="3" s="1"/>
  <c r="I162" i="19" s="1"/>
  <c r="AJ162" i="3"/>
  <c r="AN162" i="3"/>
  <c r="M163" i="3"/>
  <c r="P163" i="3"/>
  <c r="AJ163" i="3"/>
  <c r="AN163" i="3"/>
  <c r="M164" i="3"/>
  <c r="P164" i="3"/>
  <c r="U164" i="3" s="1"/>
  <c r="M164" i="19" s="1"/>
  <c r="AJ164" i="3"/>
  <c r="AN164" i="3"/>
  <c r="M165" i="3"/>
  <c r="P165" i="3"/>
  <c r="AJ165" i="3"/>
  <c r="AN165" i="3"/>
  <c r="M166" i="3"/>
  <c r="P166" i="3"/>
  <c r="AJ166" i="3"/>
  <c r="AN166" i="3"/>
  <c r="M167" i="3"/>
  <c r="P167" i="3"/>
  <c r="AJ167" i="3"/>
  <c r="AN167" i="3"/>
  <c r="M168" i="3"/>
  <c r="P168" i="3"/>
  <c r="AJ168" i="3"/>
  <c r="AN168" i="3"/>
  <c r="M169" i="3"/>
  <c r="P169" i="3"/>
  <c r="AJ169" i="3"/>
  <c r="AN169" i="3"/>
  <c r="M170" i="3"/>
  <c r="P170" i="3"/>
  <c r="AJ170" i="3"/>
  <c r="AN170" i="3"/>
  <c r="M171" i="3"/>
  <c r="P171" i="3"/>
  <c r="U171" i="3" s="1"/>
  <c r="M171" i="19" s="1"/>
  <c r="AH171" i="3"/>
  <c r="AI171" i="3" s="1"/>
  <c r="AJ171" i="3"/>
  <c r="AN171" i="3"/>
  <c r="M172" i="3"/>
  <c r="P172" i="3"/>
  <c r="U172" i="3" s="1"/>
  <c r="M172" i="19" s="1"/>
  <c r="AJ172" i="3"/>
  <c r="AN172" i="3"/>
  <c r="M173" i="3"/>
  <c r="P173" i="3"/>
  <c r="AJ173" i="3"/>
  <c r="AN173" i="3"/>
  <c r="M174" i="3"/>
  <c r="P174" i="3"/>
  <c r="U174" i="3" s="1"/>
  <c r="M174" i="19" s="1"/>
  <c r="AJ174" i="3"/>
  <c r="AN174" i="3"/>
  <c r="M175" i="3"/>
  <c r="P175" i="3"/>
  <c r="U175" i="3" s="1"/>
  <c r="AJ175" i="3"/>
  <c r="AN175" i="3"/>
  <c r="M176" i="3"/>
  <c r="P176" i="3"/>
  <c r="AJ176" i="3"/>
  <c r="AN176" i="3"/>
  <c r="M177" i="3"/>
  <c r="P177" i="3"/>
  <c r="AJ177" i="3"/>
  <c r="AN177" i="3"/>
  <c r="M178" i="3"/>
  <c r="P178" i="3"/>
  <c r="AJ178" i="3"/>
  <c r="AN178" i="3"/>
  <c r="M179" i="3"/>
  <c r="P179" i="3"/>
  <c r="AJ179" i="3"/>
  <c r="AN179" i="3"/>
  <c r="M180" i="3"/>
  <c r="P180" i="3"/>
  <c r="AJ180" i="3"/>
  <c r="AN180" i="3"/>
  <c r="M181" i="3"/>
  <c r="Q181" i="3" s="1"/>
  <c r="I181" i="19" s="1"/>
  <c r="P181" i="3"/>
  <c r="AJ181" i="3"/>
  <c r="AN181" i="3"/>
  <c r="M182" i="3"/>
  <c r="P182" i="3"/>
  <c r="AJ182" i="3"/>
  <c r="AN182" i="3"/>
  <c r="M183" i="3"/>
  <c r="P183" i="3"/>
  <c r="AI183" i="3"/>
  <c r="AL183" i="3" s="1"/>
  <c r="AJ183" i="3"/>
  <c r="AN183" i="3"/>
  <c r="M184" i="3"/>
  <c r="P184" i="3"/>
  <c r="AJ184" i="3"/>
  <c r="AN184" i="3"/>
  <c r="M185" i="3"/>
  <c r="P185" i="3"/>
  <c r="AJ185" i="3"/>
  <c r="AN185" i="3"/>
  <c r="M186" i="3"/>
  <c r="P186" i="3"/>
  <c r="AJ186" i="3"/>
  <c r="AN186" i="3"/>
  <c r="M187" i="3"/>
  <c r="P187" i="3"/>
  <c r="Q187" i="3" s="1"/>
  <c r="I187" i="19" s="1"/>
  <c r="AJ187" i="3"/>
  <c r="AN187" i="3"/>
  <c r="M188" i="3"/>
  <c r="P188" i="3"/>
  <c r="AJ188" i="3"/>
  <c r="AN188" i="3"/>
  <c r="M189" i="3"/>
  <c r="P189" i="3"/>
  <c r="Q189" i="3" s="1"/>
  <c r="I189" i="19" s="1"/>
  <c r="AN189" i="3"/>
  <c r="M190" i="3"/>
  <c r="P190" i="3"/>
  <c r="AJ190" i="3"/>
  <c r="AN190" i="3"/>
  <c r="M191" i="3"/>
  <c r="P191" i="3"/>
  <c r="U191" i="3"/>
  <c r="M191" i="19" s="1"/>
  <c r="AJ191" i="3"/>
  <c r="AN191" i="3"/>
  <c r="M192" i="3"/>
  <c r="P192" i="3"/>
  <c r="AJ192" i="3"/>
  <c r="AN192" i="3"/>
  <c r="M193" i="3"/>
  <c r="P193" i="3"/>
  <c r="AJ193" i="3"/>
  <c r="AN193" i="3"/>
  <c r="M194" i="3"/>
  <c r="P194" i="3"/>
  <c r="U194" i="3" s="1"/>
  <c r="M194" i="19" s="1"/>
  <c r="AJ194" i="3"/>
  <c r="AN194" i="3"/>
  <c r="M195" i="3"/>
  <c r="P195" i="3"/>
  <c r="AJ195" i="3"/>
  <c r="AN195" i="3"/>
  <c r="M196" i="3"/>
  <c r="P196" i="3"/>
  <c r="AJ196" i="3"/>
  <c r="AN196" i="3"/>
  <c r="M197" i="3"/>
  <c r="P197" i="3"/>
  <c r="U197" i="3" s="1"/>
  <c r="M197" i="19" s="1"/>
  <c r="AJ197" i="3"/>
  <c r="AN197" i="3"/>
  <c r="M198" i="3"/>
  <c r="P198" i="3"/>
  <c r="AJ198" i="3"/>
  <c r="AN198" i="3"/>
  <c r="M199" i="3"/>
  <c r="P199" i="3"/>
  <c r="AJ199" i="3"/>
  <c r="AN199" i="3"/>
  <c r="M200" i="3"/>
  <c r="Q200" i="3" s="1"/>
  <c r="AJ200" i="3"/>
  <c r="AN200" i="3"/>
  <c r="M201" i="3"/>
  <c r="P201" i="3"/>
  <c r="AJ201" i="3"/>
  <c r="AN201" i="3"/>
  <c r="M202" i="3"/>
  <c r="P202" i="3"/>
  <c r="AJ202" i="3"/>
  <c r="AN202" i="3"/>
  <c r="M203" i="3"/>
  <c r="P203" i="3"/>
  <c r="AJ203" i="3"/>
  <c r="AN203" i="3"/>
  <c r="M204" i="3"/>
  <c r="P204" i="3"/>
  <c r="AJ204" i="3"/>
  <c r="AN204" i="3"/>
  <c r="M205" i="3"/>
  <c r="P205" i="3"/>
  <c r="AJ205" i="3"/>
  <c r="AN205" i="3"/>
  <c r="M206" i="3"/>
  <c r="U206" i="3"/>
  <c r="M206" i="19" s="1"/>
  <c r="AJ206" i="3"/>
  <c r="M207" i="3"/>
  <c r="U207" i="3"/>
  <c r="M207" i="19" s="1"/>
  <c r="AJ207" i="3"/>
  <c r="M208" i="3"/>
  <c r="U208" i="3"/>
  <c r="M208" i="19" s="1"/>
  <c r="AJ208" i="3"/>
  <c r="M209" i="3"/>
  <c r="P209" i="3" s="1"/>
  <c r="Q209" i="3" s="1"/>
  <c r="U209" i="3"/>
  <c r="M209" i="19" s="1"/>
  <c r="AJ209" i="3"/>
  <c r="M210" i="3"/>
  <c r="U210" i="3"/>
  <c r="M210" i="19" s="1"/>
  <c r="AJ210" i="3"/>
  <c r="M211" i="3"/>
  <c r="P211" i="3" s="1"/>
  <c r="Q211" i="3" s="1"/>
  <c r="I211" i="19" s="1"/>
  <c r="U211" i="3"/>
  <c r="M211" i="19" s="1"/>
  <c r="AJ211" i="3"/>
  <c r="AL211" i="3" s="1"/>
  <c r="M212" i="3"/>
  <c r="P212" i="3" s="1"/>
  <c r="Q212" i="3" s="1"/>
  <c r="U212" i="3"/>
  <c r="M212" i="19" s="1"/>
  <c r="AJ212" i="3"/>
  <c r="M213" i="3"/>
  <c r="U213" i="3"/>
  <c r="M213" i="19" s="1"/>
  <c r="AJ213" i="3"/>
  <c r="M214" i="3"/>
  <c r="P214" i="3" s="1"/>
  <c r="Q214" i="3" s="1"/>
  <c r="U214" i="3"/>
  <c r="M214" i="19" s="1"/>
  <c r="AJ214" i="3"/>
  <c r="AL214" i="3" s="1"/>
  <c r="M215" i="3"/>
  <c r="P215" i="3" s="1"/>
  <c r="Q215" i="3" s="1"/>
  <c r="U215" i="3"/>
  <c r="M215" i="19" s="1"/>
  <c r="AJ215" i="3"/>
  <c r="AL215" i="3" s="1"/>
  <c r="AN215" i="3" s="1"/>
  <c r="M216" i="3"/>
  <c r="P216" i="3" s="1"/>
  <c r="Q216" i="3" s="1"/>
  <c r="U216" i="3"/>
  <c r="M216" i="19" s="1"/>
  <c r="AJ216" i="3"/>
  <c r="M217" i="3"/>
  <c r="U217" i="3"/>
  <c r="M217" i="19" s="1"/>
  <c r="AJ217" i="3"/>
  <c r="AL217" i="3" s="1"/>
  <c r="AN217" i="3" s="1"/>
  <c r="M218" i="3"/>
  <c r="P218" i="3" s="1"/>
  <c r="Q218" i="3" s="1"/>
  <c r="R218" i="3" s="1"/>
  <c r="T218" i="3" s="1"/>
  <c r="U218" i="3"/>
  <c r="M218" i="19" s="1"/>
  <c r="AJ218" i="3"/>
  <c r="AL218" i="3" s="1"/>
  <c r="M219" i="3"/>
  <c r="U219" i="3"/>
  <c r="M219" i="19" s="1"/>
  <c r="AH219" i="3"/>
  <c r="AI219" i="3" s="1"/>
  <c r="AJ219" i="3"/>
  <c r="M220" i="3"/>
  <c r="P220" i="3" s="1"/>
  <c r="Q220" i="3" s="1"/>
  <c r="U220" i="3"/>
  <c r="M220" i="19" s="1"/>
  <c r="AJ220" i="3"/>
  <c r="M221" i="3"/>
  <c r="U221" i="3"/>
  <c r="M221" i="19" s="1"/>
  <c r="AJ221" i="3"/>
  <c r="M222" i="3"/>
  <c r="P222" i="3"/>
  <c r="AJ222" i="3"/>
  <c r="AN222" i="3"/>
  <c r="M223" i="3"/>
  <c r="P223" i="3"/>
  <c r="U223" i="3" s="1"/>
  <c r="AJ223" i="3"/>
  <c r="AN223" i="3"/>
  <c r="M224" i="3"/>
  <c r="P224" i="3"/>
  <c r="AJ224" i="3"/>
  <c r="AN224" i="3"/>
  <c r="AJ225" i="3"/>
  <c r="AN225" i="3"/>
  <c r="M227" i="3"/>
  <c r="P227" i="3"/>
  <c r="U227" i="3" s="1"/>
  <c r="AJ227" i="3"/>
  <c r="AN227" i="3"/>
  <c r="M228" i="3"/>
  <c r="P228" i="3"/>
  <c r="U228" i="3" s="1"/>
  <c r="M228" i="19" s="1"/>
  <c r="AJ228" i="3"/>
  <c r="AN228" i="3"/>
  <c r="M229" i="3"/>
  <c r="P229" i="3"/>
  <c r="AJ229" i="3"/>
  <c r="AN229" i="3"/>
  <c r="M230" i="3"/>
  <c r="P230" i="3"/>
  <c r="AJ230" i="3"/>
  <c r="AN230" i="3"/>
  <c r="M231" i="3"/>
  <c r="P231" i="3"/>
  <c r="AJ231" i="3"/>
  <c r="AN231" i="3"/>
  <c r="M232" i="3"/>
  <c r="P232" i="3"/>
  <c r="AJ232" i="3"/>
  <c r="AN232" i="3"/>
  <c r="M233" i="3"/>
  <c r="P233" i="3"/>
  <c r="AJ233" i="3"/>
  <c r="AN233" i="3"/>
  <c r="M234" i="3"/>
  <c r="P234" i="3"/>
  <c r="AJ234" i="3"/>
  <c r="AN234" i="3"/>
  <c r="M235" i="3"/>
  <c r="P235" i="3"/>
  <c r="AJ235" i="3"/>
  <c r="AN235" i="3"/>
  <c r="M236" i="3"/>
  <c r="P236" i="3"/>
  <c r="AJ236" i="3"/>
  <c r="AN236" i="3"/>
  <c r="M237" i="3"/>
  <c r="P237" i="3"/>
  <c r="AJ237" i="3"/>
  <c r="AN237" i="3"/>
  <c r="M238" i="3"/>
  <c r="P238" i="3"/>
  <c r="AJ238" i="3"/>
  <c r="AN238" i="3"/>
  <c r="M239" i="3"/>
  <c r="P239" i="3"/>
  <c r="AJ239" i="3"/>
  <c r="AN239" i="3"/>
  <c r="M240" i="3"/>
  <c r="P240" i="3"/>
  <c r="U240" i="3" s="1"/>
  <c r="M240" i="19" s="1"/>
  <c r="AJ240" i="3"/>
  <c r="AN240" i="3"/>
  <c r="M241" i="3"/>
  <c r="P241" i="3"/>
  <c r="AJ241" i="3"/>
  <c r="AN241" i="3"/>
  <c r="M242" i="3"/>
  <c r="P242" i="3"/>
  <c r="AJ242" i="3"/>
  <c r="AN242" i="3"/>
  <c r="M243" i="3"/>
  <c r="P243" i="3" s="1"/>
  <c r="Q243" i="3" s="1"/>
  <c r="R243" i="3" s="1"/>
  <c r="T243" i="3" s="1"/>
  <c r="U243" i="3"/>
  <c r="M243" i="19" s="1"/>
  <c r="AJ243" i="3"/>
  <c r="M244" i="3"/>
  <c r="P244" i="3" s="1"/>
  <c r="Q244" i="3" s="1"/>
  <c r="U244" i="3"/>
  <c r="M244" i="19" s="1"/>
  <c r="AJ244" i="3"/>
  <c r="AL244" i="3" s="1"/>
  <c r="AN244" i="3" s="1"/>
  <c r="M245" i="3"/>
  <c r="U245" i="3"/>
  <c r="M245" i="19" s="1"/>
  <c r="AJ245" i="3"/>
  <c r="M246" i="3"/>
  <c r="P246" i="3" s="1"/>
  <c r="Q246" i="3" s="1"/>
  <c r="I246" i="19" s="1"/>
  <c r="U246" i="3"/>
  <c r="M246" i="19" s="1"/>
  <c r="AJ246" i="3"/>
  <c r="M247" i="3"/>
  <c r="P247" i="3" s="1"/>
  <c r="Q247" i="3" s="1"/>
  <c r="U247" i="3"/>
  <c r="M247" i="19" s="1"/>
  <c r="AJ247" i="3"/>
  <c r="M248" i="3"/>
  <c r="U248" i="3"/>
  <c r="M248" i="19" s="1"/>
  <c r="AJ248" i="3"/>
  <c r="M249" i="3"/>
  <c r="P249" i="3" s="1"/>
  <c r="Q249" i="3" s="1"/>
  <c r="U249" i="3"/>
  <c r="M249" i="19" s="1"/>
  <c r="AJ249" i="3"/>
  <c r="M250" i="3"/>
  <c r="P250" i="3" s="1"/>
  <c r="U250" i="3"/>
  <c r="M250" i="19" s="1"/>
  <c r="AJ250" i="3"/>
  <c r="M251" i="3"/>
  <c r="U251" i="3"/>
  <c r="M251" i="19" s="1"/>
  <c r="AJ251" i="3"/>
  <c r="AL251" i="3" s="1"/>
  <c r="AN251" i="3" s="1"/>
  <c r="M252" i="3"/>
  <c r="P252" i="3" s="1"/>
  <c r="U252" i="3"/>
  <c r="M252" i="19" s="1"/>
  <c r="AJ252" i="3"/>
  <c r="M253" i="3"/>
  <c r="P253" i="3" s="1"/>
  <c r="Q253" i="3" s="1"/>
  <c r="U253" i="3"/>
  <c r="M253" i="19" s="1"/>
  <c r="AJ253" i="3"/>
  <c r="M254" i="3"/>
  <c r="P254" i="3"/>
  <c r="AJ254" i="3"/>
  <c r="AN254" i="3"/>
  <c r="M255" i="3"/>
  <c r="P255" i="3"/>
  <c r="AJ255" i="3"/>
  <c r="AN255" i="3"/>
  <c r="M256" i="3"/>
  <c r="P256" i="3"/>
  <c r="U256" i="3" s="1"/>
  <c r="M256" i="19" s="1"/>
  <c r="AJ256" i="3"/>
  <c r="AN256" i="3"/>
  <c r="M257" i="3"/>
  <c r="P257" i="3"/>
  <c r="U257" i="3" s="1"/>
  <c r="M257" i="19" s="1"/>
  <c r="AJ257" i="3"/>
  <c r="AN257" i="3"/>
  <c r="M258" i="3"/>
  <c r="P258" i="3"/>
  <c r="M261" i="3"/>
  <c r="P261" i="3"/>
  <c r="U261" i="3" s="1"/>
  <c r="M261" i="19" s="1"/>
  <c r="AJ261" i="3"/>
  <c r="AN261" i="3"/>
  <c r="M262" i="3"/>
  <c r="P262" i="3"/>
  <c r="U262" i="3" s="1"/>
  <c r="M262" i="19" s="1"/>
  <c r="AJ262" i="3"/>
  <c r="AN262" i="3"/>
  <c r="M263" i="3"/>
  <c r="P263" i="3"/>
  <c r="U263" i="3" s="1"/>
  <c r="M263" i="19" s="1"/>
  <c r="AJ263" i="3"/>
  <c r="AN263" i="3"/>
  <c r="M264" i="3"/>
  <c r="P264" i="3"/>
  <c r="AJ264" i="3"/>
  <c r="AN264" i="3"/>
  <c r="M265" i="3"/>
  <c r="P265" i="3"/>
  <c r="U265" i="3" s="1"/>
  <c r="M265" i="19" s="1"/>
  <c r="AJ265" i="3"/>
  <c r="AN265" i="3"/>
  <c r="M266" i="3"/>
  <c r="P266" i="3"/>
  <c r="U266" i="3" s="1"/>
  <c r="M266" i="19" s="1"/>
  <c r="AJ266" i="3"/>
  <c r="AN266" i="3"/>
  <c r="M267" i="3"/>
  <c r="AN267" i="3"/>
  <c r="M268" i="3"/>
  <c r="AJ268" i="3"/>
  <c r="AN268" i="3"/>
  <c r="AJ269" i="3"/>
  <c r="AN269" i="3"/>
  <c r="M270" i="3"/>
  <c r="P270" i="3"/>
  <c r="U270" i="3" s="1"/>
  <c r="M270" i="19" s="1"/>
  <c r="AJ270" i="3"/>
  <c r="AN270" i="3"/>
  <c r="M271" i="3"/>
  <c r="P271" i="3"/>
  <c r="AJ271" i="3"/>
  <c r="AN271" i="3"/>
  <c r="M272" i="3"/>
  <c r="P272" i="3"/>
  <c r="AJ272" i="3"/>
  <c r="AN272" i="3"/>
  <c r="M273" i="3"/>
  <c r="P273" i="3"/>
  <c r="AJ273" i="3"/>
  <c r="AN273" i="3"/>
  <c r="M274" i="3"/>
  <c r="P274" i="3"/>
  <c r="AJ274" i="3"/>
  <c r="AN274" i="3"/>
  <c r="M275" i="3"/>
  <c r="P275" i="3"/>
  <c r="AJ275" i="3"/>
  <c r="AN275" i="3"/>
  <c r="M276" i="3"/>
  <c r="P276" i="3"/>
  <c r="U276" i="3" s="1"/>
  <c r="M276" i="19" s="1"/>
  <c r="AJ276" i="3"/>
  <c r="AN276" i="3"/>
  <c r="M277" i="3"/>
  <c r="P277" i="3"/>
  <c r="AJ277" i="3"/>
  <c r="AN277" i="3"/>
  <c r="M278" i="3"/>
  <c r="P278" i="3"/>
  <c r="AJ278" i="3"/>
  <c r="AN278" i="3"/>
  <c r="M279" i="3"/>
  <c r="P279" i="3"/>
  <c r="AJ279" i="3"/>
  <c r="AN279" i="3"/>
  <c r="M280" i="3"/>
  <c r="P280" i="3"/>
  <c r="AI280" i="3"/>
  <c r="AJ280" i="3"/>
  <c r="AN280" i="3"/>
  <c r="P281" i="3"/>
  <c r="AJ281" i="3"/>
  <c r="AN281" i="3"/>
  <c r="M282" i="3"/>
  <c r="P282" i="3" s="1"/>
  <c r="Q282" i="3" s="1"/>
  <c r="U282" i="3"/>
  <c r="M282" i="19" s="1"/>
  <c r="AJ282" i="3"/>
  <c r="M283" i="3"/>
  <c r="P283" i="3" s="1"/>
  <c r="Q283" i="3" s="1"/>
  <c r="U283" i="3"/>
  <c r="M283" i="19" s="1"/>
  <c r="AJ283" i="3"/>
  <c r="AL283" i="3" s="1"/>
  <c r="M284" i="3"/>
  <c r="U284" i="3"/>
  <c r="M284" i="19" s="1"/>
  <c r="AJ284" i="3"/>
  <c r="AL284" i="3" s="1"/>
  <c r="AN284" i="3" s="1"/>
  <c r="M285" i="3"/>
  <c r="P285" i="3" s="1"/>
  <c r="Q285" i="3" s="1"/>
  <c r="U285" i="3"/>
  <c r="M285" i="19" s="1"/>
  <c r="AJ285" i="3"/>
  <c r="AL285" i="3" s="1"/>
  <c r="M286" i="3"/>
  <c r="P286" i="3" s="1"/>
  <c r="U286" i="3"/>
  <c r="M286" i="19" s="1"/>
  <c r="AJ286" i="3"/>
  <c r="AL286" i="3" s="1"/>
  <c r="AN286" i="3" s="1"/>
  <c r="M287" i="3"/>
  <c r="U287" i="3"/>
  <c r="M287" i="19" s="1"/>
  <c r="AJ287" i="3"/>
  <c r="AL287" i="3" s="1"/>
  <c r="AN287" i="3" s="1"/>
  <c r="M288" i="3"/>
  <c r="P288" i="3" s="1"/>
  <c r="Q288" i="3" s="1"/>
  <c r="U288" i="3"/>
  <c r="M288" i="19" s="1"/>
  <c r="AJ288" i="3"/>
  <c r="M289" i="3"/>
  <c r="U289" i="3"/>
  <c r="M289" i="19" s="1"/>
  <c r="AJ289" i="3"/>
  <c r="M290" i="3"/>
  <c r="P290" i="3" s="1"/>
  <c r="U290" i="3"/>
  <c r="M290" i="19" s="1"/>
  <c r="AJ290" i="3"/>
  <c r="AL290" i="3" s="1"/>
  <c r="AN290" i="3" s="1"/>
  <c r="M291" i="3"/>
  <c r="P291" i="3" s="1"/>
  <c r="Q291" i="3" s="1"/>
  <c r="R291" i="3" s="1"/>
  <c r="U291" i="3"/>
  <c r="M291" i="19"/>
  <c r="AJ291" i="3"/>
  <c r="M292" i="3"/>
  <c r="P292" i="3" s="1"/>
  <c r="Q292" i="3" s="1"/>
  <c r="U292" i="3"/>
  <c r="M292" i="19" s="1"/>
  <c r="AJ292" i="3"/>
  <c r="M293" i="3"/>
  <c r="P293" i="3" s="1"/>
  <c r="U293" i="3"/>
  <c r="M293" i="19" s="1"/>
  <c r="AJ293" i="3"/>
  <c r="M294" i="3"/>
  <c r="U294" i="3"/>
  <c r="M294" i="19" s="1"/>
  <c r="AJ294" i="3"/>
  <c r="AL294" i="3" s="1"/>
  <c r="AN294" i="3" s="1"/>
  <c r="M295" i="3"/>
  <c r="P295" i="3" s="1"/>
  <c r="Q295" i="3" s="1"/>
  <c r="R295" i="3" s="1"/>
  <c r="U295" i="3"/>
  <c r="M295" i="19" s="1"/>
  <c r="AJ295" i="3"/>
  <c r="AL295" i="3" s="1"/>
  <c r="AN295" i="3" s="1"/>
  <c r="M296" i="3"/>
  <c r="U296" i="3"/>
  <c r="M296" i="19" s="1"/>
  <c r="AJ296" i="3"/>
  <c r="M297" i="3"/>
  <c r="P297" i="3" s="1"/>
  <c r="Q297" i="3" s="1"/>
  <c r="U297" i="3"/>
  <c r="M297" i="19" s="1"/>
  <c r="AJ297" i="3"/>
  <c r="M298" i="3"/>
  <c r="U298" i="3"/>
  <c r="M298" i="19" s="1"/>
  <c r="AJ298" i="3"/>
  <c r="AL298" i="3" s="1"/>
  <c r="M299" i="3"/>
  <c r="P299" i="3" s="1"/>
  <c r="Q299" i="3" s="1"/>
  <c r="I299" i="19" s="1"/>
  <c r="U299" i="3"/>
  <c r="M299" i="19" s="1"/>
  <c r="AJ299" i="3"/>
  <c r="AL299" i="3" s="1"/>
  <c r="AN299" i="3" s="1"/>
  <c r="M300" i="3"/>
  <c r="P300" i="3"/>
  <c r="AJ300" i="3"/>
  <c r="AN300" i="3"/>
  <c r="M301" i="3"/>
  <c r="P301" i="3"/>
  <c r="AJ301" i="3"/>
  <c r="AN301" i="3"/>
  <c r="M302" i="3"/>
  <c r="P302" i="3"/>
  <c r="AJ302" i="3"/>
  <c r="AN302" i="3"/>
  <c r="M303" i="3"/>
  <c r="P303" i="3"/>
  <c r="AJ303" i="3"/>
  <c r="AN303" i="3"/>
  <c r="M304" i="3"/>
  <c r="P304" i="3"/>
  <c r="AJ304" i="3"/>
  <c r="AN304" i="3"/>
  <c r="P305" i="3"/>
  <c r="U305" i="3" s="1"/>
  <c r="M305" i="19" s="1"/>
  <c r="AJ305" i="3"/>
  <c r="AN305" i="3"/>
  <c r="M306" i="3"/>
  <c r="P306" i="3"/>
  <c r="AJ306" i="3"/>
  <c r="AN306" i="3"/>
  <c r="M307" i="3"/>
  <c r="P307" i="3"/>
  <c r="AJ307" i="3"/>
  <c r="AN307" i="3"/>
  <c r="M308" i="3"/>
  <c r="P308" i="3"/>
  <c r="AJ308" i="3"/>
  <c r="AN308" i="3"/>
  <c r="M309" i="3"/>
  <c r="P309" i="3"/>
  <c r="U309" i="3" s="1"/>
  <c r="M309" i="19" s="1"/>
  <c r="AJ309" i="3"/>
  <c r="AN309" i="3"/>
  <c r="M310" i="3"/>
  <c r="P310" i="3"/>
  <c r="AJ310" i="3"/>
  <c r="AN310" i="3"/>
  <c r="M311" i="3"/>
  <c r="P311" i="3"/>
  <c r="U311" i="3" s="1"/>
  <c r="M311" i="19" s="1"/>
  <c r="AJ311" i="3"/>
  <c r="AN311" i="3"/>
  <c r="M312" i="3"/>
  <c r="P312" i="3"/>
  <c r="U312" i="3" s="1"/>
  <c r="M312" i="19" s="1"/>
  <c r="AJ312" i="3"/>
  <c r="AN312" i="3"/>
  <c r="M313" i="3"/>
  <c r="P313" i="3"/>
  <c r="U313" i="3" s="1"/>
  <c r="M313" i="19" s="1"/>
  <c r="AJ313" i="3"/>
  <c r="AN313" i="3"/>
  <c r="M314" i="3"/>
  <c r="P314" i="3"/>
  <c r="AJ314" i="3"/>
  <c r="AN314" i="3"/>
  <c r="M315" i="3"/>
  <c r="P315" i="3"/>
  <c r="AJ315" i="3"/>
  <c r="AN315" i="3"/>
  <c r="M316" i="3"/>
  <c r="P316" i="3"/>
  <c r="U316" i="3" s="1"/>
  <c r="M316" i="19" s="1"/>
  <c r="AJ316" i="3"/>
  <c r="AN316" i="3"/>
  <c r="M317" i="3"/>
  <c r="P317" i="3"/>
  <c r="U317" i="3" s="1"/>
  <c r="M317" i="19" s="1"/>
  <c r="AJ317" i="3"/>
  <c r="AN317" i="3"/>
  <c r="M318" i="3"/>
  <c r="P318" i="3"/>
  <c r="U318" i="3" s="1"/>
  <c r="AJ318" i="3"/>
  <c r="AN318" i="3"/>
  <c r="M319" i="3"/>
  <c r="P319" i="3"/>
  <c r="U319" i="3" s="1"/>
  <c r="M319" i="19" s="1"/>
  <c r="AJ319" i="3"/>
  <c r="AN319" i="3"/>
  <c r="M320" i="3"/>
  <c r="P320" i="3"/>
  <c r="AJ320" i="3"/>
  <c r="AN320" i="3"/>
  <c r="M321" i="3"/>
  <c r="U321" i="3"/>
  <c r="M321" i="19" s="1"/>
  <c r="AJ321" i="3"/>
  <c r="M322" i="3"/>
  <c r="P322" i="3"/>
  <c r="AJ322" i="3"/>
  <c r="AN322" i="3"/>
  <c r="M323" i="3"/>
  <c r="P323" i="3"/>
  <c r="AJ323" i="3"/>
  <c r="AN323" i="3"/>
  <c r="M324" i="3"/>
  <c r="P324" i="3"/>
  <c r="U324" i="3" s="1"/>
  <c r="M324" i="19" s="1"/>
  <c r="AJ324" i="3"/>
  <c r="AN324" i="3"/>
  <c r="M325" i="3"/>
  <c r="U325" i="3"/>
  <c r="M325" i="19" s="1"/>
  <c r="AJ325" i="3"/>
  <c r="AN325" i="3"/>
  <c r="M326" i="3"/>
  <c r="P326" i="3"/>
  <c r="AJ326" i="3"/>
  <c r="AN326" i="3"/>
  <c r="M327" i="3"/>
  <c r="P327" i="3"/>
  <c r="AJ327" i="3"/>
  <c r="AN327" i="3"/>
  <c r="M328" i="3"/>
  <c r="P328" i="3"/>
  <c r="U328" i="3" s="1"/>
  <c r="M328" i="19" s="1"/>
  <c r="AJ328" i="3"/>
  <c r="AN328" i="3"/>
  <c r="M329" i="3"/>
  <c r="P329" i="3"/>
  <c r="U329" i="3" s="1"/>
  <c r="M329" i="19" s="1"/>
  <c r="AJ329" i="3"/>
  <c r="AN329" i="3"/>
  <c r="M330" i="3"/>
  <c r="P330" i="3"/>
  <c r="AJ330" i="3"/>
  <c r="AN330" i="3"/>
  <c r="M331" i="3"/>
  <c r="P331" i="3"/>
  <c r="AJ331" i="3"/>
  <c r="AN331" i="3"/>
  <c r="M332" i="3"/>
  <c r="P332" i="3"/>
  <c r="U332" i="3" s="1"/>
  <c r="M332" i="19" s="1"/>
  <c r="AJ332" i="3"/>
  <c r="AN332" i="3"/>
  <c r="M333" i="3"/>
  <c r="P333" i="3"/>
  <c r="AJ333" i="3"/>
  <c r="AN333" i="3"/>
  <c r="M334" i="3"/>
  <c r="P334" i="3"/>
  <c r="U334" i="3" s="1"/>
  <c r="M334" i="19" s="1"/>
  <c r="AJ334" i="3"/>
  <c r="AN334" i="3"/>
  <c r="M335" i="3"/>
  <c r="P335" i="3"/>
  <c r="AJ335" i="3"/>
  <c r="AN335" i="3"/>
  <c r="M336" i="3"/>
  <c r="P336" i="3"/>
  <c r="AJ336" i="3"/>
  <c r="AN336" i="3"/>
  <c r="M337" i="3"/>
  <c r="P337" i="3"/>
  <c r="AJ337" i="3"/>
  <c r="AN337" i="3"/>
  <c r="M338" i="3"/>
  <c r="P338" i="3"/>
  <c r="U338" i="3" s="1"/>
  <c r="M338" i="19" s="1"/>
  <c r="AJ338" i="3"/>
  <c r="AN338" i="3"/>
  <c r="M339" i="3"/>
  <c r="P339" i="3"/>
  <c r="U339" i="3" s="1"/>
  <c r="M339" i="19" s="1"/>
  <c r="AJ339" i="3"/>
  <c r="AN339" i="3"/>
  <c r="M340" i="3"/>
  <c r="Q340" i="3" s="1"/>
  <c r="R340" i="3" s="1"/>
  <c r="U340" i="3"/>
  <c r="M340" i="19" s="1"/>
  <c r="AJ340" i="3"/>
  <c r="AN340" i="3"/>
  <c r="M341" i="3"/>
  <c r="P341" i="3"/>
  <c r="U341" i="3" s="1"/>
  <c r="M341" i="19" s="1"/>
  <c r="AJ341" i="3"/>
  <c r="AN341" i="3"/>
  <c r="M342" i="3"/>
  <c r="P342" i="3"/>
  <c r="AJ342" i="3"/>
  <c r="AN342" i="3"/>
  <c r="M343" i="3"/>
  <c r="AJ343" i="3"/>
  <c r="AN343" i="3"/>
  <c r="M344" i="3"/>
  <c r="P344" i="3"/>
  <c r="AJ344" i="3"/>
  <c r="AN344" i="3"/>
  <c r="M345" i="3"/>
  <c r="P345" i="3"/>
  <c r="U345" i="3" s="1"/>
  <c r="M345" i="19" s="1"/>
  <c r="AJ345" i="3"/>
  <c r="AN345" i="3"/>
  <c r="M346" i="3"/>
  <c r="P346" i="3"/>
  <c r="AJ346" i="3"/>
  <c r="AN346" i="3"/>
  <c r="M347" i="3"/>
  <c r="Q347" i="3" s="1"/>
  <c r="I347" i="19" s="1"/>
  <c r="U347" i="3"/>
  <c r="M347" i="19" s="1"/>
  <c r="AJ347" i="3"/>
  <c r="M348" i="3"/>
  <c r="U348" i="3"/>
  <c r="M348" i="19" s="1"/>
  <c r="AJ348" i="3"/>
  <c r="M349" i="3"/>
  <c r="U349" i="3"/>
  <c r="M349" i="19" s="1"/>
  <c r="AJ349" i="3"/>
  <c r="AL349" i="3" s="1"/>
  <c r="AN349" i="3" s="1"/>
  <c r="M350" i="3"/>
  <c r="P350" i="3" s="1"/>
  <c r="Q350" i="3" s="1"/>
  <c r="M351" i="3"/>
  <c r="P351" i="3" s="1"/>
  <c r="Q351" i="3" s="1"/>
  <c r="I351" i="19" s="1"/>
  <c r="AJ351" i="3"/>
  <c r="M352" i="3"/>
  <c r="P352" i="3"/>
  <c r="U352" i="3" s="1"/>
  <c r="M352" i="19" s="1"/>
  <c r="AJ352" i="3"/>
  <c r="AN352" i="3"/>
  <c r="M353" i="3"/>
  <c r="P353" i="3"/>
  <c r="AJ353" i="3"/>
  <c r="AN353" i="3"/>
  <c r="M354" i="3"/>
  <c r="P354" i="3"/>
  <c r="AJ354" i="3"/>
  <c r="AN354" i="3"/>
  <c r="M355" i="3"/>
  <c r="AJ355" i="3"/>
  <c r="AN355" i="3"/>
  <c r="M356" i="3"/>
  <c r="P356" i="3"/>
  <c r="AJ356" i="3"/>
  <c r="AN356" i="3"/>
  <c r="M357" i="3"/>
  <c r="P357" i="3"/>
  <c r="AJ357" i="3"/>
  <c r="AN357" i="3"/>
  <c r="M358" i="3"/>
  <c r="P358" i="3"/>
  <c r="U358" i="3" s="1"/>
  <c r="M358" i="19" s="1"/>
  <c r="AJ358" i="3"/>
  <c r="AN358" i="3"/>
  <c r="M359" i="3"/>
  <c r="P359" i="3"/>
  <c r="AJ359" i="3"/>
  <c r="AN359" i="3"/>
  <c r="M360" i="3"/>
  <c r="P360" i="3"/>
  <c r="AJ360" i="3"/>
  <c r="AN360" i="3"/>
  <c r="M361" i="3"/>
  <c r="U361" i="3"/>
  <c r="M361" i="19" s="1"/>
  <c r="AJ361" i="3"/>
  <c r="AN361" i="3"/>
  <c r="M362" i="3"/>
  <c r="P362" i="3"/>
  <c r="AJ362" i="3"/>
  <c r="AN362" i="3"/>
  <c r="M363" i="3"/>
  <c r="P363" i="3"/>
  <c r="AJ363" i="3"/>
  <c r="AN363" i="3"/>
  <c r="M364" i="3"/>
  <c r="P364" i="3"/>
  <c r="AJ364" i="3"/>
  <c r="AN364" i="3"/>
  <c r="M365" i="3"/>
  <c r="P365" i="3"/>
  <c r="AJ365" i="3"/>
  <c r="AN365" i="3"/>
  <c r="M366" i="3"/>
  <c r="P366" i="3"/>
  <c r="AJ366" i="3"/>
  <c r="AN366" i="3"/>
  <c r="M367" i="3"/>
  <c r="P367" i="3"/>
  <c r="AJ367" i="3"/>
  <c r="AN367" i="3"/>
  <c r="M368" i="3"/>
  <c r="P368" i="3"/>
  <c r="AJ368" i="3"/>
  <c r="AN368" i="3"/>
  <c r="M369" i="3"/>
  <c r="P369" i="3"/>
  <c r="AJ369" i="3"/>
  <c r="AN369" i="3"/>
  <c r="M370" i="3"/>
  <c r="P370" i="3"/>
  <c r="U370" i="3" s="1"/>
  <c r="M370" i="19" s="1"/>
  <c r="AJ370" i="3"/>
  <c r="AN370" i="3"/>
  <c r="M371" i="3"/>
  <c r="P371" i="3"/>
  <c r="AJ371" i="3"/>
  <c r="AN371" i="3"/>
  <c r="M372" i="3"/>
  <c r="P372" i="3"/>
  <c r="AJ372" i="3"/>
  <c r="AN372" i="3"/>
  <c r="M373" i="3"/>
  <c r="P373" i="3"/>
  <c r="U373" i="3" s="1"/>
  <c r="M373" i="19" s="1"/>
  <c r="AJ373" i="3"/>
  <c r="AN373" i="3"/>
  <c r="M374" i="3"/>
  <c r="Q374" i="3" s="1"/>
  <c r="P374" i="3"/>
  <c r="AJ374" i="3"/>
  <c r="AN374" i="3"/>
  <c r="M375" i="3"/>
  <c r="P375" i="3"/>
  <c r="AJ375" i="3"/>
  <c r="AN375" i="3"/>
  <c r="M376" i="3"/>
  <c r="P376" i="3"/>
  <c r="AJ376" i="3"/>
  <c r="AN376" i="3"/>
  <c r="M377" i="3"/>
  <c r="P377" i="3"/>
  <c r="AJ377" i="3"/>
  <c r="AN377" i="3"/>
  <c r="M378" i="3"/>
  <c r="Q378" i="3" s="1"/>
  <c r="P378" i="3"/>
  <c r="AJ378" i="3"/>
  <c r="AN378" i="3"/>
  <c r="M379" i="3"/>
  <c r="P379" i="3"/>
  <c r="U379" i="3" s="1"/>
  <c r="M379" i="19" s="1"/>
  <c r="AJ379" i="3"/>
  <c r="AN379" i="3"/>
  <c r="M380" i="3"/>
  <c r="Q380" i="3" s="1"/>
  <c r="I380" i="19" s="1"/>
  <c r="P380" i="3"/>
  <c r="AJ380" i="3"/>
  <c r="AN380" i="3"/>
  <c r="M381" i="3"/>
  <c r="P381" i="3"/>
  <c r="AJ381" i="3"/>
  <c r="AN381" i="3"/>
  <c r="M382" i="3"/>
  <c r="P382" i="3"/>
  <c r="U382" i="3"/>
  <c r="M382" i="19" s="1"/>
  <c r="AJ382" i="3"/>
  <c r="AN382" i="3"/>
  <c r="M383" i="3"/>
  <c r="P383" i="3"/>
  <c r="Q383" i="3" s="1"/>
  <c r="I383" i="19" s="1"/>
  <c r="AJ383" i="3"/>
  <c r="M384" i="3"/>
  <c r="P384" i="3"/>
  <c r="AJ384" i="3"/>
  <c r="M385" i="3"/>
  <c r="P385" i="3" s="1"/>
  <c r="Q385" i="3" s="1"/>
  <c r="U385" i="3"/>
  <c r="M385" i="19"/>
  <c r="AJ385" i="3"/>
  <c r="AL385" i="3" s="1"/>
  <c r="AN385" i="3" s="1"/>
  <c r="M386" i="3"/>
  <c r="P386" i="3" s="1"/>
  <c r="Q386" i="3" s="1"/>
  <c r="U386" i="3"/>
  <c r="M386" i="19" s="1"/>
  <c r="AJ386" i="3"/>
  <c r="M387" i="3"/>
  <c r="P387" i="3" s="1"/>
  <c r="U387" i="3"/>
  <c r="M387" i="19" s="1"/>
  <c r="AJ387" i="3"/>
  <c r="M388" i="3"/>
  <c r="U388" i="3"/>
  <c r="M388" i="19" s="1"/>
  <c r="AJ388" i="3"/>
  <c r="M389" i="3"/>
  <c r="P389" i="3" s="1"/>
  <c r="Q389" i="3" s="1"/>
  <c r="U389" i="3"/>
  <c r="M389" i="19" s="1"/>
  <c r="AJ389" i="3"/>
  <c r="U390" i="3"/>
  <c r="M390" i="19" s="1"/>
  <c r="M391" i="3"/>
  <c r="P391" i="3" s="1"/>
  <c r="U391" i="3"/>
  <c r="M391" i="19" s="1"/>
  <c r="AJ391" i="3"/>
  <c r="M392" i="3"/>
  <c r="P392" i="3" s="1"/>
  <c r="Q392" i="3" s="1"/>
  <c r="U392" i="3"/>
  <c r="M392" i="19" s="1"/>
  <c r="AJ392" i="3"/>
  <c r="AL392" i="3" s="1"/>
  <c r="AN392" i="3" s="1"/>
  <c r="M393" i="3"/>
  <c r="U393" i="3"/>
  <c r="M393" i="19" s="1"/>
  <c r="AJ393" i="3"/>
  <c r="AL393" i="3" s="1"/>
  <c r="AN393" i="3" s="1"/>
  <c r="M394" i="3"/>
  <c r="P394" i="3" s="1"/>
  <c r="Q394" i="3" s="1"/>
  <c r="U394" i="3"/>
  <c r="M394" i="19" s="1"/>
  <c r="AH394" i="3"/>
  <c r="AH432" i="3" s="1"/>
  <c r="AJ394" i="3"/>
  <c r="M395" i="3"/>
  <c r="U395" i="3"/>
  <c r="M395" i="19" s="1"/>
  <c r="AJ395" i="3"/>
  <c r="M396" i="3"/>
  <c r="P396" i="3" s="1"/>
  <c r="Q396" i="3" s="1"/>
  <c r="I396" i="19" s="1"/>
  <c r="U396" i="3"/>
  <c r="M396" i="19" s="1"/>
  <c r="AJ396" i="3"/>
  <c r="AL396" i="3" s="1"/>
  <c r="M397" i="3"/>
  <c r="U397" i="3"/>
  <c r="M397" i="19" s="1"/>
  <c r="AJ397" i="3"/>
  <c r="AL397" i="3" s="1"/>
  <c r="AN397" i="3" s="1"/>
  <c r="M398" i="3"/>
  <c r="Q398" i="3" s="1"/>
  <c r="U398" i="3"/>
  <c r="M398" i="19" s="1"/>
  <c r="AJ398" i="3"/>
  <c r="AN398" i="3"/>
  <c r="M399" i="3"/>
  <c r="P399" i="3"/>
  <c r="AJ399" i="3"/>
  <c r="AN399" i="3"/>
  <c r="M400" i="3"/>
  <c r="P400" i="3"/>
  <c r="U400" i="3" s="1"/>
  <c r="M400" i="19" s="1"/>
  <c r="AJ400" i="3"/>
  <c r="AN400" i="3"/>
  <c r="M401" i="3"/>
  <c r="P401" i="3"/>
  <c r="AJ401" i="3"/>
  <c r="AN401" i="3"/>
  <c r="M402" i="3"/>
  <c r="AN402" i="3"/>
  <c r="M403" i="3"/>
  <c r="P403" i="3"/>
  <c r="AJ403" i="3"/>
  <c r="AN403" i="3"/>
  <c r="M404" i="3"/>
  <c r="P404" i="3"/>
  <c r="AH404" i="3"/>
  <c r="AI404" i="3" s="1"/>
  <c r="AJ404" i="3"/>
  <c r="AN404" i="3"/>
  <c r="M405" i="3"/>
  <c r="P405" i="3"/>
  <c r="U405" i="3"/>
  <c r="AJ405" i="3"/>
  <c r="AN405" i="3"/>
  <c r="M406" i="3"/>
  <c r="P406" i="3"/>
  <c r="AJ406" i="3"/>
  <c r="AN406" i="3"/>
  <c r="M407" i="3"/>
  <c r="P407" i="3"/>
  <c r="AJ407" i="3"/>
  <c r="AN407" i="3"/>
  <c r="M408" i="3"/>
  <c r="P408" i="3"/>
  <c r="U408" i="3" s="1"/>
  <c r="M408" i="19" s="1"/>
  <c r="AJ408" i="3"/>
  <c r="AN408" i="3"/>
  <c r="M409" i="3"/>
  <c r="P409" i="3"/>
  <c r="AJ409" i="3"/>
  <c r="AN409" i="3"/>
  <c r="M410" i="3"/>
  <c r="P410" i="3"/>
  <c r="AJ410" i="3"/>
  <c r="AN410" i="3"/>
  <c r="M411" i="3"/>
  <c r="P411" i="3"/>
  <c r="U411" i="3" s="1"/>
  <c r="M411" i="19" s="1"/>
  <c r="AJ411" i="3"/>
  <c r="AN411" i="3"/>
  <c r="M412" i="3"/>
  <c r="P412" i="3"/>
  <c r="U412" i="3" s="1"/>
  <c r="M412" i="19" s="1"/>
  <c r="AJ412" i="3"/>
  <c r="AN412" i="3"/>
  <c r="M413" i="3"/>
  <c r="P413" i="3"/>
  <c r="AJ413" i="3"/>
  <c r="AN413" i="3"/>
  <c r="M414" i="3"/>
  <c r="P414" i="3"/>
  <c r="AJ414" i="3"/>
  <c r="AN414" i="3"/>
  <c r="M415" i="3"/>
  <c r="P415" i="3"/>
  <c r="AJ415" i="3"/>
  <c r="AN415" i="3"/>
  <c r="M416" i="3"/>
  <c r="P416" i="3"/>
  <c r="AJ416" i="3"/>
  <c r="AN416" i="3"/>
  <c r="M417" i="3"/>
  <c r="P417" i="3"/>
  <c r="AJ417" i="3"/>
  <c r="AN417" i="3"/>
  <c r="M418" i="3"/>
  <c r="P418" i="3"/>
  <c r="AH418" i="3"/>
  <c r="AI418" i="3" s="1"/>
  <c r="AJ418" i="3"/>
  <c r="AN418" i="3"/>
  <c r="M419" i="3"/>
  <c r="P419" i="3"/>
  <c r="AN419" i="3"/>
  <c r="M420" i="3"/>
  <c r="P420" i="3"/>
  <c r="AJ420" i="3"/>
  <c r="AN420" i="3"/>
  <c r="M421" i="3"/>
  <c r="P421" i="3"/>
  <c r="AJ421" i="3"/>
  <c r="AN421" i="3"/>
  <c r="M422" i="3"/>
  <c r="P422" i="3"/>
  <c r="U422" i="3" s="1"/>
  <c r="M422" i="19" s="1"/>
  <c r="AJ422" i="3"/>
  <c r="AN422" i="3"/>
  <c r="M423" i="3"/>
  <c r="P423" i="3"/>
  <c r="AI423" i="3"/>
  <c r="AJ423" i="3"/>
  <c r="AN423" i="3"/>
  <c r="M424" i="3"/>
  <c r="P424" i="3"/>
  <c r="AJ424" i="3"/>
  <c r="AN424" i="3"/>
  <c r="M425" i="3"/>
  <c r="P425" i="3"/>
  <c r="AJ425" i="3"/>
  <c r="AN425" i="3"/>
  <c r="M426" i="3"/>
  <c r="P426" i="3"/>
  <c r="AJ426" i="3"/>
  <c r="AN426" i="3"/>
  <c r="M427" i="3"/>
  <c r="P427" i="3"/>
  <c r="AJ427" i="3"/>
  <c r="AN427" i="3"/>
  <c r="M428" i="3"/>
  <c r="P428" i="3"/>
  <c r="U428" i="3" s="1"/>
  <c r="M428" i="19" s="1"/>
  <c r="AJ428" i="3"/>
  <c r="AN428" i="3"/>
  <c r="M429" i="3"/>
  <c r="P429" i="3"/>
  <c r="AJ429" i="3"/>
  <c r="AN429" i="3"/>
  <c r="M430" i="3"/>
  <c r="P430" i="3"/>
  <c r="AJ430" i="3"/>
  <c r="AN430" i="3"/>
  <c r="M431" i="3"/>
  <c r="P431" i="3"/>
  <c r="U431" i="3" s="1"/>
  <c r="M431" i="19" s="1"/>
  <c r="AJ431" i="3"/>
  <c r="AN431" i="3"/>
  <c r="M432" i="3"/>
  <c r="P432" i="3"/>
  <c r="AJ432" i="3"/>
  <c r="AN432" i="3"/>
  <c r="M433" i="3"/>
  <c r="P433" i="3"/>
  <c r="AN433" i="3"/>
  <c r="AB434" i="3"/>
  <c r="D437" i="3"/>
  <c r="J437" i="3"/>
  <c r="AB437" i="3"/>
  <c r="D440" i="3"/>
  <c r="J440" i="3"/>
  <c r="AB440" i="3"/>
  <c r="D443" i="3"/>
  <c r="J443" i="3"/>
  <c r="AB443" i="3"/>
  <c r="D446" i="3"/>
  <c r="J446" i="3"/>
  <c r="AB446" i="3"/>
  <c r="D449" i="3"/>
  <c r="J449" i="3"/>
  <c r="AB449" i="3"/>
  <c r="D452" i="3"/>
  <c r="J452" i="3"/>
  <c r="AB452" i="3"/>
  <c r="D455" i="3"/>
  <c r="J455" i="3"/>
  <c r="AB455" i="3"/>
  <c r="L105" i="4"/>
  <c r="AH53" i="3" s="1"/>
  <c r="AI53" i="3" s="1"/>
  <c r="AH334" i="3"/>
  <c r="AI334" i="3" s="1"/>
  <c r="AH332" i="3"/>
  <c r="AI332" i="3" s="1"/>
  <c r="L15" i="10"/>
  <c r="AH282" i="3"/>
  <c r="AI282" i="3" s="1"/>
  <c r="L109" i="8"/>
  <c r="AH262" i="3" s="1"/>
  <c r="AI262" i="3" s="1"/>
  <c r="AH206" i="3"/>
  <c r="AI206" i="3" s="1"/>
  <c r="L114" i="6"/>
  <c r="AH168" i="3" s="1"/>
  <c r="AH392" i="3"/>
  <c r="AI392" i="3" s="1"/>
  <c r="AO392" i="3" s="1"/>
  <c r="AP392" i="3" s="1"/>
  <c r="AH275" i="3"/>
  <c r="AI275" i="3" s="1"/>
  <c r="AL275" i="3" s="1"/>
  <c r="AO275" i="3" s="1"/>
  <c r="U301" i="3"/>
  <c r="M301" i="19" s="1"/>
  <c r="U159" i="3"/>
  <c r="M159" i="19" s="1"/>
  <c r="P84" i="3"/>
  <c r="Q84" i="3" s="1"/>
  <c r="Q69" i="3"/>
  <c r="AL50" i="3"/>
  <c r="AN50" i="3" s="1"/>
  <c r="AL43" i="3"/>
  <c r="AN43" i="3" s="1"/>
  <c r="P20" i="3"/>
  <c r="Q20" i="3" s="1"/>
  <c r="I20" i="19" s="1"/>
  <c r="Q290" i="3"/>
  <c r="R290" i="3" s="1"/>
  <c r="T290" i="3" s="1"/>
  <c r="AN285" i="3"/>
  <c r="AN283" i="3"/>
  <c r="Q278" i="3"/>
  <c r="I278" i="19" s="1"/>
  <c r="U255" i="3"/>
  <c r="M255" i="19" s="1"/>
  <c r="Q250" i="3"/>
  <c r="R250" i="3" s="1"/>
  <c r="P248" i="3"/>
  <c r="Q248" i="3" s="1"/>
  <c r="P245" i="3"/>
  <c r="Q245" i="3" s="1"/>
  <c r="I245" i="19" s="1"/>
  <c r="P221" i="3"/>
  <c r="Q221" i="3" s="1"/>
  <c r="I221" i="19" s="1"/>
  <c r="AN211" i="3"/>
  <c r="P206" i="3"/>
  <c r="Q206" i="3" s="1"/>
  <c r="R206" i="3" s="1"/>
  <c r="T206" i="3" s="1"/>
  <c r="U165" i="3"/>
  <c r="M165" i="19" s="1"/>
  <c r="Q149" i="3"/>
  <c r="I149" i="19" s="1"/>
  <c r="U161" i="3"/>
  <c r="M161" i="19" s="1"/>
  <c r="U57" i="3"/>
  <c r="M57" i="19" s="1"/>
  <c r="Q49" i="3"/>
  <c r="I49" i="19" s="1"/>
  <c r="AL44" i="3"/>
  <c r="AN44" i="3" s="1"/>
  <c r="AL30" i="3"/>
  <c r="AN30" i="3" s="1"/>
  <c r="AL26" i="3"/>
  <c r="AN26" i="3" s="1"/>
  <c r="AN22" i="3"/>
  <c r="AL14" i="3"/>
  <c r="AN14" i="3" s="1"/>
  <c r="U302" i="3"/>
  <c r="M302" i="19" s="1"/>
  <c r="U300" i="3"/>
  <c r="M300" i="19" s="1"/>
  <c r="U254" i="3"/>
  <c r="M254" i="19" s="1"/>
  <c r="U229" i="3"/>
  <c r="M229" i="19" s="1"/>
  <c r="M227" i="19"/>
  <c r="U224" i="3"/>
  <c r="M224" i="19" s="1"/>
  <c r="AL206" i="3"/>
  <c r="AN206" i="3"/>
  <c r="Q159" i="3"/>
  <c r="I159" i="19" s="1"/>
  <c r="U144" i="3"/>
  <c r="M144" i="19" s="1"/>
  <c r="U129" i="3"/>
  <c r="M129" i="19"/>
  <c r="U98" i="3"/>
  <c r="M98" i="19" s="1"/>
  <c r="M72" i="19"/>
  <c r="U58" i="3"/>
  <c r="M58" i="19"/>
  <c r="Q68" i="3"/>
  <c r="I68" i="19" s="1"/>
  <c r="Q51" i="3"/>
  <c r="I51" i="19" s="1"/>
  <c r="P43" i="3"/>
  <c r="Q43" i="3" s="1"/>
  <c r="I43" i="19" s="1"/>
  <c r="P39" i="3"/>
  <c r="Q39" i="3" s="1"/>
  <c r="U157" i="3"/>
  <c r="M157" i="19" s="1"/>
  <c r="M122" i="19"/>
  <c r="Q120" i="3"/>
  <c r="I120" i="19" s="1"/>
  <c r="U114" i="3"/>
  <c r="M114" i="19" s="1"/>
  <c r="AL85" i="3"/>
  <c r="AN85" i="3"/>
  <c r="AL49" i="3"/>
  <c r="AN49" i="3" s="1"/>
  <c r="AL11" i="3"/>
  <c r="AN11" i="3" s="1"/>
  <c r="Q190" i="3"/>
  <c r="I190" i="19" s="1"/>
  <c r="U110" i="3"/>
  <c r="M110" i="19" s="1"/>
  <c r="U51" i="3"/>
  <c r="M51" i="19" s="1"/>
  <c r="P47" i="3"/>
  <c r="Q47" i="3" s="1"/>
  <c r="AL33" i="3"/>
  <c r="AN33" i="3" s="1"/>
  <c r="Q56" i="3"/>
  <c r="I56" i="19" s="1"/>
  <c r="P46" i="3"/>
  <c r="Q46" i="3" s="1"/>
  <c r="I46" i="19"/>
  <c r="AL41" i="3"/>
  <c r="AN41" i="3" s="1"/>
  <c r="AL31" i="3"/>
  <c r="AN31" i="3" s="1"/>
  <c r="AL29" i="3"/>
  <c r="AN29" i="3" s="1"/>
  <c r="AL27" i="3"/>
  <c r="AN27" i="3" s="1"/>
  <c r="P10" i="3"/>
  <c r="Q10" i="3" s="1"/>
  <c r="R10" i="3" s="1"/>
  <c r="T10" i="3" s="1"/>
  <c r="Q128" i="3"/>
  <c r="U178" i="3"/>
  <c r="M178" i="19" s="1"/>
  <c r="AL46" i="3"/>
  <c r="AN46" i="3" s="1"/>
  <c r="AO46" i="3" s="1"/>
  <c r="Q261" i="3"/>
  <c r="Q414" i="3"/>
  <c r="I414" i="19" s="1"/>
  <c r="U376" i="3"/>
  <c r="M376" i="19" s="1"/>
  <c r="Q91" i="3"/>
  <c r="AL48" i="3"/>
  <c r="AN48" i="3" s="1"/>
  <c r="P14" i="3"/>
  <c r="Q14" i="3" s="1"/>
  <c r="Q148" i="3"/>
  <c r="I148" i="19" s="1"/>
  <c r="Q129" i="3"/>
  <c r="I129" i="19" s="1"/>
  <c r="Q61" i="3"/>
  <c r="I61" i="19" s="1"/>
  <c r="AL209" i="3"/>
  <c r="AN209" i="3" s="1"/>
  <c r="U141" i="3"/>
  <c r="M141" i="19" s="1"/>
  <c r="U88" i="3"/>
  <c r="M88" i="19" s="1"/>
  <c r="AL83" i="3"/>
  <c r="AN83" i="3" s="1"/>
  <c r="P42" i="3"/>
  <c r="Q42" i="3" s="1"/>
  <c r="I42" i="19" s="1"/>
  <c r="P40" i="3"/>
  <c r="Q40" i="3" s="1"/>
  <c r="P32" i="3"/>
  <c r="Q32" i="3" s="1"/>
  <c r="U406" i="3"/>
  <c r="M406" i="19" s="1"/>
  <c r="AL293" i="3"/>
  <c r="AN293" i="3"/>
  <c r="AL216" i="3"/>
  <c r="AN216" i="3" s="1"/>
  <c r="U416" i="3"/>
  <c r="M416" i="19" s="1"/>
  <c r="U409" i="3"/>
  <c r="M409" i="19" s="1"/>
  <c r="Q357" i="3"/>
  <c r="I357" i="19" s="1"/>
  <c r="AL79" i="3"/>
  <c r="AN79" i="3" s="1"/>
  <c r="Q268" i="3"/>
  <c r="AL247" i="3"/>
  <c r="AN247" i="3" s="1"/>
  <c r="P219" i="3"/>
  <c r="Q219" i="3" s="1"/>
  <c r="I219" i="19" s="1"/>
  <c r="Q87" i="3"/>
  <c r="I87" i="19" s="1"/>
  <c r="AL80" i="3"/>
  <c r="AN80" i="3" s="1"/>
  <c r="Q358" i="3"/>
  <c r="AL249" i="3"/>
  <c r="AN249" i="3" s="1"/>
  <c r="P207" i="3"/>
  <c r="Q207" i="3" s="1"/>
  <c r="M175" i="19"/>
  <c r="AL156" i="3"/>
  <c r="AN156" i="3"/>
  <c r="Q79" i="3"/>
  <c r="P22" i="3"/>
  <c r="Q22" i="3" s="1"/>
  <c r="Q384" i="3"/>
  <c r="I384" i="19"/>
  <c r="U119" i="3"/>
  <c r="M119" i="19" s="1"/>
  <c r="U60" i="3"/>
  <c r="M60" i="19" s="1"/>
  <c r="Q373" i="3"/>
  <c r="I373" i="19" s="1"/>
  <c r="Q255" i="3"/>
  <c r="Q161" i="3"/>
  <c r="Q257" i="3"/>
  <c r="R257" i="3" s="1"/>
  <c r="Q196" i="3"/>
  <c r="I196" i="19" s="1"/>
  <c r="Q184" i="3"/>
  <c r="I184" i="19" s="1"/>
  <c r="Q155" i="3"/>
  <c r="I155" i="19" s="1"/>
  <c r="Q67" i="3"/>
  <c r="I67" i="19" s="1"/>
  <c r="U336" i="3"/>
  <c r="M336" i="19" s="1"/>
  <c r="P298" i="3"/>
  <c r="Q298" i="3" s="1"/>
  <c r="R298" i="3" s="1"/>
  <c r="P289" i="3"/>
  <c r="Q289" i="3" s="1"/>
  <c r="R289" i="3" s="1"/>
  <c r="T289" i="3" s="1"/>
  <c r="U231" i="3"/>
  <c r="M231" i="19" s="1"/>
  <c r="U127" i="3"/>
  <c r="M127" i="19"/>
  <c r="U124" i="3"/>
  <c r="M124" i="19" s="1"/>
  <c r="I378" i="19"/>
  <c r="Q361" i="3"/>
  <c r="I361" i="19" s="1"/>
  <c r="U342" i="3"/>
  <c r="M342" i="19" s="1"/>
  <c r="AL208" i="3"/>
  <c r="AN208" i="3"/>
  <c r="U132" i="3"/>
  <c r="M132" i="19" s="1"/>
  <c r="AL15" i="3"/>
  <c r="AN15" i="3" s="1"/>
  <c r="AL288" i="3"/>
  <c r="AN288" i="3" s="1"/>
  <c r="U237" i="3"/>
  <c r="M237" i="19" s="1"/>
  <c r="U163" i="3"/>
  <c r="M163" i="19" s="1"/>
  <c r="Q113" i="3"/>
  <c r="U113" i="3"/>
  <c r="M113" i="19"/>
  <c r="U97" i="3"/>
  <c r="M97" i="19" s="1"/>
  <c r="U53" i="3"/>
  <c r="M53" i="19" s="1"/>
  <c r="AL35" i="3"/>
  <c r="AN35" i="3" s="1"/>
  <c r="Q353" i="3"/>
  <c r="I353" i="19" s="1"/>
  <c r="Q269" i="3"/>
  <c r="I269" i="19" s="1"/>
  <c r="Q229" i="3"/>
  <c r="P287" i="3"/>
  <c r="Q287" i="3" s="1"/>
  <c r="I287" i="19" s="1"/>
  <c r="P210" i="3"/>
  <c r="Q210" i="3" s="1"/>
  <c r="U203" i="3"/>
  <c r="M203" i="19" s="1"/>
  <c r="U180" i="3"/>
  <c r="M180" i="19" s="1"/>
  <c r="U167" i="3"/>
  <c r="M167" i="19" s="1"/>
  <c r="P38" i="3"/>
  <c r="Q38" i="3"/>
  <c r="I38" i="19" s="1"/>
  <c r="AN9" i="3"/>
  <c r="Q194" i="3"/>
  <c r="U162" i="3"/>
  <c r="M162" i="19"/>
  <c r="M123" i="19"/>
  <c r="Q123" i="3"/>
  <c r="I123" i="19" s="1"/>
  <c r="U112" i="3"/>
  <c r="M112" i="19"/>
  <c r="Q112" i="3"/>
  <c r="Q81" i="3"/>
  <c r="I81" i="19" s="1"/>
  <c r="AN34" i="3"/>
  <c r="Q34" i="3"/>
  <c r="P17" i="3"/>
  <c r="Q17" i="3" s="1"/>
  <c r="Q137" i="3"/>
  <c r="I137" i="19" s="1"/>
  <c r="U66" i="3"/>
  <c r="M66" i="19" s="1"/>
  <c r="AL37" i="3"/>
  <c r="AN37" i="3"/>
  <c r="Q11" i="3"/>
  <c r="R11" i="3" s="1"/>
  <c r="Q135" i="3"/>
  <c r="I135" i="19" s="1"/>
  <c r="Q115" i="3"/>
  <c r="I115" i="19" s="1"/>
  <c r="Q16" i="3"/>
  <c r="R16" i="3" s="1"/>
  <c r="Q9" i="3"/>
  <c r="Q354" i="3"/>
  <c r="I354" i="19" s="1"/>
  <c r="U118" i="3"/>
  <c r="M118" i="19" s="1"/>
  <c r="P35" i="3"/>
  <c r="Q35" i="3" s="1"/>
  <c r="I35" i="19" s="1"/>
  <c r="Q73" i="3"/>
  <c r="P156" i="3"/>
  <c r="Q156" i="3" s="1"/>
  <c r="R156" i="3" s="1"/>
  <c r="U407" i="3"/>
  <c r="M407" i="19" s="1"/>
  <c r="Q369" i="3"/>
  <c r="I369" i="19" s="1"/>
  <c r="P30" i="3"/>
  <c r="Q30" i="3" s="1"/>
  <c r="P29" i="3"/>
  <c r="Q29" i="3" s="1"/>
  <c r="P19" i="3"/>
  <c r="Q19" i="3"/>
  <c r="Q252" i="3"/>
  <c r="R252" i="3" s="1"/>
  <c r="M405" i="19"/>
  <c r="P251" i="3"/>
  <c r="Q251" i="3" s="1"/>
  <c r="P28" i="3"/>
  <c r="Q28" i="3" s="1"/>
  <c r="R28" i="3" s="1"/>
  <c r="AL12" i="3"/>
  <c r="AN12" i="3" s="1"/>
  <c r="P31" i="3"/>
  <c r="Q31" i="3" s="1"/>
  <c r="R31" i="3" s="1"/>
  <c r="T31" i="3" s="1"/>
  <c r="U128" i="3"/>
  <c r="M128" i="19" s="1"/>
  <c r="Q82" i="9"/>
  <c r="Q293" i="3"/>
  <c r="Q316" i="3"/>
  <c r="I316" i="19" s="1"/>
  <c r="Q58" i="3"/>
  <c r="U55" i="3"/>
  <c r="M55" i="19" s="1"/>
  <c r="Q52" i="3"/>
  <c r="L139" i="9"/>
  <c r="AH409" i="3" s="1"/>
  <c r="AI409" i="3" s="1"/>
  <c r="L95" i="10"/>
  <c r="AH297" i="3" s="1"/>
  <c r="AI297" i="3" s="1"/>
  <c r="L102" i="10"/>
  <c r="AH300" i="3" s="1"/>
  <c r="AI300" i="3" s="1"/>
  <c r="Q387" i="3"/>
  <c r="R387" i="3" s="1"/>
  <c r="T387" i="3" s="1"/>
  <c r="U330" i="3"/>
  <c r="M330" i="19" s="1"/>
  <c r="P395" i="3"/>
  <c r="Q395" i="3" s="1"/>
  <c r="R395" i="3" s="1"/>
  <c r="P393" i="3"/>
  <c r="Q393" i="3" s="1"/>
  <c r="Q391" i="3"/>
  <c r="Q313" i="3"/>
  <c r="Q227" i="3"/>
  <c r="Q321" i="3"/>
  <c r="I321" i="19" s="1"/>
  <c r="U273" i="3"/>
  <c r="M273" i="19" s="1"/>
  <c r="U182" i="3"/>
  <c r="M182" i="19"/>
  <c r="U166" i="3"/>
  <c r="M166" i="19" s="1"/>
  <c r="U95" i="3"/>
  <c r="M95" i="19" s="1"/>
  <c r="M59" i="19"/>
  <c r="Q160" i="3"/>
  <c r="R160" i="3" s="1"/>
  <c r="T160" i="3" s="1"/>
  <c r="L111" i="4"/>
  <c r="AH54" i="3" s="1"/>
  <c r="AI54" i="3" s="1"/>
  <c r="J151" i="4"/>
  <c r="U419" i="3"/>
  <c r="M419" i="19" s="1"/>
  <c r="Q114" i="3"/>
  <c r="R114" i="3" s="1"/>
  <c r="T114" i="3" s="1"/>
  <c r="I114" i="19"/>
  <c r="U89" i="3"/>
  <c r="M89" i="19" s="1"/>
  <c r="P50" i="3"/>
  <c r="Q50" i="3" s="1"/>
  <c r="I50" i="19" s="1"/>
  <c r="Q154" i="3"/>
  <c r="I154" i="19" s="1"/>
  <c r="P390" i="3"/>
  <c r="Q390" i="3" s="1"/>
  <c r="P284" i="3"/>
  <c r="Q284" i="3" s="1"/>
  <c r="R284" i="3" s="1"/>
  <c r="T284" i="3" s="1"/>
  <c r="P208" i="3"/>
  <c r="Q208" i="3" s="1"/>
  <c r="P36" i="3"/>
  <c r="Q36" i="3" s="1"/>
  <c r="Q13" i="3"/>
  <c r="R13" i="3" s="1"/>
  <c r="P12" i="3"/>
  <c r="Q12" i="3" s="1"/>
  <c r="P8" i="3"/>
  <c r="Q8" i="3" s="1"/>
  <c r="R8" i="3" s="1"/>
  <c r="T8" i="3" s="1"/>
  <c r="P217" i="3"/>
  <c r="Q217" i="3" s="1"/>
  <c r="Q153" i="3"/>
  <c r="I153" i="19" s="1"/>
  <c r="Q166" i="3"/>
  <c r="I166" i="19" s="1"/>
  <c r="Q195" i="3"/>
  <c r="I195" i="19" s="1"/>
  <c r="Q286" i="3"/>
  <c r="R286" i="3" s="1"/>
  <c r="Q95" i="3"/>
  <c r="R95" i="3" s="1"/>
  <c r="P15" i="3"/>
  <c r="Q15" i="3" s="1"/>
  <c r="I15" i="19" s="1"/>
  <c r="Q59" i="3"/>
  <c r="I59" i="19" s="1"/>
  <c r="Q348" i="3"/>
  <c r="I348" i="19" s="1"/>
  <c r="Q422" i="3"/>
  <c r="AL395" i="3"/>
  <c r="AN395" i="3" s="1"/>
  <c r="AL394" i="3"/>
  <c r="AN394" i="3" s="1"/>
  <c r="Q266" i="3"/>
  <c r="R266" i="3"/>
  <c r="T266" i="3" s="1"/>
  <c r="I8" i="19"/>
  <c r="Q45" i="3"/>
  <c r="U404" i="3"/>
  <c r="M404" i="19" s="1"/>
  <c r="U333" i="3"/>
  <c r="M333" i="19" s="1"/>
  <c r="Q263" i="3"/>
  <c r="I263" i="19" s="1"/>
  <c r="Q240" i="3"/>
  <c r="Q256" i="3"/>
  <c r="R256" i="3" s="1"/>
  <c r="T256" i="3" s="1"/>
  <c r="AL219" i="3"/>
  <c r="AN219" i="3" s="1"/>
  <c r="Q428" i="3"/>
  <c r="I428" i="19" s="1"/>
  <c r="Q370" i="3"/>
  <c r="I370" i="19" s="1"/>
  <c r="P33" i="3"/>
  <c r="Q33" i="3" s="1"/>
  <c r="R33" i="3" s="1"/>
  <c r="Q21" i="3"/>
  <c r="Q371" i="3"/>
  <c r="I371" i="19" s="1"/>
  <c r="AL390" i="3"/>
  <c r="AN390" i="3" s="1"/>
  <c r="AL291" i="3"/>
  <c r="AN291" i="3" s="1"/>
  <c r="AL248" i="3"/>
  <c r="AN248" i="3" s="1"/>
  <c r="P213" i="3"/>
  <c r="Q213" i="3" s="1"/>
  <c r="Q64" i="3"/>
  <c r="I64" i="19" s="1"/>
  <c r="AL13" i="3"/>
  <c r="AN13" i="3" s="1"/>
  <c r="Q416" i="3"/>
  <c r="I416" i="19" s="1"/>
  <c r="Q415" i="3"/>
  <c r="I415" i="19" s="1"/>
  <c r="P294" i="3"/>
  <c r="Q294" i="3" s="1"/>
  <c r="R294" i="3" s="1"/>
  <c r="T294" i="3" s="1"/>
  <c r="P296" i="3"/>
  <c r="Q296" i="3" s="1"/>
  <c r="R296" i="3" s="1"/>
  <c r="T296" i="3" s="1"/>
  <c r="Q324" i="3"/>
  <c r="R324" i="3" s="1"/>
  <c r="AL387" i="3"/>
  <c r="AN387" i="3" s="1"/>
  <c r="AL246" i="3"/>
  <c r="AN246" i="3" s="1"/>
  <c r="AL221" i="3"/>
  <c r="AN221" i="3" s="1"/>
  <c r="AL210" i="3"/>
  <c r="AN210" i="3"/>
  <c r="Q48" i="3"/>
  <c r="I48" i="19" s="1"/>
  <c r="P397" i="3"/>
  <c r="Q397" i="3" s="1"/>
  <c r="AL389" i="3"/>
  <c r="AN389" i="3" s="1"/>
  <c r="P388" i="3"/>
  <c r="Q388" i="3" s="1"/>
  <c r="R388" i="3" s="1"/>
  <c r="T388" i="3" s="1"/>
  <c r="AL289" i="3"/>
  <c r="AN289" i="3" s="1"/>
  <c r="AL212" i="3"/>
  <c r="AN212" i="3" s="1"/>
  <c r="AL82" i="3"/>
  <c r="AN82" i="3" s="1"/>
  <c r="AL39" i="3"/>
  <c r="AN39" i="3" s="1"/>
  <c r="AL21" i="3"/>
  <c r="AN21" i="3" s="1"/>
  <c r="AN396" i="3"/>
  <c r="AL388" i="3"/>
  <c r="AN388" i="3" s="1"/>
  <c r="AL351" i="3"/>
  <c r="AN351" i="3" s="1"/>
  <c r="Q276" i="3"/>
  <c r="I276" i="19" s="1"/>
  <c r="AL252" i="3"/>
  <c r="AN252" i="3" s="1"/>
  <c r="AL243" i="3"/>
  <c r="AN243" i="3" s="1"/>
  <c r="AL220" i="3"/>
  <c r="AN220" i="3" s="1"/>
  <c r="AL207" i="3"/>
  <c r="AN207" i="3" s="1"/>
  <c r="Q139" i="3"/>
  <c r="I139" i="19" s="1"/>
  <c r="AL64" i="3"/>
  <c r="AO64" i="3" s="1"/>
  <c r="AL36" i="3"/>
  <c r="AN36" i="3" s="1"/>
  <c r="AL16" i="3"/>
  <c r="AN16" i="3" s="1"/>
  <c r="Q80" i="3"/>
  <c r="AL245" i="3"/>
  <c r="AN245" i="3" s="1"/>
  <c r="AL32" i="3"/>
  <c r="AN32" i="3" s="1"/>
  <c r="AL386" i="3"/>
  <c r="AN386" i="3" s="1"/>
  <c r="AL296" i="3"/>
  <c r="AN296" i="3" s="1"/>
  <c r="AL292" i="3"/>
  <c r="AN292" i="3" s="1"/>
  <c r="AL282" i="3"/>
  <c r="AN282" i="3" s="1"/>
  <c r="AL253" i="3"/>
  <c r="AN253" i="3" s="1"/>
  <c r="AL10" i="3"/>
  <c r="AN10" i="3" s="1"/>
  <c r="P24" i="3"/>
  <c r="Q24" i="3" s="1"/>
  <c r="AL391" i="3"/>
  <c r="AN391" i="3" s="1"/>
  <c r="AL297" i="3"/>
  <c r="AN297" i="3" s="1"/>
  <c r="AL250" i="3"/>
  <c r="AN250" i="3" s="1"/>
  <c r="AL213" i="3"/>
  <c r="AN213" i="3" s="1"/>
  <c r="AL24" i="3"/>
  <c r="AN24" i="3" s="1"/>
  <c r="AL45" i="3"/>
  <c r="AN45" i="3" s="1"/>
  <c r="AL42" i="3"/>
  <c r="AN42" i="3" s="1"/>
  <c r="AL20" i="3"/>
  <c r="AN20" i="3" s="1"/>
  <c r="AN218" i="3"/>
  <c r="AN214" i="3"/>
  <c r="AN298" i="3"/>
  <c r="L220" i="10"/>
  <c r="AH311" i="3"/>
  <c r="AI311" i="3" s="1"/>
  <c r="Q185" i="3"/>
  <c r="U185" i="3"/>
  <c r="M185" i="19" s="1"/>
  <c r="U63" i="3"/>
  <c r="M63" i="19" s="1"/>
  <c r="U169" i="3"/>
  <c r="M169" i="19" s="1"/>
  <c r="Q169" i="3"/>
  <c r="U121" i="3"/>
  <c r="M121" i="19" s="1"/>
  <c r="Q121" i="3"/>
  <c r="R121" i="3" s="1"/>
  <c r="T121" i="3" s="1"/>
  <c r="Q100" i="3"/>
  <c r="I100" i="19" s="1"/>
  <c r="U100" i="3"/>
  <c r="M100" i="19" s="1"/>
  <c r="Q355" i="3"/>
  <c r="I355" i="19" s="1"/>
  <c r="U355" i="3"/>
  <c r="M355" i="19" s="1"/>
  <c r="Q108" i="3"/>
  <c r="U108" i="3"/>
  <c r="M108" i="19" s="1"/>
  <c r="L39" i="10"/>
  <c r="AH286" i="3" s="1"/>
  <c r="AI286" i="3" s="1"/>
  <c r="Q149" i="10"/>
  <c r="AH390" i="3"/>
  <c r="AI390" i="3" s="1"/>
  <c r="L53" i="10"/>
  <c r="AH287" i="3" s="1"/>
  <c r="AI287" i="3" s="1"/>
  <c r="AH193" i="3"/>
  <c r="AI193" i="3" s="1"/>
  <c r="AL193" i="3" s="1"/>
  <c r="AO193" i="3" s="1"/>
  <c r="U364" i="3"/>
  <c r="M364" i="19" s="1"/>
  <c r="U346" i="3"/>
  <c r="M346" i="19" s="1"/>
  <c r="M116" i="19"/>
  <c r="Q723" i="10"/>
  <c r="AH383" i="3"/>
  <c r="AI330" i="3"/>
  <c r="AL330" i="3" s="1"/>
  <c r="AO330" i="3" s="1"/>
  <c r="AP330" i="3" s="1"/>
  <c r="AR330" i="3" s="1"/>
  <c r="L22" i="10"/>
  <c r="AH283" i="3" s="1"/>
  <c r="J798" i="10"/>
  <c r="L773" i="10"/>
  <c r="Q116" i="5"/>
  <c r="AH325" i="3"/>
  <c r="AI325" i="3" s="1"/>
  <c r="AS325" i="3" s="1"/>
  <c r="L325" i="20" s="1"/>
  <c r="L157" i="5"/>
  <c r="AH131" i="3" s="1"/>
  <c r="AI131" i="3" s="1"/>
  <c r="U138" i="3"/>
  <c r="M138" i="19" s="1"/>
  <c r="Q138" i="3"/>
  <c r="U117" i="3"/>
  <c r="M117" i="19" s="1"/>
  <c r="Q117" i="3"/>
  <c r="I117" i="19" s="1"/>
  <c r="U367" i="3"/>
  <c r="M367" i="19" s="1"/>
  <c r="Q367" i="3"/>
  <c r="I367" i="19"/>
  <c r="U158" i="3"/>
  <c r="M158" i="19" s="1"/>
  <c r="Q158" i="3"/>
  <c r="U413" i="3"/>
  <c r="M413" i="19"/>
  <c r="Q413" i="3"/>
  <c r="M147" i="19"/>
  <c r="Q147" i="3"/>
  <c r="I147" i="19"/>
  <c r="Q223" i="3"/>
  <c r="I223" i="19" s="1"/>
  <c r="M223" i="19"/>
  <c r="U181" i="3"/>
  <c r="M181" i="19"/>
  <c r="Q54" i="3"/>
  <c r="AH312" i="3"/>
  <c r="AI312" i="3" s="1"/>
  <c r="I216" i="19"/>
  <c r="R216" i="3"/>
  <c r="R162" i="3"/>
  <c r="T162" i="3" s="1"/>
  <c r="U307" i="3"/>
  <c r="M307" i="19" s="1"/>
  <c r="Q311" i="3"/>
  <c r="R311" i="3" s="1"/>
  <c r="U310" i="3"/>
  <c r="M310" i="19" s="1"/>
  <c r="Q99" i="3"/>
  <c r="U258" i="3"/>
  <c r="M258" i="19" s="1"/>
  <c r="Q258" i="3"/>
  <c r="T258" i="3" s="1"/>
  <c r="Q379" i="3"/>
  <c r="I379" i="19" s="1"/>
  <c r="U306" i="3"/>
  <c r="M306" i="19" s="1"/>
  <c r="U401" i="3"/>
  <c r="M401" i="19" s="1"/>
  <c r="Q103" i="3"/>
  <c r="U308" i="3"/>
  <c r="M308" i="19" s="1"/>
  <c r="Q305" i="3"/>
  <c r="R305" i="3" s="1"/>
  <c r="T305" i="3" s="1"/>
  <c r="U402" i="3"/>
  <c r="M402" i="19" s="1"/>
  <c r="Q402" i="3"/>
  <c r="U102" i="3"/>
  <c r="M102" i="19" s="1"/>
  <c r="Q102" i="3"/>
  <c r="Q225" i="3"/>
  <c r="U225" i="3"/>
  <c r="M225" i="19" s="1"/>
  <c r="Q427" i="3"/>
  <c r="I427" i="19" s="1"/>
  <c r="Q426" i="3"/>
  <c r="Q424" i="3"/>
  <c r="I424" i="19" s="1"/>
  <c r="Q382" i="3"/>
  <c r="I382" i="19" s="1"/>
  <c r="Q377" i="3"/>
  <c r="I377" i="19" s="1"/>
  <c r="Q375" i="3"/>
  <c r="I375" i="19" s="1"/>
  <c r="Q241" i="3"/>
  <c r="I241" i="19" s="1"/>
  <c r="Q236" i="3"/>
  <c r="I236" i="19" s="1"/>
  <c r="Q191" i="3"/>
  <c r="Q172" i="3"/>
  <c r="Q151" i="3"/>
  <c r="I151" i="19" s="1"/>
  <c r="Q146" i="3"/>
  <c r="I146" i="19" s="1"/>
  <c r="Q145" i="3"/>
  <c r="I145" i="19" s="1"/>
  <c r="Q143" i="3"/>
  <c r="I143" i="19" s="1"/>
  <c r="Q142" i="3"/>
  <c r="I142" i="19" s="1"/>
  <c r="Q134" i="3"/>
  <c r="I134" i="19" s="1"/>
  <c r="Q133" i="3"/>
  <c r="I133" i="19" s="1"/>
  <c r="Q132" i="3"/>
  <c r="Q411" i="3"/>
  <c r="I411" i="19" s="1"/>
  <c r="Q346" i="3"/>
  <c r="R346" i="3"/>
  <c r="T346" i="3" s="1"/>
  <c r="Q336" i="3"/>
  <c r="I336" i="19" s="1"/>
  <c r="Q335" i="3"/>
  <c r="I335" i="19" s="1"/>
  <c r="Q333" i="3"/>
  <c r="I333" i="19" s="1"/>
  <c r="R333" i="3"/>
  <c r="T333" i="3" s="1"/>
  <c r="Q300" i="3"/>
  <c r="Q272" i="3"/>
  <c r="I272" i="19" s="1"/>
  <c r="Q270" i="3"/>
  <c r="Q202" i="3"/>
  <c r="I202" i="19" s="1"/>
  <c r="Q198" i="3"/>
  <c r="I198" i="19" s="1"/>
  <c r="R219" i="3"/>
  <c r="Q366" i="3"/>
  <c r="I366" i="19" s="1"/>
  <c r="Q364" i="3"/>
  <c r="I364" i="19" s="1"/>
  <c r="Q362" i="3"/>
  <c r="Q309" i="3"/>
  <c r="I309" i="19" s="1"/>
  <c r="Q280" i="3"/>
  <c r="I280" i="19" s="1"/>
  <c r="Q277" i="3"/>
  <c r="I277" i="19" s="1"/>
  <c r="Q205" i="3"/>
  <c r="I205" i="19" s="1"/>
  <c r="Q89" i="3"/>
  <c r="I89" i="19" s="1"/>
  <c r="Q88" i="3"/>
  <c r="R100" i="3"/>
  <c r="T100" i="3" s="1"/>
  <c r="Q141" i="3"/>
  <c r="Q419" i="3"/>
  <c r="I419" i="19" s="1"/>
  <c r="Q407" i="3"/>
  <c r="R407" i="3" s="1"/>
  <c r="T407" i="3" s="1"/>
  <c r="Q406" i="3"/>
  <c r="Q77" i="3"/>
  <c r="I77" i="19" s="1"/>
  <c r="Q76" i="3"/>
  <c r="I76" i="19" s="1"/>
  <c r="Q74" i="3"/>
  <c r="I74" i="19"/>
  <c r="Q72" i="3"/>
  <c r="I72" i="19" s="1"/>
  <c r="Q71" i="3"/>
  <c r="I71" i="19" s="1"/>
  <c r="Q409" i="3"/>
  <c r="I409" i="19" s="1"/>
  <c r="Q178" i="3"/>
  <c r="Q119" i="3"/>
  <c r="Q101" i="3"/>
  <c r="R101" i="3" s="1"/>
  <c r="T101" i="3" s="1"/>
  <c r="Q331" i="3"/>
  <c r="I331" i="19" s="1"/>
  <c r="Q322" i="3"/>
  <c r="R322" i="3" s="1"/>
  <c r="Q124" i="3"/>
  <c r="I124" i="19" s="1"/>
  <c r="Q122" i="3"/>
  <c r="I122" i="19" s="1"/>
  <c r="Q199" i="3"/>
  <c r="I199" i="19" s="1"/>
  <c r="Q193" i="3"/>
  <c r="I193" i="19" s="1"/>
  <c r="Q186" i="3"/>
  <c r="I186" i="19" s="1"/>
  <c r="Q57" i="3"/>
  <c r="I57" i="19" s="1"/>
  <c r="Q228" i="3"/>
  <c r="R228" i="3"/>
  <c r="U267" i="3"/>
  <c r="M267" i="19" s="1"/>
  <c r="Q267" i="3"/>
  <c r="I267" i="19" s="1"/>
  <c r="R223" i="3"/>
  <c r="U335" i="3"/>
  <c r="M335" i="19"/>
  <c r="Q338" i="3"/>
  <c r="Q319" i="3"/>
  <c r="I319" i="19" s="1"/>
  <c r="U322" i="3"/>
  <c r="M322" i="19" s="1"/>
  <c r="I257" i="19"/>
  <c r="U125" i="3"/>
  <c r="M125" i="19" s="1"/>
  <c r="Q125" i="3"/>
  <c r="I125" i="19" s="1"/>
  <c r="U96" i="3"/>
  <c r="M96" i="19" s="1"/>
  <c r="Q96" i="3"/>
  <c r="U93" i="3"/>
  <c r="M93" i="19" s="1"/>
  <c r="U90" i="3"/>
  <c r="M90" i="19" s="1"/>
  <c r="Q90" i="3"/>
  <c r="I90" i="19" s="1"/>
  <c r="Q345" i="3"/>
  <c r="I345" i="19" s="1"/>
  <c r="Q332" i="3"/>
  <c r="I332" i="19" s="1"/>
  <c r="Q329" i="3"/>
  <c r="Q400" i="3"/>
  <c r="U331" i="3"/>
  <c r="M331" i="19" s="1"/>
  <c r="Q312" i="3"/>
  <c r="R312" i="3" s="1"/>
  <c r="U403" i="3"/>
  <c r="M403" i="19" s="1"/>
  <c r="Q403" i="3"/>
  <c r="U399" i="3"/>
  <c r="M399" i="19" s="1"/>
  <c r="Q399" i="3"/>
  <c r="I399" i="19" s="1"/>
  <c r="U344" i="3"/>
  <c r="M344" i="19" s="1"/>
  <c r="Q344" i="3"/>
  <c r="I344" i="19" s="1"/>
  <c r="U343" i="3"/>
  <c r="M343" i="19" s="1"/>
  <c r="Q343" i="3"/>
  <c r="I343" i="19" s="1"/>
  <c r="U320" i="3"/>
  <c r="M320" i="19" s="1"/>
  <c r="Q320" i="3"/>
  <c r="I320" i="19" s="1"/>
  <c r="U314" i="3"/>
  <c r="M314" i="19"/>
  <c r="Q314" i="3"/>
  <c r="U222" i="3"/>
  <c r="M222" i="19" s="1"/>
  <c r="Q222" i="3"/>
  <c r="U176" i="3"/>
  <c r="M176" i="19" s="1"/>
  <c r="Q176" i="3"/>
  <c r="J340" i="19"/>
  <c r="R115" i="3"/>
  <c r="I340" i="19"/>
  <c r="I160" i="19"/>
  <c r="R89" i="3"/>
  <c r="T89" i="3" s="1"/>
  <c r="Q328" i="3"/>
  <c r="R328" i="3" s="1"/>
  <c r="Q164" i="3"/>
  <c r="I346" i="19"/>
  <c r="I407" i="19"/>
  <c r="I228" i="19"/>
  <c r="I266" i="19"/>
  <c r="I40" i="19"/>
  <c r="U200" i="3"/>
  <c r="M200" i="19" s="1"/>
  <c r="Q431" i="3"/>
  <c r="Q323" i="3"/>
  <c r="I323" i="19" s="1"/>
  <c r="U323" i="3"/>
  <c r="M323" i="19" s="1"/>
  <c r="Q337" i="3"/>
  <c r="I337" i="19"/>
  <c r="U337" i="3"/>
  <c r="M337" i="19" s="1"/>
  <c r="Q327" i="3"/>
  <c r="I327" i="19" s="1"/>
  <c r="U327" i="3"/>
  <c r="M327" i="19" s="1"/>
  <c r="Q326" i="3"/>
  <c r="R326" i="3" s="1"/>
  <c r="U326" i="3"/>
  <c r="M326" i="19" s="1"/>
  <c r="Q304" i="3"/>
  <c r="I304" i="19" s="1"/>
  <c r="U304" i="3"/>
  <c r="M304" i="19" s="1"/>
  <c r="Q303" i="3"/>
  <c r="R303" i="3" s="1"/>
  <c r="U303" i="3"/>
  <c r="M303" i="19" s="1"/>
  <c r="Q171" i="3"/>
  <c r="R171" i="3" s="1"/>
  <c r="T171" i="3" s="1"/>
  <c r="Q106" i="3"/>
  <c r="I106" i="19" s="1"/>
  <c r="Q104" i="3"/>
  <c r="I104" i="19" s="1"/>
  <c r="U226" i="3"/>
  <c r="M226" i="19" s="1"/>
  <c r="I226" i="20"/>
  <c r="I431" i="19"/>
  <c r="R337" i="3"/>
  <c r="AH310" i="3"/>
  <c r="AI310" i="3" s="1"/>
  <c r="AH117" i="3"/>
  <c r="AI117" i="3" s="1"/>
  <c r="AH27" i="3"/>
  <c r="AI27" i="3" s="1"/>
  <c r="AI353" i="3"/>
  <c r="AL353" i="3" s="1"/>
  <c r="AO353" i="3" s="1"/>
  <c r="R57" i="3"/>
  <c r="T57" i="3" s="1"/>
  <c r="J216" i="19"/>
  <c r="R321" i="3"/>
  <c r="I16" i="19"/>
  <c r="R399" i="3"/>
  <c r="T399" i="3" s="1"/>
  <c r="I10" i="19"/>
  <c r="I284" i="19"/>
  <c r="R309" i="3"/>
  <c r="Q408" i="3"/>
  <c r="R408" i="3" s="1"/>
  <c r="Q376" i="3"/>
  <c r="I376" i="19" s="1"/>
  <c r="R78" i="3"/>
  <c r="T78" i="3" s="1"/>
  <c r="Q421" i="3"/>
  <c r="I421" i="19" s="1"/>
  <c r="Q381" i="3"/>
  <c r="R379" i="3" s="1"/>
  <c r="Q365" i="3"/>
  <c r="I365" i="19" s="1"/>
  <c r="Q363" i="3"/>
  <c r="I363" i="19" s="1"/>
  <c r="U410" i="3"/>
  <c r="M410" i="19" s="1"/>
  <c r="Q410" i="3"/>
  <c r="I410" i="19" s="1"/>
  <c r="Q262" i="3"/>
  <c r="R262" i="3" s="1"/>
  <c r="T262" i="3" s="1"/>
  <c r="Q372" i="3"/>
  <c r="I372" i="19" s="1"/>
  <c r="Q352" i="3"/>
  <c r="Q339" i="3"/>
  <c r="I339" i="19" s="1"/>
  <c r="Q334" i="3"/>
  <c r="R334" i="3" s="1"/>
  <c r="T334" i="3" s="1"/>
  <c r="Q325" i="3"/>
  <c r="I325" i="19" s="1"/>
  <c r="Q317" i="3"/>
  <c r="I317" i="19" s="1"/>
  <c r="U315" i="3"/>
  <c r="M315" i="19" s="1"/>
  <c r="Q307" i="3"/>
  <c r="R307" i="3" s="1"/>
  <c r="Q306" i="3"/>
  <c r="R306" i="3" s="1"/>
  <c r="Q302" i="3"/>
  <c r="I302" i="19" s="1"/>
  <c r="Q301" i="3"/>
  <c r="R301" i="3" s="1"/>
  <c r="T301" i="3" s="1"/>
  <c r="Q265" i="3"/>
  <c r="Q233" i="3"/>
  <c r="I233" i="19" s="1"/>
  <c r="Q231" i="3"/>
  <c r="Q224" i="3"/>
  <c r="R224" i="3" s="1"/>
  <c r="Q201" i="3"/>
  <c r="I201" i="19" s="1"/>
  <c r="Q183" i="3"/>
  <c r="Q182" i="3"/>
  <c r="I182" i="19" s="1"/>
  <c r="Q180" i="3"/>
  <c r="I180" i="19" s="1"/>
  <c r="Q175" i="3"/>
  <c r="Q116" i="3"/>
  <c r="R116" i="3" s="1"/>
  <c r="T116" i="3" s="1"/>
  <c r="Q109" i="3"/>
  <c r="R109" i="3" s="1"/>
  <c r="Q66" i="3"/>
  <c r="R66" i="3" s="1"/>
  <c r="Q281" i="3"/>
  <c r="I281" i="19" s="1"/>
  <c r="Q226" i="3"/>
  <c r="I226" i="19" s="1"/>
  <c r="Q433" i="3"/>
  <c r="I433" i="19" s="1"/>
  <c r="Q432" i="3"/>
  <c r="AL423" i="3"/>
  <c r="AO423" i="3" s="1"/>
  <c r="Q341" i="3"/>
  <c r="I341" i="19" s="1"/>
  <c r="Q275" i="3"/>
  <c r="I275" i="19" s="1"/>
  <c r="Q274" i="3"/>
  <c r="I274" i="19" s="1"/>
  <c r="Q238" i="3"/>
  <c r="Q174" i="3"/>
  <c r="I174" i="19" s="1"/>
  <c r="Q167" i="3"/>
  <c r="I167" i="19" s="1"/>
  <c r="Q126" i="3"/>
  <c r="R126" i="3" s="1"/>
  <c r="Q118" i="3"/>
  <c r="I118" i="19" s="1"/>
  <c r="Q55" i="3"/>
  <c r="I55" i="19" s="1"/>
  <c r="Q192" i="3"/>
  <c r="I192" i="19" s="1"/>
  <c r="Q420" i="3"/>
  <c r="Q318" i="3"/>
  <c r="I318" i="19" s="1"/>
  <c r="R27" i="3"/>
  <c r="I27" i="19"/>
  <c r="R15" i="3"/>
  <c r="I388" i="19"/>
  <c r="R106" i="3"/>
  <c r="T106" i="3" s="1"/>
  <c r="R35" i="3"/>
  <c r="R396" i="3"/>
  <c r="R394" i="3"/>
  <c r="I394" i="19"/>
  <c r="I291" i="19"/>
  <c r="I243" i="19"/>
  <c r="R214" i="3"/>
  <c r="I214" i="19"/>
  <c r="R85" i="3"/>
  <c r="R26" i="3"/>
  <c r="T26" i="3" s="1"/>
  <c r="S10" i="3"/>
  <c r="K10" i="19" s="1"/>
  <c r="I31" i="19"/>
  <c r="R386" i="3"/>
  <c r="T386" i="3" s="1"/>
  <c r="I386" i="19"/>
  <c r="R389" i="3"/>
  <c r="T389" i="3" s="1"/>
  <c r="I389" i="19"/>
  <c r="I253" i="19"/>
  <c r="R253" i="3"/>
  <c r="R246" i="3"/>
  <c r="I218" i="19"/>
  <c r="R211" i="3"/>
  <c r="R209" i="3"/>
  <c r="I209" i="19"/>
  <c r="R82" i="3"/>
  <c r="I82" i="19"/>
  <c r="I18" i="19"/>
  <c r="R226" i="3"/>
  <c r="I303" i="19"/>
  <c r="I296" i="19"/>
  <c r="I387" i="19"/>
  <c r="R221" i="3"/>
  <c r="R20" i="3"/>
  <c r="T20" i="3" s="1"/>
  <c r="I385" i="19"/>
  <c r="R385" i="3"/>
  <c r="T385" i="3" s="1"/>
  <c r="I352" i="19"/>
  <c r="I297" i="19"/>
  <c r="R297" i="3"/>
  <c r="R288" i="3"/>
  <c r="I288" i="19"/>
  <c r="R247" i="3"/>
  <c r="T247" i="3" s="1"/>
  <c r="I247" i="19"/>
  <c r="R215" i="3"/>
  <c r="I215" i="19"/>
  <c r="R181" i="3"/>
  <c r="J10" i="19"/>
  <c r="J322" i="19"/>
  <c r="I290" i="19"/>
  <c r="R347" i="3"/>
  <c r="R341" i="3"/>
  <c r="T341" i="3" s="1"/>
  <c r="I295" i="19"/>
  <c r="R244" i="3"/>
  <c r="I244" i="19"/>
  <c r="R86" i="3"/>
  <c r="R55" i="3"/>
  <c r="T55" i="3" s="1"/>
  <c r="J388" i="19"/>
  <c r="AL280" i="3"/>
  <c r="AO280" i="3" s="1"/>
  <c r="I306" i="19"/>
  <c r="J13" i="19"/>
  <c r="J311" i="19"/>
  <c r="I362" i="19"/>
  <c r="I13" i="19"/>
  <c r="R83" i="3"/>
  <c r="I212" i="19"/>
  <c r="R212" i="3"/>
  <c r="T212" i="3" s="1"/>
  <c r="R258" i="3"/>
  <c r="J78" i="19"/>
  <c r="J18" i="19"/>
  <c r="J291" i="19"/>
  <c r="R299" i="3"/>
  <c r="I262" i="19"/>
  <c r="R180" i="3"/>
  <c r="J284" i="19"/>
  <c r="I109" i="19"/>
  <c r="I231" i="19"/>
  <c r="S78" i="3"/>
  <c r="K78" i="19" s="1"/>
  <c r="I66" i="19"/>
  <c r="I334" i="19"/>
  <c r="S388" i="3"/>
  <c r="K388" i="19" s="1"/>
  <c r="J290" i="19"/>
  <c r="J218" i="19"/>
  <c r="L243" i="19"/>
  <c r="J243" i="19"/>
  <c r="J86" i="19"/>
  <c r="J211" i="19"/>
  <c r="S386" i="3"/>
  <c r="K386" i="19" s="1"/>
  <c r="J386" i="19"/>
  <c r="S247" i="3"/>
  <c r="K247" i="19" s="1"/>
  <c r="J379" i="19"/>
  <c r="L386" i="19"/>
  <c r="L18" i="19"/>
  <c r="S26" i="3"/>
  <c r="K26" i="19" s="1"/>
  <c r="S243" i="3"/>
  <c r="K243" i="19" s="1"/>
  <c r="AH371" i="3"/>
  <c r="AH13" i="3"/>
  <c r="AH61" i="3" s="1"/>
  <c r="AI394" i="3"/>
  <c r="AI433" i="3"/>
  <c r="AL433" i="3" s="1"/>
  <c r="AO433" i="3" s="1"/>
  <c r="AH405" i="3"/>
  <c r="AI405" i="3" s="1"/>
  <c r="AI385" i="3"/>
  <c r="AS385" i="3" s="1"/>
  <c r="L385" i="20" s="1"/>
  <c r="AH417" i="3"/>
  <c r="J211" i="9"/>
  <c r="L158" i="9"/>
  <c r="AH412" i="3" s="1"/>
  <c r="AI412" i="3" s="1"/>
  <c r="L31" i="6"/>
  <c r="AH157" i="3" s="1"/>
  <c r="AI157" i="3" s="1"/>
  <c r="AL157" i="3" s="1"/>
  <c r="AO157" i="3" s="1"/>
  <c r="AP157" i="3" s="1"/>
  <c r="AR157" i="3" s="1"/>
  <c r="J122" i="7"/>
  <c r="L11" i="7"/>
  <c r="AH207" i="3" s="1"/>
  <c r="AH294" i="3"/>
  <c r="AI294" i="3" s="1"/>
  <c r="L11" i="8"/>
  <c r="AH243" i="3" s="1"/>
  <c r="AI243" i="3" s="1"/>
  <c r="S306" i="3" l="1"/>
  <c r="K306" i="19" s="1"/>
  <c r="T306" i="3"/>
  <c r="J306" i="19"/>
  <c r="J257" i="19"/>
  <c r="T257" i="3"/>
  <c r="AH71" i="3"/>
  <c r="AI71" i="3" s="1"/>
  <c r="L151" i="4"/>
  <c r="AS229" i="3"/>
  <c r="L229" i="20" s="1"/>
  <c r="AL229" i="3"/>
  <c r="AO229" i="3" s="1"/>
  <c r="AP229" i="3" s="1"/>
  <c r="AR229" i="3" s="1"/>
  <c r="AI403" i="3"/>
  <c r="AH426" i="3"/>
  <c r="AI388" i="3"/>
  <c r="AS388" i="3" s="1"/>
  <c r="L388" i="20" s="1"/>
  <c r="AH420" i="3"/>
  <c r="AH419" i="3" s="1"/>
  <c r="AL181" i="3"/>
  <c r="AO181" i="3" s="1"/>
  <c r="AP181" i="3" s="1"/>
  <c r="AR181" i="3" s="1"/>
  <c r="AS181" i="3"/>
  <c r="L181" i="20" s="1"/>
  <c r="AL224" i="3"/>
  <c r="AO224" i="3" s="1"/>
  <c r="AP224" i="3" s="1"/>
  <c r="AR224" i="3" s="1"/>
  <c r="AS224" i="3"/>
  <c r="L224" i="20" s="1"/>
  <c r="AS215" i="3"/>
  <c r="L215" i="20" s="1"/>
  <c r="AO215" i="3"/>
  <c r="AP215" i="3" s="1"/>
  <c r="AO213" i="3"/>
  <c r="AP213" i="3" s="1"/>
  <c r="AR213" i="3" s="1"/>
  <c r="AS213" i="3"/>
  <c r="L213" i="20" s="1"/>
  <c r="J83" i="19"/>
  <c r="T83" i="3"/>
  <c r="J226" i="19"/>
  <c r="T226" i="3"/>
  <c r="J246" i="19"/>
  <c r="T246" i="3"/>
  <c r="S246" i="3" s="1"/>
  <c r="K246" i="19" s="1"/>
  <c r="T85" i="3"/>
  <c r="J126" i="19"/>
  <c r="T126" i="3"/>
  <c r="S68" i="3"/>
  <c r="K68" i="19" s="1"/>
  <c r="T68" i="3"/>
  <c r="T67" i="3"/>
  <c r="T66" i="3"/>
  <c r="J224" i="19"/>
  <c r="T224" i="3"/>
  <c r="T381" i="3"/>
  <c r="T379" i="3"/>
  <c r="T380" i="3"/>
  <c r="J309" i="19"/>
  <c r="T309" i="3"/>
  <c r="J321" i="19"/>
  <c r="T321" i="3"/>
  <c r="T322" i="3"/>
  <c r="T219" i="3"/>
  <c r="L28" i="19"/>
  <c r="T28" i="3"/>
  <c r="T156" i="3"/>
  <c r="L156" i="19" s="1"/>
  <c r="T16" i="3"/>
  <c r="I392" i="20"/>
  <c r="AR392" i="3"/>
  <c r="Q405" i="3"/>
  <c r="Q401" i="3"/>
  <c r="Q368" i="3"/>
  <c r="P349" i="3"/>
  <c r="Q349" i="3" s="1"/>
  <c r="J295" i="19"/>
  <c r="T295" i="3"/>
  <c r="L295" i="19" s="1"/>
  <c r="Q242" i="3"/>
  <c r="I242" i="19" s="1"/>
  <c r="Q239" i="3"/>
  <c r="I239" i="19" s="1"/>
  <c r="Q237" i="3"/>
  <c r="I237" i="19" s="1"/>
  <c r="Q235" i="3"/>
  <c r="I235" i="19" s="1"/>
  <c r="AO219" i="3"/>
  <c r="AP219" i="3" s="1"/>
  <c r="Q130" i="3"/>
  <c r="I130" i="19" s="1"/>
  <c r="Q98" i="3"/>
  <c r="Q97" i="3"/>
  <c r="AL57" i="3"/>
  <c r="AO57" i="3" s="1"/>
  <c r="AP57" i="3" s="1"/>
  <c r="AR57" i="3" s="1"/>
  <c r="Q53" i="3"/>
  <c r="AS113" i="3"/>
  <c r="L113" i="20" s="1"/>
  <c r="AL162" i="3"/>
  <c r="AO162" i="3" s="1"/>
  <c r="AP162" i="3" s="1"/>
  <c r="AR162" i="3" s="1"/>
  <c r="AL401" i="3"/>
  <c r="AO401" i="3" s="1"/>
  <c r="AP401" i="3" s="1"/>
  <c r="AR401" i="3" s="1"/>
  <c r="J180" i="19"/>
  <c r="T180" i="3"/>
  <c r="T86" i="3"/>
  <c r="T181" i="3"/>
  <c r="T215" i="3"/>
  <c r="J288" i="19"/>
  <c r="T288" i="3"/>
  <c r="S288" i="3" s="1"/>
  <c r="K288" i="19" s="1"/>
  <c r="T221" i="3"/>
  <c r="T211" i="3"/>
  <c r="T214" i="3"/>
  <c r="T394" i="3"/>
  <c r="T35" i="3"/>
  <c r="T15" i="3"/>
  <c r="L15" i="19" s="1"/>
  <c r="J27" i="19"/>
  <c r="T27" i="3"/>
  <c r="S27" i="3" s="1"/>
  <c r="J326" i="19"/>
  <c r="T326" i="3"/>
  <c r="T312" i="3"/>
  <c r="L312" i="19" s="1"/>
  <c r="T223" i="3"/>
  <c r="J228" i="19"/>
  <c r="T228" i="3"/>
  <c r="I45" i="19"/>
  <c r="R45" i="3"/>
  <c r="T286" i="3"/>
  <c r="T395" i="3"/>
  <c r="L395" i="19" s="1"/>
  <c r="T298" i="3"/>
  <c r="R39" i="3"/>
  <c r="J181" i="19"/>
  <c r="J341" i="19"/>
  <c r="J35" i="19"/>
  <c r="L78" i="19"/>
  <c r="I116" i="19"/>
  <c r="J299" i="19"/>
  <c r="T299" i="3"/>
  <c r="J219" i="19"/>
  <c r="R174" i="3"/>
  <c r="J244" i="19"/>
  <c r="T244" i="3"/>
  <c r="J347" i="19"/>
  <c r="T347" i="3"/>
  <c r="L347" i="19" s="1"/>
  <c r="J297" i="19"/>
  <c r="T297" i="3"/>
  <c r="R339" i="3"/>
  <c r="R81" i="3"/>
  <c r="T81" i="3" s="1"/>
  <c r="S82" i="3"/>
  <c r="K82" i="19" s="1"/>
  <c r="T82" i="3"/>
  <c r="L82" i="19" s="1"/>
  <c r="J209" i="19"/>
  <c r="T209" i="3"/>
  <c r="T253" i="3"/>
  <c r="S253" i="3" s="1"/>
  <c r="K253" i="19" s="1"/>
  <c r="S396" i="3"/>
  <c r="K396" i="19" s="1"/>
  <c r="T396" i="3"/>
  <c r="R122" i="3"/>
  <c r="J399" i="19"/>
  <c r="J109" i="19"/>
  <c r="T109" i="3"/>
  <c r="T307" i="3"/>
  <c r="L307" i="19" s="1"/>
  <c r="R123" i="3"/>
  <c r="J408" i="19"/>
  <c r="T408" i="3"/>
  <c r="J312" i="19"/>
  <c r="J266" i="19"/>
  <c r="J337" i="19"/>
  <c r="T337" i="3"/>
  <c r="J303" i="19"/>
  <c r="T303" i="3"/>
  <c r="L303" i="19" s="1"/>
  <c r="I326" i="19"/>
  <c r="R51" i="3"/>
  <c r="J328" i="19"/>
  <c r="T328" i="3"/>
  <c r="T115" i="3"/>
  <c r="S115" i="3" s="1"/>
  <c r="K115" i="19" s="1"/>
  <c r="T311" i="3"/>
  <c r="T216" i="3"/>
  <c r="L216" i="19" s="1"/>
  <c r="R117" i="3"/>
  <c r="L324" i="19"/>
  <c r="T324" i="3"/>
  <c r="J33" i="19"/>
  <c r="T33" i="3"/>
  <c r="R263" i="3"/>
  <c r="T95" i="3"/>
  <c r="T13" i="3"/>
  <c r="AO12" i="3"/>
  <c r="AP12" i="3" s="1"/>
  <c r="AR12" i="3" s="1"/>
  <c r="T252" i="3"/>
  <c r="J11" i="19"/>
  <c r="T11" i="3"/>
  <c r="J250" i="19"/>
  <c r="T250" i="3"/>
  <c r="L250" i="19" s="1"/>
  <c r="L340" i="19"/>
  <c r="T340" i="3"/>
  <c r="T291" i="3"/>
  <c r="AL62" i="3"/>
  <c r="AO62" i="3" s="1"/>
  <c r="AS103" i="3"/>
  <c r="L103" i="20" s="1"/>
  <c r="AL196" i="3"/>
  <c r="AL421" i="3"/>
  <c r="AO421" i="3" s="1"/>
  <c r="AL407" i="3"/>
  <c r="AO407" i="3" s="1"/>
  <c r="AP407" i="3" s="1"/>
  <c r="AR407" i="3" s="1"/>
  <c r="AL363" i="3"/>
  <c r="AO363" i="3" s="1"/>
  <c r="Q229" i="6"/>
  <c r="O229" i="6"/>
  <c r="L68" i="6"/>
  <c r="AH161" i="3" s="1"/>
  <c r="AI161" i="3" s="1"/>
  <c r="J68" i="6"/>
  <c r="O67" i="10"/>
  <c r="Q67" i="10" s="1"/>
  <c r="AS120" i="3"/>
  <c r="L120" i="20" s="1"/>
  <c r="Q171" i="5"/>
  <c r="O171" i="5"/>
  <c r="O256" i="10"/>
  <c r="Q256" i="10" s="1"/>
  <c r="O126" i="5"/>
  <c r="Q126" i="5" s="1"/>
  <c r="J264" i="6"/>
  <c r="L264" i="6" s="1"/>
  <c r="AH205" i="3" s="1"/>
  <c r="O194" i="5"/>
  <c r="Q194" i="5" s="1"/>
  <c r="AR226" i="3"/>
  <c r="O177" i="9"/>
  <c r="Q177" i="9" s="1"/>
  <c r="Q186" i="6"/>
  <c r="O186" i="6"/>
  <c r="L154" i="6"/>
  <c r="AH175" i="3" s="1"/>
  <c r="AI175" i="3" s="1"/>
  <c r="J154" i="6"/>
  <c r="AI29" i="3"/>
  <c r="AS29" i="3" s="1"/>
  <c r="L29" i="20" s="1"/>
  <c r="AO218" i="3"/>
  <c r="AP218" i="3" s="1"/>
  <c r="AO299" i="3"/>
  <c r="AP299" i="3" s="1"/>
  <c r="AR299" i="3" s="1"/>
  <c r="R249" i="3"/>
  <c r="I249" i="19"/>
  <c r="AO24" i="3"/>
  <c r="AP24" i="3" s="1"/>
  <c r="AR24" i="3" s="1"/>
  <c r="AS88" i="3"/>
  <c r="L88" i="20" s="1"/>
  <c r="AH43" i="3"/>
  <c r="R343" i="3"/>
  <c r="R325" i="3"/>
  <c r="T325" i="3" s="1"/>
  <c r="R320" i="3"/>
  <c r="K27" i="19"/>
  <c r="AI13" i="3"/>
  <c r="AH416" i="3"/>
  <c r="AI416" i="3" s="1"/>
  <c r="AS393" i="3"/>
  <c r="L393" i="20" s="1"/>
  <c r="AO393" i="3"/>
  <c r="AP393" i="3" s="1"/>
  <c r="AH67" i="3"/>
  <c r="AI67" i="3" s="1"/>
  <c r="AL67" i="3" s="1"/>
  <c r="AO67" i="3" s="1"/>
  <c r="AO221" i="3"/>
  <c r="AP221" i="3" s="1"/>
  <c r="AO209" i="3"/>
  <c r="AP209" i="3" s="1"/>
  <c r="AH382" i="3"/>
  <c r="AI382" i="3" s="1"/>
  <c r="AI32" i="3"/>
  <c r="AS32" i="3" s="1"/>
  <c r="L32" i="20" s="1"/>
  <c r="I350" i="19"/>
  <c r="I328" i="19"/>
  <c r="AI365" i="3"/>
  <c r="AH364" i="3"/>
  <c r="AI364" i="3" s="1"/>
  <c r="AI354" i="3"/>
  <c r="AH352" i="3"/>
  <c r="AI352" i="3" s="1"/>
  <c r="AL335" i="3"/>
  <c r="AO335" i="3" s="1"/>
  <c r="AP335" i="3" s="1"/>
  <c r="AR335" i="3" s="1"/>
  <c r="AS335" i="3"/>
  <c r="L335" i="20" s="1"/>
  <c r="AI383" i="3"/>
  <c r="AL383" i="3" s="1"/>
  <c r="AO383" i="3" s="1"/>
  <c r="AO298" i="3"/>
  <c r="AP298" i="3" s="1"/>
  <c r="AR298" i="3" s="1"/>
  <c r="AH368" i="3"/>
  <c r="AH367" i="3" s="1"/>
  <c r="AI367" i="3" s="1"/>
  <c r="AI320" i="3"/>
  <c r="AL320" i="3" s="1"/>
  <c r="AO320" i="3" s="1"/>
  <c r="AP320" i="3" s="1"/>
  <c r="AR320" i="3" s="1"/>
  <c r="AS304" i="3"/>
  <c r="L304" i="20" s="1"/>
  <c r="AL304" i="3"/>
  <c r="AO304" i="3" s="1"/>
  <c r="AP304" i="3" s="1"/>
  <c r="AR304" i="3" s="1"/>
  <c r="AS228" i="3"/>
  <c r="L228" i="20" s="1"/>
  <c r="AL228" i="3"/>
  <c r="AO228" i="3" s="1"/>
  <c r="AP228" i="3" s="1"/>
  <c r="AR228" i="3" s="1"/>
  <c r="AH241" i="3"/>
  <c r="AI241" i="3" s="1"/>
  <c r="AL241" i="3" s="1"/>
  <c r="AO241" i="3" s="1"/>
  <c r="AI222" i="3"/>
  <c r="AH232" i="3"/>
  <c r="AH231" i="3" s="1"/>
  <c r="AI231" i="3" s="1"/>
  <c r="AS231" i="3" s="1"/>
  <c r="L231" i="20" s="1"/>
  <c r="AI210" i="3"/>
  <c r="AH235" i="3"/>
  <c r="AS170" i="3"/>
  <c r="L170" i="20" s="1"/>
  <c r="AL170" i="3"/>
  <c r="AO170" i="3" s="1"/>
  <c r="AP170" i="3" s="1"/>
  <c r="AL179" i="3"/>
  <c r="AO179" i="3" s="1"/>
  <c r="AP179" i="3" s="1"/>
  <c r="AR179" i="3" s="1"/>
  <c r="AS179" i="3"/>
  <c r="L179" i="20" s="1"/>
  <c r="AS176" i="3"/>
  <c r="L176" i="20" s="1"/>
  <c r="AL176" i="3"/>
  <c r="AO176" i="3" s="1"/>
  <c r="AP176" i="3" s="1"/>
  <c r="AR176" i="3" s="1"/>
  <c r="AH201" i="3"/>
  <c r="AI201" i="3" s="1"/>
  <c r="AL201" i="3" s="1"/>
  <c r="AO201" i="3" s="1"/>
  <c r="AI163" i="3"/>
  <c r="AL163" i="3" s="1"/>
  <c r="AO163" i="3" s="1"/>
  <c r="AP163" i="3" s="1"/>
  <c r="AR163" i="3" s="1"/>
  <c r="AS160" i="3"/>
  <c r="L160" i="20" s="1"/>
  <c r="AL160" i="3"/>
  <c r="AO160" i="3" s="1"/>
  <c r="AP160" i="3" s="1"/>
  <c r="AR160" i="3" s="1"/>
  <c r="AS164" i="3"/>
  <c r="L164" i="20" s="1"/>
  <c r="AL164" i="3"/>
  <c r="AO164" i="3" s="1"/>
  <c r="AP164" i="3" s="1"/>
  <c r="L47" i="6"/>
  <c r="AH158" i="3" s="1"/>
  <c r="J265" i="6"/>
  <c r="AI184" i="3"/>
  <c r="AL184" i="3" s="1"/>
  <c r="AO184" i="3" s="1"/>
  <c r="AH182" i="3"/>
  <c r="AI182" i="3" s="1"/>
  <c r="AS182" i="3" s="1"/>
  <c r="L182" i="20" s="1"/>
  <c r="AS180" i="3"/>
  <c r="L180" i="20" s="1"/>
  <c r="AL180" i="3"/>
  <c r="AO180" i="3" s="1"/>
  <c r="AP180" i="3" s="1"/>
  <c r="AR180" i="3" s="1"/>
  <c r="AI177" i="3"/>
  <c r="AL177" i="3" s="1"/>
  <c r="AO177" i="3" s="1"/>
  <c r="AP177" i="3" s="1"/>
  <c r="AH204" i="3"/>
  <c r="AI174" i="3"/>
  <c r="AH192" i="3"/>
  <c r="AI192" i="3" s="1"/>
  <c r="AL192" i="3" s="1"/>
  <c r="AO192" i="3" s="1"/>
  <c r="AS172" i="3"/>
  <c r="L172" i="20" s="1"/>
  <c r="AL172" i="3"/>
  <c r="AO172" i="3" s="1"/>
  <c r="AP172" i="3" s="1"/>
  <c r="AR172" i="3" s="1"/>
  <c r="AL166" i="3"/>
  <c r="AO166" i="3" s="1"/>
  <c r="AP166" i="3" s="1"/>
  <c r="AR166" i="3" s="1"/>
  <c r="AS166" i="3"/>
  <c r="L166" i="20" s="1"/>
  <c r="AO156" i="3"/>
  <c r="AP156" i="3" s="1"/>
  <c r="AR156" i="3" s="1"/>
  <c r="I25" i="19"/>
  <c r="R25" i="3"/>
  <c r="T25" i="3" s="1"/>
  <c r="I283" i="19"/>
  <c r="R283" i="3"/>
  <c r="T283" i="3" s="1"/>
  <c r="R23" i="3"/>
  <c r="I23" i="19"/>
  <c r="R392" i="3"/>
  <c r="T392" i="3" s="1"/>
  <c r="I392" i="19"/>
  <c r="I374" i="19"/>
  <c r="R373" i="3"/>
  <c r="R292" i="3"/>
  <c r="T292" i="3" s="1"/>
  <c r="I292" i="19"/>
  <c r="S290" i="3"/>
  <c r="K290" i="19" s="1"/>
  <c r="L290" i="19"/>
  <c r="R282" i="3"/>
  <c r="T282" i="3" s="1"/>
  <c r="I282" i="19"/>
  <c r="S301" i="3"/>
  <c r="K301" i="19" s="1"/>
  <c r="I285" i="19"/>
  <c r="R285" i="3"/>
  <c r="T285" i="3" s="1"/>
  <c r="I37" i="19"/>
  <c r="R37" i="3"/>
  <c r="Q330" i="3"/>
  <c r="Q273" i="3"/>
  <c r="I273" i="19" s="1"/>
  <c r="Q271" i="3"/>
  <c r="I271" i="19" s="1"/>
  <c r="AS57" i="3"/>
  <c r="L57" i="20" s="1"/>
  <c r="AO397" i="3"/>
  <c r="AP397" i="3" s="1"/>
  <c r="L83" i="19"/>
  <c r="S35" i="3"/>
  <c r="K35" i="19" s="1"/>
  <c r="J395" i="19"/>
  <c r="J301" i="19"/>
  <c r="S244" i="3"/>
  <c r="K244" i="19" s="1"/>
  <c r="J396" i="19"/>
  <c r="J174" i="19"/>
  <c r="J253" i="19"/>
  <c r="J156" i="19"/>
  <c r="R370" i="3"/>
  <c r="J28" i="19"/>
  <c r="J82" i="19"/>
  <c r="J214" i="19"/>
  <c r="I301" i="19"/>
  <c r="R42" i="3"/>
  <c r="I252" i="19"/>
  <c r="I250" i="19"/>
  <c r="I28" i="19"/>
  <c r="I322" i="19"/>
  <c r="R382" i="3"/>
  <c r="R409" i="3"/>
  <c r="T409" i="3" s="1"/>
  <c r="R124" i="3"/>
  <c r="R336" i="3"/>
  <c r="R348" i="3"/>
  <c r="T348" i="3" s="1"/>
  <c r="I286" i="19"/>
  <c r="AS223" i="3"/>
  <c r="L223" i="20" s="1"/>
  <c r="L288" i="19"/>
  <c r="I224" i="19"/>
  <c r="R410" i="3"/>
  <c r="T410" i="3" s="1"/>
  <c r="J296" i="19"/>
  <c r="I294" i="19"/>
  <c r="I156" i="19"/>
  <c r="I206" i="19"/>
  <c r="AO394" i="3"/>
  <c r="AP394" i="3" s="1"/>
  <c r="AR394" i="3" s="1"/>
  <c r="S126" i="3"/>
  <c r="K126" i="19" s="1"/>
  <c r="S295" i="3"/>
  <c r="K295" i="19" s="1"/>
  <c r="S250" i="3"/>
  <c r="K250" i="19" s="1"/>
  <c r="I126" i="19"/>
  <c r="I298" i="19"/>
  <c r="I395" i="19"/>
  <c r="R38" i="3"/>
  <c r="R352" i="3"/>
  <c r="R316" i="3"/>
  <c r="T316" i="3" s="1"/>
  <c r="R327" i="3"/>
  <c r="T327" i="3" s="1"/>
  <c r="R345" i="3"/>
  <c r="T345" i="3" s="1"/>
  <c r="R56" i="3"/>
  <c r="Q360" i="3"/>
  <c r="I360" i="19" s="1"/>
  <c r="Q359" i="3"/>
  <c r="I359" i="19" s="1"/>
  <c r="Q310" i="3"/>
  <c r="Q230" i="3"/>
  <c r="Q203" i="3"/>
  <c r="I203" i="19" s="1"/>
  <c r="Q144" i="3"/>
  <c r="Q136" i="3"/>
  <c r="I136" i="19" s="1"/>
  <c r="AL74" i="3"/>
  <c r="S162" i="3"/>
  <c r="K162" i="19" s="1"/>
  <c r="L162" i="19"/>
  <c r="J294" i="19"/>
  <c r="J256" i="19"/>
  <c r="J334" i="19"/>
  <c r="S262" i="3"/>
  <c r="K262" i="19" s="1"/>
  <c r="L262" i="19"/>
  <c r="J101" i="19"/>
  <c r="R17" i="3"/>
  <c r="T17" i="3" s="1"/>
  <c r="I17" i="19"/>
  <c r="S333" i="3"/>
  <c r="K333" i="19" s="1"/>
  <c r="L333" i="19"/>
  <c r="L341" i="19"/>
  <c r="S341" i="3"/>
  <c r="K341" i="19" s="1"/>
  <c r="R24" i="3"/>
  <c r="T24" i="3" s="1"/>
  <c r="I24" i="19"/>
  <c r="S18" i="3"/>
  <c r="K18" i="19" s="1"/>
  <c r="J385" i="19"/>
  <c r="J223" i="19"/>
  <c r="I313" i="19"/>
  <c r="R313" i="3"/>
  <c r="T313" i="3" s="1"/>
  <c r="I293" i="19"/>
  <c r="R293" i="3"/>
  <c r="T293" i="3" s="1"/>
  <c r="I194" i="19"/>
  <c r="R194" i="3"/>
  <c r="L385" i="19"/>
  <c r="S11" i="3"/>
  <c r="K11" i="19" s="1"/>
  <c r="S347" i="3"/>
  <c r="K347" i="19" s="1"/>
  <c r="S312" i="3"/>
  <c r="K312" i="19" s="1"/>
  <c r="L95" i="19"/>
  <c r="S303" i="3"/>
  <c r="K303" i="19" s="1"/>
  <c r="J23" i="19"/>
  <c r="J123" i="19"/>
  <c r="R167" i="3"/>
  <c r="T167" i="3" s="1"/>
  <c r="R376" i="3"/>
  <c r="R361" i="3"/>
  <c r="R104" i="3"/>
  <c r="T104" i="3" s="1"/>
  <c r="R304" i="3"/>
  <c r="T304" i="3" s="1"/>
  <c r="R302" i="3"/>
  <c r="T302" i="3" s="1"/>
  <c r="R90" i="3"/>
  <c r="R287" i="3"/>
  <c r="T287" i="3" s="1"/>
  <c r="I33" i="19"/>
  <c r="I256" i="19"/>
  <c r="R332" i="3"/>
  <c r="T332" i="3" s="1"/>
  <c r="R344" i="3"/>
  <c r="J162" i="19"/>
  <c r="I95" i="19"/>
  <c r="I289" i="19"/>
  <c r="S394" i="3"/>
  <c r="K394" i="19" s="1"/>
  <c r="J394" i="19"/>
  <c r="J346" i="19"/>
  <c r="J95" i="19"/>
  <c r="J289" i="19"/>
  <c r="I14" i="19"/>
  <c r="R14" i="3"/>
  <c r="T14" i="3" s="1"/>
  <c r="I88" i="19"/>
  <c r="R88" i="3"/>
  <c r="T88" i="3" s="1"/>
  <c r="I191" i="19"/>
  <c r="R191" i="3"/>
  <c r="J121" i="19"/>
  <c r="AO22" i="3"/>
  <c r="AP22" i="3" s="1"/>
  <c r="AR22" i="3" s="1"/>
  <c r="AS22" i="3"/>
  <c r="L22" i="20" s="1"/>
  <c r="R248" i="3"/>
  <c r="I248" i="19"/>
  <c r="I220" i="19"/>
  <c r="R220" i="3"/>
  <c r="T220" i="3" s="1"/>
  <c r="J339" i="19"/>
  <c r="I307" i="19"/>
  <c r="J305" i="19"/>
  <c r="I305" i="19"/>
  <c r="I324" i="19"/>
  <c r="R9" i="3"/>
  <c r="T9" i="3" s="1"/>
  <c r="I9" i="19"/>
  <c r="R22" i="3"/>
  <c r="I22" i="19"/>
  <c r="L27" i="19"/>
  <c r="J286" i="19"/>
  <c r="L10" i="19"/>
  <c r="S216" i="3"/>
  <c r="K216" i="19" s="1"/>
  <c r="J249" i="19"/>
  <c r="I402" i="19"/>
  <c r="R402" i="3"/>
  <c r="J160" i="19"/>
  <c r="I229" i="19"/>
  <c r="R229" i="3"/>
  <c r="T229" i="3" s="1"/>
  <c r="L218" i="19"/>
  <c r="S307" i="3"/>
  <c r="K307" i="19" s="1"/>
  <c r="S385" i="3"/>
  <c r="K385" i="19" s="1"/>
  <c r="S324" i="3"/>
  <c r="K324" i="19" s="1"/>
  <c r="S95" i="3"/>
  <c r="K95" i="19" s="1"/>
  <c r="R118" i="3"/>
  <c r="T118" i="3" s="1"/>
  <c r="L253" i="19"/>
  <c r="L301" i="19"/>
  <c r="J370" i="19"/>
  <c r="J307" i="19"/>
  <c r="J252" i="19"/>
  <c r="J38" i="19"/>
  <c r="L388" i="19"/>
  <c r="R317" i="3"/>
  <c r="T317" i="3" s="1"/>
  <c r="J382" i="19"/>
  <c r="I408" i="19"/>
  <c r="J26" i="19"/>
  <c r="J324" i="19"/>
  <c r="R364" i="3"/>
  <c r="I381" i="19"/>
  <c r="I11" i="19"/>
  <c r="I101" i="19"/>
  <c r="R166" i="3"/>
  <c r="I312" i="19"/>
  <c r="R331" i="3"/>
  <c r="T331" i="3" s="1"/>
  <c r="I171" i="19"/>
  <c r="R319" i="3"/>
  <c r="T319" i="3" s="1"/>
  <c r="R120" i="3"/>
  <c r="T120" i="3" s="1"/>
  <c r="I39" i="19"/>
  <c r="R159" i="3"/>
  <c r="Q430" i="3"/>
  <c r="I430" i="19" s="1"/>
  <c r="Q423" i="3"/>
  <c r="I423" i="19" s="1"/>
  <c r="Q308" i="3"/>
  <c r="Q105" i="3"/>
  <c r="Q70" i="3"/>
  <c r="I70" i="19" s="1"/>
  <c r="AS81" i="3"/>
  <c r="L81" i="20" s="1"/>
  <c r="Q417" i="3"/>
  <c r="I417" i="19" s="1"/>
  <c r="Q412" i="3"/>
  <c r="Q163" i="3"/>
  <c r="Q152" i="3"/>
  <c r="I152" i="19" s="1"/>
  <c r="Q127" i="3"/>
  <c r="Q63" i="3"/>
  <c r="Q60" i="3"/>
  <c r="I60" i="19" s="1"/>
  <c r="AL187" i="3"/>
  <c r="AL360" i="3"/>
  <c r="Q342" i="3"/>
  <c r="Q315" i="3"/>
  <c r="Q254" i="3"/>
  <c r="Q232" i="3"/>
  <c r="I232" i="19" s="1"/>
  <c r="U230" i="3"/>
  <c r="M230" i="19" s="1"/>
  <c r="Q110" i="3"/>
  <c r="Q93" i="3"/>
  <c r="AL384" i="3"/>
  <c r="AO384" i="3" s="1"/>
  <c r="AL365" i="3"/>
  <c r="AO365" i="3" s="1"/>
  <c r="AL372" i="3"/>
  <c r="I12" i="20"/>
  <c r="L81" i="19"/>
  <c r="S81" i="3"/>
  <c r="K81" i="19" s="1"/>
  <c r="J39" i="19"/>
  <c r="L31" i="19"/>
  <c r="J20" i="19"/>
  <c r="I265" i="19"/>
  <c r="R265" i="3"/>
  <c r="T265" i="3" s="1"/>
  <c r="I103" i="19"/>
  <c r="R103" i="3"/>
  <c r="T103" i="3" s="1"/>
  <c r="I413" i="19"/>
  <c r="R413" i="3"/>
  <c r="I397" i="19"/>
  <c r="R397" i="3"/>
  <c r="T397" i="3" s="1"/>
  <c r="R393" i="3"/>
  <c r="T393" i="3" s="1"/>
  <c r="I393" i="19"/>
  <c r="I79" i="19"/>
  <c r="R79" i="3"/>
  <c r="T79" i="3" s="1"/>
  <c r="L247" i="19"/>
  <c r="J66" i="19"/>
  <c r="J247" i="19"/>
  <c r="J389" i="19"/>
  <c r="L26" i="19"/>
  <c r="L246" i="19"/>
  <c r="S28" i="3"/>
  <c r="K28" i="19" s="1"/>
  <c r="I420" i="19"/>
  <c r="R419" i="3"/>
  <c r="I238" i="19"/>
  <c r="R237" i="3"/>
  <c r="J116" i="19"/>
  <c r="I183" i="19"/>
  <c r="R182" i="3"/>
  <c r="J409" i="19"/>
  <c r="I270" i="19"/>
  <c r="R270" i="3"/>
  <c r="I391" i="19"/>
  <c r="R391" i="3"/>
  <c r="T391" i="3" s="1"/>
  <c r="R52" i="3"/>
  <c r="T52" i="3" s="1"/>
  <c r="I52" i="19"/>
  <c r="J31" i="19"/>
  <c r="I19" i="19"/>
  <c r="R19" i="3"/>
  <c r="T19" i="3" s="1"/>
  <c r="J16" i="19"/>
  <c r="R34" i="3"/>
  <c r="T34" i="3" s="1"/>
  <c r="I34" i="19"/>
  <c r="J22" i="19"/>
  <c r="I91" i="19"/>
  <c r="R91" i="3"/>
  <c r="T91" i="3" s="1"/>
  <c r="AS392" i="3"/>
  <c r="L392" i="20" s="1"/>
  <c r="L68" i="19"/>
  <c r="S83" i="3"/>
  <c r="K83" i="19" s="1"/>
  <c r="S104" i="3"/>
  <c r="K104" i="19" s="1"/>
  <c r="S218" i="3"/>
  <c r="K218" i="19" s="1"/>
  <c r="S31" i="3"/>
  <c r="K31" i="19" s="1"/>
  <c r="R273" i="3"/>
  <c r="R59" i="3"/>
  <c r="T59" i="3" s="1"/>
  <c r="J159" i="19"/>
  <c r="L181" i="19"/>
  <c r="J118" i="19"/>
  <c r="J81" i="19"/>
  <c r="R431" i="3"/>
  <c r="I432" i="19"/>
  <c r="S15" i="3"/>
  <c r="K15" i="19" s="1"/>
  <c r="L394" i="19"/>
  <c r="J171" i="19"/>
  <c r="J115" i="19"/>
  <c r="I178" i="19"/>
  <c r="R178" i="3"/>
  <c r="T178" i="3" s="1"/>
  <c r="S407" i="3"/>
  <c r="K407" i="19" s="1"/>
  <c r="L407" i="19"/>
  <c r="R132" i="3"/>
  <c r="I132" i="19"/>
  <c r="I102" i="19"/>
  <c r="R102" i="3"/>
  <c r="T102" i="3" s="1"/>
  <c r="I108" i="19"/>
  <c r="R108" i="3"/>
  <c r="T108" i="3" s="1"/>
  <c r="I240" i="19"/>
  <c r="R240" i="3"/>
  <c r="I12" i="19"/>
  <c r="R12" i="3"/>
  <c r="T12" i="3" s="1"/>
  <c r="R30" i="3"/>
  <c r="T30" i="3" s="1"/>
  <c r="I30" i="19"/>
  <c r="I73" i="19"/>
  <c r="R72" i="3"/>
  <c r="J9" i="19"/>
  <c r="I161" i="19"/>
  <c r="R161" i="3"/>
  <c r="T161" i="3" s="1"/>
  <c r="I128" i="19"/>
  <c r="R128" i="3"/>
  <c r="T128" i="3" s="1"/>
  <c r="J206" i="19"/>
  <c r="J248" i="19"/>
  <c r="I84" i="19"/>
  <c r="R84" i="3"/>
  <c r="T84" i="3" s="1"/>
  <c r="AS401" i="3"/>
  <c r="L401" i="20" s="1"/>
  <c r="AO243" i="3"/>
  <c r="AP243" i="3" s="1"/>
  <c r="AR243" i="3" s="1"/>
  <c r="J258" i="19"/>
  <c r="R48" i="3"/>
  <c r="R245" i="3"/>
  <c r="T245" i="3" s="1"/>
  <c r="R153" i="3"/>
  <c r="R147" i="3"/>
  <c r="L244" i="19"/>
  <c r="R175" i="3"/>
  <c r="T175" i="3" s="1"/>
  <c r="I175" i="19"/>
  <c r="J89" i="19"/>
  <c r="R141" i="3"/>
  <c r="I141" i="19"/>
  <c r="L396" i="19"/>
  <c r="S86" i="3"/>
  <c r="K86" i="19" s="1"/>
  <c r="L86" i="19"/>
  <c r="J262" i="19"/>
  <c r="J212" i="19"/>
  <c r="J104" i="19"/>
  <c r="J194" i="19"/>
  <c r="J55" i="19"/>
  <c r="J25" i="19"/>
  <c r="J215" i="19"/>
  <c r="J221" i="19"/>
  <c r="J85" i="19"/>
  <c r="J166" i="19"/>
  <c r="J57" i="19"/>
  <c r="L115" i="19"/>
  <c r="R222" i="3"/>
  <c r="T222" i="3" s="1"/>
  <c r="I222" i="19"/>
  <c r="R403" i="3"/>
  <c r="T403" i="3" s="1"/>
  <c r="I403" i="19"/>
  <c r="I400" i="19"/>
  <c r="R400" i="3"/>
  <c r="I119" i="19"/>
  <c r="R119" i="3"/>
  <c r="T119" i="3" s="1"/>
  <c r="R406" i="3"/>
  <c r="T406" i="3" s="1"/>
  <c r="I406" i="19"/>
  <c r="R99" i="3"/>
  <c r="T99" i="3" s="1"/>
  <c r="I99" i="19"/>
  <c r="I54" i="19"/>
  <c r="R54" i="3"/>
  <c r="T54" i="3" s="1"/>
  <c r="I169" i="19"/>
  <c r="R169" i="3"/>
  <c r="T169" i="3" s="1"/>
  <c r="J8" i="19"/>
  <c r="R36" i="3"/>
  <c r="T36" i="3" s="1"/>
  <c r="I36" i="19"/>
  <c r="I210" i="19"/>
  <c r="R210" i="3"/>
  <c r="T210" i="3" s="1"/>
  <c r="I69" i="19"/>
  <c r="R69" i="3"/>
  <c r="S181" i="3"/>
  <c r="K181" i="19" s="1"/>
  <c r="S156" i="3"/>
  <c r="K156" i="19" s="1"/>
  <c r="J402" i="19"/>
  <c r="R411" i="3"/>
  <c r="T411" i="3" s="1"/>
  <c r="R80" i="3"/>
  <c r="T80" i="3" s="1"/>
  <c r="I80" i="19"/>
  <c r="I422" i="19"/>
  <c r="R422" i="3"/>
  <c r="L160" i="19"/>
  <c r="S160" i="3"/>
  <c r="K160" i="19" s="1"/>
  <c r="I113" i="19"/>
  <c r="R113" i="3"/>
  <c r="T113" i="3" s="1"/>
  <c r="I255" i="19"/>
  <c r="R255" i="3"/>
  <c r="T255" i="3" s="1"/>
  <c r="U425" i="3"/>
  <c r="M425" i="19" s="1"/>
  <c r="Q425" i="3"/>
  <c r="I425" i="19" s="1"/>
  <c r="I121" i="19"/>
  <c r="R276" i="3"/>
  <c r="Q165" i="3"/>
  <c r="R176" i="3"/>
  <c r="T176" i="3" s="1"/>
  <c r="I176" i="19"/>
  <c r="I213" i="19"/>
  <c r="R213" i="3"/>
  <c r="T213" i="3" s="1"/>
  <c r="R217" i="3"/>
  <c r="T217" i="3" s="1"/>
  <c r="I217" i="19"/>
  <c r="I227" i="19"/>
  <c r="R227" i="3"/>
  <c r="T227" i="3" s="1"/>
  <c r="J387" i="19"/>
  <c r="R58" i="3"/>
  <c r="T58" i="3" s="1"/>
  <c r="I58" i="19"/>
  <c r="I29" i="19"/>
  <c r="R29" i="3"/>
  <c r="T29" i="3" s="1"/>
  <c r="R261" i="3"/>
  <c r="T261" i="3" s="1"/>
  <c r="I261" i="19"/>
  <c r="U150" i="3"/>
  <c r="M150" i="19" s="1"/>
  <c r="Q150" i="3"/>
  <c r="I144" i="19"/>
  <c r="R144" i="3"/>
  <c r="U234" i="3"/>
  <c r="M234" i="19" s="1"/>
  <c r="Q234" i="3"/>
  <c r="U179" i="3"/>
  <c r="M179" i="19" s="1"/>
  <c r="Q179" i="3"/>
  <c r="Q177" i="3"/>
  <c r="U177" i="3"/>
  <c r="M177" i="19" s="1"/>
  <c r="Q111" i="3"/>
  <c r="U111" i="3"/>
  <c r="M111" i="19" s="1"/>
  <c r="U94" i="3"/>
  <c r="M94" i="19" s="1"/>
  <c r="Q94" i="3"/>
  <c r="I94" i="19" s="1"/>
  <c r="AO183" i="3"/>
  <c r="AL131" i="3"/>
  <c r="AO131" i="3" s="1"/>
  <c r="Q404" i="3"/>
  <c r="Q131" i="3"/>
  <c r="I131" i="19" s="1"/>
  <c r="Q92" i="3"/>
  <c r="Q204" i="3"/>
  <c r="Q140" i="3"/>
  <c r="I140" i="19" s="1"/>
  <c r="AL68" i="3"/>
  <c r="AL71" i="3"/>
  <c r="AO71" i="3" s="1"/>
  <c r="Q429" i="3"/>
  <c r="Q418" i="3"/>
  <c r="AS219" i="3"/>
  <c r="L219" i="20" s="1"/>
  <c r="Q157" i="3"/>
  <c r="Q65" i="3"/>
  <c r="I65" i="19" s="1"/>
  <c r="Q62" i="3"/>
  <c r="I62" i="19" s="1"/>
  <c r="AL415" i="3"/>
  <c r="AL199" i="3"/>
  <c r="AS177" i="3"/>
  <c r="L177" i="20" s="1"/>
  <c r="AS13" i="3"/>
  <c r="L13" i="20" s="1"/>
  <c r="AO13" i="3"/>
  <c r="AP13" i="3" s="1"/>
  <c r="AR13" i="3" s="1"/>
  <c r="S296" i="3"/>
  <c r="K296" i="19" s="1"/>
  <c r="L296" i="19"/>
  <c r="L106" i="19"/>
  <c r="S106" i="3"/>
  <c r="K106" i="19" s="1"/>
  <c r="L294" i="19"/>
  <c r="S294" i="3"/>
  <c r="K294" i="19" s="1"/>
  <c r="S229" i="3"/>
  <c r="K229" i="19" s="1"/>
  <c r="L229" i="19"/>
  <c r="L305" i="19"/>
  <c r="S305" i="3"/>
  <c r="K305" i="19" s="1"/>
  <c r="AO220" i="3"/>
  <c r="AP220" i="3" s="1"/>
  <c r="AR220" i="3" s="1"/>
  <c r="L89" i="19"/>
  <c r="S89" i="3"/>
  <c r="K89" i="19" s="1"/>
  <c r="J403" i="19"/>
  <c r="R390" i="3"/>
  <c r="T390" i="3" s="1"/>
  <c r="I390" i="19"/>
  <c r="I47" i="19"/>
  <c r="R329" i="3"/>
  <c r="T329" i="3" s="1"/>
  <c r="I329" i="19"/>
  <c r="I96" i="19"/>
  <c r="R96" i="3"/>
  <c r="T96" i="3" s="1"/>
  <c r="J100" i="19"/>
  <c r="J132" i="19"/>
  <c r="R172" i="3"/>
  <c r="T172" i="3" s="1"/>
  <c r="I172" i="19"/>
  <c r="I426" i="19"/>
  <c r="R425" i="3"/>
  <c r="I138" i="19"/>
  <c r="R112" i="3"/>
  <c r="T112" i="3" s="1"/>
  <c r="I112" i="19"/>
  <c r="I358" i="19"/>
  <c r="R358" i="3"/>
  <c r="J91" i="19"/>
  <c r="R323" i="3"/>
  <c r="T323" i="3" s="1"/>
  <c r="R135" i="3"/>
  <c r="J407" i="19"/>
  <c r="J400" i="19"/>
  <c r="R60" i="3"/>
  <c r="I200" i="19"/>
  <c r="R200" i="3"/>
  <c r="J124" i="19"/>
  <c r="J333" i="19"/>
  <c r="I258" i="19"/>
  <c r="J58" i="19"/>
  <c r="R125" i="3"/>
  <c r="T125" i="3" s="1"/>
  <c r="R335" i="3"/>
  <c r="T335" i="3" s="1"/>
  <c r="AO14" i="3"/>
  <c r="AP14" i="3" s="1"/>
  <c r="AR14" i="3" s="1"/>
  <c r="J15" i="19"/>
  <c r="J270" i="19"/>
  <c r="J229" i="19"/>
  <c r="R93" i="3"/>
  <c r="T93" i="3" s="1"/>
  <c r="I93" i="19"/>
  <c r="S223" i="3"/>
  <c r="K223" i="19" s="1"/>
  <c r="L223" i="19"/>
  <c r="S219" i="3"/>
  <c r="K219" i="19" s="1"/>
  <c r="R225" i="3"/>
  <c r="T225" i="3" s="1"/>
  <c r="I225" i="19"/>
  <c r="R158" i="3"/>
  <c r="T158" i="3" s="1"/>
  <c r="I158" i="19"/>
  <c r="I185" i="19"/>
  <c r="R185" i="3"/>
  <c r="I21" i="19"/>
  <c r="R21" i="3"/>
  <c r="T21" i="3" s="1"/>
  <c r="J293" i="19"/>
  <c r="I251" i="19"/>
  <c r="R251" i="3"/>
  <c r="T251" i="3" s="1"/>
  <c r="R267" i="3"/>
  <c r="I268" i="19"/>
  <c r="R32" i="3"/>
  <c r="T32" i="3" s="1"/>
  <c r="I32" i="19"/>
  <c r="J120" i="19"/>
  <c r="J69" i="19"/>
  <c r="J37" i="19"/>
  <c r="R164" i="3"/>
  <c r="T164" i="3" s="1"/>
  <c r="I164" i="19"/>
  <c r="R314" i="3"/>
  <c r="T314" i="3" s="1"/>
  <c r="I314" i="19"/>
  <c r="J114" i="19"/>
  <c r="R53" i="3"/>
  <c r="T53" i="3" s="1"/>
  <c r="I53" i="19"/>
  <c r="R398" i="3"/>
  <c r="T398" i="3" s="1"/>
  <c r="I398" i="19"/>
  <c r="R208" i="3"/>
  <c r="T208" i="3" s="1"/>
  <c r="I208" i="19"/>
  <c r="J210" i="19"/>
  <c r="J298" i="19"/>
  <c r="J141" i="19"/>
  <c r="J106" i="19"/>
  <c r="L219" i="19"/>
  <c r="I311" i="19"/>
  <c r="R129" i="3"/>
  <c r="R338" i="3"/>
  <c r="T338" i="3" s="1"/>
  <c r="I338" i="19"/>
  <c r="I300" i="19"/>
  <c r="R300" i="3"/>
  <c r="T300" i="3" s="1"/>
  <c r="I63" i="19"/>
  <c r="I207" i="19"/>
  <c r="R207" i="3"/>
  <c r="T207" i="3" s="1"/>
  <c r="R87" i="3"/>
  <c r="T87" i="3" s="1"/>
  <c r="AO29" i="3"/>
  <c r="AP29" i="3" s="1"/>
  <c r="AR29" i="3" s="1"/>
  <c r="U173" i="3"/>
  <c r="M173" i="19" s="1"/>
  <c r="Q173" i="3"/>
  <c r="U170" i="3"/>
  <c r="M170" i="19" s="1"/>
  <c r="Q170" i="3"/>
  <c r="U75" i="3"/>
  <c r="M75" i="19" s="1"/>
  <c r="Q75" i="3"/>
  <c r="AO50" i="3"/>
  <c r="AO41" i="3"/>
  <c r="AL152" i="3"/>
  <c r="AO152" i="3" s="1"/>
  <c r="AL143" i="3"/>
  <c r="AO143" i="3" s="1"/>
  <c r="AS407" i="3"/>
  <c r="L407" i="20" s="1"/>
  <c r="U279" i="3"/>
  <c r="M279" i="19" s="1"/>
  <c r="Q279" i="3"/>
  <c r="U188" i="3"/>
  <c r="M188" i="19" s="1"/>
  <c r="Q188" i="3"/>
  <c r="Q356" i="3"/>
  <c r="Q197" i="3"/>
  <c r="AO196" i="3"/>
  <c r="AO68" i="3"/>
  <c r="U264" i="3"/>
  <c r="M264" i="19" s="1"/>
  <c r="Q264" i="3"/>
  <c r="U168" i="3"/>
  <c r="M168" i="19" s="1"/>
  <c r="Q168" i="3"/>
  <c r="Q107" i="3"/>
  <c r="AL113" i="3"/>
  <c r="AO113" i="3" s="1"/>
  <c r="AP113" i="3" s="1"/>
  <c r="AR113" i="3" s="1"/>
  <c r="AL91" i="3"/>
  <c r="AO91" i="3" s="1"/>
  <c r="AP91" i="3" s="1"/>
  <c r="AR91" i="3" s="1"/>
  <c r="AL190" i="3"/>
  <c r="AO190" i="3" s="1"/>
  <c r="AO415" i="3"/>
  <c r="AL149" i="3"/>
  <c r="AO149" i="3" s="1"/>
  <c r="AO199" i="3"/>
  <c r="AO372" i="3"/>
  <c r="AO11" i="3"/>
  <c r="AP11" i="3" s="1"/>
  <c r="AR11" i="3" s="1"/>
  <c r="AS8" i="3"/>
  <c r="L8" i="20" s="1"/>
  <c r="AL134" i="3"/>
  <c r="AO134" i="3" s="1"/>
  <c r="AS122" i="3"/>
  <c r="L122" i="20" s="1"/>
  <c r="AS119" i="3"/>
  <c r="L119" i="20" s="1"/>
  <c r="AS104" i="3"/>
  <c r="L104" i="20" s="1"/>
  <c r="AL236" i="3"/>
  <c r="AO236" i="3" s="1"/>
  <c r="AL233" i="3"/>
  <c r="AO233" i="3" s="1"/>
  <c r="AO217" i="3"/>
  <c r="AP217" i="3" s="1"/>
  <c r="AR217" i="3" s="1"/>
  <c r="AL269" i="3"/>
  <c r="AO269" i="3" s="1"/>
  <c r="AL430" i="3"/>
  <c r="AO430" i="3" s="1"/>
  <c r="AL410" i="3"/>
  <c r="AO410" i="3" s="1"/>
  <c r="AP410" i="3" s="1"/>
  <c r="AR410" i="3" s="1"/>
  <c r="AS408" i="3"/>
  <c r="L408" i="20" s="1"/>
  <c r="AL357" i="3"/>
  <c r="AO357" i="3" s="1"/>
  <c r="AL381" i="3"/>
  <c r="AO381" i="3" s="1"/>
  <c r="AL378" i="3"/>
  <c r="AO378" i="3" s="1"/>
  <c r="AO360" i="3"/>
  <c r="AL418" i="3"/>
  <c r="AO418" i="3" s="1"/>
  <c r="AL77" i="3"/>
  <c r="AO77" i="3" s="1"/>
  <c r="AL65" i="3"/>
  <c r="AO65" i="3" s="1"/>
  <c r="AS25" i="3"/>
  <c r="L25" i="20" s="1"/>
  <c r="AO74" i="3"/>
  <c r="AO47" i="3"/>
  <c r="AO44" i="3"/>
  <c r="AL146" i="3"/>
  <c r="AO146" i="3" s="1"/>
  <c r="AL140" i="3"/>
  <c r="AO140" i="3" s="1"/>
  <c r="AL242" i="3"/>
  <c r="AO242" i="3" s="1"/>
  <c r="AL369" i="3"/>
  <c r="AO369" i="3" s="1"/>
  <c r="AO351" i="3"/>
  <c r="AL329" i="3"/>
  <c r="AO329" i="3" s="1"/>
  <c r="AP329" i="3" s="1"/>
  <c r="AR329" i="3" s="1"/>
  <c r="AO187" i="3"/>
  <c r="AL354" i="3"/>
  <c r="AO354" i="3" s="1"/>
  <c r="AL239" i="3"/>
  <c r="AO239" i="3" s="1"/>
  <c r="AL375" i="3"/>
  <c r="AO375" i="3" s="1"/>
  <c r="AL278" i="3"/>
  <c r="AO278" i="3" s="1"/>
  <c r="AL137" i="3"/>
  <c r="AO137" i="3" s="1"/>
  <c r="AL272" i="3"/>
  <c r="AO272" i="3" s="1"/>
  <c r="AL322" i="3"/>
  <c r="AO322" i="3" s="1"/>
  <c r="AP322" i="3" s="1"/>
  <c r="AR322" i="3" s="1"/>
  <c r="AL366" i="3"/>
  <c r="AO366" i="3" s="1"/>
  <c r="AL427" i="3"/>
  <c r="AO427" i="3" s="1"/>
  <c r="R318" i="3"/>
  <c r="T318" i="3" s="1"/>
  <c r="U458" i="3"/>
  <c r="U461" i="3"/>
  <c r="M318" i="19"/>
  <c r="AL118" i="3"/>
  <c r="AO118" i="3" s="1"/>
  <c r="AP118" i="3" s="1"/>
  <c r="AR118" i="3" s="1"/>
  <c r="AS118" i="3"/>
  <c r="L118" i="20" s="1"/>
  <c r="AL105" i="3"/>
  <c r="AO105" i="3" s="1"/>
  <c r="AP105" i="3" s="1"/>
  <c r="AS105" i="3"/>
  <c r="L105" i="20" s="1"/>
  <c r="AH154" i="3"/>
  <c r="AI100" i="3"/>
  <c r="AS100" i="3" s="1"/>
  <c r="L100" i="20" s="1"/>
  <c r="AH133" i="3"/>
  <c r="AI84" i="3"/>
  <c r="AS84" i="3" s="1"/>
  <c r="L84" i="20" s="1"/>
  <c r="AS83" i="3"/>
  <c r="L83" i="20" s="1"/>
  <c r="AO83" i="3"/>
  <c r="AP83" i="3" s="1"/>
  <c r="AO80" i="3"/>
  <c r="AP80" i="3" s="1"/>
  <c r="AR80" i="3" s="1"/>
  <c r="AS80" i="3"/>
  <c r="L80" i="20" s="1"/>
  <c r="AI97" i="3"/>
  <c r="AH151" i="3"/>
  <c r="AH150" i="3" s="1"/>
  <c r="AI150" i="3" s="1"/>
  <c r="AL150" i="3" s="1"/>
  <c r="AO150" i="3" s="1"/>
  <c r="AS128" i="3"/>
  <c r="L128" i="20" s="1"/>
  <c r="AL128" i="3"/>
  <c r="AO128" i="3" s="1"/>
  <c r="AP128" i="3" s="1"/>
  <c r="AS124" i="3"/>
  <c r="L124" i="20" s="1"/>
  <c r="AL124" i="3"/>
  <c r="AO124" i="3" s="1"/>
  <c r="AP124" i="3" s="1"/>
  <c r="AL116" i="3"/>
  <c r="AO116" i="3" s="1"/>
  <c r="AP116" i="3" s="1"/>
  <c r="AS116" i="3"/>
  <c r="L116" i="20" s="1"/>
  <c r="AS115" i="3"/>
  <c r="L115" i="20" s="1"/>
  <c r="AL115" i="3"/>
  <c r="AO115" i="3" s="1"/>
  <c r="AP115" i="3" s="1"/>
  <c r="AL110" i="3"/>
  <c r="AO110" i="3" s="1"/>
  <c r="AP110" i="3" s="1"/>
  <c r="AS110" i="3"/>
  <c r="L110" i="20" s="1"/>
  <c r="AI102" i="3"/>
  <c r="AS102" i="3" s="1"/>
  <c r="L102" i="20" s="1"/>
  <c r="AH85" i="3"/>
  <c r="AI85" i="3" s="1"/>
  <c r="AI99" i="3"/>
  <c r="AS99" i="3" s="1"/>
  <c r="L99" i="20" s="1"/>
  <c r="AH142" i="3"/>
  <c r="AI142" i="3" s="1"/>
  <c r="AL142" i="3" s="1"/>
  <c r="AO142" i="3" s="1"/>
  <c r="AS93" i="3"/>
  <c r="L93" i="20" s="1"/>
  <c r="AL93" i="3"/>
  <c r="AO93" i="3" s="1"/>
  <c r="AP93" i="3" s="1"/>
  <c r="AS92" i="3"/>
  <c r="L92" i="20" s="1"/>
  <c r="AL92" i="3"/>
  <c r="AO92" i="3"/>
  <c r="AP92" i="3" s="1"/>
  <c r="AR92" i="3" s="1"/>
  <c r="AH136" i="3"/>
  <c r="AI136" i="3" s="1"/>
  <c r="AL136" i="3" s="1"/>
  <c r="AO136" i="3" s="1"/>
  <c r="L201" i="5"/>
  <c r="AH155" i="3"/>
  <c r="AI155" i="3" s="1"/>
  <c r="AL155" i="3" s="1"/>
  <c r="AO155" i="3" s="1"/>
  <c r="AL126" i="3"/>
  <c r="AO126" i="3" s="1"/>
  <c r="AP126" i="3" s="1"/>
  <c r="AS126" i="3"/>
  <c r="L126" i="20" s="1"/>
  <c r="AS114" i="3"/>
  <c r="L114" i="20" s="1"/>
  <c r="AL114" i="3"/>
  <c r="AO114" i="3" s="1"/>
  <c r="AP114" i="3" s="1"/>
  <c r="AS107" i="3"/>
  <c r="L107" i="20" s="1"/>
  <c r="AL107" i="3"/>
  <c r="AO107" i="3" s="1"/>
  <c r="AP107" i="3" s="1"/>
  <c r="AL101" i="3"/>
  <c r="AO101" i="3" s="1"/>
  <c r="AP101" i="3" s="1"/>
  <c r="AS101" i="3"/>
  <c r="L101" i="20" s="1"/>
  <c r="AL95" i="3"/>
  <c r="AO95" i="3" s="1"/>
  <c r="AP95" i="3" s="1"/>
  <c r="AS95" i="3"/>
  <c r="L95" i="20" s="1"/>
  <c r="AL104" i="3"/>
  <c r="AO104" i="3" s="1"/>
  <c r="AP104" i="3" s="1"/>
  <c r="AL122" i="3"/>
  <c r="AO122" i="3" s="1"/>
  <c r="AP122" i="3" s="1"/>
  <c r="AR122" i="3" s="1"/>
  <c r="AO87" i="3"/>
  <c r="AP87" i="3" s="1"/>
  <c r="AH139" i="3"/>
  <c r="AH138" i="3" s="1"/>
  <c r="AI138" i="3" s="1"/>
  <c r="AL120" i="3"/>
  <c r="AO120" i="3" s="1"/>
  <c r="AP120" i="3" s="1"/>
  <c r="AR120" i="3" s="1"/>
  <c r="J201" i="5"/>
  <c r="AL98" i="3"/>
  <c r="AO98" i="3" s="1"/>
  <c r="AP98" i="3" s="1"/>
  <c r="AS98" i="3"/>
  <c r="L98" i="20" s="1"/>
  <c r="AH129" i="3"/>
  <c r="AI129" i="3" s="1"/>
  <c r="AL227" i="3"/>
  <c r="AO227" i="3" s="1"/>
  <c r="AP227" i="3" s="1"/>
  <c r="AR227" i="3" s="1"/>
  <c r="AS227" i="3"/>
  <c r="L227" i="20" s="1"/>
  <c r="AS225" i="3"/>
  <c r="L225" i="20" s="1"/>
  <c r="AL225" i="3"/>
  <c r="AO225" i="3" s="1"/>
  <c r="AP225" i="3" s="1"/>
  <c r="I228" i="20"/>
  <c r="AI207" i="3"/>
  <c r="AO207" i="3" s="1"/>
  <c r="AP207" i="3" s="1"/>
  <c r="AO81" i="3"/>
  <c r="AP81" i="3" s="1"/>
  <c r="AL119" i="3"/>
  <c r="AO119" i="3" s="1"/>
  <c r="AP119" i="3" s="1"/>
  <c r="AR119" i="3" s="1"/>
  <c r="AL121" i="3"/>
  <c r="AO121" i="3" s="1"/>
  <c r="AP121" i="3" s="1"/>
  <c r="AS121" i="3"/>
  <c r="L121" i="20" s="1"/>
  <c r="AS94" i="3"/>
  <c r="L94" i="20" s="1"/>
  <c r="AL94" i="3"/>
  <c r="AO94" i="3" s="1"/>
  <c r="AP94" i="3" s="1"/>
  <c r="AL112" i="3"/>
  <c r="AO112" i="3" s="1"/>
  <c r="AP112" i="3" s="1"/>
  <c r="AS112" i="3"/>
  <c r="L112" i="20" s="1"/>
  <c r="AS111" i="3"/>
  <c r="L111" i="20" s="1"/>
  <c r="AL111" i="3"/>
  <c r="AO111" i="3" s="1"/>
  <c r="AP111" i="3" s="1"/>
  <c r="AR111" i="3" s="1"/>
  <c r="AS106" i="3"/>
  <c r="L106" i="20" s="1"/>
  <c r="AL106" i="3"/>
  <c r="AO106" i="3" s="1"/>
  <c r="AP106" i="3" s="1"/>
  <c r="AS123" i="3"/>
  <c r="L123" i="20" s="1"/>
  <c r="AL123" i="3"/>
  <c r="AO123" i="3" s="1"/>
  <c r="AP123" i="3" s="1"/>
  <c r="AS109" i="3"/>
  <c r="L109" i="20" s="1"/>
  <c r="AL109" i="3"/>
  <c r="AO109" i="3" s="1"/>
  <c r="AP109" i="3" s="1"/>
  <c r="AS89" i="3"/>
  <c r="L89" i="20" s="1"/>
  <c r="AL89" i="3"/>
  <c r="AO89" i="3"/>
  <c r="AP89" i="3" s="1"/>
  <c r="K88" i="20"/>
  <c r="AS150" i="3"/>
  <c r="L150" i="20" s="1"/>
  <c r="AS79" i="3"/>
  <c r="L79" i="20" s="1"/>
  <c r="AO79" i="3"/>
  <c r="AP79" i="3" s="1"/>
  <c r="AR79" i="3" s="1"/>
  <c r="AS108" i="3"/>
  <c r="L108" i="20" s="1"/>
  <c r="AL108" i="3"/>
  <c r="AO108" i="3" s="1"/>
  <c r="AP108" i="3" s="1"/>
  <c r="AO78" i="3"/>
  <c r="AP78" i="3" s="1"/>
  <c r="AR78" i="3" s="1"/>
  <c r="AS78" i="3"/>
  <c r="L78" i="20" s="1"/>
  <c r="AS90" i="3"/>
  <c r="L90" i="20" s="1"/>
  <c r="AO90" i="3"/>
  <c r="AP90" i="3" s="1"/>
  <c r="AR90" i="3" s="1"/>
  <c r="AL90" i="3"/>
  <c r="AO82" i="3"/>
  <c r="AP82" i="3" s="1"/>
  <c r="AR82" i="3" s="1"/>
  <c r="AS82" i="3"/>
  <c r="L82" i="20" s="1"/>
  <c r="AS86" i="3"/>
  <c r="L86" i="20" s="1"/>
  <c r="AO86" i="3"/>
  <c r="AP86" i="3" s="1"/>
  <c r="AR86" i="3" s="1"/>
  <c r="AL125" i="3"/>
  <c r="AO125" i="3" s="1"/>
  <c r="AP125" i="3" s="1"/>
  <c r="AS125" i="3"/>
  <c r="L125" i="20" s="1"/>
  <c r="AL103" i="3"/>
  <c r="AO103" i="3" s="1"/>
  <c r="AP103" i="3" s="1"/>
  <c r="AR103" i="3" s="1"/>
  <c r="AH148" i="3"/>
  <c r="AI148" i="3" s="1"/>
  <c r="AL148" i="3" s="1"/>
  <c r="AO148" i="3" s="1"/>
  <c r="AH380" i="3"/>
  <c r="AI380" i="3" s="1"/>
  <c r="AL380" i="3" s="1"/>
  <c r="AO380" i="3" s="1"/>
  <c r="AL303" i="3"/>
  <c r="AO303" i="3" s="1"/>
  <c r="AP303" i="3" s="1"/>
  <c r="AR303" i="3" s="1"/>
  <c r="AS303" i="3"/>
  <c r="L303" i="20" s="1"/>
  <c r="AS330" i="3"/>
  <c r="L330" i="20" s="1"/>
  <c r="AS175" i="3"/>
  <c r="L175" i="20" s="1"/>
  <c r="AL175" i="3"/>
  <c r="AO175" i="3" s="1"/>
  <c r="AP175" i="3" s="1"/>
  <c r="AR175" i="3" s="1"/>
  <c r="AH191" i="3"/>
  <c r="AI191" i="3" s="1"/>
  <c r="AL191" i="3" s="1"/>
  <c r="AO191" i="3" s="1"/>
  <c r="AP191" i="3" s="1"/>
  <c r="AI315" i="3"/>
  <c r="AL315" i="3" s="1"/>
  <c r="AO315" i="3" s="1"/>
  <c r="AP315" i="3" s="1"/>
  <c r="AR315" i="3" s="1"/>
  <c r="AH350" i="3"/>
  <c r="AO216" i="3"/>
  <c r="AP216" i="3" s="1"/>
  <c r="AS216" i="3"/>
  <c r="L216" i="20" s="1"/>
  <c r="AO214" i="3"/>
  <c r="AP214" i="3" s="1"/>
  <c r="AS214" i="3"/>
  <c r="L214" i="20" s="1"/>
  <c r="AQ220" i="3"/>
  <c r="J220" i="20" s="1"/>
  <c r="I209" i="20"/>
  <c r="AS206" i="3"/>
  <c r="L206" i="20" s="1"/>
  <c r="AO206" i="3"/>
  <c r="AP206" i="3" s="1"/>
  <c r="AR206" i="3" s="1"/>
  <c r="AS208" i="3"/>
  <c r="L208" i="20" s="1"/>
  <c r="AO208" i="3"/>
  <c r="AP208" i="3" s="1"/>
  <c r="AR208" i="3" s="1"/>
  <c r="AO210" i="3"/>
  <c r="AP210" i="3" s="1"/>
  <c r="AS210" i="3"/>
  <c r="L210" i="20" s="1"/>
  <c r="AS212" i="3"/>
  <c r="L212" i="20" s="1"/>
  <c r="AO212" i="3"/>
  <c r="AP212" i="3" s="1"/>
  <c r="AO211" i="3"/>
  <c r="AP211" i="3" s="1"/>
  <c r="AR211" i="3" s="1"/>
  <c r="AS211" i="3"/>
  <c r="L211" i="20" s="1"/>
  <c r="AL222" i="3"/>
  <c r="AO222" i="3" s="1"/>
  <c r="AP222" i="3" s="1"/>
  <c r="AS222" i="3"/>
  <c r="L222" i="20" s="1"/>
  <c r="I218" i="20"/>
  <c r="K228" i="20"/>
  <c r="AH230" i="3"/>
  <c r="L122" i="7"/>
  <c r="AI309" i="3"/>
  <c r="AH359" i="3"/>
  <c r="AI359" i="3" s="1"/>
  <c r="AL359" i="3" s="1"/>
  <c r="AO359" i="3" s="1"/>
  <c r="AI424" i="3"/>
  <c r="AL424" i="3" s="1"/>
  <c r="AO424" i="3" s="1"/>
  <c r="AH422" i="3"/>
  <c r="AI422" i="3" s="1"/>
  <c r="AS394" i="3"/>
  <c r="L394" i="20" s="1"/>
  <c r="AH321" i="3"/>
  <c r="AI321" i="3" s="1"/>
  <c r="AS321" i="3" s="1"/>
  <c r="L321" i="20" s="1"/>
  <c r="L798" i="10"/>
  <c r="AS322" i="3"/>
  <c r="L322" i="20" s="1"/>
  <c r="AI202" i="3"/>
  <c r="AL202" i="3" s="1"/>
  <c r="AO202" i="3" s="1"/>
  <c r="AH200" i="3"/>
  <c r="AI200" i="3" s="1"/>
  <c r="AL200" i="3" s="1"/>
  <c r="AO200" i="3" s="1"/>
  <c r="AI420" i="3"/>
  <c r="AL420" i="3" s="1"/>
  <c r="AO420" i="3" s="1"/>
  <c r="AH189" i="3"/>
  <c r="AH188" i="3" s="1"/>
  <c r="AI188" i="3" s="1"/>
  <c r="AS188" i="3" s="1"/>
  <c r="L188" i="20" s="1"/>
  <c r="AI169" i="3"/>
  <c r="AI168" i="3"/>
  <c r="AH195" i="3"/>
  <c r="AI195" i="3" s="1"/>
  <c r="AL195" i="3" s="1"/>
  <c r="AO195" i="3" s="1"/>
  <c r="AS174" i="3"/>
  <c r="L174" i="20" s="1"/>
  <c r="AL174" i="3"/>
  <c r="AO174" i="3" s="1"/>
  <c r="AP174" i="3" s="1"/>
  <c r="AH198" i="3"/>
  <c r="AI198" i="3" s="1"/>
  <c r="AL198" i="3" s="1"/>
  <c r="AO198" i="3" s="1"/>
  <c r="AH194" i="3"/>
  <c r="AI194" i="3" s="1"/>
  <c r="AL194" i="3" s="1"/>
  <c r="AO194" i="3" s="1"/>
  <c r="AP194" i="3" s="1"/>
  <c r="AS161" i="3"/>
  <c r="L161" i="20" s="1"/>
  <c r="AL161" i="3"/>
  <c r="AO161" i="3" s="1"/>
  <c r="AP161" i="3" s="1"/>
  <c r="AI398" i="3"/>
  <c r="AH414" i="3"/>
  <c r="AS395" i="3"/>
  <c r="L395" i="20" s="1"/>
  <c r="AO395" i="3"/>
  <c r="AP395" i="3" s="1"/>
  <c r="AR395" i="3" s="1"/>
  <c r="I397" i="20"/>
  <c r="AI417" i="3"/>
  <c r="AL417" i="3" s="1"/>
  <c r="AO417" i="3" s="1"/>
  <c r="AS396" i="3"/>
  <c r="L396" i="20" s="1"/>
  <c r="AO396" i="3"/>
  <c r="AP396" i="3" s="1"/>
  <c r="AR396" i="3" s="1"/>
  <c r="I394" i="20"/>
  <c r="AS402" i="3"/>
  <c r="L402" i="20" s="1"/>
  <c r="AL402" i="3"/>
  <c r="AO402" i="3" s="1"/>
  <c r="AP402" i="3" s="1"/>
  <c r="AL173" i="3"/>
  <c r="AO173" i="3" s="1"/>
  <c r="AP173" i="3" s="1"/>
  <c r="AS173" i="3"/>
  <c r="L173" i="20" s="1"/>
  <c r="AS178" i="3"/>
  <c r="L178" i="20" s="1"/>
  <c r="AL178" i="3"/>
  <c r="AO178" i="3" s="1"/>
  <c r="AP178" i="3" s="1"/>
  <c r="AL341" i="3"/>
  <c r="AO341" i="3" s="1"/>
  <c r="AP341" i="3" s="1"/>
  <c r="AS341" i="3"/>
  <c r="L341" i="20" s="1"/>
  <c r="AL325" i="3"/>
  <c r="AO325" i="3" s="1"/>
  <c r="AP325" i="3" s="1"/>
  <c r="AR325" i="3" s="1"/>
  <c r="AI368" i="3"/>
  <c r="AL368" i="3" s="1"/>
  <c r="AO368" i="3" s="1"/>
  <c r="AL165" i="3"/>
  <c r="AO165" i="3" s="1"/>
  <c r="AP165" i="3" s="1"/>
  <c r="AS165" i="3"/>
  <c r="L165" i="20" s="1"/>
  <c r="AL171" i="3"/>
  <c r="AO171" i="3" s="1"/>
  <c r="AP171" i="3" s="1"/>
  <c r="AS171" i="3"/>
  <c r="L171" i="20" s="1"/>
  <c r="AS167" i="3"/>
  <c r="L167" i="20" s="1"/>
  <c r="AL167" i="3"/>
  <c r="AO167" i="3" s="1"/>
  <c r="AP167" i="3" s="1"/>
  <c r="AL159" i="3"/>
  <c r="AO159" i="3" s="1"/>
  <c r="AP159" i="3" s="1"/>
  <c r="AS159" i="3"/>
  <c r="L159" i="20" s="1"/>
  <c r="AS157" i="3"/>
  <c r="L157" i="20" s="1"/>
  <c r="AI204" i="3"/>
  <c r="AL204" i="3" s="1"/>
  <c r="AO204" i="3" s="1"/>
  <c r="AS163" i="3"/>
  <c r="L163" i="20" s="1"/>
  <c r="AH370" i="3"/>
  <c r="AI370" i="3" s="1"/>
  <c r="AS370" i="3" s="1"/>
  <c r="L370" i="20" s="1"/>
  <c r="AL323" i="3"/>
  <c r="AO323" i="3" s="1"/>
  <c r="AP323" i="3" s="1"/>
  <c r="AR323" i="3" s="1"/>
  <c r="AS323" i="3"/>
  <c r="L323" i="20" s="1"/>
  <c r="AS284" i="3"/>
  <c r="L284" i="20" s="1"/>
  <c r="AO284" i="3"/>
  <c r="AP284" i="3" s="1"/>
  <c r="AS299" i="3"/>
  <c r="L299" i="20" s="1"/>
  <c r="AL345" i="3"/>
  <c r="AO345" i="3" s="1"/>
  <c r="AP345" i="3" s="1"/>
  <c r="AR345" i="3" s="1"/>
  <c r="AS345" i="3"/>
  <c r="L345" i="20" s="1"/>
  <c r="I223" i="20"/>
  <c r="I213" i="20"/>
  <c r="I207" i="20"/>
  <c r="AQ163" i="3"/>
  <c r="J163" i="20" s="1"/>
  <c r="K163" i="20"/>
  <c r="I179" i="20"/>
  <c r="I162" i="20"/>
  <c r="I113" i="20"/>
  <c r="I91" i="20"/>
  <c r="I156" i="20"/>
  <c r="I160" i="20"/>
  <c r="I180" i="20"/>
  <c r="I224" i="20"/>
  <c r="I157" i="20"/>
  <c r="I181" i="20"/>
  <c r="I229" i="20"/>
  <c r="I166" i="20"/>
  <c r="AI61" i="3"/>
  <c r="AL61" i="3" s="1"/>
  <c r="AO61" i="3" s="1"/>
  <c r="AH60" i="3"/>
  <c r="AI60" i="3" s="1"/>
  <c r="AH425" i="3"/>
  <c r="AI425" i="3" s="1"/>
  <c r="AL425" i="3" s="1"/>
  <c r="AO425" i="3" s="1"/>
  <c r="AI426" i="3"/>
  <c r="AL426" i="3" s="1"/>
  <c r="AO426" i="3" s="1"/>
  <c r="I88" i="20"/>
  <c r="I219" i="20"/>
  <c r="AS412" i="3"/>
  <c r="L412" i="20" s="1"/>
  <c r="AL412" i="3"/>
  <c r="AO412" i="3" s="1"/>
  <c r="AP412" i="3" s="1"/>
  <c r="AR412" i="3" s="1"/>
  <c r="AH240" i="3"/>
  <c r="AI240" i="3" s="1"/>
  <c r="I172" i="20"/>
  <c r="I176" i="20"/>
  <c r="I216" i="20"/>
  <c r="I215" i="20"/>
  <c r="AS91" i="3"/>
  <c r="L91" i="20" s="1"/>
  <c r="I163" i="20"/>
  <c r="I107" i="20"/>
  <c r="I177" i="20"/>
  <c r="AL182" i="3"/>
  <c r="AO182" i="3" s="1"/>
  <c r="AP182" i="3" s="1"/>
  <c r="AL231" i="3"/>
  <c r="AO231" i="3" s="1"/>
  <c r="AS162" i="3"/>
  <c r="L162" i="20" s="1"/>
  <c r="AS96" i="3"/>
  <c r="L96" i="20" s="1"/>
  <c r="AL96" i="3"/>
  <c r="AO96" i="3" s="1"/>
  <c r="AP96" i="3" s="1"/>
  <c r="AR96" i="3" s="1"/>
  <c r="AO26" i="3"/>
  <c r="AP26" i="3" s="1"/>
  <c r="AS26" i="3"/>
  <c r="L26" i="20" s="1"/>
  <c r="I81" i="20"/>
  <c r="AL127" i="3"/>
  <c r="AO127" i="3" s="1"/>
  <c r="AP127" i="3" s="1"/>
  <c r="AR127" i="3" s="1"/>
  <c r="AS127" i="3"/>
  <c r="L127" i="20" s="1"/>
  <c r="AL117" i="3"/>
  <c r="AO117" i="3" s="1"/>
  <c r="AP117" i="3" s="1"/>
  <c r="AR117" i="3" s="1"/>
  <c r="AS117" i="3"/>
  <c r="L117" i="20" s="1"/>
  <c r="AS35" i="3"/>
  <c r="L35" i="20" s="1"/>
  <c r="AO35" i="3"/>
  <c r="AP35" i="3" s="1"/>
  <c r="AO28" i="3"/>
  <c r="AP28" i="3" s="1"/>
  <c r="AR28" i="3" s="1"/>
  <c r="AS28" i="3"/>
  <c r="L28" i="20" s="1"/>
  <c r="AL58" i="3"/>
  <c r="AO58" i="3" s="1"/>
  <c r="AP58" i="3" s="1"/>
  <c r="AS58" i="3"/>
  <c r="L58" i="20" s="1"/>
  <c r="AI154" i="3"/>
  <c r="AL154" i="3" s="1"/>
  <c r="AO154" i="3" s="1"/>
  <c r="AL100" i="3"/>
  <c r="AO100" i="3" s="1"/>
  <c r="AP100" i="3" s="1"/>
  <c r="AR100" i="3" s="1"/>
  <c r="AH145" i="3"/>
  <c r="AH63" i="3"/>
  <c r="AI63" i="3" s="1"/>
  <c r="AL63" i="3" s="1"/>
  <c r="AO63" i="3" s="1"/>
  <c r="AP63" i="3" s="1"/>
  <c r="AO18" i="3"/>
  <c r="AP18" i="3" s="1"/>
  <c r="AR18" i="3" s="1"/>
  <c r="AH374" i="3"/>
  <c r="AH70" i="3"/>
  <c r="AI70" i="3" s="1"/>
  <c r="AL70" i="3" s="1"/>
  <c r="AO70" i="3" s="1"/>
  <c r="AH73" i="3"/>
  <c r="AH72" i="3" s="1"/>
  <c r="AI72" i="3" s="1"/>
  <c r="AS288" i="3"/>
  <c r="L288" i="20" s="1"/>
  <c r="AO288" i="3"/>
  <c r="AP288" i="3" s="1"/>
  <c r="AS311" i="3"/>
  <c r="L311" i="20" s="1"/>
  <c r="AL311" i="3"/>
  <c r="AO311" i="3" s="1"/>
  <c r="AP311" i="3" s="1"/>
  <c r="AR311" i="3" s="1"/>
  <c r="AO34" i="3"/>
  <c r="AP34" i="3" s="1"/>
  <c r="AS34" i="3"/>
  <c r="L34" i="20" s="1"/>
  <c r="I25" i="20"/>
  <c r="I29" i="20"/>
  <c r="AS16" i="3"/>
  <c r="L16" i="20" s="1"/>
  <c r="AO16" i="3"/>
  <c r="AP16" i="3" s="1"/>
  <c r="AR16" i="3" s="1"/>
  <c r="AL54" i="3"/>
  <c r="AO54" i="3" s="1"/>
  <c r="AP54" i="3" s="1"/>
  <c r="AR54" i="3" s="1"/>
  <c r="AS54" i="3"/>
  <c r="L54" i="20" s="1"/>
  <c r="AO45" i="3"/>
  <c r="AP45" i="3" s="1"/>
  <c r="AS45" i="3"/>
  <c r="L45" i="20" s="1"/>
  <c r="AO30" i="3"/>
  <c r="AP30" i="3" s="1"/>
  <c r="AR30" i="3" s="1"/>
  <c r="AS30" i="3"/>
  <c r="L30" i="20" s="1"/>
  <c r="AO9" i="3"/>
  <c r="AP9" i="3" s="1"/>
  <c r="AS9" i="3"/>
  <c r="L9" i="20" s="1"/>
  <c r="I24" i="20"/>
  <c r="AS59" i="3"/>
  <c r="L59" i="20" s="1"/>
  <c r="AL59" i="3"/>
  <c r="AO59" i="3" s="1"/>
  <c r="AP59" i="3" s="1"/>
  <c r="AS14" i="3"/>
  <c r="L14" i="20" s="1"/>
  <c r="AH76" i="3"/>
  <c r="AH49" i="3"/>
  <c r="AH38" i="3"/>
  <c r="AI38" i="3" s="1"/>
  <c r="AO38" i="3" s="1"/>
  <c r="AP38" i="3" s="1"/>
  <c r="AR38" i="3" s="1"/>
  <c r="AO20" i="3"/>
  <c r="AP20" i="3" s="1"/>
  <c r="AR20" i="3" s="1"/>
  <c r="AS11" i="3"/>
  <c r="L11" i="20" s="1"/>
  <c r="AH66" i="3"/>
  <c r="AI66" i="3" s="1"/>
  <c r="AO32" i="3"/>
  <c r="AP32" i="3" s="1"/>
  <c r="AR32" i="3" s="1"/>
  <c r="I57" i="20"/>
  <c r="I18" i="20"/>
  <c r="AL52" i="3"/>
  <c r="AO52" i="3" s="1"/>
  <c r="AP52" i="3" s="1"/>
  <c r="AR52" i="3" s="1"/>
  <c r="AS52" i="3"/>
  <c r="L52" i="20" s="1"/>
  <c r="AS19" i="3"/>
  <c r="L19" i="20" s="1"/>
  <c r="AO19" i="3"/>
  <c r="AP19" i="3" s="1"/>
  <c r="AR19" i="3" s="1"/>
  <c r="AO10" i="3"/>
  <c r="AP10" i="3" s="1"/>
  <c r="AR10" i="3" s="1"/>
  <c r="AS10" i="3"/>
  <c r="L10" i="20" s="1"/>
  <c r="I17" i="20"/>
  <c r="AL53" i="3"/>
  <c r="AO53" i="3" s="1"/>
  <c r="AP53" i="3" s="1"/>
  <c r="AR53" i="3" s="1"/>
  <c r="AS53" i="3"/>
  <c r="L53" i="20" s="1"/>
  <c r="AS51" i="3"/>
  <c r="L51" i="20" s="1"/>
  <c r="AL51" i="3"/>
  <c r="AO51" i="3" s="1"/>
  <c r="AP51" i="3" s="1"/>
  <c r="AR51" i="3" s="1"/>
  <c r="AO33" i="3"/>
  <c r="AP33" i="3" s="1"/>
  <c r="AR33" i="3" s="1"/>
  <c r="AS33" i="3"/>
  <c r="L33" i="20" s="1"/>
  <c r="AO15" i="3"/>
  <c r="AP15" i="3" s="1"/>
  <c r="AR15" i="3" s="1"/>
  <c r="AS15" i="3"/>
  <c r="L15" i="20" s="1"/>
  <c r="I13" i="20"/>
  <c r="I8" i="20"/>
  <c r="AO27" i="3"/>
  <c r="AP27" i="3" s="1"/>
  <c r="AR27" i="3" s="1"/>
  <c r="AS27" i="3"/>
  <c r="L27" i="20" s="1"/>
  <c r="AS56" i="3"/>
  <c r="L56" i="20" s="1"/>
  <c r="AL56" i="3"/>
  <c r="AO56" i="3" s="1"/>
  <c r="AP56" i="3" s="1"/>
  <c r="AR56" i="3" s="1"/>
  <c r="AO37" i="3"/>
  <c r="AP37" i="3" s="1"/>
  <c r="AR37" i="3" s="1"/>
  <c r="AS37" i="3"/>
  <c r="L37" i="20" s="1"/>
  <c r="AO23" i="3"/>
  <c r="AP23" i="3" s="1"/>
  <c r="AR23" i="3" s="1"/>
  <c r="AS23" i="3"/>
  <c r="L23" i="20" s="1"/>
  <c r="AI40" i="3"/>
  <c r="AO40" i="3" s="1"/>
  <c r="AH39" i="3"/>
  <c r="AS31" i="3"/>
  <c r="L31" i="20" s="1"/>
  <c r="AO31" i="3"/>
  <c r="AP31" i="3" s="1"/>
  <c r="AR31" i="3" s="1"/>
  <c r="AO21" i="3"/>
  <c r="AP21" i="3" s="1"/>
  <c r="AR21" i="3" s="1"/>
  <c r="AS21" i="3"/>
  <c r="L21" i="20" s="1"/>
  <c r="I11" i="20"/>
  <c r="I22" i="20"/>
  <c r="I14" i="20"/>
  <c r="AL55" i="3"/>
  <c r="AO55" i="3" s="1"/>
  <c r="AP55" i="3" s="1"/>
  <c r="AR55" i="3" s="1"/>
  <c r="AS55" i="3"/>
  <c r="L55" i="20" s="1"/>
  <c r="AS36" i="3"/>
  <c r="L36" i="20" s="1"/>
  <c r="AO36" i="3"/>
  <c r="AP36" i="3" s="1"/>
  <c r="AR36" i="3" s="1"/>
  <c r="AS17" i="3"/>
  <c r="L17" i="20" s="1"/>
  <c r="AI340" i="3"/>
  <c r="AL340" i="3" s="1"/>
  <c r="AO340" i="3" s="1"/>
  <c r="AP340" i="3" s="1"/>
  <c r="AR340" i="3" s="1"/>
  <c r="AH377" i="3"/>
  <c r="AL334" i="3"/>
  <c r="AO334" i="3" s="1"/>
  <c r="AP334" i="3" s="1"/>
  <c r="AR334" i="3" s="1"/>
  <c r="AS334" i="3"/>
  <c r="L334" i="20" s="1"/>
  <c r="AO291" i="3"/>
  <c r="AP291" i="3" s="1"/>
  <c r="AS291" i="3"/>
  <c r="L291" i="20" s="1"/>
  <c r="AL317" i="3"/>
  <c r="AO317" i="3" s="1"/>
  <c r="AP317" i="3" s="1"/>
  <c r="AR317" i="3" s="1"/>
  <c r="AS317" i="3"/>
  <c r="L317" i="20" s="1"/>
  <c r="AS342" i="3"/>
  <c r="L342" i="20" s="1"/>
  <c r="AL342" i="3"/>
  <c r="AO342" i="3" s="1"/>
  <c r="AP342" i="3" s="1"/>
  <c r="AO290" i="3"/>
  <c r="AP290" i="3" s="1"/>
  <c r="AR290" i="3" s="1"/>
  <c r="AS290" i="3"/>
  <c r="L290" i="20" s="1"/>
  <c r="AL328" i="3"/>
  <c r="AO328" i="3" s="1"/>
  <c r="AP328" i="3" s="1"/>
  <c r="AS328" i="3"/>
  <c r="L328" i="20" s="1"/>
  <c r="AO285" i="3"/>
  <c r="AP285" i="3" s="1"/>
  <c r="AR285" i="3" s="1"/>
  <c r="AS285" i="3"/>
  <c r="L285" i="20" s="1"/>
  <c r="AL308" i="3"/>
  <c r="AO308" i="3" s="1"/>
  <c r="AP308" i="3" s="1"/>
  <c r="AR308" i="3" s="1"/>
  <c r="AS308" i="3"/>
  <c r="L308" i="20" s="1"/>
  <c r="AS320" i="3"/>
  <c r="L320" i="20" s="1"/>
  <c r="AO293" i="3"/>
  <c r="AP293" i="3" s="1"/>
  <c r="AS329" i="3"/>
  <c r="L329" i="20" s="1"/>
  <c r="AO385" i="3"/>
  <c r="AP385" i="3" s="1"/>
  <c r="AR385" i="3" s="1"/>
  <c r="AO388" i="3"/>
  <c r="AP388" i="3" s="1"/>
  <c r="AR388" i="3" s="1"/>
  <c r="AS307" i="3"/>
  <c r="L307" i="20" s="1"/>
  <c r="AL307" i="3"/>
  <c r="AO307" i="3" s="1"/>
  <c r="AP307" i="3" s="1"/>
  <c r="AS333" i="3"/>
  <c r="L333" i="20" s="1"/>
  <c r="AL333" i="3"/>
  <c r="AO333" i="3" s="1"/>
  <c r="AP333" i="3" s="1"/>
  <c r="AR333" i="3" s="1"/>
  <c r="AS327" i="3"/>
  <c r="L327" i="20" s="1"/>
  <c r="AL327" i="3"/>
  <c r="AO327" i="3" s="1"/>
  <c r="AP327" i="3" s="1"/>
  <c r="AR327" i="3" s="1"/>
  <c r="AL312" i="3"/>
  <c r="AO312" i="3" s="1"/>
  <c r="AP312" i="3" s="1"/>
  <c r="AR312" i="3" s="1"/>
  <c r="AS312" i="3"/>
  <c r="L312" i="20" s="1"/>
  <c r="AL337" i="3"/>
  <c r="AO337" i="3" s="1"/>
  <c r="AP337" i="3" s="1"/>
  <c r="AS337" i="3"/>
  <c r="L337" i="20" s="1"/>
  <c r="AL344" i="3"/>
  <c r="AO344" i="3" s="1"/>
  <c r="AP344" i="3" s="1"/>
  <c r="AR344" i="3" s="1"/>
  <c r="AS344" i="3"/>
  <c r="L344" i="20" s="1"/>
  <c r="I325" i="20"/>
  <c r="AS338" i="3"/>
  <c r="L338" i="20" s="1"/>
  <c r="AL338" i="3"/>
  <c r="AO338" i="3" s="1"/>
  <c r="AP338" i="3" s="1"/>
  <c r="AS301" i="3"/>
  <c r="L301" i="20" s="1"/>
  <c r="AL301" i="3"/>
  <c r="AO301" i="3" s="1"/>
  <c r="AP301" i="3" s="1"/>
  <c r="AS326" i="3"/>
  <c r="L326" i="20" s="1"/>
  <c r="AL326" i="3"/>
  <c r="AO326" i="3" s="1"/>
  <c r="AP326" i="3" s="1"/>
  <c r="AL305" i="3"/>
  <c r="AO305" i="3" s="1"/>
  <c r="AP305" i="3" s="1"/>
  <c r="AS305" i="3"/>
  <c r="L305" i="20" s="1"/>
  <c r="AI371" i="3"/>
  <c r="AL371" i="3" s="1"/>
  <c r="AO371" i="3" s="1"/>
  <c r="AI283" i="3"/>
  <c r="AO283" i="3" s="1"/>
  <c r="AP283" i="3" s="1"/>
  <c r="AR283" i="3" s="1"/>
  <c r="AH356" i="3"/>
  <c r="AO294" i="3"/>
  <c r="AP294" i="3" s="1"/>
  <c r="AR294" i="3" s="1"/>
  <c r="AS294" i="3"/>
  <c r="L294" i="20" s="1"/>
  <c r="I303" i="20"/>
  <c r="I330" i="20"/>
  <c r="AS382" i="3"/>
  <c r="L382" i="20" s="1"/>
  <c r="AL382" i="3"/>
  <c r="AO382" i="3" s="1"/>
  <c r="AP382" i="3" s="1"/>
  <c r="AS300" i="3"/>
  <c r="L300" i="20" s="1"/>
  <c r="AL300" i="3"/>
  <c r="AO300" i="3" s="1"/>
  <c r="AP300" i="3" s="1"/>
  <c r="AR300" i="3" s="1"/>
  <c r="AL332" i="3"/>
  <c r="AO332" i="3" s="1"/>
  <c r="AP332" i="3" s="1"/>
  <c r="AR332" i="3" s="1"/>
  <c r="AS332" i="3"/>
  <c r="L332" i="20" s="1"/>
  <c r="AL316" i="3"/>
  <c r="AO316" i="3" s="1"/>
  <c r="AP316" i="3" s="1"/>
  <c r="AR316" i="3" s="1"/>
  <c r="AS316" i="3"/>
  <c r="L316" i="20" s="1"/>
  <c r="AL314" i="3"/>
  <c r="AO314" i="3" s="1"/>
  <c r="AP314" i="3" s="1"/>
  <c r="AR314" i="3" s="1"/>
  <c r="AS314" i="3"/>
  <c r="L314" i="20" s="1"/>
  <c r="AO295" i="3"/>
  <c r="AP295" i="3" s="1"/>
  <c r="AR295" i="3" s="1"/>
  <c r="AS295" i="3"/>
  <c r="L295" i="20" s="1"/>
  <c r="AL318" i="3"/>
  <c r="AO318" i="3" s="1"/>
  <c r="AP318" i="3" s="1"/>
  <c r="AR318" i="3" s="1"/>
  <c r="AS318" i="3"/>
  <c r="L318" i="20" s="1"/>
  <c r="I320" i="20"/>
  <c r="AL364" i="3"/>
  <c r="AO364" i="3" s="1"/>
  <c r="AS364" i="3"/>
  <c r="L364" i="20" s="1"/>
  <c r="I329" i="20"/>
  <c r="AS336" i="3"/>
  <c r="L336" i="20" s="1"/>
  <c r="AL336" i="3"/>
  <c r="AO336" i="3" s="1"/>
  <c r="AP336" i="3" s="1"/>
  <c r="AR336" i="3" s="1"/>
  <c r="AL302" i="3"/>
  <c r="AO302" i="3" s="1"/>
  <c r="AP302" i="3" s="1"/>
  <c r="AR302" i="3" s="1"/>
  <c r="AS302" i="3"/>
  <c r="L302" i="20" s="1"/>
  <c r="AS313" i="3"/>
  <c r="L313" i="20" s="1"/>
  <c r="AL313" i="3"/>
  <c r="AO313" i="3" s="1"/>
  <c r="AP313" i="3" s="1"/>
  <c r="AR313" i="3" s="1"/>
  <c r="AL343" i="3"/>
  <c r="AO343" i="3" s="1"/>
  <c r="AP343" i="3" s="1"/>
  <c r="AR343" i="3" s="1"/>
  <c r="AS343" i="3"/>
  <c r="L343" i="20" s="1"/>
  <c r="AL347" i="3"/>
  <c r="AO347" i="3" s="1"/>
  <c r="AP347" i="3" s="1"/>
  <c r="AR347" i="3" s="1"/>
  <c r="AS347" i="3"/>
  <c r="L347" i="20" s="1"/>
  <c r="AL352" i="3"/>
  <c r="AO352" i="3" s="1"/>
  <c r="AP352" i="3" s="1"/>
  <c r="AS352" i="3"/>
  <c r="L352" i="20" s="1"/>
  <c r="I299" i="20"/>
  <c r="AL310" i="3"/>
  <c r="AO310" i="3" s="1"/>
  <c r="AP310" i="3" s="1"/>
  <c r="AR310" i="3" s="1"/>
  <c r="AS310" i="3"/>
  <c r="L310" i="20" s="1"/>
  <c r="I341" i="20"/>
  <c r="I322" i="20"/>
  <c r="I335" i="20"/>
  <c r="AS297" i="3"/>
  <c r="L297" i="20" s="1"/>
  <c r="AO297" i="3"/>
  <c r="AP297" i="3" s="1"/>
  <c r="AR297" i="3" s="1"/>
  <c r="AS282" i="3"/>
  <c r="L282" i="20" s="1"/>
  <c r="AO282" i="3"/>
  <c r="AP282" i="3" s="1"/>
  <c r="AR282" i="3" s="1"/>
  <c r="AS324" i="3"/>
  <c r="L324" i="20" s="1"/>
  <c r="AL324" i="3"/>
  <c r="AO324" i="3" s="1"/>
  <c r="AP324" i="3" s="1"/>
  <c r="AR324" i="3" s="1"/>
  <c r="AS292" i="3"/>
  <c r="L292" i="20" s="1"/>
  <c r="AO292" i="3"/>
  <c r="AP292" i="3" s="1"/>
  <c r="AR292" i="3" s="1"/>
  <c r="AL339" i="3"/>
  <c r="AO339" i="3" s="1"/>
  <c r="AP339" i="3" s="1"/>
  <c r="AR339" i="3" s="1"/>
  <c r="AS339" i="3"/>
  <c r="L339" i="20" s="1"/>
  <c r="AO296" i="3"/>
  <c r="AP296" i="3" s="1"/>
  <c r="AR296" i="3" s="1"/>
  <c r="AS296" i="3"/>
  <c r="L296" i="20" s="1"/>
  <c r="I304" i="20"/>
  <c r="I345" i="20"/>
  <c r="I323" i="20"/>
  <c r="I298" i="20"/>
  <c r="AL370" i="3"/>
  <c r="AO370" i="3" s="1"/>
  <c r="AO286" i="3"/>
  <c r="AP286" i="3" s="1"/>
  <c r="AR286" i="3" s="1"/>
  <c r="AS286" i="3"/>
  <c r="L286" i="20" s="1"/>
  <c r="AO287" i="3"/>
  <c r="AP287" i="3" s="1"/>
  <c r="AR287" i="3" s="1"/>
  <c r="AS287" i="3"/>
  <c r="L287" i="20" s="1"/>
  <c r="AL321" i="3"/>
  <c r="AO321" i="3" s="1"/>
  <c r="AP321" i="3" s="1"/>
  <c r="AR321" i="3" s="1"/>
  <c r="AO289" i="3"/>
  <c r="AP289" i="3" s="1"/>
  <c r="AR289" i="3" s="1"/>
  <c r="AS289" i="3"/>
  <c r="L289" i="20" s="1"/>
  <c r="AS306" i="3"/>
  <c r="L306" i="20" s="1"/>
  <c r="AL306" i="3"/>
  <c r="AO306" i="3" s="1"/>
  <c r="AP306" i="3" s="1"/>
  <c r="AR306" i="3" s="1"/>
  <c r="AS348" i="3"/>
  <c r="L348" i="20" s="1"/>
  <c r="AL348" i="3"/>
  <c r="AO348" i="3" s="1"/>
  <c r="AP348" i="3" s="1"/>
  <c r="AR348" i="3" s="1"/>
  <c r="AS331" i="3"/>
  <c r="L331" i="20" s="1"/>
  <c r="AL331" i="3"/>
  <c r="AO331" i="3" s="1"/>
  <c r="AP331" i="3" s="1"/>
  <c r="AR331" i="3" s="1"/>
  <c r="AL346" i="3"/>
  <c r="AO346" i="3" s="1"/>
  <c r="AP346" i="3" s="1"/>
  <c r="AR346" i="3" s="1"/>
  <c r="AS346" i="3"/>
  <c r="L346" i="20" s="1"/>
  <c r="AH406" i="3"/>
  <c r="L211" i="9"/>
  <c r="I408" i="20"/>
  <c r="AS390" i="3"/>
  <c r="L390" i="20" s="1"/>
  <c r="AO390" i="3"/>
  <c r="AP390" i="3" s="1"/>
  <c r="AR390" i="3" s="1"/>
  <c r="AL404" i="3"/>
  <c r="AO404" i="3" s="1"/>
  <c r="AP404" i="3" s="1"/>
  <c r="AR404" i="3" s="1"/>
  <c r="AS404" i="3"/>
  <c r="L404" i="20" s="1"/>
  <c r="AS391" i="3"/>
  <c r="L391" i="20" s="1"/>
  <c r="AO391" i="3"/>
  <c r="AP391" i="3" s="1"/>
  <c r="AR391" i="3" s="1"/>
  <c r="AS389" i="3"/>
  <c r="L389" i="20" s="1"/>
  <c r="AO389" i="3"/>
  <c r="AP389" i="3" s="1"/>
  <c r="AR389" i="3" s="1"/>
  <c r="AL400" i="3"/>
  <c r="AO400" i="3" s="1"/>
  <c r="AP400" i="3" s="1"/>
  <c r="AR400" i="3" s="1"/>
  <c r="AS400" i="3"/>
  <c r="L400" i="20" s="1"/>
  <c r="I410" i="20"/>
  <c r="AL422" i="3"/>
  <c r="AO422" i="3" s="1"/>
  <c r="AP422" i="3" s="1"/>
  <c r="AS422" i="3"/>
  <c r="L422" i="20" s="1"/>
  <c r="AL409" i="3"/>
  <c r="AO409" i="3" s="1"/>
  <c r="AP409" i="3" s="1"/>
  <c r="AR409" i="3" s="1"/>
  <c r="AS409" i="3"/>
  <c r="L409" i="20" s="1"/>
  <c r="AL411" i="3"/>
  <c r="AO411" i="3" s="1"/>
  <c r="AP411" i="3" s="1"/>
  <c r="AR411" i="3" s="1"/>
  <c r="AS411" i="3"/>
  <c r="L411" i="20" s="1"/>
  <c r="AS403" i="3"/>
  <c r="L403" i="20" s="1"/>
  <c r="AL403" i="3"/>
  <c r="AO403" i="3" s="1"/>
  <c r="AP403" i="3" s="1"/>
  <c r="AR403" i="3" s="1"/>
  <c r="AS399" i="3"/>
  <c r="L399" i="20" s="1"/>
  <c r="AL399" i="3"/>
  <c r="AO399" i="3" s="1"/>
  <c r="AP399" i="3" s="1"/>
  <c r="AR399" i="3" s="1"/>
  <c r="AL416" i="3"/>
  <c r="AO416" i="3" s="1"/>
  <c r="AP416" i="3" s="1"/>
  <c r="AS416" i="3"/>
  <c r="L416" i="20" s="1"/>
  <c r="AI419" i="3"/>
  <c r="AS398" i="3"/>
  <c r="L398" i="20" s="1"/>
  <c r="AL398" i="3"/>
  <c r="AO398" i="3" s="1"/>
  <c r="AP398" i="3" s="1"/>
  <c r="AR398" i="3" s="1"/>
  <c r="AS387" i="3"/>
  <c r="L387" i="20" s="1"/>
  <c r="AO387" i="3"/>
  <c r="AP387" i="3" s="1"/>
  <c r="AR387" i="3" s="1"/>
  <c r="AO386" i="3"/>
  <c r="AP386" i="3" s="1"/>
  <c r="AR386" i="3" s="1"/>
  <c r="AS386" i="3"/>
  <c r="L386" i="20" s="1"/>
  <c r="I401" i="20"/>
  <c r="I402" i="20"/>
  <c r="AS425" i="3"/>
  <c r="L425" i="20" s="1"/>
  <c r="AL405" i="3"/>
  <c r="AO405" i="3" s="1"/>
  <c r="AP405" i="3" s="1"/>
  <c r="AR405" i="3" s="1"/>
  <c r="AS405" i="3"/>
  <c r="L405" i="20" s="1"/>
  <c r="I396" i="20"/>
  <c r="I407" i="20"/>
  <c r="AI432" i="3"/>
  <c r="AL432" i="3" s="1"/>
  <c r="AO432" i="3" s="1"/>
  <c r="AH431" i="3"/>
  <c r="AI431" i="3" s="1"/>
  <c r="I393" i="20"/>
  <c r="AS257" i="3"/>
  <c r="L257" i="20" s="1"/>
  <c r="AL257" i="3"/>
  <c r="AO257" i="3" s="1"/>
  <c r="AP257" i="3" s="1"/>
  <c r="AL255" i="3"/>
  <c r="AO255" i="3" s="1"/>
  <c r="AP255" i="3" s="1"/>
  <c r="AS255" i="3"/>
  <c r="L255" i="20" s="1"/>
  <c r="AO249" i="3"/>
  <c r="AP249" i="3" s="1"/>
  <c r="AS249" i="3"/>
  <c r="L249" i="20" s="1"/>
  <c r="AH274" i="3"/>
  <c r="AI248" i="3"/>
  <c r="AH277" i="3"/>
  <c r="AI252" i="3"/>
  <c r="AS250" i="3"/>
  <c r="L250" i="20" s="1"/>
  <c r="AO250" i="3"/>
  <c r="AP250" i="3" s="1"/>
  <c r="AH259" i="3"/>
  <c r="AH258" i="3" s="1"/>
  <c r="AI258" i="3" s="1"/>
  <c r="AS258" i="3" s="1"/>
  <c r="L258" i="20" s="1"/>
  <c r="AI260" i="3"/>
  <c r="AL260" i="3" s="1"/>
  <c r="AO260" i="3" s="1"/>
  <c r="AH244" i="3"/>
  <c r="AH279" i="3"/>
  <c r="AI279" i="3" s="1"/>
  <c r="AI281" i="3"/>
  <c r="AL281" i="3" s="1"/>
  <c r="AO281" i="3" s="1"/>
  <c r="L33" i="8"/>
  <c r="AH246" i="3" s="1"/>
  <c r="AI246" i="3" s="1"/>
  <c r="AS246" i="3" s="1"/>
  <c r="L246" i="20" s="1"/>
  <c r="J178" i="8"/>
  <c r="AS253" i="3"/>
  <c r="L253" i="20" s="1"/>
  <c r="AO253" i="3"/>
  <c r="AP253" i="3" s="1"/>
  <c r="AO251" i="3"/>
  <c r="AP251" i="3" s="1"/>
  <c r="AR251" i="3" s="1"/>
  <c r="AS251" i="3"/>
  <c r="L251" i="20" s="1"/>
  <c r="AS247" i="3"/>
  <c r="L247" i="20" s="1"/>
  <c r="AO247" i="3"/>
  <c r="AP247" i="3" s="1"/>
  <c r="AR247" i="3" s="1"/>
  <c r="AS266" i="3"/>
  <c r="L266" i="20" s="1"/>
  <c r="AL266" i="3"/>
  <c r="AO266" i="3" s="1"/>
  <c r="AP266" i="3" s="1"/>
  <c r="AR266" i="3" s="1"/>
  <c r="AS263" i="3"/>
  <c r="L263" i="20" s="1"/>
  <c r="AL263" i="3"/>
  <c r="AO263" i="3" s="1"/>
  <c r="AP263" i="3" s="1"/>
  <c r="AR263" i="3" s="1"/>
  <c r="AS245" i="3"/>
  <c r="L245" i="20" s="1"/>
  <c r="AO245" i="3"/>
  <c r="AP245" i="3" s="1"/>
  <c r="AR245" i="3" s="1"/>
  <c r="AL265" i="3"/>
  <c r="AO265" i="3" s="1"/>
  <c r="AP265" i="3" s="1"/>
  <c r="AR265" i="3" s="1"/>
  <c r="AS265" i="3"/>
  <c r="L265" i="20" s="1"/>
  <c r="AS261" i="3"/>
  <c r="L261" i="20" s="1"/>
  <c r="AL261" i="3"/>
  <c r="AO261" i="3" s="1"/>
  <c r="AP261" i="3" s="1"/>
  <c r="AR261" i="3" s="1"/>
  <c r="AL264" i="3"/>
  <c r="AO264" i="3" s="1"/>
  <c r="AP264" i="3" s="1"/>
  <c r="AR264" i="3" s="1"/>
  <c r="AS264" i="3"/>
  <c r="L264" i="20" s="1"/>
  <c r="AL256" i="3"/>
  <c r="AO256" i="3" s="1"/>
  <c r="AP256" i="3" s="1"/>
  <c r="AR256" i="3" s="1"/>
  <c r="AS256" i="3"/>
  <c r="L256" i="20" s="1"/>
  <c r="I243" i="20"/>
  <c r="AS262" i="3"/>
  <c r="L262" i="20" s="1"/>
  <c r="AL262" i="3"/>
  <c r="AO262" i="3" s="1"/>
  <c r="AP262" i="3" s="1"/>
  <c r="AR262" i="3" s="1"/>
  <c r="AS254" i="3"/>
  <c r="L254" i="20" s="1"/>
  <c r="AL254" i="3"/>
  <c r="AO254" i="3" s="1"/>
  <c r="AP254" i="3" s="1"/>
  <c r="AR254" i="3" s="1"/>
  <c r="AS243" i="3"/>
  <c r="L243" i="20" s="1"/>
  <c r="AI319" i="3"/>
  <c r="AS319" i="3" s="1"/>
  <c r="AH362" i="3"/>
  <c r="I349" i="19" l="1"/>
  <c r="R349" i="3"/>
  <c r="AI205" i="3"/>
  <c r="AL205" i="3" s="1"/>
  <c r="AO205" i="3" s="1"/>
  <c r="AH203" i="3"/>
  <c r="AI203" i="3" s="1"/>
  <c r="AS203" i="3" s="1"/>
  <c r="L203" i="20" s="1"/>
  <c r="AR249" i="3"/>
  <c r="AR418" i="3"/>
  <c r="AR417" i="3"/>
  <c r="AR416" i="3"/>
  <c r="AR424" i="3"/>
  <c r="AR423" i="3"/>
  <c r="AR422" i="3"/>
  <c r="AR384" i="3"/>
  <c r="AR383" i="3"/>
  <c r="AR382" i="3"/>
  <c r="I305" i="20"/>
  <c r="AR305" i="3"/>
  <c r="AR337" i="3"/>
  <c r="I293" i="20"/>
  <c r="AR293" i="3"/>
  <c r="I342" i="20"/>
  <c r="AR342" i="3"/>
  <c r="I288" i="20"/>
  <c r="AR288" i="3"/>
  <c r="AR65" i="3"/>
  <c r="AR64" i="3"/>
  <c r="AR63" i="3"/>
  <c r="AR35" i="3"/>
  <c r="AR184" i="3"/>
  <c r="AR183" i="3"/>
  <c r="AR182" i="3"/>
  <c r="I159" i="20"/>
  <c r="AR159" i="3"/>
  <c r="AR171" i="3"/>
  <c r="I165" i="20"/>
  <c r="AR165" i="3"/>
  <c r="I178" i="20"/>
  <c r="AR178" i="3"/>
  <c r="AR402" i="3"/>
  <c r="I161" i="20"/>
  <c r="AR161" i="3"/>
  <c r="AR196" i="3"/>
  <c r="AR195" i="3"/>
  <c r="AR194" i="3"/>
  <c r="AR174" i="3"/>
  <c r="AR212" i="3"/>
  <c r="AR214" i="3"/>
  <c r="AR216" i="3"/>
  <c r="AR125" i="3"/>
  <c r="AR108" i="3"/>
  <c r="AR109" i="3"/>
  <c r="AQ123" i="3"/>
  <c r="J123" i="20" s="1"/>
  <c r="AR123" i="3"/>
  <c r="I106" i="20"/>
  <c r="AR106" i="3"/>
  <c r="I94" i="20"/>
  <c r="AR94" i="3"/>
  <c r="I225" i="20"/>
  <c r="AR225" i="3"/>
  <c r="AR98" i="3"/>
  <c r="I87" i="20"/>
  <c r="AR87" i="3"/>
  <c r="AR104" i="3"/>
  <c r="AR95" i="3"/>
  <c r="AQ95" i="3" s="1"/>
  <c r="J95" i="20" s="1"/>
  <c r="AR101" i="3"/>
  <c r="I126" i="20"/>
  <c r="AR126" i="3"/>
  <c r="AR110" i="3"/>
  <c r="AQ110" i="3" s="1"/>
  <c r="J110" i="20" s="1"/>
  <c r="AR116" i="3"/>
  <c r="AR105" i="3"/>
  <c r="AQ105" i="3" s="1"/>
  <c r="J105" i="20" s="1"/>
  <c r="T131" i="3"/>
  <c r="T130" i="3"/>
  <c r="T129" i="3"/>
  <c r="T187" i="3"/>
  <c r="T186" i="3"/>
  <c r="T185" i="3"/>
  <c r="T202" i="3"/>
  <c r="T201" i="3"/>
  <c r="T200" i="3"/>
  <c r="T62" i="3"/>
  <c r="T61" i="3"/>
  <c r="T60" i="3"/>
  <c r="T137" i="3"/>
  <c r="T136" i="3"/>
  <c r="T135" i="3"/>
  <c r="T146" i="3"/>
  <c r="T145" i="3"/>
  <c r="T144" i="3"/>
  <c r="T278" i="3"/>
  <c r="T277" i="3"/>
  <c r="T276" i="3"/>
  <c r="T423" i="3"/>
  <c r="T424" i="3"/>
  <c r="T422" i="3"/>
  <c r="T71" i="3"/>
  <c r="T70" i="3"/>
  <c r="T69" i="3"/>
  <c r="T149" i="3"/>
  <c r="T148" i="3"/>
  <c r="T147" i="3"/>
  <c r="T74" i="3"/>
  <c r="T73" i="3"/>
  <c r="T72" i="3"/>
  <c r="T242" i="3"/>
  <c r="T241" i="3"/>
  <c r="T240" i="3"/>
  <c r="T134" i="3"/>
  <c r="T133" i="3"/>
  <c r="T132" i="3"/>
  <c r="T433" i="3"/>
  <c r="T431" i="3"/>
  <c r="T432" i="3"/>
  <c r="T272" i="3"/>
  <c r="T271" i="3"/>
  <c r="T270" i="3"/>
  <c r="T184" i="3"/>
  <c r="T183" i="3"/>
  <c r="T182" i="3"/>
  <c r="T159" i="3"/>
  <c r="T402" i="3"/>
  <c r="T193" i="3"/>
  <c r="T192" i="3"/>
  <c r="T191" i="3"/>
  <c r="J344" i="19"/>
  <c r="T344" i="3"/>
  <c r="J90" i="19"/>
  <c r="T90" i="3"/>
  <c r="T363" i="3"/>
  <c r="T361" i="3"/>
  <c r="T362" i="3"/>
  <c r="T196" i="3"/>
  <c r="T195" i="3"/>
  <c r="T194" i="3"/>
  <c r="T353" i="3"/>
  <c r="T354" i="3"/>
  <c r="T352" i="3"/>
  <c r="T38" i="3"/>
  <c r="T44" i="3"/>
  <c r="T43" i="3"/>
  <c r="T42" i="3"/>
  <c r="T37" i="3"/>
  <c r="T23" i="3"/>
  <c r="I164" i="20"/>
  <c r="AR164" i="3"/>
  <c r="I170" i="20"/>
  <c r="AR170" i="3"/>
  <c r="K170" i="20" s="1"/>
  <c r="AR209" i="3"/>
  <c r="J320" i="19"/>
  <c r="T320" i="3"/>
  <c r="J343" i="19"/>
  <c r="T343" i="3"/>
  <c r="K226" i="20"/>
  <c r="S13" i="3"/>
  <c r="K13" i="19" s="1"/>
  <c r="L13" i="19"/>
  <c r="J263" i="19"/>
  <c r="T263" i="3"/>
  <c r="J51" i="19"/>
  <c r="T51" i="3"/>
  <c r="T123" i="3"/>
  <c r="J122" i="19"/>
  <c r="T122" i="3"/>
  <c r="L339" i="19"/>
  <c r="T339" i="3"/>
  <c r="T174" i="3"/>
  <c r="T47" i="3"/>
  <c r="T46" i="3"/>
  <c r="T45" i="3"/>
  <c r="S211" i="3"/>
  <c r="K211" i="19" s="1"/>
  <c r="L211" i="19"/>
  <c r="I98" i="19"/>
  <c r="R98" i="3"/>
  <c r="AR219" i="3"/>
  <c r="I401" i="19"/>
  <c r="R401" i="3"/>
  <c r="S322" i="3"/>
  <c r="K322" i="19" s="1"/>
  <c r="L322" i="19"/>
  <c r="L381" i="19"/>
  <c r="L126" i="19"/>
  <c r="AQ215" i="3"/>
  <c r="J215" i="20" s="1"/>
  <c r="AR215" i="3"/>
  <c r="L306" i="19"/>
  <c r="I253" i="20"/>
  <c r="AR253" i="3"/>
  <c r="AR255" i="3"/>
  <c r="AR250" i="3"/>
  <c r="I257" i="20"/>
  <c r="AR257" i="3"/>
  <c r="AR354" i="3"/>
  <c r="AR353" i="3"/>
  <c r="AR352" i="3"/>
  <c r="I326" i="20"/>
  <c r="AR326" i="3"/>
  <c r="AR301" i="3"/>
  <c r="AR338" i="3"/>
  <c r="I307" i="20"/>
  <c r="AR307" i="3"/>
  <c r="I328" i="20"/>
  <c r="AR328" i="3"/>
  <c r="AR291" i="3"/>
  <c r="I59" i="20"/>
  <c r="AR59" i="3"/>
  <c r="I9" i="20"/>
  <c r="AR9" i="3"/>
  <c r="AR47" i="3"/>
  <c r="AR46" i="3"/>
  <c r="AR45" i="3"/>
  <c r="AR34" i="3"/>
  <c r="AR58" i="3"/>
  <c r="AR26" i="3"/>
  <c r="I284" i="20"/>
  <c r="AR284" i="3"/>
  <c r="AR167" i="3"/>
  <c r="AR341" i="3"/>
  <c r="AR173" i="3"/>
  <c r="AR222" i="3"/>
  <c r="AR210" i="3"/>
  <c r="AR193" i="3"/>
  <c r="AR192" i="3"/>
  <c r="AR191" i="3"/>
  <c r="I89" i="20"/>
  <c r="AR89" i="3"/>
  <c r="I112" i="20"/>
  <c r="AR112" i="3"/>
  <c r="AR121" i="3"/>
  <c r="AR81" i="3"/>
  <c r="AR207" i="3"/>
  <c r="AR107" i="3"/>
  <c r="K107" i="20" s="1"/>
  <c r="I114" i="20"/>
  <c r="AR114" i="3"/>
  <c r="I93" i="20"/>
  <c r="AR93" i="3"/>
  <c r="I115" i="20"/>
  <c r="AR115" i="3"/>
  <c r="AR124" i="3"/>
  <c r="AR128" i="3"/>
  <c r="AQ128" i="3" s="1"/>
  <c r="J128" i="20" s="1"/>
  <c r="AR83" i="3"/>
  <c r="T269" i="3"/>
  <c r="T268" i="3"/>
  <c r="T267" i="3"/>
  <c r="J144" i="19"/>
  <c r="T359" i="3"/>
  <c r="T360" i="3"/>
  <c r="T358" i="3"/>
  <c r="T427" i="3"/>
  <c r="T425" i="3"/>
  <c r="T426" i="3"/>
  <c r="J99" i="19"/>
  <c r="T400" i="3"/>
  <c r="T143" i="3"/>
  <c r="T142" i="3"/>
  <c r="T141" i="3"/>
  <c r="T155" i="3"/>
  <c r="T154" i="3"/>
  <c r="T153" i="3"/>
  <c r="T50" i="3"/>
  <c r="T49" i="3"/>
  <c r="T48" i="3"/>
  <c r="T275" i="3"/>
  <c r="T274" i="3"/>
  <c r="T273" i="3"/>
  <c r="T239" i="3"/>
  <c r="T238" i="3"/>
  <c r="T237" i="3"/>
  <c r="T421" i="3"/>
  <c r="T419" i="3"/>
  <c r="T420" i="3"/>
  <c r="T415" i="3"/>
  <c r="T413" i="3"/>
  <c r="T414" i="3"/>
  <c r="T166" i="3"/>
  <c r="T365" i="3"/>
  <c r="T366" i="3"/>
  <c r="T364" i="3"/>
  <c r="T22" i="3"/>
  <c r="T248" i="3"/>
  <c r="T377" i="3"/>
  <c r="T378" i="3"/>
  <c r="T376" i="3"/>
  <c r="J56" i="19"/>
  <c r="T56" i="3"/>
  <c r="J336" i="19"/>
  <c r="T336" i="3"/>
  <c r="T124" i="3"/>
  <c r="T383" i="3"/>
  <c r="T384" i="3"/>
  <c r="T382" i="3"/>
  <c r="T371" i="3"/>
  <c r="T372" i="3"/>
  <c r="T370" i="3"/>
  <c r="AR397" i="3"/>
  <c r="J373" i="19"/>
  <c r="T375" i="3"/>
  <c r="T373" i="3"/>
  <c r="T374" i="3"/>
  <c r="AR177" i="3"/>
  <c r="I221" i="20"/>
  <c r="AR221" i="3"/>
  <c r="AR393" i="3"/>
  <c r="T249" i="3"/>
  <c r="AR218" i="3"/>
  <c r="AQ226" i="3"/>
  <c r="J226" i="20" s="1"/>
  <c r="S291" i="3"/>
  <c r="K291" i="19" s="1"/>
  <c r="L291" i="19"/>
  <c r="S340" i="3"/>
  <c r="K340" i="19" s="1"/>
  <c r="L11" i="19"/>
  <c r="J117" i="19"/>
  <c r="T117" i="3"/>
  <c r="T41" i="3"/>
  <c r="T40" i="3"/>
  <c r="T39" i="3"/>
  <c r="S395" i="3"/>
  <c r="K395" i="19" s="1"/>
  <c r="L35" i="19"/>
  <c r="I97" i="19"/>
  <c r="R97" i="3"/>
  <c r="R367" i="3"/>
  <c r="I368" i="19"/>
  <c r="R405" i="3"/>
  <c r="I405" i="19"/>
  <c r="AL367" i="3"/>
  <c r="AO367" i="3" s="1"/>
  <c r="AS367" i="3"/>
  <c r="L367" i="20" s="1"/>
  <c r="AH358" i="3"/>
  <c r="AI358" i="3" s="1"/>
  <c r="AP364" i="3"/>
  <c r="AS315" i="3"/>
  <c r="L315" i="20" s="1"/>
  <c r="L299" i="19"/>
  <c r="S299" i="3"/>
  <c r="K299" i="19" s="1"/>
  <c r="AI43" i="3"/>
  <c r="AO43" i="3" s="1"/>
  <c r="AH42" i="3"/>
  <c r="AI42" i="3" s="1"/>
  <c r="J325" i="19"/>
  <c r="L320" i="19"/>
  <c r="I311" i="20"/>
  <c r="I173" i="20"/>
  <c r="I35" i="20"/>
  <c r="AI232" i="3"/>
  <c r="AL232" i="3" s="1"/>
  <c r="AO232" i="3" s="1"/>
  <c r="AH234" i="3"/>
  <c r="AI234" i="3" s="1"/>
  <c r="AI235" i="3"/>
  <c r="AL235" i="3" s="1"/>
  <c r="AO235" i="3" s="1"/>
  <c r="L265" i="6"/>
  <c r="AH186" i="3"/>
  <c r="AI158" i="3"/>
  <c r="AH147" i="3"/>
  <c r="AI147" i="3" s="1"/>
  <c r="AH69" i="3"/>
  <c r="AI69" i="3" s="1"/>
  <c r="AL69" i="3" s="1"/>
  <c r="AO69" i="3" s="1"/>
  <c r="AI73" i="3"/>
  <c r="AL73" i="3" s="1"/>
  <c r="AO73" i="3" s="1"/>
  <c r="I315" i="20"/>
  <c r="J327" i="19"/>
  <c r="S325" i="3"/>
  <c r="K325" i="19" s="1"/>
  <c r="L325" i="19"/>
  <c r="J42" i="19"/>
  <c r="J285" i="19"/>
  <c r="L321" i="19"/>
  <c r="S321" i="3"/>
  <c r="K321" i="19" s="1"/>
  <c r="R310" i="3"/>
  <c r="T310" i="3" s="1"/>
  <c r="I310" i="19"/>
  <c r="J345" i="19"/>
  <c r="J352" i="19"/>
  <c r="J410" i="19"/>
  <c r="S226" i="3"/>
  <c r="K226" i="19" s="1"/>
  <c r="L226" i="19"/>
  <c r="J348" i="19"/>
  <c r="J292" i="19"/>
  <c r="J392" i="19"/>
  <c r="I92" i="20"/>
  <c r="AS207" i="3"/>
  <c r="L207" i="20" s="1"/>
  <c r="R94" i="3"/>
  <c r="T94" i="3" s="1"/>
  <c r="R138" i="3"/>
  <c r="R230" i="3"/>
  <c r="T230" i="3" s="1"/>
  <c r="I230" i="19"/>
  <c r="J316" i="19"/>
  <c r="S309" i="3"/>
  <c r="K309" i="19" s="1"/>
  <c r="L309" i="19"/>
  <c r="I330" i="19"/>
  <c r="R330" i="3"/>
  <c r="T330" i="3" s="1"/>
  <c r="J282" i="19"/>
  <c r="J283" i="19"/>
  <c r="I214" i="20"/>
  <c r="U459" i="3"/>
  <c r="R63" i="3"/>
  <c r="R110" i="3"/>
  <c r="T110" i="3" s="1"/>
  <c r="I110" i="19"/>
  <c r="R315" i="3"/>
  <c r="T315" i="3" s="1"/>
  <c r="I315" i="19"/>
  <c r="R163" i="3"/>
  <c r="T163" i="3" s="1"/>
  <c r="I163" i="19"/>
  <c r="S297" i="3"/>
  <c r="K297" i="19" s="1"/>
  <c r="L297" i="19"/>
  <c r="S284" i="3"/>
  <c r="K284" i="19" s="1"/>
  <c r="L284" i="19"/>
  <c r="L286" i="19"/>
  <c r="S286" i="3"/>
  <c r="K286" i="19" s="1"/>
  <c r="L371" i="19"/>
  <c r="J14" i="19"/>
  <c r="L104" i="19"/>
  <c r="S209" i="3"/>
  <c r="K209" i="19" s="1"/>
  <c r="L209" i="19"/>
  <c r="J313" i="19"/>
  <c r="L380" i="19"/>
  <c r="I254" i="19"/>
  <c r="R254" i="3"/>
  <c r="T254" i="3" s="1"/>
  <c r="J331" i="19"/>
  <c r="J364" i="19"/>
  <c r="S316" i="3"/>
  <c r="K316" i="19" s="1"/>
  <c r="L316" i="19"/>
  <c r="S289" i="3"/>
  <c r="K289" i="19" s="1"/>
  <c r="L289" i="19"/>
  <c r="J191" i="19"/>
  <c r="S373" i="3"/>
  <c r="K373" i="19" s="1"/>
  <c r="L373" i="19"/>
  <c r="J304" i="19"/>
  <c r="J167" i="19"/>
  <c r="S180" i="3"/>
  <c r="K180" i="19" s="1"/>
  <c r="L180" i="19"/>
  <c r="J24" i="19"/>
  <c r="J17" i="19"/>
  <c r="I104" i="20"/>
  <c r="AQ104" i="3"/>
  <c r="J104" i="20" s="1"/>
  <c r="R127" i="3"/>
  <c r="T127" i="3" s="1"/>
  <c r="I127" i="19"/>
  <c r="R308" i="3"/>
  <c r="T308" i="3" s="1"/>
  <c r="I308" i="19"/>
  <c r="S346" i="3"/>
  <c r="K346" i="19" s="1"/>
  <c r="L346" i="19"/>
  <c r="J220" i="19"/>
  <c r="S121" i="3"/>
  <c r="K121" i="19" s="1"/>
  <c r="L121" i="19"/>
  <c r="L374" i="19"/>
  <c r="S374" i="3"/>
  <c r="K374" i="19" s="1"/>
  <c r="J332" i="19"/>
  <c r="J287" i="19"/>
  <c r="J302" i="19"/>
  <c r="J376" i="19"/>
  <c r="L214" i="19"/>
  <c r="S214" i="3"/>
  <c r="K214" i="19" s="1"/>
  <c r="S293" i="3"/>
  <c r="K293" i="19" s="1"/>
  <c r="L293" i="19"/>
  <c r="S101" i="3"/>
  <c r="K101" i="19" s="1"/>
  <c r="L101" i="19"/>
  <c r="S256" i="3"/>
  <c r="K256" i="19" s="1"/>
  <c r="L256" i="19"/>
  <c r="I101" i="20"/>
  <c r="I395" i="20"/>
  <c r="I122" i="20"/>
  <c r="AL188" i="3"/>
  <c r="AO188" i="3" s="1"/>
  <c r="AQ114" i="3"/>
  <c r="J114" i="20" s="1"/>
  <c r="U460" i="3"/>
  <c r="I342" i="19"/>
  <c r="R342" i="3"/>
  <c r="T342" i="3" s="1"/>
  <c r="R412" i="3"/>
  <c r="T412" i="3" s="1"/>
  <c r="I412" i="19"/>
  <c r="R105" i="3"/>
  <c r="T105" i="3" s="1"/>
  <c r="I105" i="19"/>
  <c r="J319" i="19"/>
  <c r="S375" i="3"/>
  <c r="K375" i="19" s="1"/>
  <c r="L375" i="19"/>
  <c r="J317" i="19"/>
  <c r="L122" i="19"/>
  <c r="S122" i="3"/>
  <c r="K122" i="19" s="1"/>
  <c r="L249" i="19"/>
  <c r="S249" i="3"/>
  <c r="K249" i="19" s="1"/>
  <c r="S252" i="3"/>
  <c r="K252" i="19" s="1"/>
  <c r="L252" i="19"/>
  <c r="J88" i="19"/>
  <c r="J361" i="19"/>
  <c r="S361" i="3"/>
  <c r="L408" i="19"/>
  <c r="S408" i="3"/>
  <c r="K408" i="19" s="1"/>
  <c r="L379" i="19"/>
  <c r="S379" i="3"/>
  <c r="K379" i="19" s="1"/>
  <c r="L334" i="19"/>
  <c r="S334" i="3"/>
  <c r="K334" i="19" s="1"/>
  <c r="I32" i="20"/>
  <c r="K80" i="20"/>
  <c r="AH197" i="3"/>
  <c r="AI197" i="3" s="1"/>
  <c r="AS197" i="3" s="1"/>
  <c r="L197" i="20" s="1"/>
  <c r="K110" i="20"/>
  <c r="R231" i="3"/>
  <c r="AQ118" i="3"/>
  <c r="J118" i="20" s="1"/>
  <c r="R111" i="3"/>
  <c r="T111" i="3" s="1"/>
  <c r="I111" i="19"/>
  <c r="S387" i="3"/>
  <c r="K387" i="19" s="1"/>
  <c r="L387" i="19"/>
  <c r="J217" i="19"/>
  <c r="J176" i="19"/>
  <c r="S210" i="3"/>
  <c r="K210" i="19" s="1"/>
  <c r="L210" i="19"/>
  <c r="J54" i="19"/>
  <c r="L57" i="19"/>
  <c r="S57" i="3"/>
  <c r="K57" i="19" s="1"/>
  <c r="S166" i="3"/>
  <c r="K166" i="19" s="1"/>
  <c r="L166" i="19"/>
  <c r="L224" i="19"/>
  <c r="S224" i="3"/>
  <c r="K224" i="19" s="1"/>
  <c r="J175" i="19"/>
  <c r="J153" i="19"/>
  <c r="L174" i="19"/>
  <c r="S174" i="3"/>
  <c r="K174" i="19" s="1"/>
  <c r="J161" i="19"/>
  <c r="J72" i="19"/>
  <c r="J12" i="19"/>
  <c r="J108" i="19"/>
  <c r="J102" i="19"/>
  <c r="S171" i="3"/>
  <c r="K171" i="19" s="1"/>
  <c r="L171" i="19"/>
  <c r="L196" i="19"/>
  <c r="L22" i="19"/>
  <c r="S22" i="3"/>
  <c r="K22" i="19" s="1"/>
  <c r="L16" i="19"/>
  <c r="S16" i="3"/>
  <c r="K16" i="19" s="1"/>
  <c r="J391" i="19"/>
  <c r="L192" i="19"/>
  <c r="S192" i="3"/>
  <c r="K192" i="19" s="1"/>
  <c r="J79" i="19"/>
  <c r="J397" i="19"/>
  <c r="J103" i="19"/>
  <c r="L40" i="19"/>
  <c r="I157" i="19"/>
  <c r="R157" i="3"/>
  <c r="T157" i="3" s="1"/>
  <c r="I92" i="19"/>
  <c r="R92" i="3"/>
  <c r="T92" i="3" s="1"/>
  <c r="R179" i="3"/>
  <c r="T179" i="3" s="1"/>
  <c r="I179" i="19"/>
  <c r="J29" i="19"/>
  <c r="J213" i="19"/>
  <c r="J255" i="19"/>
  <c r="S257" i="3"/>
  <c r="K257" i="19" s="1"/>
  <c r="L257" i="19"/>
  <c r="L67" i="19"/>
  <c r="S67" i="3"/>
  <c r="K67" i="19" s="1"/>
  <c r="J36" i="19"/>
  <c r="S85" i="3"/>
  <c r="K85" i="19" s="1"/>
  <c r="L85" i="19"/>
  <c r="L215" i="19"/>
  <c r="S215" i="3"/>
  <c r="K215" i="19" s="1"/>
  <c r="S55" i="3"/>
  <c r="K55" i="19" s="1"/>
  <c r="L55" i="19"/>
  <c r="S194" i="3"/>
  <c r="K194" i="19" s="1"/>
  <c r="L194" i="19"/>
  <c r="L141" i="19"/>
  <c r="S141" i="3"/>
  <c r="K141" i="19" s="1"/>
  <c r="J147" i="19"/>
  <c r="J84" i="19"/>
  <c r="J30" i="19"/>
  <c r="S117" i="3"/>
  <c r="K117" i="19" s="1"/>
  <c r="L117" i="19"/>
  <c r="J34" i="19"/>
  <c r="J52" i="19"/>
  <c r="S116" i="3"/>
  <c r="K116" i="19" s="1"/>
  <c r="L116" i="19"/>
  <c r="J419" i="19"/>
  <c r="S193" i="3"/>
  <c r="K193" i="19" s="1"/>
  <c r="L193" i="19"/>
  <c r="L66" i="19"/>
  <c r="S66" i="3"/>
  <c r="K66" i="19" s="1"/>
  <c r="J393" i="19"/>
  <c r="S402" i="3"/>
  <c r="K402" i="19" s="1"/>
  <c r="L402" i="19"/>
  <c r="J265" i="19"/>
  <c r="I255" i="20"/>
  <c r="I412" i="20"/>
  <c r="I28" i="20"/>
  <c r="K104" i="20"/>
  <c r="K105" i="20"/>
  <c r="I208" i="20"/>
  <c r="I227" i="20"/>
  <c r="I206" i="20"/>
  <c r="K95" i="20"/>
  <c r="I95" i="20"/>
  <c r="I429" i="19"/>
  <c r="R428" i="3"/>
  <c r="I204" i="19"/>
  <c r="R203" i="3"/>
  <c r="R177" i="3"/>
  <c r="T177" i="3" s="1"/>
  <c r="I177" i="19"/>
  <c r="J261" i="19"/>
  <c r="L58" i="19"/>
  <c r="S58" i="3"/>
  <c r="K58" i="19" s="1"/>
  <c r="J276" i="19"/>
  <c r="J422" i="19"/>
  <c r="J411" i="19"/>
  <c r="J169" i="19"/>
  <c r="J119" i="19"/>
  <c r="L90" i="19"/>
  <c r="S90" i="3"/>
  <c r="K90" i="19" s="1"/>
  <c r="S212" i="3"/>
  <c r="K212" i="19" s="1"/>
  <c r="L212" i="19"/>
  <c r="J48" i="19"/>
  <c r="L389" i="19"/>
  <c r="S389" i="3"/>
  <c r="K389" i="19" s="1"/>
  <c r="J128" i="19"/>
  <c r="J240" i="19"/>
  <c r="J178" i="19"/>
  <c r="J431" i="19"/>
  <c r="J59" i="19"/>
  <c r="J19" i="19"/>
  <c r="S263" i="3"/>
  <c r="K263" i="19" s="1"/>
  <c r="L263" i="19"/>
  <c r="L409" i="19"/>
  <c r="S409" i="3"/>
  <c r="K409" i="19" s="1"/>
  <c r="L44" i="19"/>
  <c r="S159" i="3"/>
  <c r="K159" i="19" s="1"/>
  <c r="L159" i="19"/>
  <c r="J413" i="19"/>
  <c r="S39" i="3"/>
  <c r="K39" i="19" s="1"/>
  <c r="L39" i="19"/>
  <c r="K114" i="20"/>
  <c r="I174" i="20"/>
  <c r="I418" i="19"/>
  <c r="R416" i="3"/>
  <c r="I404" i="19"/>
  <c r="R404" i="3"/>
  <c r="T404" i="3" s="1"/>
  <c r="I234" i="19"/>
  <c r="R234" i="3"/>
  <c r="I150" i="19"/>
  <c r="R150" i="3"/>
  <c r="J227" i="19"/>
  <c r="L266" i="19"/>
  <c r="S266" i="3"/>
  <c r="K266" i="19" s="1"/>
  <c r="L228" i="19"/>
  <c r="S228" i="3"/>
  <c r="K228" i="19" s="1"/>
  <c r="I165" i="19"/>
  <c r="R165" i="3"/>
  <c r="T165" i="3" s="1"/>
  <c r="J113" i="19"/>
  <c r="J80" i="19"/>
  <c r="S399" i="3"/>
  <c r="K399" i="19" s="1"/>
  <c r="L399" i="19"/>
  <c r="S8" i="3"/>
  <c r="K8" i="19" s="1"/>
  <c r="L8" i="19"/>
  <c r="J406" i="19"/>
  <c r="J222" i="19"/>
  <c r="L221" i="19"/>
  <c r="S221" i="3"/>
  <c r="K221" i="19" s="1"/>
  <c r="S25" i="3"/>
  <c r="K25" i="19" s="1"/>
  <c r="L25" i="19"/>
  <c r="J245" i="19"/>
  <c r="S38" i="3"/>
  <c r="K38" i="19" s="1"/>
  <c r="L38" i="19"/>
  <c r="L248" i="19"/>
  <c r="S248" i="3"/>
  <c r="K248" i="19" s="1"/>
  <c r="L206" i="19"/>
  <c r="S206" i="3"/>
  <c r="K206" i="19" s="1"/>
  <c r="S118" i="3"/>
  <c r="K118" i="19" s="1"/>
  <c r="L118" i="19"/>
  <c r="J273" i="19"/>
  <c r="J182" i="19"/>
  <c r="J237" i="19"/>
  <c r="L43" i="19"/>
  <c r="S109" i="3"/>
  <c r="K109" i="19" s="1"/>
  <c r="L109" i="19"/>
  <c r="L20" i="19"/>
  <c r="S20" i="3"/>
  <c r="K20" i="19" s="1"/>
  <c r="L41" i="19"/>
  <c r="AP231" i="3"/>
  <c r="I110" i="20"/>
  <c r="I105" i="20"/>
  <c r="I108" i="20"/>
  <c r="AL197" i="3"/>
  <c r="AO197" i="3" s="1"/>
  <c r="AP197" i="3" s="1"/>
  <c r="I116" i="20"/>
  <c r="AP425" i="3"/>
  <c r="I30" i="20"/>
  <c r="I26" i="20"/>
  <c r="K98" i="20"/>
  <c r="AQ80" i="3"/>
  <c r="J80" i="20" s="1"/>
  <c r="K210" i="20"/>
  <c r="I175" i="20"/>
  <c r="I111" i="20"/>
  <c r="AS191" i="3"/>
  <c r="L191" i="20" s="1"/>
  <c r="AL203" i="3"/>
  <c r="AO203" i="3" s="1"/>
  <c r="AP203" i="3" s="1"/>
  <c r="AL102" i="3"/>
  <c r="AO102" i="3" s="1"/>
  <c r="AP102" i="3" s="1"/>
  <c r="AL99" i="3"/>
  <c r="AO99" i="3" s="1"/>
  <c r="AP99" i="3" s="1"/>
  <c r="AR99" i="3" s="1"/>
  <c r="I98" i="20"/>
  <c r="I217" i="20"/>
  <c r="I75" i="19"/>
  <c r="R75" i="3"/>
  <c r="I173" i="19"/>
  <c r="R173" i="3"/>
  <c r="T173" i="3" s="1"/>
  <c r="J87" i="19"/>
  <c r="J338" i="19"/>
  <c r="L145" i="19"/>
  <c r="S145" i="3"/>
  <c r="K145" i="19" s="1"/>
  <c r="L42" i="19"/>
  <c r="S42" i="3"/>
  <c r="K42" i="19" s="1"/>
  <c r="S114" i="3"/>
  <c r="K114" i="19" s="1"/>
  <c r="L114" i="19"/>
  <c r="J314" i="19"/>
  <c r="L37" i="19"/>
  <c r="S37" i="3"/>
  <c r="K37" i="19" s="1"/>
  <c r="L343" i="19"/>
  <c r="S343" i="3"/>
  <c r="K343" i="19" s="1"/>
  <c r="L143" i="19"/>
  <c r="S143" i="3"/>
  <c r="K143" i="19" s="1"/>
  <c r="J185" i="19"/>
  <c r="J335" i="19"/>
  <c r="J200" i="19"/>
  <c r="S319" i="3"/>
  <c r="K319" i="19" s="1"/>
  <c r="L319" i="19"/>
  <c r="J323" i="19"/>
  <c r="S99" i="3"/>
  <c r="K99" i="19" s="1"/>
  <c r="L99" i="19"/>
  <c r="I222" i="20"/>
  <c r="I86" i="20"/>
  <c r="AH379" i="3"/>
  <c r="AI379" i="3" s="1"/>
  <c r="AI151" i="3"/>
  <c r="AL151" i="3" s="1"/>
  <c r="AO151" i="3" s="1"/>
  <c r="I121" i="20"/>
  <c r="R168" i="3"/>
  <c r="T168" i="3" s="1"/>
  <c r="I168" i="19"/>
  <c r="R188" i="3"/>
  <c r="I188" i="19"/>
  <c r="J63" i="19"/>
  <c r="S332" i="3"/>
  <c r="K332" i="19" s="1"/>
  <c r="L332" i="19"/>
  <c r="S353" i="3"/>
  <c r="K353" i="19" s="1"/>
  <c r="L353" i="19"/>
  <c r="J398" i="19"/>
  <c r="J32" i="19"/>
  <c r="J158" i="19"/>
  <c r="J93" i="19"/>
  <c r="S9" i="3"/>
  <c r="K9" i="19" s="1"/>
  <c r="L9" i="19"/>
  <c r="S258" i="3"/>
  <c r="K258" i="19" s="1"/>
  <c r="L258" i="19"/>
  <c r="S328" i="3"/>
  <c r="K328" i="19" s="1"/>
  <c r="L328" i="19"/>
  <c r="J135" i="19"/>
  <c r="S56" i="3"/>
  <c r="K56" i="19" s="1"/>
  <c r="L56" i="19"/>
  <c r="S100" i="3"/>
  <c r="K100" i="19" s="1"/>
  <c r="L100" i="19"/>
  <c r="S344" i="3"/>
  <c r="K344" i="19" s="1"/>
  <c r="L344" i="19"/>
  <c r="I250" i="20"/>
  <c r="AS38" i="3"/>
  <c r="L38" i="20" s="1"/>
  <c r="I58" i="20"/>
  <c r="AQ284" i="3"/>
  <c r="J284" i="20" s="1"/>
  <c r="I128" i="20"/>
  <c r="K128" i="20"/>
  <c r="AQ210" i="3"/>
  <c r="J210" i="20" s="1"/>
  <c r="I83" i="20"/>
  <c r="AS200" i="3"/>
  <c r="L200" i="20" s="1"/>
  <c r="AQ93" i="3"/>
  <c r="J93" i="20" s="1"/>
  <c r="AO84" i="3"/>
  <c r="AP84" i="3" s="1"/>
  <c r="AR84" i="3" s="1"/>
  <c r="R107" i="3"/>
  <c r="T107" i="3" s="1"/>
  <c r="I107" i="19"/>
  <c r="I356" i="19"/>
  <c r="R355" i="3"/>
  <c r="R170" i="3"/>
  <c r="T170" i="3" s="1"/>
  <c r="I170" i="19"/>
  <c r="J164" i="19"/>
  <c r="S69" i="3"/>
  <c r="K69" i="19" s="1"/>
  <c r="L69" i="19"/>
  <c r="J251" i="19"/>
  <c r="J21" i="19"/>
  <c r="S272" i="3"/>
  <c r="K272" i="19" s="1"/>
  <c r="L272" i="19"/>
  <c r="J125" i="19"/>
  <c r="J60" i="19"/>
  <c r="J358" i="19"/>
  <c r="J425" i="19"/>
  <c r="S133" i="3"/>
  <c r="K133" i="19" s="1"/>
  <c r="L133" i="19"/>
  <c r="J96" i="19"/>
  <c r="J45" i="19"/>
  <c r="R264" i="3"/>
  <c r="T264" i="3" s="1"/>
  <c r="I264" i="19"/>
  <c r="I197" i="19"/>
  <c r="R197" i="3"/>
  <c r="I279" i="19"/>
  <c r="R279" i="3"/>
  <c r="J207" i="19"/>
  <c r="Q448" i="3"/>
  <c r="Q447" i="3"/>
  <c r="J300" i="19"/>
  <c r="J129" i="19"/>
  <c r="L298" i="19"/>
  <c r="S298" i="3"/>
  <c r="K298" i="19" s="1"/>
  <c r="S422" i="3"/>
  <c r="K422" i="19" s="1"/>
  <c r="L422" i="19"/>
  <c r="J208" i="19"/>
  <c r="J53" i="19"/>
  <c r="S326" i="3"/>
  <c r="K326" i="19" s="1"/>
  <c r="L326" i="19"/>
  <c r="S366" i="3"/>
  <c r="K366" i="19" s="1"/>
  <c r="L366" i="19"/>
  <c r="L120" i="19"/>
  <c r="S120" i="3"/>
  <c r="K120" i="19" s="1"/>
  <c r="J267" i="19"/>
  <c r="J225" i="19"/>
  <c r="S337" i="3"/>
  <c r="K337" i="19" s="1"/>
  <c r="L337" i="19"/>
  <c r="S311" i="3"/>
  <c r="K311" i="19" s="1"/>
  <c r="L311" i="19"/>
  <c r="L33" i="19"/>
  <c r="S33" i="3"/>
  <c r="K33" i="19" s="1"/>
  <c r="S144" i="3"/>
  <c r="K144" i="19" s="1"/>
  <c r="L144" i="19"/>
  <c r="S400" i="3"/>
  <c r="K400" i="19" s="1"/>
  <c r="L400" i="19"/>
  <c r="J94" i="19"/>
  <c r="J112" i="19"/>
  <c r="J138" i="19"/>
  <c r="J172" i="19"/>
  <c r="S336" i="3"/>
  <c r="K336" i="19" s="1"/>
  <c r="L336" i="19"/>
  <c r="J329" i="19"/>
  <c r="L142" i="19"/>
  <c r="S142" i="3"/>
  <c r="K142" i="19" s="1"/>
  <c r="J390" i="19"/>
  <c r="Q457" i="3"/>
  <c r="S403" i="3"/>
  <c r="K403" i="19" s="1"/>
  <c r="L403" i="19"/>
  <c r="I220" i="20"/>
  <c r="AS63" i="3"/>
  <c r="L63" i="20" s="1"/>
  <c r="AQ170" i="3"/>
  <c r="J170" i="20" s="1"/>
  <c r="K118" i="20"/>
  <c r="I210" i="20"/>
  <c r="I124" i="20"/>
  <c r="AH141" i="3"/>
  <c r="AI141" i="3" s="1"/>
  <c r="AS141" i="3" s="1"/>
  <c r="L141" i="20" s="1"/>
  <c r="AH135" i="3"/>
  <c r="AI135" i="3" s="1"/>
  <c r="AS135" i="3" s="1"/>
  <c r="L135" i="20" s="1"/>
  <c r="Q454" i="3"/>
  <c r="J318" i="19"/>
  <c r="AI139" i="3"/>
  <c r="AL139" i="3" s="1"/>
  <c r="AO139" i="3" s="1"/>
  <c r="AL97" i="3"/>
  <c r="AO97" i="3" s="1"/>
  <c r="AP97" i="3" s="1"/>
  <c r="AR97" i="3" s="1"/>
  <c r="AS97" i="3"/>
  <c r="L97" i="20" s="1"/>
  <c r="I118" i="20"/>
  <c r="AH153" i="3"/>
  <c r="AI153" i="3" s="1"/>
  <c r="AS138" i="3"/>
  <c r="L138" i="20" s="1"/>
  <c r="AL138" i="3"/>
  <c r="AO138" i="3" s="1"/>
  <c r="AS85" i="3"/>
  <c r="L85" i="20" s="1"/>
  <c r="AO85" i="3"/>
  <c r="AP85" i="3" s="1"/>
  <c r="AR85" i="3" s="1"/>
  <c r="I120" i="20"/>
  <c r="I80" i="20"/>
  <c r="AI133" i="3"/>
  <c r="AL133" i="3" s="1"/>
  <c r="AO133" i="3" s="1"/>
  <c r="AH132" i="3"/>
  <c r="AI132" i="3" s="1"/>
  <c r="I123" i="20"/>
  <c r="AL129" i="3"/>
  <c r="AO129" i="3" s="1"/>
  <c r="AP129" i="3" s="1"/>
  <c r="AS129" i="3"/>
  <c r="L129" i="20" s="1"/>
  <c r="I119" i="20"/>
  <c r="K93" i="20"/>
  <c r="I99" i="20"/>
  <c r="I103" i="20"/>
  <c r="I125" i="20"/>
  <c r="I109" i="20"/>
  <c r="K87" i="20"/>
  <c r="AQ87" i="3"/>
  <c r="J87" i="20" s="1"/>
  <c r="I90" i="20"/>
  <c r="AQ88" i="3"/>
  <c r="J88" i="20" s="1"/>
  <c r="AP150" i="3"/>
  <c r="I78" i="20"/>
  <c r="K116" i="20"/>
  <c r="AQ116" i="3"/>
  <c r="J116" i="20" s="1"/>
  <c r="K123" i="20"/>
  <c r="I82" i="20"/>
  <c r="I79" i="20"/>
  <c r="K121" i="20"/>
  <c r="AQ121" i="3"/>
  <c r="J121" i="20" s="1"/>
  <c r="AP200" i="3"/>
  <c r="I167" i="20"/>
  <c r="K167" i="20"/>
  <c r="AH349" i="3"/>
  <c r="AI349" i="3" s="1"/>
  <c r="AI350" i="3"/>
  <c r="K220" i="20"/>
  <c r="AQ221" i="3"/>
  <c r="J221" i="20" s="1"/>
  <c r="K221" i="20"/>
  <c r="AQ228" i="3"/>
  <c r="J228" i="20" s="1"/>
  <c r="AQ216" i="3"/>
  <c r="J216" i="20" s="1"/>
  <c r="K216" i="20"/>
  <c r="I211" i="20"/>
  <c r="K209" i="20"/>
  <c r="AQ209" i="3"/>
  <c r="J209" i="20" s="1"/>
  <c r="I212" i="20"/>
  <c r="AI230" i="3"/>
  <c r="AH238" i="3"/>
  <c r="AL309" i="3"/>
  <c r="AO309" i="3" s="1"/>
  <c r="AP309" i="3" s="1"/>
  <c r="AR309" i="3" s="1"/>
  <c r="AS309" i="3"/>
  <c r="L309" i="20" s="1"/>
  <c r="AQ342" i="3"/>
  <c r="J342" i="20" s="1"/>
  <c r="I388" i="20"/>
  <c r="I308" i="20"/>
  <c r="AP367" i="3"/>
  <c r="AL169" i="3"/>
  <c r="AO169" i="3" s="1"/>
  <c r="AP169" i="3" s="1"/>
  <c r="AR169" i="3" s="1"/>
  <c r="AS169" i="3"/>
  <c r="L169" i="20" s="1"/>
  <c r="AI189" i="3"/>
  <c r="AL189" i="3" s="1"/>
  <c r="AO189" i="3" s="1"/>
  <c r="AP188" i="3" s="1"/>
  <c r="K195" i="20"/>
  <c r="AS168" i="3"/>
  <c r="L168" i="20" s="1"/>
  <c r="AL168" i="3"/>
  <c r="AO168" i="3" s="1"/>
  <c r="AP168" i="3" s="1"/>
  <c r="AR168" i="3" s="1"/>
  <c r="AS194" i="3"/>
  <c r="L194" i="20" s="1"/>
  <c r="AI414" i="3"/>
  <c r="AL414" i="3" s="1"/>
  <c r="AO414" i="3" s="1"/>
  <c r="AH413" i="3"/>
  <c r="AI413" i="3" s="1"/>
  <c r="I385" i="20"/>
  <c r="AQ394" i="3"/>
  <c r="J394" i="20" s="1"/>
  <c r="K394" i="20"/>
  <c r="I249" i="20"/>
  <c r="AL258" i="3"/>
  <c r="AO258" i="3" s="1"/>
  <c r="AP258" i="3" s="1"/>
  <c r="AS283" i="3"/>
  <c r="L283" i="20" s="1"/>
  <c r="I337" i="20"/>
  <c r="K288" i="20"/>
  <c r="I194" i="20"/>
  <c r="K194" i="20"/>
  <c r="I171" i="20"/>
  <c r="K176" i="20"/>
  <c r="AQ176" i="3"/>
  <c r="J176" i="20" s="1"/>
  <c r="K172" i="20"/>
  <c r="AQ172" i="3"/>
  <c r="J172" i="20" s="1"/>
  <c r="I344" i="20"/>
  <c r="I301" i="20"/>
  <c r="I334" i="20"/>
  <c r="I333" i="20"/>
  <c r="I312" i="20"/>
  <c r="AQ305" i="3"/>
  <c r="J305" i="20" s="1"/>
  <c r="AS340" i="3"/>
  <c r="L340" i="20" s="1"/>
  <c r="AH373" i="3"/>
  <c r="AI373" i="3" s="1"/>
  <c r="AI374" i="3"/>
  <c r="AL374" i="3" s="1"/>
  <c r="AO374" i="3" s="1"/>
  <c r="AQ81" i="3"/>
  <c r="J81" i="20" s="1"/>
  <c r="K81" i="20"/>
  <c r="K115" i="20"/>
  <c r="AQ115" i="3"/>
  <c r="J115" i="20" s="1"/>
  <c r="AQ392" i="3"/>
  <c r="J392" i="20" s="1"/>
  <c r="K392" i="20"/>
  <c r="K178" i="20"/>
  <c r="AQ89" i="3"/>
  <c r="J89" i="20" s="1"/>
  <c r="K89" i="20"/>
  <c r="K397" i="20"/>
  <c r="AQ397" i="3"/>
  <c r="J397" i="20" s="1"/>
  <c r="AQ214" i="3"/>
  <c r="J214" i="20" s="1"/>
  <c r="K214" i="20"/>
  <c r="AL60" i="3"/>
  <c r="AO60" i="3" s="1"/>
  <c r="AP60" i="3" s="1"/>
  <c r="AS60" i="3"/>
  <c r="L60" i="20" s="1"/>
  <c r="AQ122" i="3"/>
  <c r="J122" i="20" s="1"/>
  <c r="K122" i="20"/>
  <c r="AQ157" i="3"/>
  <c r="J157" i="20" s="1"/>
  <c r="K157" i="20"/>
  <c r="K208" i="20"/>
  <c r="AQ208" i="3"/>
  <c r="J208" i="20" s="1"/>
  <c r="I203" i="20"/>
  <c r="AQ223" i="3"/>
  <c r="J223" i="20" s="1"/>
  <c r="K223" i="20"/>
  <c r="AP69" i="3"/>
  <c r="I100" i="20"/>
  <c r="AI145" i="3"/>
  <c r="AL145" i="3" s="1"/>
  <c r="AO145" i="3" s="1"/>
  <c r="AH144" i="3"/>
  <c r="K92" i="20"/>
  <c r="AQ92" i="3"/>
  <c r="J92" i="20" s="1"/>
  <c r="I127" i="20"/>
  <c r="I96" i="20"/>
  <c r="AQ98" i="3"/>
  <c r="J98" i="20" s="1"/>
  <c r="AQ79" i="3"/>
  <c r="J79" i="20" s="1"/>
  <c r="K79" i="20"/>
  <c r="AQ222" i="3"/>
  <c r="J222" i="20" s="1"/>
  <c r="K222" i="20"/>
  <c r="K393" i="20"/>
  <c r="AQ393" i="3"/>
  <c r="J393" i="20" s="1"/>
  <c r="K166" i="20"/>
  <c r="AQ166" i="3"/>
  <c r="J166" i="20" s="1"/>
  <c r="AQ224" i="3"/>
  <c r="J224" i="20" s="1"/>
  <c r="K224" i="20"/>
  <c r="K180" i="20"/>
  <c r="AQ180" i="3"/>
  <c r="J180" i="20" s="1"/>
  <c r="K156" i="20"/>
  <c r="AQ156" i="3"/>
  <c r="J156" i="20" s="1"/>
  <c r="K91" i="20"/>
  <c r="AQ91" i="3"/>
  <c r="J91" i="20" s="1"/>
  <c r="AQ207" i="3"/>
  <c r="J207" i="20" s="1"/>
  <c r="K207" i="20"/>
  <c r="K227" i="20"/>
  <c r="AQ227" i="3"/>
  <c r="J227" i="20" s="1"/>
  <c r="K165" i="20"/>
  <c r="AQ165" i="3"/>
  <c r="J165" i="20" s="1"/>
  <c r="AQ174" i="3"/>
  <c r="J174" i="20" s="1"/>
  <c r="K174" i="20"/>
  <c r="K307" i="20"/>
  <c r="I327" i="20"/>
  <c r="K46" i="20"/>
  <c r="I291" i="20"/>
  <c r="AQ45" i="3"/>
  <c r="J45" i="20" s="1"/>
  <c r="I34" i="20"/>
  <c r="I54" i="20"/>
  <c r="I117" i="20"/>
  <c r="AQ106" i="3"/>
  <c r="J106" i="20" s="1"/>
  <c r="K106" i="20"/>
  <c r="AQ219" i="3"/>
  <c r="J219" i="20" s="1"/>
  <c r="K219" i="20"/>
  <c r="AQ218" i="3"/>
  <c r="J218" i="20" s="1"/>
  <c r="K218" i="20"/>
  <c r="AQ101" i="3"/>
  <c r="J101" i="20" s="1"/>
  <c r="K101" i="20"/>
  <c r="AQ175" i="3"/>
  <c r="J175" i="20" s="1"/>
  <c r="K175" i="20"/>
  <c r="K86" i="20"/>
  <c r="AQ86" i="3"/>
  <c r="J86" i="20" s="1"/>
  <c r="AQ113" i="3"/>
  <c r="J113" i="20" s="1"/>
  <c r="K113" i="20"/>
  <c r="K111" i="20"/>
  <c r="AQ111" i="3"/>
  <c r="J111" i="20" s="1"/>
  <c r="K83" i="20"/>
  <c r="AQ83" i="3"/>
  <c r="J83" i="20" s="1"/>
  <c r="I191" i="20"/>
  <c r="K213" i="20"/>
  <c r="AQ213" i="3"/>
  <c r="J213" i="20" s="1"/>
  <c r="AQ206" i="3"/>
  <c r="J206" i="20" s="1"/>
  <c r="K206" i="20"/>
  <c r="K250" i="20"/>
  <c r="I338" i="20"/>
  <c r="AP370" i="3"/>
  <c r="I45" i="20"/>
  <c r="AS69" i="3"/>
  <c r="L69" i="20" s="1"/>
  <c r="AL147" i="3"/>
  <c r="AO147" i="3" s="1"/>
  <c r="AP147" i="3" s="1"/>
  <c r="AS147" i="3"/>
  <c r="L147" i="20" s="1"/>
  <c r="K161" i="20"/>
  <c r="AQ161" i="3"/>
  <c r="J161" i="20" s="1"/>
  <c r="I182" i="20"/>
  <c r="AQ108" i="3"/>
  <c r="J108" i="20" s="1"/>
  <c r="K108" i="20"/>
  <c r="AQ164" i="3"/>
  <c r="J164" i="20" s="1"/>
  <c r="K164" i="20"/>
  <c r="AQ126" i="3"/>
  <c r="J126" i="20" s="1"/>
  <c r="K126" i="20"/>
  <c r="AS240" i="3"/>
  <c r="L240" i="20" s="1"/>
  <c r="AL240" i="3"/>
  <c r="AO240" i="3" s="1"/>
  <c r="AP240" i="3" s="1"/>
  <c r="K159" i="20"/>
  <c r="AQ159" i="3"/>
  <c r="J159" i="20" s="1"/>
  <c r="K229" i="20"/>
  <c r="AQ229" i="3"/>
  <c r="J229" i="20" s="1"/>
  <c r="K181" i="20"/>
  <c r="AQ181" i="3"/>
  <c r="J181" i="20" s="1"/>
  <c r="AQ225" i="3"/>
  <c r="J225" i="20" s="1"/>
  <c r="K225" i="20"/>
  <c r="K160" i="20"/>
  <c r="AQ160" i="3"/>
  <c r="J160" i="20" s="1"/>
  <c r="AQ173" i="3"/>
  <c r="J173" i="20" s="1"/>
  <c r="K173" i="20"/>
  <c r="AQ162" i="3"/>
  <c r="J162" i="20" s="1"/>
  <c r="K162" i="20"/>
  <c r="K179" i="20"/>
  <c r="AQ179" i="3"/>
  <c r="J179" i="20" s="1"/>
  <c r="K284" i="20"/>
  <c r="AH48" i="3"/>
  <c r="AI48" i="3" s="1"/>
  <c r="AI49" i="3"/>
  <c r="AO49" i="3" s="1"/>
  <c r="AQ26" i="3"/>
  <c r="J26" i="20" s="1"/>
  <c r="K26" i="20"/>
  <c r="AS66" i="3"/>
  <c r="L66" i="20" s="1"/>
  <c r="AL66" i="3"/>
  <c r="AO66" i="3" s="1"/>
  <c r="AP66" i="3" s="1"/>
  <c r="AQ29" i="3"/>
  <c r="J29" i="20" s="1"/>
  <c r="K29" i="20"/>
  <c r="K25" i="20"/>
  <c r="AQ25" i="3"/>
  <c r="J25" i="20" s="1"/>
  <c r="AQ12" i="3"/>
  <c r="J12" i="20" s="1"/>
  <c r="K12" i="20"/>
  <c r="AQ24" i="3"/>
  <c r="J24" i="20" s="1"/>
  <c r="K24" i="20"/>
  <c r="I20" i="20"/>
  <c r="AH75" i="3"/>
  <c r="AI75" i="3" s="1"/>
  <c r="AI76" i="3"/>
  <c r="AL76" i="3" s="1"/>
  <c r="AO76" i="3" s="1"/>
  <c r="I16" i="20"/>
  <c r="AL72" i="3"/>
  <c r="AO72" i="3" s="1"/>
  <c r="AP72" i="3" s="1"/>
  <c r="AS72" i="3"/>
  <c r="L72" i="20" s="1"/>
  <c r="I55" i="20"/>
  <c r="K32" i="20"/>
  <c r="AQ32" i="3"/>
  <c r="J32" i="20" s="1"/>
  <c r="I63" i="20"/>
  <c r="AI39" i="3"/>
  <c r="I27" i="20"/>
  <c r="K13" i="20"/>
  <c r="AQ13" i="3"/>
  <c r="J13" i="20" s="1"/>
  <c r="I15" i="20"/>
  <c r="I38" i="20"/>
  <c r="K35" i="20"/>
  <c r="AQ35" i="3"/>
  <c r="J35" i="20" s="1"/>
  <c r="AQ18" i="3"/>
  <c r="J18" i="20" s="1"/>
  <c r="K18" i="20"/>
  <c r="AQ22" i="3"/>
  <c r="J22" i="20" s="1"/>
  <c r="K22" i="20"/>
  <c r="AQ14" i="3"/>
  <c r="J14" i="20" s="1"/>
  <c r="K14" i="20"/>
  <c r="AQ11" i="3"/>
  <c r="J11" i="20" s="1"/>
  <c r="K11" i="20"/>
  <c r="I23" i="20"/>
  <c r="I51" i="20"/>
  <c r="AQ17" i="3"/>
  <c r="J17" i="20" s="1"/>
  <c r="K17" i="20"/>
  <c r="K59" i="20"/>
  <c r="AQ59" i="3"/>
  <c r="J59" i="20" s="1"/>
  <c r="I19" i="20"/>
  <c r="K57" i="20"/>
  <c r="AQ57" i="3"/>
  <c r="J57" i="20" s="1"/>
  <c r="I36" i="20"/>
  <c r="K47" i="20"/>
  <c r="AQ30" i="3"/>
  <c r="J30" i="20" s="1"/>
  <c r="K30" i="20"/>
  <c r="I31" i="20"/>
  <c r="I56" i="20"/>
  <c r="AQ54" i="3"/>
  <c r="J54" i="20" s="1"/>
  <c r="K54" i="20"/>
  <c r="AQ8" i="3"/>
  <c r="J8" i="20" s="1"/>
  <c r="K8" i="20"/>
  <c r="I33" i="20"/>
  <c r="I53" i="20"/>
  <c r="I10" i="20"/>
  <c r="I52" i="20"/>
  <c r="K58" i="20"/>
  <c r="AQ58" i="3"/>
  <c r="J58" i="20" s="1"/>
  <c r="AQ34" i="3"/>
  <c r="J34" i="20" s="1"/>
  <c r="K34" i="20"/>
  <c r="I21" i="20"/>
  <c r="I37" i="20"/>
  <c r="AQ28" i="3"/>
  <c r="J28" i="20" s="1"/>
  <c r="K28" i="20"/>
  <c r="K9" i="20"/>
  <c r="AQ9" i="3"/>
  <c r="J9" i="20" s="1"/>
  <c r="K340" i="20"/>
  <c r="I340" i="20"/>
  <c r="AH376" i="3"/>
  <c r="AI376" i="3" s="1"/>
  <c r="AI377" i="3"/>
  <c r="AL377" i="3" s="1"/>
  <c r="AO377" i="3" s="1"/>
  <c r="I290" i="20"/>
  <c r="I317" i="20"/>
  <c r="I285" i="20"/>
  <c r="AS358" i="3"/>
  <c r="L358" i="20" s="1"/>
  <c r="AL358" i="3"/>
  <c r="AO358" i="3" s="1"/>
  <c r="AP358" i="3" s="1"/>
  <c r="AQ288" i="3"/>
  <c r="J288" i="20" s="1"/>
  <c r="AQ325" i="3"/>
  <c r="J325" i="20" s="1"/>
  <c r="K325" i="20"/>
  <c r="AI356" i="3"/>
  <c r="AL356" i="3" s="1"/>
  <c r="AO356" i="3" s="1"/>
  <c r="AH355" i="3"/>
  <c r="AI355" i="3" s="1"/>
  <c r="I348" i="20"/>
  <c r="I296" i="20"/>
  <c r="K299" i="20"/>
  <c r="AQ299" i="3"/>
  <c r="J299" i="20" s="1"/>
  <c r="I352" i="20"/>
  <c r="K308" i="20"/>
  <c r="AQ308" i="3"/>
  <c r="J308" i="20" s="1"/>
  <c r="I347" i="20"/>
  <c r="K320" i="20"/>
  <c r="AQ320" i="3"/>
  <c r="J320" i="20" s="1"/>
  <c r="I382" i="20"/>
  <c r="K334" i="20"/>
  <c r="AQ334" i="3"/>
  <c r="J334" i="20" s="1"/>
  <c r="K333" i="20"/>
  <c r="AQ333" i="3"/>
  <c r="J333" i="20" s="1"/>
  <c r="I321" i="20"/>
  <c r="I286" i="20"/>
  <c r="AQ323" i="3"/>
  <c r="J323" i="20" s="1"/>
  <c r="K323" i="20"/>
  <c r="K345" i="20"/>
  <c r="AQ345" i="3"/>
  <c r="J345" i="20" s="1"/>
  <c r="I292" i="20"/>
  <c r="I282" i="20"/>
  <c r="AQ335" i="3"/>
  <c r="J335" i="20" s="1"/>
  <c r="K335" i="20"/>
  <c r="I283" i="20"/>
  <c r="AQ341" i="3"/>
  <c r="J341" i="20" s="1"/>
  <c r="K341" i="20"/>
  <c r="I310" i="20"/>
  <c r="AQ327" i="3"/>
  <c r="J327" i="20" s="1"/>
  <c r="K327" i="20"/>
  <c r="I313" i="20"/>
  <c r="I336" i="20"/>
  <c r="K329" i="20"/>
  <c r="AQ329" i="3"/>
  <c r="J329" i="20" s="1"/>
  <c r="I295" i="20"/>
  <c r="I316" i="20"/>
  <c r="I331" i="20"/>
  <c r="I306" i="20"/>
  <c r="AQ298" i="3"/>
  <c r="J298" i="20" s="1"/>
  <c r="K298" i="20"/>
  <c r="I339" i="20"/>
  <c r="AQ322" i="3"/>
  <c r="J322" i="20" s="1"/>
  <c r="K322" i="20"/>
  <c r="K293" i="20"/>
  <c r="AQ293" i="3"/>
  <c r="J293" i="20" s="1"/>
  <c r="K328" i="20"/>
  <c r="AQ328" i="3"/>
  <c r="J328" i="20" s="1"/>
  <c r="I343" i="20"/>
  <c r="I302" i="20"/>
  <c r="K312" i="20"/>
  <c r="AQ312" i="3"/>
  <c r="J312" i="20" s="1"/>
  <c r="K344" i="20"/>
  <c r="AQ344" i="3"/>
  <c r="J344" i="20" s="1"/>
  <c r="I300" i="20"/>
  <c r="K330" i="20"/>
  <c r="AQ330" i="3"/>
  <c r="J330" i="20" s="1"/>
  <c r="K303" i="20"/>
  <c r="AQ303" i="3"/>
  <c r="J303" i="20" s="1"/>
  <c r="K311" i="20"/>
  <c r="AQ311" i="3"/>
  <c r="J311" i="20" s="1"/>
  <c r="AL319" i="3"/>
  <c r="AO319" i="3" s="1"/>
  <c r="AP319" i="3" s="1"/>
  <c r="I346" i="20"/>
  <c r="I289" i="20"/>
  <c r="I287" i="20"/>
  <c r="AQ307" i="3"/>
  <c r="J307" i="20" s="1"/>
  <c r="AQ304" i="3"/>
  <c r="J304" i="20" s="1"/>
  <c r="K304" i="20"/>
  <c r="I324" i="20"/>
  <c r="I297" i="20"/>
  <c r="AQ315" i="3"/>
  <c r="J315" i="20" s="1"/>
  <c r="K315" i="20"/>
  <c r="AQ338" i="3"/>
  <c r="J338" i="20" s="1"/>
  <c r="K338" i="20"/>
  <c r="I364" i="20"/>
  <c r="I318" i="20"/>
  <c r="I314" i="20"/>
  <c r="I332" i="20"/>
  <c r="AQ291" i="3"/>
  <c r="J291" i="20" s="1"/>
  <c r="K291" i="20"/>
  <c r="I294" i="20"/>
  <c r="AQ326" i="3"/>
  <c r="J326" i="20" s="1"/>
  <c r="K326" i="20"/>
  <c r="AQ301" i="3"/>
  <c r="J301" i="20" s="1"/>
  <c r="K301" i="20"/>
  <c r="AI406" i="3"/>
  <c r="AH429" i="3"/>
  <c r="AQ407" i="3"/>
  <c r="J407" i="20" s="1"/>
  <c r="K407" i="20"/>
  <c r="AQ396" i="3"/>
  <c r="J396" i="20" s="1"/>
  <c r="K396" i="20"/>
  <c r="K412" i="20"/>
  <c r="AQ412" i="3"/>
  <c r="J412" i="20" s="1"/>
  <c r="AS419" i="3"/>
  <c r="L419" i="20" s="1"/>
  <c r="AL419" i="3"/>
  <c r="AO419" i="3" s="1"/>
  <c r="AP419" i="3" s="1"/>
  <c r="I411" i="20"/>
  <c r="I422" i="20"/>
  <c r="I400" i="20"/>
  <c r="I399" i="20"/>
  <c r="I391" i="20"/>
  <c r="I390" i="20"/>
  <c r="K408" i="20"/>
  <c r="AQ408" i="3"/>
  <c r="J408" i="20" s="1"/>
  <c r="AQ385" i="3"/>
  <c r="J385" i="20" s="1"/>
  <c r="K385" i="20"/>
  <c r="I425" i="20"/>
  <c r="AQ402" i="3"/>
  <c r="J402" i="20" s="1"/>
  <c r="K402" i="20"/>
  <c r="I387" i="20"/>
  <c r="I405" i="20"/>
  <c r="K401" i="20"/>
  <c r="AQ401" i="3"/>
  <c r="J401" i="20" s="1"/>
  <c r="I386" i="20"/>
  <c r="I416" i="20"/>
  <c r="I409" i="20"/>
  <c r="I404" i="20"/>
  <c r="AQ388" i="3"/>
  <c r="J388" i="20" s="1"/>
  <c r="K388" i="20"/>
  <c r="AS431" i="3"/>
  <c r="L431" i="20" s="1"/>
  <c r="AL431" i="3"/>
  <c r="AO431" i="3" s="1"/>
  <c r="AP431" i="3" s="1"/>
  <c r="I398" i="20"/>
  <c r="I403" i="20"/>
  <c r="K395" i="20"/>
  <c r="AQ395" i="3"/>
  <c r="J395" i="20" s="1"/>
  <c r="K410" i="20"/>
  <c r="AQ410" i="3"/>
  <c r="J410" i="20" s="1"/>
  <c r="I389" i="20"/>
  <c r="AO246" i="3"/>
  <c r="AP246" i="3" s="1"/>
  <c r="AR246" i="3" s="1"/>
  <c r="AH268" i="3"/>
  <c r="AS279" i="3"/>
  <c r="L279" i="20" s="1"/>
  <c r="AL279" i="3"/>
  <c r="AO279" i="3" s="1"/>
  <c r="AP279" i="3" s="1"/>
  <c r="AI277" i="3"/>
  <c r="AL277" i="3" s="1"/>
  <c r="AO277" i="3" s="1"/>
  <c r="AH276" i="3"/>
  <c r="AI276" i="3" s="1"/>
  <c r="AS252" i="3"/>
  <c r="L252" i="20" s="1"/>
  <c r="AO252" i="3"/>
  <c r="AP252" i="3" s="1"/>
  <c r="AR252" i="3" s="1"/>
  <c r="AI274" i="3"/>
  <c r="AL274" i="3" s="1"/>
  <c r="AO274" i="3" s="1"/>
  <c r="AH273" i="3"/>
  <c r="AI273" i="3" s="1"/>
  <c r="L178" i="8"/>
  <c r="AI244" i="3"/>
  <c r="AH271" i="3"/>
  <c r="AS248" i="3"/>
  <c r="L248" i="20" s="1"/>
  <c r="AO248" i="3"/>
  <c r="AP248" i="3" s="1"/>
  <c r="AR248" i="3" s="1"/>
  <c r="I254" i="20"/>
  <c r="K249" i="20"/>
  <c r="AQ249" i="3"/>
  <c r="J249" i="20" s="1"/>
  <c r="I261" i="20"/>
  <c r="I245" i="20"/>
  <c r="I266" i="20"/>
  <c r="I251" i="20"/>
  <c r="K243" i="20"/>
  <c r="AQ243" i="3"/>
  <c r="J243" i="20" s="1"/>
  <c r="I256" i="20"/>
  <c r="I265" i="20"/>
  <c r="AQ250" i="3"/>
  <c r="J250" i="20" s="1"/>
  <c r="K257" i="20"/>
  <c r="AQ257" i="3"/>
  <c r="J257" i="20" s="1"/>
  <c r="I262" i="20"/>
  <c r="K255" i="20"/>
  <c r="AQ255" i="3"/>
  <c r="J255" i="20" s="1"/>
  <c r="I263" i="20"/>
  <c r="I247" i="20"/>
  <c r="K253" i="20"/>
  <c r="AQ253" i="3"/>
  <c r="J253" i="20" s="1"/>
  <c r="I246" i="20"/>
  <c r="I264" i="20"/>
  <c r="I258" i="20"/>
  <c r="AI362" i="3"/>
  <c r="AL362" i="3" s="1"/>
  <c r="AO362" i="3" s="1"/>
  <c r="AH361" i="3"/>
  <c r="L319" i="20"/>
  <c r="AR281" i="3" l="1"/>
  <c r="AR280" i="3"/>
  <c r="AR279" i="3"/>
  <c r="AR433" i="3"/>
  <c r="AR432" i="3"/>
  <c r="AR431" i="3"/>
  <c r="AR74" i="3"/>
  <c r="AR73" i="3"/>
  <c r="AR72" i="3"/>
  <c r="AR68" i="3"/>
  <c r="AR67" i="3"/>
  <c r="AR66" i="3"/>
  <c r="AR242" i="3"/>
  <c r="AR241" i="3"/>
  <c r="AR240" i="3"/>
  <c r="AR71" i="3"/>
  <c r="AR70" i="3"/>
  <c r="AR69" i="3"/>
  <c r="AR369" i="3"/>
  <c r="AR368" i="3"/>
  <c r="AR367" i="3"/>
  <c r="AR131" i="3"/>
  <c r="AR130" i="3"/>
  <c r="AR129" i="3"/>
  <c r="T357" i="3"/>
  <c r="T355" i="3"/>
  <c r="T356" i="3"/>
  <c r="AR233" i="3"/>
  <c r="AR232" i="3"/>
  <c r="AR231" i="3"/>
  <c r="T152" i="3"/>
  <c r="T151" i="3"/>
  <c r="T150" i="3"/>
  <c r="T236" i="3"/>
  <c r="T235" i="3"/>
  <c r="T234" i="3"/>
  <c r="T417" i="3"/>
  <c r="T418" i="3"/>
  <c r="T416" i="3"/>
  <c r="T205" i="3"/>
  <c r="T204" i="3"/>
  <c r="T203" i="3"/>
  <c r="T429" i="3"/>
  <c r="T430" i="3"/>
  <c r="T428" i="3"/>
  <c r="T65" i="3"/>
  <c r="T64" i="3"/>
  <c r="T63" i="3"/>
  <c r="T140" i="3"/>
  <c r="T139" i="3"/>
  <c r="T138" i="3"/>
  <c r="J405" i="19"/>
  <c r="T405" i="3"/>
  <c r="J367" i="19"/>
  <c r="T369" i="3"/>
  <c r="T367" i="3"/>
  <c r="T368" i="3"/>
  <c r="AQ177" i="3"/>
  <c r="J177" i="20" s="1"/>
  <c r="L124" i="19"/>
  <c r="S124" i="3"/>
  <c r="K124" i="19" s="1"/>
  <c r="AQ124" i="3"/>
  <c r="J124" i="20" s="1"/>
  <c r="S401" i="3"/>
  <c r="K401" i="19" s="1"/>
  <c r="T401" i="3"/>
  <c r="J401" i="19"/>
  <c r="S98" i="3"/>
  <c r="K98" i="19" s="1"/>
  <c r="T98" i="3"/>
  <c r="J98" i="19"/>
  <c r="S123" i="3"/>
  <c r="K123" i="19" s="1"/>
  <c r="S51" i="3"/>
  <c r="K51" i="19" s="1"/>
  <c r="L51" i="19"/>
  <c r="S23" i="3"/>
  <c r="K23" i="19" s="1"/>
  <c r="L23" i="19"/>
  <c r="J349" i="19"/>
  <c r="T351" i="3"/>
  <c r="T349" i="3"/>
  <c r="T350" i="3"/>
  <c r="AR421" i="3"/>
  <c r="AR420" i="3"/>
  <c r="AR419" i="3"/>
  <c r="AR319" i="3"/>
  <c r="AR360" i="3"/>
  <c r="AR359" i="3"/>
  <c r="AR358" i="3"/>
  <c r="AR149" i="3"/>
  <c r="AR148" i="3"/>
  <c r="AR147" i="3"/>
  <c r="AR372" i="3"/>
  <c r="AR371" i="3"/>
  <c r="AR370" i="3"/>
  <c r="AR62" i="3"/>
  <c r="AR61" i="3"/>
  <c r="AR60" i="3"/>
  <c r="AR260" i="3"/>
  <c r="AR259" i="3"/>
  <c r="AR258" i="3"/>
  <c r="AR190" i="3"/>
  <c r="AR189" i="3"/>
  <c r="AR188" i="3"/>
  <c r="AR202" i="3"/>
  <c r="AR201" i="3"/>
  <c r="AR200" i="3"/>
  <c r="AR152" i="3"/>
  <c r="AR151" i="3"/>
  <c r="AR150" i="3"/>
  <c r="T281" i="3"/>
  <c r="T280" i="3"/>
  <c r="T279" i="3"/>
  <c r="T199" i="3"/>
  <c r="T198" i="3"/>
  <c r="T197" i="3"/>
  <c r="T190" i="3"/>
  <c r="T189" i="3"/>
  <c r="T188" i="3"/>
  <c r="Q439" i="3"/>
  <c r="T77" i="3"/>
  <c r="T76" i="3"/>
  <c r="T75" i="3"/>
  <c r="AR102" i="3"/>
  <c r="AR205" i="3"/>
  <c r="AR204" i="3"/>
  <c r="AR203" i="3"/>
  <c r="AR427" i="3"/>
  <c r="AR426" i="3"/>
  <c r="AR425" i="3"/>
  <c r="I197" i="20"/>
  <c r="AR199" i="3"/>
  <c r="AR198" i="3"/>
  <c r="AQ198" i="3" s="1"/>
  <c r="J198" i="20" s="1"/>
  <c r="AR197" i="3"/>
  <c r="K197" i="20" s="1"/>
  <c r="T233" i="3"/>
  <c r="T232" i="3"/>
  <c r="T231" i="3"/>
  <c r="AR366" i="3"/>
  <c r="AR365" i="3"/>
  <c r="AR364" i="3"/>
  <c r="J97" i="19"/>
  <c r="T97" i="3"/>
  <c r="K177" i="20"/>
  <c r="K124" i="20"/>
  <c r="AQ107" i="3"/>
  <c r="J107" i="20" s="1"/>
  <c r="K215" i="20"/>
  <c r="S339" i="3"/>
  <c r="K339" i="19" s="1"/>
  <c r="L123" i="19"/>
  <c r="L195" i="19"/>
  <c r="K305" i="20"/>
  <c r="K342" i="20"/>
  <c r="AS42" i="3"/>
  <c r="L42" i="20" s="1"/>
  <c r="AO42" i="3"/>
  <c r="AP42" i="3" s="1"/>
  <c r="S320" i="3"/>
  <c r="K320" i="19" s="1"/>
  <c r="AL141" i="3"/>
  <c r="AO141" i="3" s="1"/>
  <c r="AP141" i="3" s="1"/>
  <c r="B9" i="19"/>
  <c r="B10" i="19"/>
  <c r="B11" i="19"/>
  <c r="B8" i="19"/>
  <c r="L350" i="19"/>
  <c r="AQ337" i="3"/>
  <c r="J337" i="20" s="1"/>
  <c r="AS234" i="3"/>
  <c r="L234" i="20" s="1"/>
  <c r="AL234" i="3"/>
  <c r="AO234" i="3" s="1"/>
  <c r="AP234" i="3" s="1"/>
  <c r="AQ178" i="3"/>
  <c r="J178" i="20" s="1"/>
  <c r="AQ194" i="3"/>
  <c r="J194" i="20" s="1"/>
  <c r="K196" i="20"/>
  <c r="AI186" i="3"/>
  <c r="AL186" i="3" s="1"/>
  <c r="AO186" i="3" s="1"/>
  <c r="AH185" i="3"/>
  <c r="AQ167" i="3"/>
  <c r="J167" i="20" s="1"/>
  <c r="AS158" i="3"/>
  <c r="L158" i="20" s="1"/>
  <c r="AL158" i="3"/>
  <c r="AO158" i="3" s="1"/>
  <c r="AP158" i="3" s="1"/>
  <c r="AR158" i="3" s="1"/>
  <c r="I200" i="20"/>
  <c r="AL135" i="3"/>
  <c r="AO135" i="3" s="1"/>
  <c r="AP135" i="3" s="1"/>
  <c r="L345" i="19"/>
  <c r="S345" i="3"/>
  <c r="K345" i="19" s="1"/>
  <c r="L384" i="19"/>
  <c r="K45" i="20"/>
  <c r="K198" i="20"/>
  <c r="R435" i="3"/>
  <c r="J330" i="19"/>
  <c r="L352" i="19"/>
  <c r="S352" i="3"/>
  <c r="K352" i="19" s="1"/>
  <c r="I370" i="20"/>
  <c r="Q438" i="3"/>
  <c r="J230" i="19"/>
  <c r="J310" i="19"/>
  <c r="L382" i="19"/>
  <c r="S382" i="3"/>
  <c r="K382" i="19" s="1"/>
  <c r="S285" i="3"/>
  <c r="K285" i="19" s="1"/>
  <c r="L285" i="19"/>
  <c r="L372" i="19"/>
  <c r="I66" i="20"/>
  <c r="AH437" i="3"/>
  <c r="R436" i="3"/>
  <c r="L283" i="19"/>
  <c r="S283" i="3"/>
  <c r="K283" i="19" s="1"/>
  <c r="L282" i="19"/>
  <c r="S282" i="3"/>
  <c r="K282" i="19" s="1"/>
  <c r="S392" i="3"/>
  <c r="K392" i="19" s="1"/>
  <c r="L392" i="19"/>
  <c r="L292" i="19"/>
  <c r="S292" i="3"/>
  <c r="K292" i="19" s="1"/>
  <c r="S348" i="3"/>
  <c r="K348" i="19" s="1"/>
  <c r="L348" i="19"/>
  <c r="L410" i="19"/>
  <c r="S410" i="3"/>
  <c r="K410" i="19" s="1"/>
  <c r="S354" i="3"/>
  <c r="K354" i="19" s="1"/>
  <c r="L354" i="19"/>
  <c r="L383" i="19"/>
  <c r="L370" i="19"/>
  <c r="S370" i="3"/>
  <c r="K370" i="19" s="1"/>
  <c r="L327" i="19"/>
  <c r="S327" i="3"/>
  <c r="K327" i="19" s="1"/>
  <c r="Q456" i="3"/>
  <c r="AQ60" i="3"/>
  <c r="J60" i="20" s="1"/>
  <c r="K60" i="20"/>
  <c r="L361" i="19"/>
  <c r="K361" i="19"/>
  <c r="K362" i="19"/>
  <c r="L362" i="19"/>
  <c r="J342" i="19"/>
  <c r="L377" i="19"/>
  <c r="J308" i="19"/>
  <c r="S17" i="3"/>
  <c r="K17" i="19" s="1"/>
  <c r="L17" i="19"/>
  <c r="L304" i="19"/>
  <c r="S304" i="3"/>
  <c r="K304" i="19" s="1"/>
  <c r="L365" i="19"/>
  <c r="S365" i="3"/>
  <c r="K365" i="19" s="1"/>
  <c r="L331" i="19"/>
  <c r="S331" i="3"/>
  <c r="K331" i="19" s="1"/>
  <c r="J163" i="19"/>
  <c r="J110" i="19"/>
  <c r="I319" i="20"/>
  <c r="K337" i="20"/>
  <c r="AQ197" i="3"/>
  <c r="J197" i="20" s="1"/>
  <c r="S88" i="3"/>
  <c r="K88" i="19" s="1"/>
  <c r="L88" i="19"/>
  <c r="J412" i="19"/>
  <c r="S376" i="3"/>
  <c r="K376" i="19" s="1"/>
  <c r="L376" i="19"/>
  <c r="S191" i="3"/>
  <c r="K191" i="19" s="1"/>
  <c r="L191" i="19"/>
  <c r="S313" i="3"/>
  <c r="K313" i="19" s="1"/>
  <c r="L313" i="19"/>
  <c r="I69" i="20"/>
  <c r="I102" i="20"/>
  <c r="K363" i="19"/>
  <c r="L363" i="19"/>
  <c r="S317" i="3"/>
  <c r="K317" i="19" s="1"/>
  <c r="L317" i="19"/>
  <c r="L378" i="19"/>
  <c r="S302" i="3"/>
  <c r="K302" i="19" s="1"/>
  <c r="L302" i="19"/>
  <c r="S287" i="3"/>
  <c r="K287" i="19" s="1"/>
  <c r="L287" i="19"/>
  <c r="J127" i="19"/>
  <c r="L24" i="19"/>
  <c r="S24" i="3"/>
  <c r="K24" i="19" s="1"/>
  <c r="L364" i="19"/>
  <c r="S364" i="3"/>
  <c r="K364" i="19" s="1"/>
  <c r="J254" i="19"/>
  <c r="J315" i="19"/>
  <c r="J231" i="19"/>
  <c r="J105" i="19"/>
  <c r="L220" i="19"/>
  <c r="S220" i="3"/>
  <c r="K220" i="19" s="1"/>
  <c r="S167" i="3"/>
  <c r="K167" i="19" s="1"/>
  <c r="L167" i="19"/>
  <c r="S14" i="3"/>
  <c r="K14" i="19" s="1"/>
  <c r="L14" i="19"/>
  <c r="L183" i="19"/>
  <c r="S183" i="3"/>
  <c r="K183" i="19" s="1"/>
  <c r="L273" i="19"/>
  <c r="S273" i="3"/>
  <c r="K273" i="19" s="1"/>
  <c r="S275" i="3"/>
  <c r="K275" i="19" s="1"/>
  <c r="L275" i="19"/>
  <c r="J165" i="19"/>
  <c r="L414" i="19"/>
  <c r="S49" i="3"/>
  <c r="K49" i="19" s="1"/>
  <c r="L49" i="19"/>
  <c r="L261" i="19"/>
  <c r="S261" i="3"/>
  <c r="K261" i="19" s="1"/>
  <c r="J203" i="19"/>
  <c r="L420" i="19"/>
  <c r="S420" i="3"/>
  <c r="K420" i="19" s="1"/>
  <c r="S148" i="3"/>
  <c r="K148" i="19" s="1"/>
  <c r="L148" i="19"/>
  <c r="S149" i="3"/>
  <c r="K149" i="19" s="1"/>
  <c r="L149" i="19"/>
  <c r="S29" i="3"/>
  <c r="K29" i="19" s="1"/>
  <c r="L29" i="19"/>
  <c r="J157" i="19"/>
  <c r="L397" i="19"/>
  <c r="S397" i="3"/>
  <c r="K397" i="19" s="1"/>
  <c r="L270" i="19"/>
  <c r="S270" i="3"/>
  <c r="K270" i="19" s="1"/>
  <c r="L155" i="19"/>
  <c r="S155" i="3"/>
  <c r="K155" i="19" s="1"/>
  <c r="L239" i="19"/>
  <c r="S239" i="3"/>
  <c r="K239" i="19" s="1"/>
  <c r="L222" i="19"/>
  <c r="S222" i="3"/>
  <c r="K222" i="19" s="1"/>
  <c r="J150" i="19"/>
  <c r="J404" i="19"/>
  <c r="S413" i="3"/>
  <c r="K413" i="19" s="1"/>
  <c r="L413" i="19"/>
  <c r="S19" i="3"/>
  <c r="K19" i="19" s="1"/>
  <c r="L19" i="19"/>
  <c r="L59" i="19"/>
  <c r="S59" i="3"/>
  <c r="K59" i="19" s="1"/>
  <c r="S240" i="3"/>
  <c r="K240" i="19" s="1"/>
  <c r="L240" i="19"/>
  <c r="L128" i="19"/>
  <c r="S128" i="3"/>
  <c r="K128" i="19" s="1"/>
  <c r="L48" i="19"/>
  <c r="S48" i="3"/>
  <c r="K48" i="19" s="1"/>
  <c r="S119" i="3"/>
  <c r="K119" i="19" s="1"/>
  <c r="L119" i="19"/>
  <c r="L423" i="19"/>
  <c r="S423" i="3"/>
  <c r="K423" i="19" s="1"/>
  <c r="L278" i="19"/>
  <c r="S278" i="3"/>
  <c r="K278" i="19" s="1"/>
  <c r="S276" i="3"/>
  <c r="K276" i="19" s="1"/>
  <c r="L276" i="19"/>
  <c r="J177" i="19"/>
  <c r="L421" i="19"/>
  <c r="S421" i="3"/>
  <c r="K421" i="19" s="1"/>
  <c r="L419" i="19"/>
  <c r="S419" i="3"/>
  <c r="K419" i="19" s="1"/>
  <c r="L147" i="19"/>
  <c r="S147" i="3"/>
  <c r="K147" i="19" s="1"/>
  <c r="S146" i="3"/>
  <c r="K146" i="19" s="1"/>
  <c r="L146" i="19"/>
  <c r="L79" i="19"/>
  <c r="S79" i="3"/>
  <c r="K79" i="19" s="1"/>
  <c r="L391" i="19"/>
  <c r="S391" i="3"/>
  <c r="K391" i="19" s="1"/>
  <c r="S72" i="3"/>
  <c r="K72" i="19" s="1"/>
  <c r="L72" i="19"/>
  <c r="S154" i="3"/>
  <c r="K154" i="19" s="1"/>
  <c r="L154" i="19"/>
  <c r="L54" i="19"/>
  <c r="S54" i="3"/>
  <c r="K54" i="19" s="1"/>
  <c r="S176" i="3"/>
  <c r="K176" i="19" s="1"/>
  <c r="L176" i="19"/>
  <c r="AQ66" i="3"/>
  <c r="J66" i="20" s="1"/>
  <c r="I135" i="20"/>
  <c r="I231" i="20"/>
  <c r="S238" i="3"/>
  <c r="K238" i="19" s="1"/>
  <c r="L238" i="19"/>
  <c r="L237" i="19"/>
  <c r="S237" i="3"/>
  <c r="K237" i="19" s="1"/>
  <c r="S184" i="3"/>
  <c r="K184" i="19" s="1"/>
  <c r="L184" i="19"/>
  <c r="S274" i="3"/>
  <c r="K274" i="19" s="1"/>
  <c r="L274" i="19"/>
  <c r="L245" i="19"/>
  <c r="S245" i="3"/>
  <c r="K245" i="19" s="1"/>
  <c r="L406" i="19"/>
  <c r="S406" i="3"/>
  <c r="K406" i="19" s="1"/>
  <c r="S80" i="3"/>
  <c r="K80" i="19" s="1"/>
  <c r="L80" i="19"/>
  <c r="S113" i="3"/>
  <c r="K113" i="19" s="1"/>
  <c r="L113" i="19"/>
  <c r="S227" i="3"/>
  <c r="K227" i="19" s="1"/>
  <c r="L227" i="19"/>
  <c r="L415" i="19"/>
  <c r="S91" i="3"/>
  <c r="K91" i="19" s="1"/>
  <c r="L91" i="19"/>
  <c r="L433" i="19"/>
  <c r="L432" i="19"/>
  <c r="L242" i="19"/>
  <c r="S169" i="3"/>
  <c r="K169" i="19" s="1"/>
  <c r="L169" i="19"/>
  <c r="S71" i="3"/>
  <c r="K71" i="19" s="1"/>
  <c r="L71" i="19"/>
  <c r="S411" i="3"/>
  <c r="K411" i="19" s="1"/>
  <c r="L411" i="19"/>
  <c r="S424" i="3"/>
  <c r="K424" i="19" s="1"/>
  <c r="L424" i="19"/>
  <c r="J428" i="19"/>
  <c r="S393" i="3"/>
  <c r="K393" i="19" s="1"/>
  <c r="L393" i="19"/>
  <c r="S34" i="3"/>
  <c r="K34" i="19" s="1"/>
  <c r="L34" i="19"/>
  <c r="L132" i="19"/>
  <c r="S132" i="3"/>
  <c r="K132" i="19" s="1"/>
  <c r="L30" i="19"/>
  <c r="S30" i="3"/>
  <c r="K30" i="19" s="1"/>
  <c r="S84" i="3"/>
  <c r="K84" i="19" s="1"/>
  <c r="L84" i="19"/>
  <c r="S255" i="3"/>
  <c r="K255" i="19" s="1"/>
  <c r="L255" i="19"/>
  <c r="L213" i="19"/>
  <c r="S213" i="3"/>
  <c r="K213" i="19" s="1"/>
  <c r="J92" i="19"/>
  <c r="L103" i="19"/>
  <c r="S103" i="3"/>
  <c r="K103" i="19" s="1"/>
  <c r="L102" i="19"/>
  <c r="S102" i="3"/>
  <c r="K102" i="19" s="1"/>
  <c r="L12" i="19"/>
  <c r="S12" i="3"/>
  <c r="K12" i="19" s="1"/>
  <c r="L74" i="19"/>
  <c r="S74" i="3"/>
  <c r="K74" i="19" s="1"/>
  <c r="S161" i="3"/>
  <c r="K161" i="19" s="1"/>
  <c r="L161" i="19"/>
  <c r="S153" i="3"/>
  <c r="K153" i="19" s="1"/>
  <c r="L153" i="19"/>
  <c r="S217" i="3"/>
  <c r="K217" i="19" s="1"/>
  <c r="L217" i="19"/>
  <c r="J111" i="19"/>
  <c r="L182" i="19"/>
  <c r="S182" i="3"/>
  <c r="K182" i="19" s="1"/>
  <c r="J234" i="19"/>
  <c r="J416" i="19"/>
  <c r="L431" i="19"/>
  <c r="S431" i="3"/>
  <c r="K431" i="19" s="1"/>
  <c r="L178" i="19"/>
  <c r="S178" i="3"/>
  <c r="K178" i="19" s="1"/>
  <c r="L241" i="19"/>
  <c r="L50" i="19"/>
  <c r="S50" i="3"/>
  <c r="K50" i="19" s="1"/>
  <c r="S70" i="3"/>
  <c r="K70" i="19" s="1"/>
  <c r="L70" i="19"/>
  <c r="L277" i="19"/>
  <c r="S277" i="3"/>
  <c r="K277" i="19" s="1"/>
  <c r="L265" i="19"/>
  <c r="S265" i="3"/>
  <c r="K265" i="19" s="1"/>
  <c r="S52" i="3"/>
  <c r="K52" i="19" s="1"/>
  <c r="L52" i="19"/>
  <c r="S134" i="3"/>
  <c r="K134" i="19" s="1"/>
  <c r="L134" i="19"/>
  <c r="L36" i="19"/>
  <c r="S36" i="3"/>
  <c r="K36" i="19" s="1"/>
  <c r="J179" i="19"/>
  <c r="S271" i="3"/>
  <c r="K271" i="19" s="1"/>
  <c r="L271" i="19"/>
  <c r="L108" i="19"/>
  <c r="S108" i="3"/>
  <c r="K108" i="19" s="1"/>
  <c r="L73" i="19"/>
  <c r="S73" i="3"/>
  <c r="K73" i="19" s="1"/>
  <c r="L175" i="19"/>
  <c r="S175" i="3"/>
  <c r="K175" i="19" s="1"/>
  <c r="AP138" i="3"/>
  <c r="Q450" i="3"/>
  <c r="Q451" i="3"/>
  <c r="S329" i="3"/>
  <c r="K329" i="19" s="1"/>
  <c r="L329" i="19"/>
  <c r="S140" i="3"/>
  <c r="K140" i="19" s="1"/>
  <c r="L140" i="19"/>
  <c r="S267" i="3"/>
  <c r="K267" i="19" s="1"/>
  <c r="L267" i="19"/>
  <c r="L53" i="19"/>
  <c r="S53" i="3"/>
  <c r="K53" i="19" s="1"/>
  <c r="S131" i="3"/>
  <c r="K131" i="19" s="1"/>
  <c r="L131" i="19"/>
  <c r="L207" i="19"/>
  <c r="S207" i="3"/>
  <c r="K207" i="19" s="1"/>
  <c r="J279" i="19"/>
  <c r="L46" i="19"/>
  <c r="S426" i="3"/>
  <c r="K426" i="19" s="1"/>
  <c r="L426" i="19"/>
  <c r="L62" i="19"/>
  <c r="S62" i="3"/>
  <c r="K62" i="19" s="1"/>
  <c r="S355" i="3"/>
  <c r="J355" i="19"/>
  <c r="Q453" i="3"/>
  <c r="I84" i="20"/>
  <c r="L158" i="19"/>
  <c r="S158" i="3"/>
  <c r="K158" i="19" s="1"/>
  <c r="S65" i="3"/>
  <c r="K65" i="19" s="1"/>
  <c r="L65" i="19"/>
  <c r="J168" i="19"/>
  <c r="L201" i="19"/>
  <c r="S200" i="3"/>
  <c r="K200" i="19" s="1"/>
  <c r="L200" i="19"/>
  <c r="L187" i="19"/>
  <c r="S187" i="3"/>
  <c r="K187" i="19" s="1"/>
  <c r="S338" i="3"/>
  <c r="K338" i="19" s="1"/>
  <c r="L338" i="19"/>
  <c r="J75" i="19"/>
  <c r="S112" i="3"/>
  <c r="K112" i="19" s="1"/>
  <c r="L112" i="19"/>
  <c r="L130" i="19"/>
  <c r="S130" i="3"/>
  <c r="K130" i="19" s="1"/>
  <c r="L358" i="19"/>
  <c r="S358" i="3"/>
  <c r="K358" i="19" s="1"/>
  <c r="S61" i="3"/>
  <c r="K61" i="19" s="1"/>
  <c r="L61" i="19"/>
  <c r="J170" i="19"/>
  <c r="J107" i="19"/>
  <c r="S136" i="3"/>
  <c r="K136" i="19" s="1"/>
  <c r="L136" i="19"/>
  <c r="AS379" i="3"/>
  <c r="L379" i="20" s="1"/>
  <c r="AL379" i="3"/>
  <c r="AO379" i="3" s="1"/>
  <c r="AP379" i="3" s="1"/>
  <c r="S186" i="3"/>
  <c r="K186" i="19" s="1"/>
  <c r="L186" i="19"/>
  <c r="L314" i="19"/>
  <c r="S314" i="3"/>
  <c r="K314" i="19" s="1"/>
  <c r="Q445" i="3"/>
  <c r="Q442" i="3"/>
  <c r="L139" i="19"/>
  <c r="S139" i="3"/>
  <c r="K139" i="19" s="1"/>
  <c r="S94" i="3"/>
  <c r="K94" i="19" s="1"/>
  <c r="L94" i="19"/>
  <c r="S225" i="3"/>
  <c r="K225" i="19" s="1"/>
  <c r="L225" i="19"/>
  <c r="L268" i="19"/>
  <c r="L208" i="19"/>
  <c r="S208" i="3"/>
  <c r="K208" i="19" s="1"/>
  <c r="S300" i="3"/>
  <c r="K300" i="19" s="1"/>
  <c r="L300" i="19"/>
  <c r="J197" i="19"/>
  <c r="L45" i="19"/>
  <c r="S45" i="3"/>
  <c r="K45" i="19" s="1"/>
  <c r="L360" i="19"/>
  <c r="S360" i="3"/>
  <c r="K360" i="19" s="1"/>
  <c r="S60" i="3"/>
  <c r="K60" i="19" s="1"/>
  <c r="L60" i="19"/>
  <c r="S125" i="3"/>
  <c r="K125" i="19" s="1"/>
  <c r="L125" i="19"/>
  <c r="L135" i="19"/>
  <c r="S135" i="3"/>
  <c r="K135" i="19" s="1"/>
  <c r="S93" i="3"/>
  <c r="K93" i="19" s="1"/>
  <c r="L93" i="19"/>
  <c r="S64" i="3"/>
  <c r="K64" i="19" s="1"/>
  <c r="L64" i="19"/>
  <c r="J188" i="19"/>
  <c r="S323" i="3"/>
  <c r="K323" i="19" s="1"/>
  <c r="L323" i="19"/>
  <c r="S335" i="3"/>
  <c r="K335" i="19" s="1"/>
  <c r="L335" i="19"/>
  <c r="J173" i="19"/>
  <c r="K217" i="20"/>
  <c r="AQ217" i="3"/>
  <c r="J217" i="20" s="1"/>
  <c r="Q444" i="3"/>
  <c r="Q441" i="3"/>
  <c r="S390" i="3"/>
  <c r="K390" i="19" s="1"/>
  <c r="L390" i="19"/>
  <c r="S172" i="3"/>
  <c r="K172" i="19" s="1"/>
  <c r="L172" i="19"/>
  <c r="S138" i="3"/>
  <c r="K138" i="19" s="1"/>
  <c r="L138" i="19"/>
  <c r="L269" i="19"/>
  <c r="L129" i="19"/>
  <c r="S129" i="3"/>
  <c r="K129" i="19" s="1"/>
  <c r="J264" i="19"/>
  <c r="L47" i="19"/>
  <c r="S96" i="3"/>
  <c r="K96" i="19" s="1"/>
  <c r="L96" i="19"/>
  <c r="L425" i="19"/>
  <c r="S425" i="3"/>
  <c r="K425" i="19" s="1"/>
  <c r="S427" i="3"/>
  <c r="K427" i="19" s="1"/>
  <c r="L427" i="19"/>
  <c r="L359" i="19"/>
  <c r="S359" i="3"/>
  <c r="K359" i="19" s="1"/>
  <c r="S21" i="3"/>
  <c r="K21" i="19" s="1"/>
  <c r="L21" i="19"/>
  <c r="S251" i="3"/>
  <c r="K251" i="19" s="1"/>
  <c r="L251" i="19"/>
  <c r="S164" i="3"/>
  <c r="K164" i="19" s="1"/>
  <c r="L164" i="19"/>
  <c r="S137" i="3"/>
  <c r="K137" i="19" s="1"/>
  <c r="L137" i="19"/>
  <c r="S32" i="3"/>
  <c r="L32" i="19"/>
  <c r="S398" i="3"/>
  <c r="K398" i="19" s="1"/>
  <c r="L398" i="19"/>
  <c r="S63" i="3"/>
  <c r="K63" i="19" s="1"/>
  <c r="L63" i="19"/>
  <c r="L202" i="19"/>
  <c r="S185" i="3"/>
  <c r="K185" i="19" s="1"/>
  <c r="L185" i="19"/>
  <c r="S87" i="3"/>
  <c r="K87" i="19" s="1"/>
  <c r="L87" i="19"/>
  <c r="S318" i="3"/>
  <c r="L318" i="19"/>
  <c r="I85" i="20"/>
  <c r="AS153" i="3"/>
  <c r="L153" i="20" s="1"/>
  <c r="AL153" i="3"/>
  <c r="AO153" i="3" s="1"/>
  <c r="AP153" i="3" s="1"/>
  <c r="I97" i="20"/>
  <c r="K120" i="20"/>
  <c r="AQ120" i="3"/>
  <c r="J120" i="20" s="1"/>
  <c r="I138" i="20"/>
  <c r="AL132" i="3"/>
  <c r="AO132" i="3" s="1"/>
  <c r="AP132" i="3" s="1"/>
  <c r="AS132" i="3"/>
  <c r="L132" i="20" s="1"/>
  <c r="AQ131" i="3"/>
  <c r="J131" i="20" s="1"/>
  <c r="I129" i="20"/>
  <c r="K119" i="20"/>
  <c r="AQ119" i="3"/>
  <c r="J119" i="20" s="1"/>
  <c r="I141" i="20"/>
  <c r="AQ112" i="3"/>
  <c r="J112" i="20" s="1"/>
  <c r="K112" i="20"/>
  <c r="AQ99" i="3"/>
  <c r="J99" i="20" s="1"/>
  <c r="K99" i="20"/>
  <c r="K131" i="20"/>
  <c r="AQ94" i="3"/>
  <c r="J94" i="20" s="1"/>
  <c r="K94" i="20"/>
  <c r="AQ82" i="3"/>
  <c r="J82" i="20" s="1"/>
  <c r="K82" i="20"/>
  <c r="AQ78" i="3"/>
  <c r="J78" i="20" s="1"/>
  <c r="K78" i="20"/>
  <c r="AQ109" i="3"/>
  <c r="J109" i="20" s="1"/>
  <c r="K109" i="20"/>
  <c r="K103" i="20"/>
  <c r="AQ103" i="3"/>
  <c r="J103" i="20" s="1"/>
  <c r="AQ90" i="3"/>
  <c r="J90" i="20" s="1"/>
  <c r="K90" i="20"/>
  <c r="K102" i="20"/>
  <c r="AQ102" i="3"/>
  <c r="J102" i="20" s="1"/>
  <c r="I150" i="20"/>
  <c r="K125" i="20"/>
  <c r="AQ125" i="3"/>
  <c r="J125" i="20" s="1"/>
  <c r="AO349" i="3"/>
  <c r="AP349" i="3" s="1"/>
  <c r="AS349" i="3"/>
  <c r="L349" i="20" s="1"/>
  <c r="K211" i="20"/>
  <c r="AQ211" i="3"/>
  <c r="J211" i="20" s="1"/>
  <c r="K212" i="20"/>
  <c r="AQ212" i="3"/>
  <c r="J212" i="20" s="1"/>
  <c r="I367" i="20"/>
  <c r="AL230" i="3"/>
  <c r="AO230" i="3" s="1"/>
  <c r="AP230" i="3" s="1"/>
  <c r="AR230" i="3" s="1"/>
  <c r="AS230" i="3"/>
  <c r="L230" i="20" s="1"/>
  <c r="AI238" i="3"/>
  <c r="AL238" i="3" s="1"/>
  <c r="AO238" i="3" s="1"/>
  <c r="AH237" i="3"/>
  <c r="I309" i="20"/>
  <c r="K188" i="20"/>
  <c r="AQ190" i="3"/>
  <c r="J190" i="20" s="1"/>
  <c r="AQ189" i="3"/>
  <c r="J189" i="20" s="1"/>
  <c r="I188" i="20"/>
  <c r="I169" i="20"/>
  <c r="I168" i="20"/>
  <c r="AL413" i="3"/>
  <c r="AO413" i="3" s="1"/>
  <c r="AP413" i="3" s="1"/>
  <c r="AS413" i="3"/>
  <c r="L413" i="20" s="1"/>
  <c r="AQ199" i="3"/>
  <c r="J199" i="20" s="1"/>
  <c r="K199" i="20"/>
  <c r="K171" i="20"/>
  <c r="AQ171" i="3"/>
  <c r="J171" i="20" s="1"/>
  <c r="K201" i="20"/>
  <c r="I147" i="20"/>
  <c r="AQ191" i="3"/>
  <c r="J191" i="20" s="1"/>
  <c r="K191" i="20"/>
  <c r="AI144" i="3"/>
  <c r="AH440" i="3"/>
  <c r="AL373" i="3"/>
  <c r="AO373" i="3" s="1"/>
  <c r="AP373" i="3" s="1"/>
  <c r="AS373" i="3"/>
  <c r="L373" i="20" s="1"/>
  <c r="K200" i="20"/>
  <c r="AQ200" i="3"/>
  <c r="J200" i="20" s="1"/>
  <c r="K189" i="20"/>
  <c r="AQ183" i="3"/>
  <c r="J183" i="20" s="1"/>
  <c r="K183" i="20"/>
  <c r="K182" i="20"/>
  <c r="AQ182" i="3"/>
  <c r="J182" i="20" s="1"/>
  <c r="AQ192" i="3"/>
  <c r="J192" i="20" s="1"/>
  <c r="K192" i="20"/>
  <c r="K117" i="20"/>
  <c r="AQ117" i="3"/>
  <c r="J117" i="20" s="1"/>
  <c r="AQ96" i="3"/>
  <c r="J96" i="20" s="1"/>
  <c r="K96" i="20"/>
  <c r="K100" i="20"/>
  <c r="AQ100" i="3"/>
  <c r="J100" i="20" s="1"/>
  <c r="K204" i="20"/>
  <c r="AQ204" i="3"/>
  <c r="J204" i="20" s="1"/>
  <c r="K205" i="20"/>
  <c r="AQ205" i="3"/>
  <c r="J205" i="20" s="1"/>
  <c r="I60" i="20"/>
  <c r="K202" i="20"/>
  <c r="I153" i="20"/>
  <c r="AQ193" i="3"/>
  <c r="J193" i="20" s="1"/>
  <c r="K193" i="20"/>
  <c r="K127" i="20"/>
  <c r="AQ127" i="3"/>
  <c r="J127" i="20" s="1"/>
  <c r="AQ203" i="3"/>
  <c r="J203" i="20" s="1"/>
  <c r="K203" i="20"/>
  <c r="AQ188" i="3"/>
  <c r="J188" i="20" s="1"/>
  <c r="I240" i="20"/>
  <c r="AQ184" i="3"/>
  <c r="J184" i="20" s="1"/>
  <c r="K184" i="20"/>
  <c r="AL75" i="3"/>
  <c r="AO75" i="3" s="1"/>
  <c r="AP75" i="3" s="1"/>
  <c r="AS75" i="3"/>
  <c r="L75" i="20" s="1"/>
  <c r="AS48" i="3"/>
  <c r="L48" i="20" s="1"/>
  <c r="AO48" i="3"/>
  <c r="AP48" i="3" s="1"/>
  <c r="I72" i="20"/>
  <c r="AQ16" i="3"/>
  <c r="J16" i="20" s="1"/>
  <c r="K16" i="20"/>
  <c r="K20" i="20"/>
  <c r="AQ20" i="3"/>
  <c r="J20" i="20" s="1"/>
  <c r="K37" i="20"/>
  <c r="AQ37" i="3"/>
  <c r="J37" i="20" s="1"/>
  <c r="AQ21" i="3"/>
  <c r="J21" i="20" s="1"/>
  <c r="K21" i="20"/>
  <c r="AQ33" i="3"/>
  <c r="J33" i="20" s="1"/>
  <c r="K33" i="20"/>
  <c r="K67" i="20"/>
  <c r="AQ67" i="3"/>
  <c r="J67" i="20" s="1"/>
  <c r="B8" i="20"/>
  <c r="B9" i="20"/>
  <c r="K31" i="20"/>
  <c r="AQ31" i="3"/>
  <c r="J31" i="20" s="1"/>
  <c r="AQ15" i="3"/>
  <c r="J15" i="20" s="1"/>
  <c r="K15" i="20"/>
  <c r="AQ70" i="3"/>
  <c r="J70" i="20" s="1"/>
  <c r="K70" i="20"/>
  <c r="AQ63" i="3"/>
  <c r="J63" i="20" s="1"/>
  <c r="K63" i="20"/>
  <c r="K68" i="20"/>
  <c r="AQ68" i="3"/>
  <c r="J68" i="20" s="1"/>
  <c r="AQ27" i="3"/>
  <c r="J27" i="20" s="1"/>
  <c r="K27" i="20"/>
  <c r="AS39" i="3"/>
  <c r="L39" i="20" s="1"/>
  <c r="AO39" i="3"/>
  <c r="AP39" i="3" s="1"/>
  <c r="AQ10" i="3"/>
  <c r="J10" i="20" s="1"/>
  <c r="K10" i="20"/>
  <c r="AQ56" i="3"/>
  <c r="J56" i="20" s="1"/>
  <c r="K56" i="20"/>
  <c r="K19" i="20"/>
  <c r="AQ19" i="3"/>
  <c r="J19" i="20" s="1"/>
  <c r="K23" i="20"/>
  <c r="AQ23" i="3"/>
  <c r="J23" i="20" s="1"/>
  <c r="K38" i="20"/>
  <c r="AQ38" i="3"/>
  <c r="J38" i="20" s="1"/>
  <c r="K69" i="20"/>
  <c r="AQ69" i="3"/>
  <c r="J69" i="20" s="1"/>
  <c r="K71" i="20"/>
  <c r="AQ71" i="3"/>
  <c r="J71" i="20" s="1"/>
  <c r="AQ64" i="3"/>
  <c r="J64" i="20" s="1"/>
  <c r="K64" i="20"/>
  <c r="AQ52" i="3"/>
  <c r="J52" i="20" s="1"/>
  <c r="K52" i="20"/>
  <c r="AQ53" i="3"/>
  <c r="J53" i="20" s="1"/>
  <c r="K53" i="20"/>
  <c r="K66" i="20"/>
  <c r="AQ36" i="3"/>
  <c r="J36" i="20" s="1"/>
  <c r="K36" i="20"/>
  <c r="AQ51" i="3"/>
  <c r="J51" i="20" s="1"/>
  <c r="K51" i="20"/>
  <c r="AQ65" i="3"/>
  <c r="J65" i="20" s="1"/>
  <c r="K65" i="20"/>
  <c r="K55" i="20"/>
  <c r="AQ55" i="3"/>
  <c r="J55" i="20" s="1"/>
  <c r="AQ340" i="3"/>
  <c r="J340" i="20" s="1"/>
  <c r="AS376" i="3"/>
  <c r="L376" i="20" s="1"/>
  <c r="AL376" i="3"/>
  <c r="AO376" i="3" s="1"/>
  <c r="AP376" i="3" s="1"/>
  <c r="AQ285" i="3"/>
  <c r="J285" i="20" s="1"/>
  <c r="K285" i="20"/>
  <c r="K317" i="20"/>
  <c r="AQ317" i="3"/>
  <c r="J317" i="20" s="1"/>
  <c r="I358" i="20"/>
  <c r="AQ290" i="3"/>
  <c r="J290" i="20" s="1"/>
  <c r="K290" i="20"/>
  <c r="AS355" i="3"/>
  <c r="L355" i="20" s="1"/>
  <c r="AL355" i="3"/>
  <c r="AO355" i="3" s="1"/>
  <c r="AP355" i="3" s="1"/>
  <c r="K318" i="20"/>
  <c r="AQ318" i="3"/>
  <c r="J318" i="20" s="1"/>
  <c r="AQ364" i="3"/>
  <c r="J364" i="20" s="1"/>
  <c r="K364" i="20"/>
  <c r="K297" i="20"/>
  <c r="AQ297" i="3"/>
  <c r="J297" i="20" s="1"/>
  <c r="AQ346" i="3"/>
  <c r="J346" i="20" s="1"/>
  <c r="K346" i="20"/>
  <c r="AQ343" i="3"/>
  <c r="J343" i="20" s="1"/>
  <c r="K343" i="20"/>
  <c r="K339" i="20"/>
  <c r="AQ339" i="3"/>
  <c r="J339" i="20" s="1"/>
  <c r="AQ316" i="3"/>
  <c r="J316" i="20" s="1"/>
  <c r="K316" i="20"/>
  <c r="K321" i="20"/>
  <c r="AQ321" i="3"/>
  <c r="J321" i="20" s="1"/>
  <c r="K383" i="20"/>
  <c r="AQ383" i="3"/>
  <c r="J383" i="20" s="1"/>
  <c r="K354" i="20"/>
  <c r="AQ354" i="3"/>
  <c r="J354" i="20" s="1"/>
  <c r="AQ348" i="3"/>
  <c r="J348" i="20" s="1"/>
  <c r="K348" i="20"/>
  <c r="AQ332" i="3"/>
  <c r="J332" i="20" s="1"/>
  <c r="K332" i="20"/>
  <c r="K366" i="20"/>
  <c r="AQ366" i="3"/>
  <c r="J366" i="20" s="1"/>
  <c r="K289" i="20"/>
  <c r="AQ289" i="3"/>
  <c r="J289" i="20" s="1"/>
  <c r="K336" i="20"/>
  <c r="AQ336" i="3"/>
  <c r="J336" i="20" s="1"/>
  <c r="AQ310" i="3"/>
  <c r="J310" i="20" s="1"/>
  <c r="K310" i="20"/>
  <c r="AQ282" i="3"/>
  <c r="J282" i="20" s="1"/>
  <c r="K282" i="20"/>
  <c r="K292" i="20"/>
  <c r="AQ292" i="3"/>
  <c r="J292" i="20" s="1"/>
  <c r="K372" i="20"/>
  <c r="AQ372" i="3"/>
  <c r="J372" i="20" s="1"/>
  <c r="AQ347" i="3"/>
  <c r="J347" i="20" s="1"/>
  <c r="K347" i="20"/>
  <c r="AQ294" i="3"/>
  <c r="J294" i="20" s="1"/>
  <c r="K294" i="20"/>
  <c r="K365" i="20"/>
  <c r="AQ365" i="3"/>
  <c r="J365" i="20" s="1"/>
  <c r="K324" i="20"/>
  <c r="AQ324" i="3"/>
  <c r="J324" i="20" s="1"/>
  <c r="K287" i="20"/>
  <c r="AQ287" i="3"/>
  <c r="J287" i="20" s="1"/>
  <c r="AQ306" i="3"/>
  <c r="J306" i="20" s="1"/>
  <c r="K306" i="20"/>
  <c r="K331" i="20"/>
  <c r="AQ331" i="3"/>
  <c r="J331" i="20" s="1"/>
  <c r="K283" i="20"/>
  <c r="AQ283" i="3"/>
  <c r="J283" i="20" s="1"/>
  <c r="AQ371" i="3"/>
  <c r="J371" i="20" s="1"/>
  <c r="K371" i="20"/>
  <c r="AQ286" i="3"/>
  <c r="J286" i="20" s="1"/>
  <c r="K286" i="20"/>
  <c r="AQ382" i="3"/>
  <c r="J382" i="20" s="1"/>
  <c r="K382" i="20"/>
  <c r="AQ296" i="3"/>
  <c r="J296" i="20" s="1"/>
  <c r="K296" i="20"/>
  <c r="AQ314" i="3"/>
  <c r="J314" i="20" s="1"/>
  <c r="K314" i="20"/>
  <c r="AQ300" i="3"/>
  <c r="J300" i="20" s="1"/>
  <c r="K300" i="20"/>
  <c r="AQ302" i="3"/>
  <c r="J302" i="20" s="1"/>
  <c r="K302" i="20"/>
  <c r="AQ295" i="3"/>
  <c r="J295" i="20" s="1"/>
  <c r="K295" i="20"/>
  <c r="AQ313" i="3"/>
  <c r="J313" i="20" s="1"/>
  <c r="K313" i="20"/>
  <c r="K370" i="20"/>
  <c r="AQ370" i="3"/>
  <c r="J370" i="20" s="1"/>
  <c r="K384" i="20"/>
  <c r="AQ384" i="3"/>
  <c r="J384" i="20" s="1"/>
  <c r="AQ352" i="3"/>
  <c r="J352" i="20" s="1"/>
  <c r="K352" i="20"/>
  <c r="AQ353" i="3"/>
  <c r="J353" i="20" s="1"/>
  <c r="K353" i="20"/>
  <c r="AL406" i="3"/>
  <c r="AO406" i="3" s="1"/>
  <c r="AP406" i="3" s="1"/>
  <c r="AR406" i="3" s="1"/>
  <c r="AS406" i="3"/>
  <c r="L406" i="20" s="1"/>
  <c r="AH428" i="3"/>
  <c r="AI429" i="3"/>
  <c r="AL429" i="3" s="1"/>
  <c r="AO429" i="3" s="1"/>
  <c r="I431" i="20"/>
  <c r="AQ409" i="3"/>
  <c r="J409" i="20" s="1"/>
  <c r="K409" i="20"/>
  <c r="K416" i="20"/>
  <c r="AQ416" i="3"/>
  <c r="J416" i="20" s="1"/>
  <c r="AQ405" i="3"/>
  <c r="J405" i="20" s="1"/>
  <c r="K405" i="20"/>
  <c r="K426" i="20"/>
  <c r="AQ426" i="3"/>
  <c r="J426" i="20" s="1"/>
  <c r="AQ424" i="3"/>
  <c r="J424" i="20" s="1"/>
  <c r="K424" i="20"/>
  <c r="K411" i="20"/>
  <c r="AQ411" i="3"/>
  <c r="J411" i="20" s="1"/>
  <c r="AQ398" i="3"/>
  <c r="J398" i="20" s="1"/>
  <c r="K398" i="20"/>
  <c r="K418" i="20"/>
  <c r="AQ418" i="3"/>
  <c r="J418" i="20" s="1"/>
  <c r="AQ425" i="3"/>
  <c r="J425" i="20" s="1"/>
  <c r="K425" i="20"/>
  <c r="K400" i="20"/>
  <c r="AQ400" i="3"/>
  <c r="J400" i="20" s="1"/>
  <c r="AQ423" i="3"/>
  <c r="J423" i="20" s="1"/>
  <c r="K423" i="20"/>
  <c r="AQ422" i="3"/>
  <c r="J422" i="20" s="1"/>
  <c r="K422" i="20"/>
  <c r="I419" i="20"/>
  <c r="AQ403" i="3"/>
  <c r="J403" i="20" s="1"/>
  <c r="K403" i="20"/>
  <c r="K386" i="20"/>
  <c r="AQ386" i="3"/>
  <c r="J386" i="20" s="1"/>
  <c r="AQ399" i="3"/>
  <c r="J399" i="20" s="1"/>
  <c r="K399" i="20"/>
  <c r="AQ389" i="3"/>
  <c r="J389" i="20" s="1"/>
  <c r="K389" i="20"/>
  <c r="K404" i="20"/>
  <c r="AQ404" i="3"/>
  <c r="J404" i="20" s="1"/>
  <c r="AQ417" i="3"/>
  <c r="J417" i="20" s="1"/>
  <c r="K417" i="20"/>
  <c r="AQ387" i="3"/>
  <c r="J387" i="20" s="1"/>
  <c r="K387" i="20"/>
  <c r="K427" i="20"/>
  <c r="AQ427" i="3"/>
  <c r="J427" i="20" s="1"/>
  <c r="K390" i="20"/>
  <c r="AQ390" i="3"/>
  <c r="J390" i="20" s="1"/>
  <c r="AQ391" i="3"/>
  <c r="J391" i="20" s="1"/>
  <c r="K391" i="20"/>
  <c r="AH267" i="3"/>
  <c r="AI267" i="3" s="1"/>
  <c r="AS267" i="3" s="1"/>
  <c r="L267" i="20" s="1"/>
  <c r="AI268" i="3"/>
  <c r="AL268" i="3" s="1"/>
  <c r="AO268" i="3" s="1"/>
  <c r="I248" i="20"/>
  <c r="AS244" i="3"/>
  <c r="L244" i="20" s="1"/>
  <c r="AO244" i="3"/>
  <c r="AP244" i="3" s="1"/>
  <c r="AR244" i="3" s="1"/>
  <c r="I252" i="20"/>
  <c r="I279" i="20"/>
  <c r="AH270" i="3"/>
  <c r="AI271" i="3"/>
  <c r="AL271" i="3" s="1"/>
  <c r="AO271" i="3" s="1"/>
  <c r="AL273" i="3"/>
  <c r="AO273" i="3" s="1"/>
  <c r="AP273" i="3" s="1"/>
  <c r="AS273" i="3"/>
  <c r="L273" i="20" s="1"/>
  <c r="AL276" i="3"/>
  <c r="AO276" i="3" s="1"/>
  <c r="AP276" i="3" s="1"/>
  <c r="AS276" i="3"/>
  <c r="L276" i="20" s="1"/>
  <c r="AQ263" i="3"/>
  <c r="J263" i="20" s="1"/>
  <c r="K263" i="20"/>
  <c r="AQ246" i="3"/>
  <c r="J246" i="20" s="1"/>
  <c r="K246" i="20"/>
  <c r="AQ261" i="3"/>
  <c r="J261" i="20" s="1"/>
  <c r="K261" i="20"/>
  <c r="K254" i="20"/>
  <c r="AQ254" i="3"/>
  <c r="J254" i="20" s="1"/>
  <c r="AQ264" i="3"/>
  <c r="J264" i="20" s="1"/>
  <c r="K264" i="20"/>
  <c r="K247" i="20"/>
  <c r="AQ247" i="3"/>
  <c r="J247" i="20" s="1"/>
  <c r="AQ262" i="3"/>
  <c r="J262" i="20" s="1"/>
  <c r="K262" i="20"/>
  <c r="K259" i="20"/>
  <c r="AQ251" i="3"/>
  <c r="J251" i="20" s="1"/>
  <c r="K251" i="20"/>
  <c r="AQ258" i="3"/>
  <c r="J258" i="20" s="1"/>
  <c r="K258" i="20"/>
  <c r="AQ266" i="3"/>
  <c r="J266" i="20" s="1"/>
  <c r="K266" i="20"/>
  <c r="K260" i="20"/>
  <c r="K265" i="20"/>
  <c r="AQ265" i="3"/>
  <c r="J265" i="20" s="1"/>
  <c r="AQ256" i="3"/>
  <c r="J256" i="20" s="1"/>
  <c r="K256" i="20"/>
  <c r="K245" i="20"/>
  <c r="AQ245" i="3"/>
  <c r="J245" i="20" s="1"/>
  <c r="AI361" i="3"/>
  <c r="AH434" i="3"/>
  <c r="AH452" i="3"/>
  <c r="K319" i="20"/>
  <c r="AQ319" i="3"/>
  <c r="AR275" i="3" l="1"/>
  <c r="AR274" i="3"/>
  <c r="AR273" i="3"/>
  <c r="AR41" i="3"/>
  <c r="AR40" i="3"/>
  <c r="AR39" i="3"/>
  <c r="AR50" i="3"/>
  <c r="AR49" i="3"/>
  <c r="AR48" i="3"/>
  <c r="AR143" i="3"/>
  <c r="AR142" i="3"/>
  <c r="AR141" i="3"/>
  <c r="S97" i="3"/>
  <c r="K97" i="19" s="1"/>
  <c r="L97" i="19"/>
  <c r="L349" i="19"/>
  <c r="S349" i="3"/>
  <c r="K349" i="19" s="1"/>
  <c r="L98" i="19"/>
  <c r="L401" i="19"/>
  <c r="L367" i="19"/>
  <c r="S367" i="3"/>
  <c r="K367" i="19" s="1"/>
  <c r="S405" i="3"/>
  <c r="K405" i="19" s="1"/>
  <c r="L405" i="19"/>
  <c r="AR278" i="3"/>
  <c r="AR277" i="3"/>
  <c r="AR276" i="3"/>
  <c r="AR378" i="3"/>
  <c r="AR377" i="3"/>
  <c r="AR376" i="3"/>
  <c r="AR357" i="3"/>
  <c r="AR356" i="3"/>
  <c r="AR355" i="3"/>
  <c r="AR77" i="3"/>
  <c r="AR76" i="3"/>
  <c r="AR75" i="3"/>
  <c r="AR375" i="3"/>
  <c r="AR374" i="3"/>
  <c r="AR373" i="3"/>
  <c r="AR415" i="3"/>
  <c r="AR414" i="3"/>
  <c r="AR413" i="3"/>
  <c r="AR351" i="3"/>
  <c r="AR350" i="3"/>
  <c r="AR349" i="3"/>
  <c r="AR134" i="3"/>
  <c r="AR133" i="3"/>
  <c r="AR132" i="3"/>
  <c r="AR155" i="3"/>
  <c r="AR154" i="3"/>
  <c r="AR153" i="3"/>
  <c r="AR381" i="3"/>
  <c r="AR380" i="3"/>
  <c r="AR379" i="3"/>
  <c r="AR140" i="3"/>
  <c r="AR139" i="3"/>
  <c r="AR138" i="3"/>
  <c r="AR137" i="3"/>
  <c r="AR136" i="3"/>
  <c r="AR135" i="3"/>
  <c r="AR236" i="3"/>
  <c r="AR235" i="3"/>
  <c r="AR234" i="3"/>
  <c r="AR44" i="3"/>
  <c r="AR43" i="3"/>
  <c r="AR42" i="3"/>
  <c r="L351" i="19"/>
  <c r="S368" i="3"/>
  <c r="K368" i="19" s="1"/>
  <c r="L368" i="19"/>
  <c r="S369" i="3"/>
  <c r="K369" i="19" s="1"/>
  <c r="L369" i="19"/>
  <c r="K367" i="20"/>
  <c r="AQ367" i="3"/>
  <c r="J367" i="20" s="1"/>
  <c r="I42" i="20"/>
  <c r="K32" i="19"/>
  <c r="B12" i="19"/>
  <c r="B17" i="19"/>
  <c r="B22" i="19"/>
  <c r="B72" i="19"/>
  <c r="B59" i="19"/>
  <c r="B54" i="19"/>
  <c r="B37" i="19"/>
  <c r="B32" i="19"/>
  <c r="B27" i="19"/>
  <c r="B13" i="19"/>
  <c r="B18" i="19"/>
  <c r="B23" i="19"/>
  <c r="B69" i="19"/>
  <c r="B58" i="19"/>
  <c r="B53" i="19"/>
  <c r="B36" i="19"/>
  <c r="B31" i="19"/>
  <c r="B14" i="19"/>
  <c r="B19" i="19"/>
  <c r="B24" i="19"/>
  <c r="B66" i="19"/>
  <c r="B57" i="19"/>
  <c r="B52" i="19"/>
  <c r="B35" i="19"/>
  <c r="B30" i="19"/>
  <c r="B15" i="19"/>
  <c r="B20" i="19"/>
  <c r="B25" i="19"/>
  <c r="B63" i="19"/>
  <c r="B56" i="19"/>
  <c r="B51" i="19"/>
  <c r="B34" i="19"/>
  <c r="B29" i="19"/>
  <c r="B16" i="19"/>
  <c r="B21" i="19"/>
  <c r="B26" i="19"/>
  <c r="B60" i="19"/>
  <c r="B55" i="19"/>
  <c r="B48" i="19"/>
  <c r="B33" i="19"/>
  <c r="B28" i="19"/>
  <c r="AQ368" i="3"/>
  <c r="J368" i="20" s="1"/>
  <c r="K368" i="20"/>
  <c r="I234" i="20"/>
  <c r="K190" i="20"/>
  <c r="I158" i="20"/>
  <c r="AI185" i="3"/>
  <c r="AH443" i="3"/>
  <c r="L310" i="19"/>
  <c r="S310" i="3"/>
  <c r="K310" i="19" s="1"/>
  <c r="S230" i="3"/>
  <c r="K230" i="19" s="1"/>
  <c r="L230" i="19"/>
  <c r="S330" i="3"/>
  <c r="K330" i="19" s="1"/>
  <c r="L330" i="19"/>
  <c r="L233" i="19"/>
  <c r="S233" i="3"/>
  <c r="K233" i="19" s="1"/>
  <c r="S127" i="3"/>
  <c r="K127" i="19" s="1"/>
  <c r="L127" i="19"/>
  <c r="K369" i="20"/>
  <c r="AQ369" i="3"/>
  <c r="J369" i="20" s="1"/>
  <c r="S163" i="3"/>
  <c r="K163" i="19" s="1"/>
  <c r="L163" i="19"/>
  <c r="L232" i="19"/>
  <c r="S232" i="3"/>
  <c r="K232" i="19" s="1"/>
  <c r="L254" i="19"/>
  <c r="S254" i="3"/>
  <c r="K254" i="19" s="1"/>
  <c r="S110" i="3"/>
  <c r="K110" i="19" s="1"/>
  <c r="L110" i="19"/>
  <c r="S308" i="3"/>
  <c r="K308" i="19" s="1"/>
  <c r="L308" i="19"/>
  <c r="L342" i="19"/>
  <c r="S342" i="3"/>
  <c r="K342" i="19" s="1"/>
  <c r="L105" i="19"/>
  <c r="S105" i="3"/>
  <c r="K105" i="19" s="1"/>
  <c r="L231" i="19"/>
  <c r="S231" i="3"/>
  <c r="K231" i="19" s="1"/>
  <c r="L315" i="19"/>
  <c r="S315" i="3"/>
  <c r="K315" i="19" s="1"/>
  <c r="L412" i="19"/>
  <c r="S412" i="3"/>
  <c r="K412" i="19" s="1"/>
  <c r="AQ62" i="3"/>
  <c r="J62" i="20" s="1"/>
  <c r="K62" i="20"/>
  <c r="S416" i="3"/>
  <c r="K416" i="19" s="1"/>
  <c r="L416" i="19"/>
  <c r="L418" i="19"/>
  <c r="S418" i="3"/>
  <c r="K418" i="19" s="1"/>
  <c r="S234" i="3"/>
  <c r="K234" i="19" s="1"/>
  <c r="L234" i="19"/>
  <c r="L430" i="19"/>
  <c r="AQ231" i="3"/>
  <c r="J231" i="20" s="1"/>
  <c r="K231" i="20"/>
  <c r="L404" i="19"/>
  <c r="S404" i="3"/>
  <c r="K404" i="19" s="1"/>
  <c r="L150" i="19"/>
  <c r="S150" i="3"/>
  <c r="K150" i="19" s="1"/>
  <c r="S203" i="3"/>
  <c r="K203" i="19" s="1"/>
  <c r="L203" i="19"/>
  <c r="S235" i="3"/>
  <c r="K235" i="19" s="1"/>
  <c r="L235" i="19"/>
  <c r="S111" i="3"/>
  <c r="K111" i="19" s="1"/>
  <c r="L111" i="19"/>
  <c r="S92" i="3"/>
  <c r="K92" i="19" s="1"/>
  <c r="L92" i="19"/>
  <c r="K233" i="20"/>
  <c r="L157" i="19"/>
  <c r="S157" i="3"/>
  <c r="K157" i="19" s="1"/>
  <c r="S205" i="3"/>
  <c r="K205" i="19" s="1"/>
  <c r="L205" i="19"/>
  <c r="L165" i="19"/>
  <c r="S165" i="3"/>
  <c r="K165" i="19" s="1"/>
  <c r="L179" i="19"/>
  <c r="S179" i="3"/>
  <c r="K179" i="19" s="1"/>
  <c r="L429" i="19"/>
  <c r="K232" i="20"/>
  <c r="S152" i="3"/>
  <c r="K152" i="19" s="1"/>
  <c r="L152" i="19"/>
  <c r="S417" i="3"/>
  <c r="K417" i="19" s="1"/>
  <c r="L417" i="19"/>
  <c r="S236" i="3"/>
  <c r="K236" i="19" s="1"/>
  <c r="L236" i="19"/>
  <c r="S428" i="3"/>
  <c r="K428" i="19" s="1"/>
  <c r="L428" i="19"/>
  <c r="S177" i="3"/>
  <c r="K177" i="19" s="1"/>
  <c r="L177" i="19"/>
  <c r="S151" i="3"/>
  <c r="K151" i="19" s="1"/>
  <c r="L151" i="19"/>
  <c r="L204" i="19"/>
  <c r="S204" i="3"/>
  <c r="K204" i="19" s="1"/>
  <c r="S190" i="3"/>
  <c r="K190" i="19" s="1"/>
  <c r="L190" i="19"/>
  <c r="S75" i="3"/>
  <c r="K75" i="19" s="1"/>
  <c r="L75" i="19"/>
  <c r="L77" i="19"/>
  <c r="S77" i="3"/>
  <c r="K77" i="19" s="1"/>
  <c r="S168" i="3"/>
  <c r="K168" i="19" s="1"/>
  <c r="L168" i="19"/>
  <c r="L357" i="19"/>
  <c r="S264" i="3"/>
  <c r="K264" i="19" s="1"/>
  <c r="L264" i="19"/>
  <c r="S76" i="3"/>
  <c r="K76" i="19" s="1"/>
  <c r="L76" i="19"/>
  <c r="L355" i="19"/>
  <c r="K355" i="19"/>
  <c r="L279" i="19"/>
  <c r="S279" i="3"/>
  <c r="K279" i="19" s="1"/>
  <c r="B42" i="19"/>
  <c r="B39" i="19"/>
  <c r="S173" i="3"/>
  <c r="K173" i="19" s="1"/>
  <c r="L173" i="19"/>
  <c r="S189" i="3"/>
  <c r="K189" i="19" s="1"/>
  <c r="L189" i="19"/>
  <c r="S199" i="3"/>
  <c r="K199" i="19" s="1"/>
  <c r="L199" i="19"/>
  <c r="S197" i="3"/>
  <c r="K197" i="19" s="1"/>
  <c r="L197" i="19"/>
  <c r="L107" i="19"/>
  <c r="S107" i="3"/>
  <c r="K107" i="19" s="1"/>
  <c r="S280" i="3"/>
  <c r="K280" i="19" s="1"/>
  <c r="L280" i="19"/>
  <c r="B45" i="19"/>
  <c r="B38" i="19"/>
  <c r="S188" i="3"/>
  <c r="K188" i="19" s="1"/>
  <c r="L188" i="19"/>
  <c r="S198" i="3"/>
  <c r="K198" i="19" s="1"/>
  <c r="L198" i="19"/>
  <c r="I379" i="20"/>
  <c r="S170" i="3"/>
  <c r="K170" i="19" s="1"/>
  <c r="L170" i="19"/>
  <c r="AQ84" i="3"/>
  <c r="J84" i="20" s="1"/>
  <c r="K84" i="20"/>
  <c r="L356" i="19"/>
  <c r="S281" i="3"/>
  <c r="K281" i="19" s="1"/>
  <c r="L281" i="19"/>
  <c r="B83" i="19"/>
  <c r="K318" i="19"/>
  <c r="B340" i="19"/>
  <c r="I132" i="20"/>
  <c r="K138" i="20"/>
  <c r="AQ138" i="3"/>
  <c r="J138" i="20" s="1"/>
  <c r="K85" i="20"/>
  <c r="AQ85" i="3"/>
  <c r="J85" i="20" s="1"/>
  <c r="K97" i="20"/>
  <c r="AQ97" i="3"/>
  <c r="J97" i="20" s="1"/>
  <c r="K140" i="20"/>
  <c r="AQ140" i="3"/>
  <c r="J140" i="20" s="1"/>
  <c r="K139" i="20"/>
  <c r="AQ139" i="3"/>
  <c r="J139" i="20" s="1"/>
  <c r="AQ130" i="3"/>
  <c r="J130" i="20" s="1"/>
  <c r="K130" i="20"/>
  <c r="AQ129" i="3"/>
  <c r="J129" i="20" s="1"/>
  <c r="K129" i="20"/>
  <c r="AQ135" i="3"/>
  <c r="J135" i="20" s="1"/>
  <c r="K135" i="20"/>
  <c r="K137" i="20"/>
  <c r="AQ137" i="3"/>
  <c r="J137" i="20" s="1"/>
  <c r="K142" i="20"/>
  <c r="AQ142" i="3"/>
  <c r="J142" i="20" s="1"/>
  <c r="K141" i="20"/>
  <c r="AQ141" i="3"/>
  <c r="J141" i="20" s="1"/>
  <c r="AQ143" i="3"/>
  <c r="J143" i="20" s="1"/>
  <c r="K143" i="20"/>
  <c r="K150" i="20"/>
  <c r="AQ150" i="3"/>
  <c r="J150" i="20" s="1"/>
  <c r="AQ151" i="3"/>
  <c r="J151" i="20" s="1"/>
  <c r="K151" i="20"/>
  <c r="K152" i="20"/>
  <c r="AQ152" i="3"/>
  <c r="J152" i="20" s="1"/>
  <c r="I349" i="20"/>
  <c r="I230" i="20"/>
  <c r="AI237" i="3"/>
  <c r="AH446" i="3"/>
  <c r="K309" i="20"/>
  <c r="AQ309" i="3"/>
  <c r="J309" i="20" s="1"/>
  <c r="K169" i="20"/>
  <c r="AQ169" i="3"/>
  <c r="J169" i="20" s="1"/>
  <c r="K168" i="20"/>
  <c r="AQ168" i="3"/>
  <c r="J168" i="20" s="1"/>
  <c r="I413" i="20"/>
  <c r="K242" i="20"/>
  <c r="K155" i="20"/>
  <c r="AQ155" i="3"/>
  <c r="J155" i="20" s="1"/>
  <c r="K148" i="20"/>
  <c r="AQ148" i="3"/>
  <c r="J148" i="20" s="1"/>
  <c r="AQ61" i="3"/>
  <c r="J61" i="20" s="1"/>
  <c r="K61" i="20"/>
  <c r="I373" i="20"/>
  <c r="K240" i="20"/>
  <c r="AQ240" i="3"/>
  <c r="J240" i="20" s="1"/>
  <c r="K241" i="20"/>
  <c r="K147" i="20"/>
  <c r="AQ147" i="3"/>
  <c r="J147" i="20" s="1"/>
  <c r="AQ153" i="3"/>
  <c r="J153" i="20" s="1"/>
  <c r="K153" i="20"/>
  <c r="AQ154" i="3"/>
  <c r="J154" i="20" s="1"/>
  <c r="K154" i="20"/>
  <c r="AS144" i="3"/>
  <c r="L144" i="20" s="1"/>
  <c r="AL144" i="3"/>
  <c r="AO144" i="3" s="1"/>
  <c r="AP144" i="3" s="1"/>
  <c r="AQ149" i="3"/>
  <c r="J149" i="20" s="1"/>
  <c r="K149" i="20"/>
  <c r="K73" i="20"/>
  <c r="AQ73" i="3"/>
  <c r="J73" i="20" s="1"/>
  <c r="I75" i="20"/>
  <c r="K72" i="20"/>
  <c r="AQ72" i="3"/>
  <c r="J72" i="20" s="1"/>
  <c r="K74" i="20"/>
  <c r="AQ74" i="3"/>
  <c r="J74" i="20" s="1"/>
  <c r="B37" i="20"/>
  <c r="I48" i="20"/>
  <c r="B27" i="20"/>
  <c r="B29" i="20"/>
  <c r="B30" i="20"/>
  <c r="B21" i="20"/>
  <c r="B36" i="20"/>
  <c r="B28" i="20"/>
  <c r="B24" i="20"/>
  <c r="B31" i="20"/>
  <c r="B20" i="20"/>
  <c r="B10" i="20"/>
  <c r="B26" i="20"/>
  <c r="B25" i="20"/>
  <c r="I39" i="20"/>
  <c r="AO439" i="3"/>
  <c r="AO438" i="3"/>
  <c r="B14" i="20"/>
  <c r="B35" i="20"/>
  <c r="B13" i="20"/>
  <c r="B15" i="20"/>
  <c r="B32" i="20"/>
  <c r="B33" i="20"/>
  <c r="B18" i="20"/>
  <c r="B34" i="20"/>
  <c r="B16" i="20"/>
  <c r="B12" i="20"/>
  <c r="B17" i="20"/>
  <c r="B22" i="20"/>
  <c r="B23" i="20"/>
  <c r="B19" i="20"/>
  <c r="B11" i="20"/>
  <c r="B38" i="20"/>
  <c r="I376" i="20"/>
  <c r="AQ358" i="3"/>
  <c r="J358" i="20" s="1"/>
  <c r="K358" i="20"/>
  <c r="AQ359" i="3"/>
  <c r="J359" i="20" s="1"/>
  <c r="K359" i="20"/>
  <c r="K360" i="20"/>
  <c r="AQ360" i="3"/>
  <c r="J360" i="20" s="1"/>
  <c r="I355" i="20"/>
  <c r="I406" i="20"/>
  <c r="AI428" i="3"/>
  <c r="AH455" i="3"/>
  <c r="K420" i="20"/>
  <c r="AQ431" i="3"/>
  <c r="J431" i="20" s="1"/>
  <c r="K431" i="20"/>
  <c r="K419" i="20"/>
  <c r="AQ419" i="3"/>
  <c r="J419" i="20" s="1"/>
  <c r="K432" i="20"/>
  <c r="K433" i="20"/>
  <c r="K421" i="20"/>
  <c r="AL267" i="3"/>
  <c r="AO267" i="3" s="1"/>
  <c r="AP267" i="3" s="1"/>
  <c r="AQ280" i="3"/>
  <c r="J280" i="20" s="1"/>
  <c r="K280" i="20"/>
  <c r="I244" i="20"/>
  <c r="K248" i="20"/>
  <c r="AQ248" i="3"/>
  <c r="J248" i="20" s="1"/>
  <c r="I276" i="20"/>
  <c r="AI270" i="3"/>
  <c r="AI434" i="3" s="1"/>
  <c r="AH449" i="3"/>
  <c r="AQ252" i="3"/>
  <c r="J252" i="20" s="1"/>
  <c r="K252" i="20"/>
  <c r="K279" i="20"/>
  <c r="AQ279" i="3"/>
  <c r="J279" i="20" s="1"/>
  <c r="I273" i="20"/>
  <c r="AQ281" i="3"/>
  <c r="J281" i="20" s="1"/>
  <c r="K281" i="20"/>
  <c r="AS361" i="3"/>
  <c r="AL361" i="3"/>
  <c r="AO361" i="3" s="1"/>
  <c r="AP361" i="3" s="1"/>
  <c r="J319" i="20"/>
  <c r="AR146" i="3" l="1"/>
  <c r="AR145" i="3"/>
  <c r="AR144" i="3"/>
  <c r="B284" i="19"/>
  <c r="AR363" i="3"/>
  <c r="AR362" i="3"/>
  <c r="AR361" i="3"/>
  <c r="AR269" i="3"/>
  <c r="AR268" i="3"/>
  <c r="AR267" i="3"/>
  <c r="B389" i="19"/>
  <c r="B395" i="19"/>
  <c r="U462" i="3"/>
  <c r="B123" i="19"/>
  <c r="U463" i="3"/>
  <c r="K43" i="20"/>
  <c r="K42" i="20"/>
  <c r="AQ42" i="3"/>
  <c r="J42" i="20" s="1"/>
  <c r="B84" i="19"/>
  <c r="K44" i="20"/>
  <c r="B397" i="19"/>
  <c r="B100" i="19"/>
  <c r="B336" i="19"/>
  <c r="B253" i="19"/>
  <c r="B222" i="19"/>
  <c r="B128" i="19"/>
  <c r="B156" i="19"/>
  <c r="B166" i="19"/>
  <c r="B176" i="19"/>
  <c r="B197" i="19"/>
  <c r="B217" i="19"/>
  <c r="B124" i="19"/>
  <c r="B144" i="19"/>
  <c r="B264" i="19"/>
  <c r="B292" i="19"/>
  <c r="B309" i="19"/>
  <c r="B322" i="19"/>
  <c r="B333" i="19"/>
  <c r="B240" i="19"/>
  <c r="B258" i="19"/>
  <c r="B276" i="19"/>
  <c r="B297" i="19"/>
  <c r="B303" i="19"/>
  <c r="B310" i="19"/>
  <c r="B317" i="19"/>
  <c r="B323" i="19"/>
  <c r="B329" i="19"/>
  <c r="B334" i="19"/>
  <c r="B230" i="19"/>
  <c r="B244" i="19"/>
  <c r="B254" i="19"/>
  <c r="B261" i="19"/>
  <c r="B266" i="19"/>
  <c r="B279" i="19"/>
  <c r="B299" i="19"/>
  <c r="B304" i="19"/>
  <c r="B312" i="19"/>
  <c r="B319" i="19"/>
  <c r="B324" i="19"/>
  <c r="B330" i="19"/>
  <c r="B335" i="19"/>
  <c r="B341" i="19"/>
  <c r="B346" i="19"/>
  <c r="B364" i="19"/>
  <c r="B379" i="19"/>
  <c r="B392" i="19"/>
  <c r="B401" i="19"/>
  <c r="B406" i="19"/>
  <c r="B411" i="19"/>
  <c r="B422" i="19"/>
  <c r="B320" i="19"/>
  <c r="B325" i="19"/>
  <c r="B331" i="19"/>
  <c r="B387" i="19"/>
  <c r="B349" i="19"/>
  <c r="B396" i="19"/>
  <c r="B283" i="19"/>
  <c r="B87" i="19"/>
  <c r="B78" i="19"/>
  <c r="B85" i="19"/>
  <c r="B227" i="19"/>
  <c r="B234" i="19"/>
  <c r="B249" i="19"/>
  <c r="B256" i="19"/>
  <c r="B263" i="19"/>
  <c r="B270" i="19"/>
  <c r="B291" i="19"/>
  <c r="B301" i="19"/>
  <c r="B308" i="19"/>
  <c r="B314" i="19"/>
  <c r="B321" i="19"/>
  <c r="B326" i="19"/>
  <c r="B332" i="19"/>
  <c r="B228" i="19"/>
  <c r="B237" i="19"/>
  <c r="B250" i="19"/>
  <c r="B370" i="19"/>
  <c r="B386" i="19"/>
  <c r="B398" i="19"/>
  <c r="B403" i="19"/>
  <c r="B408" i="19"/>
  <c r="B413" i="19"/>
  <c r="B428" i="19"/>
  <c r="B338" i="19"/>
  <c r="B344" i="19"/>
  <c r="B358" i="19"/>
  <c r="B373" i="19"/>
  <c r="B390" i="19"/>
  <c r="B399" i="19"/>
  <c r="B404" i="19"/>
  <c r="B409" i="19"/>
  <c r="B416" i="19"/>
  <c r="B431" i="19"/>
  <c r="B339" i="19"/>
  <c r="B345" i="19"/>
  <c r="B361" i="19"/>
  <c r="B376" i="19"/>
  <c r="B391" i="19"/>
  <c r="B400" i="19"/>
  <c r="B405" i="19"/>
  <c r="B410" i="19"/>
  <c r="B419" i="19"/>
  <c r="J434" i="19"/>
  <c r="B86" i="19"/>
  <c r="B92" i="19"/>
  <c r="B97" i="19"/>
  <c r="B103" i="19"/>
  <c r="B79" i="19"/>
  <c r="B89" i="19"/>
  <c r="B94" i="19"/>
  <c r="B99" i="19"/>
  <c r="B105" i="19"/>
  <c r="B110" i="19"/>
  <c r="B115" i="19"/>
  <c r="B120" i="19"/>
  <c r="B81" i="19"/>
  <c r="B90" i="19"/>
  <c r="B95" i="19"/>
  <c r="B101" i="19"/>
  <c r="B106" i="19"/>
  <c r="B111" i="19"/>
  <c r="B116" i="19"/>
  <c r="B121" i="19"/>
  <c r="B82" i="19"/>
  <c r="B91" i="19"/>
  <c r="B96" i="19"/>
  <c r="B102" i="19"/>
  <c r="B107" i="19"/>
  <c r="B112" i="19"/>
  <c r="B117" i="19"/>
  <c r="B122" i="19"/>
  <c r="B127" i="19"/>
  <c r="B138" i="19"/>
  <c r="B153" i="19"/>
  <c r="B160" i="19"/>
  <c r="B165" i="19"/>
  <c r="B170" i="19"/>
  <c r="B175" i="19"/>
  <c r="B180" i="19"/>
  <c r="B191" i="19"/>
  <c r="B108" i="19"/>
  <c r="B113" i="19"/>
  <c r="B118" i="19"/>
  <c r="B141" i="19"/>
  <c r="B161" i="19"/>
  <c r="B171" i="19"/>
  <c r="B181" i="19"/>
  <c r="B211" i="19"/>
  <c r="B223" i="19"/>
  <c r="B129" i="19"/>
  <c r="B257" i="19"/>
  <c r="B273" i="19"/>
  <c r="B302" i="19"/>
  <c r="B316" i="19"/>
  <c r="B328" i="19"/>
  <c r="B229" i="19"/>
  <c r="B251" i="19"/>
  <c r="B265" i="19"/>
  <c r="B388" i="19"/>
  <c r="B347" i="19"/>
  <c r="B385" i="19"/>
  <c r="B194" i="19"/>
  <c r="B342" i="19"/>
  <c r="B348" i="19"/>
  <c r="B367" i="19"/>
  <c r="B382" i="19"/>
  <c r="B393" i="19"/>
  <c r="B402" i="19"/>
  <c r="B407" i="19"/>
  <c r="B412" i="19"/>
  <c r="B425" i="19"/>
  <c r="B337" i="19"/>
  <c r="B343" i="19"/>
  <c r="B352" i="19"/>
  <c r="B318" i="19"/>
  <c r="B327" i="19"/>
  <c r="B355" i="19"/>
  <c r="B394" i="19"/>
  <c r="B200" i="19"/>
  <c r="B220" i="19"/>
  <c r="B80" i="19"/>
  <c r="B75" i="19"/>
  <c r="B88" i="19"/>
  <c r="B93" i="19"/>
  <c r="B98" i="19"/>
  <c r="B104" i="19"/>
  <c r="B109" i="19"/>
  <c r="B114" i="19"/>
  <c r="B119" i="19"/>
  <c r="B157" i="19"/>
  <c r="B162" i="19"/>
  <c r="B167" i="19"/>
  <c r="B172" i="19"/>
  <c r="B177" i="19"/>
  <c r="B182" i="19"/>
  <c r="B203" i="19"/>
  <c r="B212" i="19"/>
  <c r="B218" i="19"/>
  <c r="B224" i="19"/>
  <c r="B125" i="19"/>
  <c r="B132" i="19"/>
  <c r="B147" i="19"/>
  <c r="B158" i="19"/>
  <c r="B163" i="19"/>
  <c r="B168" i="19"/>
  <c r="B173" i="19"/>
  <c r="B178" i="19"/>
  <c r="B185" i="19"/>
  <c r="B206" i="19"/>
  <c r="B213" i="19"/>
  <c r="B219" i="19"/>
  <c r="B225" i="19"/>
  <c r="B126" i="19"/>
  <c r="B135" i="19"/>
  <c r="B150" i="19"/>
  <c r="B159" i="19"/>
  <c r="B164" i="19"/>
  <c r="B169" i="19"/>
  <c r="B174" i="19"/>
  <c r="B179" i="19"/>
  <c r="B188" i="19"/>
  <c r="B207" i="19"/>
  <c r="B214" i="19"/>
  <c r="B221" i="19"/>
  <c r="B226" i="19"/>
  <c r="B231" i="19"/>
  <c r="B248" i="19"/>
  <c r="B255" i="19"/>
  <c r="B262" i="19"/>
  <c r="B267" i="19"/>
  <c r="B290" i="19"/>
  <c r="B300" i="19"/>
  <c r="B307" i="19"/>
  <c r="B313" i="19"/>
  <c r="B208" i="19"/>
  <c r="B216" i="19"/>
  <c r="K234" i="20"/>
  <c r="AQ234" i="3"/>
  <c r="J234" i="20" s="1"/>
  <c r="K236" i="20"/>
  <c r="AQ236" i="3"/>
  <c r="J236" i="20" s="1"/>
  <c r="AQ235" i="3"/>
  <c r="J235" i="20" s="1"/>
  <c r="K235" i="20"/>
  <c r="AQ158" i="3"/>
  <c r="J158" i="20" s="1"/>
  <c r="K158" i="20"/>
  <c r="AS185" i="3"/>
  <c r="L185" i="20" s="1"/>
  <c r="AL185" i="3"/>
  <c r="AO185" i="3" s="1"/>
  <c r="AP185" i="3" s="1"/>
  <c r="K136" i="20"/>
  <c r="AQ136" i="3"/>
  <c r="J136" i="20" s="1"/>
  <c r="B245" i="19"/>
  <c r="AQ379" i="3"/>
  <c r="J379" i="20" s="1"/>
  <c r="K379" i="20"/>
  <c r="B246" i="19"/>
  <c r="B288" i="19"/>
  <c r="B294" i="19"/>
  <c r="K380" i="20"/>
  <c r="AQ380" i="3"/>
  <c r="J380" i="20" s="1"/>
  <c r="K381" i="20"/>
  <c r="AQ381" i="3"/>
  <c r="J381" i="20" s="1"/>
  <c r="B293" i="19"/>
  <c r="B210" i="19"/>
  <c r="B289" i="19"/>
  <c r="B287" i="19"/>
  <c r="B215" i="19"/>
  <c r="B298" i="19"/>
  <c r="B295" i="19"/>
  <c r="B306" i="19"/>
  <c r="B243" i="19"/>
  <c r="B247" i="19"/>
  <c r="B286" i="19"/>
  <c r="B209" i="19"/>
  <c r="B285" i="19"/>
  <c r="B305" i="19"/>
  <c r="B315" i="19"/>
  <c r="B311" i="19"/>
  <c r="B282" i="19"/>
  <c r="B296" i="19"/>
  <c r="B252" i="19"/>
  <c r="AQ134" i="3"/>
  <c r="J134" i="20" s="1"/>
  <c r="K134" i="20"/>
  <c r="K133" i="20"/>
  <c r="AQ133" i="3"/>
  <c r="J133" i="20" s="1"/>
  <c r="AQ132" i="3"/>
  <c r="J132" i="20" s="1"/>
  <c r="K132" i="20"/>
  <c r="K350" i="20"/>
  <c r="AQ349" i="3"/>
  <c r="J349" i="20" s="1"/>
  <c r="K349" i="20"/>
  <c r="K351" i="20"/>
  <c r="AQ230" i="3"/>
  <c r="J230" i="20" s="1"/>
  <c r="K230" i="20"/>
  <c r="AL237" i="3"/>
  <c r="AO237" i="3" s="1"/>
  <c r="AP237" i="3" s="1"/>
  <c r="AS237" i="3"/>
  <c r="L237" i="20" s="1"/>
  <c r="K415" i="20"/>
  <c r="AQ415" i="3"/>
  <c r="J415" i="20" s="1"/>
  <c r="AQ414" i="3"/>
  <c r="J414" i="20" s="1"/>
  <c r="K414" i="20"/>
  <c r="AQ413" i="3"/>
  <c r="J413" i="20" s="1"/>
  <c r="K413" i="20"/>
  <c r="K375" i="20"/>
  <c r="I144" i="20"/>
  <c r="AO442" i="3"/>
  <c r="AO441" i="3"/>
  <c r="K373" i="20"/>
  <c r="AQ373" i="3"/>
  <c r="J373" i="20" s="1"/>
  <c r="K374" i="20"/>
  <c r="AQ48" i="3"/>
  <c r="J48" i="20" s="1"/>
  <c r="K48" i="20"/>
  <c r="AQ76" i="3"/>
  <c r="J76" i="20" s="1"/>
  <c r="K76" i="20"/>
  <c r="K49" i="20"/>
  <c r="AQ49" i="3"/>
  <c r="J49" i="20" s="1"/>
  <c r="K75" i="20"/>
  <c r="AQ75" i="3"/>
  <c r="J75" i="20" s="1"/>
  <c r="K50" i="20"/>
  <c r="AQ50" i="3"/>
  <c r="J50" i="20" s="1"/>
  <c r="AQ77" i="3"/>
  <c r="J77" i="20" s="1"/>
  <c r="K77" i="20"/>
  <c r="K41" i="20"/>
  <c r="K40" i="20"/>
  <c r="AQ39" i="3"/>
  <c r="J39" i="20" s="1"/>
  <c r="K39" i="20"/>
  <c r="AQ376" i="3"/>
  <c r="J376" i="20" s="1"/>
  <c r="K376" i="20"/>
  <c r="K378" i="20"/>
  <c r="AQ378" i="3"/>
  <c r="J378" i="20" s="1"/>
  <c r="AQ377" i="3"/>
  <c r="J377" i="20" s="1"/>
  <c r="K377" i="20"/>
  <c r="K357" i="20"/>
  <c r="AQ355" i="3"/>
  <c r="J355" i="20" s="1"/>
  <c r="K355" i="20"/>
  <c r="K356" i="20"/>
  <c r="AS428" i="3"/>
  <c r="L428" i="20" s="1"/>
  <c r="AL428" i="3"/>
  <c r="AO428" i="3" s="1"/>
  <c r="AP428" i="3" s="1"/>
  <c r="AQ406" i="3"/>
  <c r="J406" i="20" s="1"/>
  <c r="K406" i="20"/>
  <c r="I267" i="20"/>
  <c r="AQ274" i="3"/>
  <c r="J274" i="20" s="1"/>
  <c r="K274" i="20"/>
  <c r="K276" i="20"/>
  <c r="AQ276" i="3"/>
  <c r="J276" i="20" s="1"/>
  <c r="AQ244" i="3"/>
  <c r="J244" i="20" s="1"/>
  <c r="K244" i="20"/>
  <c r="K275" i="20"/>
  <c r="AQ275" i="3"/>
  <c r="J275" i="20" s="1"/>
  <c r="AS270" i="3"/>
  <c r="L270" i="20" s="1"/>
  <c r="AL270" i="3"/>
  <c r="AO270" i="3" s="1"/>
  <c r="AP270" i="3" s="1"/>
  <c r="AQ278" i="3"/>
  <c r="J278" i="20" s="1"/>
  <c r="K278" i="20"/>
  <c r="K273" i="20"/>
  <c r="AQ273" i="3"/>
  <c r="J273" i="20" s="1"/>
  <c r="K277" i="20"/>
  <c r="AQ277" i="3"/>
  <c r="J277" i="20" s="1"/>
  <c r="AQ267" i="3"/>
  <c r="J267" i="20" s="1"/>
  <c r="K268" i="20"/>
  <c r="L361" i="20"/>
  <c r="I361" i="20"/>
  <c r="AP436" i="3"/>
  <c r="AO453" i="3"/>
  <c r="AO454" i="3"/>
  <c r="AR430" i="3" l="1"/>
  <c r="AR429" i="3"/>
  <c r="AR428" i="3"/>
  <c r="AR239" i="3"/>
  <c r="AR238" i="3"/>
  <c r="AR237" i="3"/>
  <c r="AR272" i="3"/>
  <c r="AR271" i="3"/>
  <c r="AR270" i="3"/>
  <c r="AR187" i="3"/>
  <c r="AR186" i="3"/>
  <c r="AR185" i="3"/>
  <c r="AP435" i="3"/>
  <c r="AS458" i="3"/>
  <c r="I185" i="20"/>
  <c r="AO445" i="3"/>
  <c r="AO444" i="3"/>
  <c r="AS461" i="3"/>
  <c r="AS460" i="3"/>
  <c r="AS459" i="3"/>
  <c r="I237" i="20"/>
  <c r="AO448" i="3"/>
  <c r="AO447" i="3"/>
  <c r="K267" i="20"/>
  <c r="AQ145" i="3"/>
  <c r="J145" i="20" s="1"/>
  <c r="K145" i="20"/>
  <c r="AQ146" i="3"/>
  <c r="J146" i="20" s="1"/>
  <c r="K146" i="20"/>
  <c r="AQ144" i="3"/>
  <c r="J144" i="20" s="1"/>
  <c r="K144" i="20"/>
  <c r="B66" i="20"/>
  <c r="B178" i="20"/>
  <c r="B69" i="20"/>
  <c r="B165" i="20"/>
  <c r="B174" i="20"/>
  <c r="B42" i="20"/>
  <c r="B147" i="20"/>
  <c r="B172" i="20"/>
  <c r="B104" i="20"/>
  <c r="B114" i="20"/>
  <c r="B54" i="20"/>
  <c r="B157" i="20"/>
  <c r="B103" i="20"/>
  <c r="B75" i="20"/>
  <c r="B123" i="20"/>
  <c r="B72" i="20"/>
  <c r="B58" i="20"/>
  <c r="B89" i="20"/>
  <c r="B175" i="20"/>
  <c r="B79" i="20"/>
  <c r="B57" i="20"/>
  <c r="B119" i="20"/>
  <c r="B78" i="20"/>
  <c r="B173" i="20"/>
  <c r="B127" i="20"/>
  <c r="B171" i="20"/>
  <c r="B95" i="20"/>
  <c r="B105" i="20"/>
  <c r="B108" i="20"/>
  <c r="B83" i="20"/>
  <c r="B120" i="20"/>
  <c r="B87" i="20"/>
  <c r="B128" i="20"/>
  <c r="B85" i="20"/>
  <c r="B59" i="20"/>
  <c r="B124" i="20"/>
  <c r="B80" i="20"/>
  <c r="B117" i="20"/>
  <c r="B45" i="20"/>
  <c r="B166" i="20"/>
  <c r="B182" i="20"/>
  <c r="B181" i="20"/>
  <c r="B125" i="20"/>
  <c r="B101" i="20"/>
  <c r="B60" i="20"/>
  <c r="B180" i="20"/>
  <c r="B55" i="20"/>
  <c r="B167" i="20"/>
  <c r="B90" i="20"/>
  <c r="B96" i="20"/>
  <c r="B177" i="20"/>
  <c r="B91" i="20"/>
  <c r="B92" i="20"/>
  <c r="B159" i="20"/>
  <c r="B106" i="20"/>
  <c r="B39" i="20"/>
  <c r="B129" i="20"/>
  <c r="B138" i="20"/>
  <c r="B150" i="20"/>
  <c r="B163" i="20"/>
  <c r="B99" i="20"/>
  <c r="B162" i="20"/>
  <c r="B53" i="20"/>
  <c r="B94" i="20"/>
  <c r="B158" i="20"/>
  <c r="B161" i="20"/>
  <c r="B164" i="20"/>
  <c r="B135" i="20"/>
  <c r="B97" i="20"/>
  <c r="B170" i="20"/>
  <c r="B93" i="20"/>
  <c r="B98" i="20"/>
  <c r="B132" i="20"/>
  <c r="B122" i="20"/>
  <c r="B118" i="20"/>
  <c r="B48" i="20"/>
  <c r="B112" i="20"/>
  <c r="B160" i="20"/>
  <c r="B169" i="20"/>
  <c r="B115" i="20"/>
  <c r="B179" i="20"/>
  <c r="B113" i="20"/>
  <c r="B88" i="20"/>
  <c r="B144" i="20"/>
  <c r="B109" i="20"/>
  <c r="B153" i="20"/>
  <c r="B102" i="20"/>
  <c r="B168" i="20"/>
  <c r="B51" i="20"/>
  <c r="B141" i="20"/>
  <c r="B116" i="20"/>
  <c r="B56" i="20"/>
  <c r="B81" i="20"/>
  <c r="B126" i="20"/>
  <c r="B100" i="20"/>
  <c r="B52" i="20"/>
  <c r="B82" i="20"/>
  <c r="B176" i="20"/>
  <c r="B86" i="20"/>
  <c r="B84" i="20"/>
  <c r="B121" i="20"/>
  <c r="B156" i="20"/>
  <c r="B110" i="20"/>
  <c r="B111" i="20"/>
  <c r="B107" i="20"/>
  <c r="B63" i="20"/>
  <c r="I428" i="20"/>
  <c r="AO457" i="3"/>
  <c r="AO456" i="3"/>
  <c r="K269" i="20"/>
  <c r="I270" i="20"/>
  <c r="AO450" i="3"/>
  <c r="AO451" i="3"/>
  <c r="K361" i="20"/>
  <c r="AQ361" i="3"/>
  <c r="K362" i="20"/>
  <c r="K363" i="20"/>
  <c r="AQ185" i="3" l="1"/>
  <c r="J185" i="20" s="1"/>
  <c r="K185" i="20"/>
  <c r="K187" i="20"/>
  <c r="K186" i="20"/>
  <c r="K239" i="20"/>
  <c r="AQ239" i="3"/>
  <c r="J239" i="20" s="1"/>
  <c r="AQ238" i="3"/>
  <c r="J238" i="20" s="1"/>
  <c r="K238" i="20"/>
  <c r="K237" i="20"/>
  <c r="AQ237" i="3"/>
  <c r="J237" i="20" s="1"/>
  <c r="AQ430" i="3"/>
  <c r="J430" i="20" s="1"/>
  <c r="K430" i="20"/>
  <c r="AQ428" i="3"/>
  <c r="J428" i="20" s="1"/>
  <c r="K428" i="20"/>
  <c r="K429" i="20"/>
  <c r="AQ429" i="3"/>
  <c r="J429" i="20" s="1"/>
  <c r="AQ271" i="3"/>
  <c r="J271" i="20" s="1"/>
  <c r="K271" i="20"/>
  <c r="K272" i="20"/>
  <c r="AQ272" i="3"/>
  <c r="J272" i="20" s="1"/>
  <c r="AQ270" i="3"/>
  <c r="J270" i="20" s="1"/>
  <c r="K270" i="20"/>
  <c r="I434" i="20"/>
  <c r="J361" i="20"/>
  <c r="AS463" i="3"/>
  <c r="AS462" i="3"/>
  <c r="B231" i="20" l="1"/>
  <c r="B214" i="20"/>
  <c r="B210" i="20"/>
  <c r="B206" i="20"/>
  <c r="B227" i="20"/>
  <c r="B215" i="20"/>
  <c r="B217" i="20"/>
  <c r="B225" i="20"/>
  <c r="B212" i="20"/>
  <c r="B211" i="20"/>
  <c r="B219" i="20"/>
  <c r="B223" i="20"/>
  <c r="B188" i="20"/>
  <c r="B208" i="20"/>
  <c r="B221" i="20"/>
  <c r="B200" i="20"/>
  <c r="B207" i="20"/>
  <c r="B213" i="20"/>
  <c r="B226" i="20"/>
  <c r="B229" i="20"/>
  <c r="B220" i="20"/>
  <c r="B218" i="20"/>
  <c r="B209" i="20"/>
  <c r="B191" i="20"/>
  <c r="B194" i="20"/>
  <c r="B234" i="20"/>
  <c r="B222" i="20"/>
  <c r="B228" i="20"/>
  <c r="B203" i="20"/>
  <c r="B224" i="20"/>
  <c r="B230" i="20"/>
  <c r="B197" i="20"/>
  <c r="B216" i="20"/>
  <c r="B185" i="20"/>
  <c r="B243" i="20"/>
  <c r="B244" i="20"/>
  <c r="B250" i="20"/>
  <c r="B257" i="20"/>
  <c r="B261" i="20"/>
  <c r="B256" i="20"/>
  <c r="B258" i="20"/>
  <c r="B237" i="20"/>
  <c r="B264" i="20"/>
  <c r="B266" i="20"/>
  <c r="B254" i="20"/>
  <c r="B263" i="20"/>
  <c r="B247" i="20"/>
  <c r="B253" i="20"/>
  <c r="B240" i="20"/>
  <c r="B251" i="20"/>
  <c r="B246" i="20"/>
  <c r="B245" i="20"/>
  <c r="B265" i="20"/>
  <c r="B248" i="20"/>
  <c r="B252" i="20"/>
  <c r="B262" i="20"/>
  <c r="B249" i="20"/>
  <c r="B255" i="20"/>
  <c r="B267" i="20"/>
  <c r="B331" i="20"/>
  <c r="B355" i="20"/>
  <c r="B347" i="20"/>
  <c r="B349" i="20"/>
  <c r="B321" i="20"/>
  <c r="B337" i="20"/>
  <c r="B329" i="20"/>
  <c r="B344" i="20"/>
  <c r="B322" i="20"/>
  <c r="B328" i="20"/>
  <c r="B334" i="20"/>
  <c r="B332" i="20"/>
  <c r="B338" i="20"/>
  <c r="B326" i="20"/>
  <c r="B333" i="20"/>
  <c r="B320" i="20"/>
  <c r="B345" i="20"/>
  <c r="B327" i="20"/>
  <c r="B352" i="20"/>
  <c r="B343" i="20"/>
  <c r="B339" i="20"/>
  <c r="B325" i="20"/>
  <c r="B336" i="20"/>
  <c r="B323" i="20"/>
  <c r="B358" i="20"/>
  <c r="B324" i="20"/>
  <c r="B341" i="20"/>
  <c r="B342" i="20"/>
  <c r="B335" i="20"/>
  <c r="B346" i="20"/>
  <c r="B340" i="20"/>
  <c r="B330" i="20"/>
  <c r="B348" i="20"/>
  <c r="B319" i="20"/>
  <c r="B307" i="20"/>
  <c r="B310" i="20"/>
  <c r="B295" i="20"/>
  <c r="B312" i="20"/>
  <c r="B309" i="20"/>
  <c r="B300" i="20"/>
  <c r="B315" i="20"/>
  <c r="B270" i="20"/>
  <c r="B317" i="20"/>
  <c r="B301" i="20"/>
  <c r="B288" i="20"/>
  <c r="B302" i="20"/>
  <c r="B291" i="20"/>
  <c r="B279" i="20"/>
  <c r="B296" i="20"/>
  <c r="B299" i="20"/>
  <c r="B290" i="20"/>
  <c r="B306" i="20"/>
  <c r="B286" i="20"/>
  <c r="B294" i="20"/>
  <c r="B283" i="20"/>
  <c r="B287" i="20"/>
  <c r="B292" i="20"/>
  <c r="B316" i="20"/>
  <c r="B276" i="20"/>
  <c r="B273" i="20"/>
  <c r="B313" i="20"/>
  <c r="B285" i="20"/>
  <c r="B304" i="20"/>
  <c r="B298" i="20"/>
  <c r="B318" i="20"/>
  <c r="B282" i="20"/>
  <c r="B284" i="20"/>
  <c r="B303" i="20"/>
  <c r="B305" i="20"/>
  <c r="B293" i="20"/>
  <c r="B314" i="20"/>
  <c r="B311" i="20"/>
  <c r="B289" i="20"/>
  <c r="B297" i="20"/>
  <c r="B308" i="20"/>
  <c r="B389" i="20"/>
  <c r="B394" i="20"/>
  <c r="B396" i="20"/>
  <c r="B390" i="20"/>
  <c r="B409" i="20"/>
  <c r="B376" i="20"/>
  <c r="B399" i="20"/>
  <c r="B410" i="20"/>
  <c r="B404" i="20"/>
  <c r="B408" i="20"/>
  <c r="B395" i="20"/>
  <c r="B364" i="20"/>
  <c r="B431" i="20"/>
  <c r="B419" i="20"/>
  <c r="B401" i="20"/>
  <c r="B405" i="20"/>
  <c r="B406" i="20"/>
  <c r="B422" i="20"/>
  <c r="B393" i="20"/>
  <c r="B387" i="20"/>
  <c r="B425" i="20"/>
  <c r="B392" i="20"/>
  <c r="B370" i="20"/>
  <c r="B397" i="20"/>
  <c r="B413" i="20"/>
  <c r="B373" i="20"/>
  <c r="B411" i="20"/>
  <c r="B402" i="20"/>
  <c r="B400" i="20"/>
  <c r="B382" i="20"/>
  <c r="B403" i="20"/>
  <c r="B385" i="20"/>
  <c r="B361" i="20"/>
  <c r="B428" i="20"/>
  <c r="B379" i="20"/>
  <c r="B391" i="20"/>
  <c r="B412" i="20"/>
  <c r="B398" i="20"/>
  <c r="B367" i="20"/>
  <c r="B388" i="20"/>
  <c r="B416" i="20"/>
  <c r="B386" i="20"/>
  <c r="B407" i="20"/>
</calcChain>
</file>

<file path=xl/comments1.xml><?xml version="1.0" encoding="utf-8"?>
<comments xmlns="http://schemas.openxmlformats.org/spreadsheetml/2006/main">
  <authors>
    <author>petuhov.am</author>
    <author>1</author>
  </authors>
  <commentLis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Уменьшена мощность трансформатора с 2,5 МВА до 1,6 МВА (2012 г)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 Мощность трансформатора уменьшена с 2,5 МВА до 1,6 МВА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1,6 до 1,8 (2012 г.)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1 МВА до 1,6 МВА (2012 г.)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 Мощность трансформатора уменьшена с 4 МВА до 1,6 МВА</t>
        </r>
      </text>
    </comment>
    <comment ref="D52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 Мощность трансформатора увеличена с 1,6 МВА до 2,5 МВА</t>
        </r>
      </text>
    </comment>
    <comment ref="D53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Трансформаторы поменялись местами.</t>
        </r>
      </text>
    </comment>
    <comment ref="F53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Трансформаторы поменялиись местами.</t>
        </r>
      </text>
    </comment>
    <comment ref="D84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ТР-РА: с 0,56 до 2,5 МВА (20.01.2011)</t>
        </r>
      </text>
    </comment>
    <comment ref="AB84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ТР-РА: с 0,56 до 2,5 МВА (20.01.2011)</t>
        </r>
      </text>
    </comment>
    <comment ref="D103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УМЕНЬШЕНА МОЩНОСТЬ ТР-РА с 6,3 до 2,5 МВА (20.01.2011)</t>
        </r>
      </text>
    </comment>
    <comment ref="F103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УМЕНЬШЕНА МОЩНОСТЬ ТР-РА с 6,3 до 2,5 МВА (20.11.2011)</t>
        </r>
      </text>
    </comment>
    <comment ref="AB103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УМЕНЬШЕНА МОЩНОСТЬ ТР-РА с 6,3 до 2,5 МВА (20.01.2011)</t>
        </r>
      </text>
    </comment>
    <comment ref="AD103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УМЕНЬШЕНА МОЩНОСТЬ ТР-РА с 6,3 до 2,5 МВА (20.11.2011)</t>
        </r>
      </text>
    </comment>
    <comment ref="D109" authorId="0">
      <text>
        <r>
          <rPr>
            <b/>
            <sz val="8"/>
            <color indexed="81"/>
            <rFont val="Tahoma"/>
            <family val="2"/>
            <charset val="204"/>
          </rPr>
          <t>Сгорел трансформатор, уменьшена мощность с 3,2 до 2,5 МВА 2012</t>
        </r>
      </text>
    </comment>
    <comment ref="AB109" authorId="0">
      <text>
        <r>
          <rPr>
            <b/>
            <sz val="8"/>
            <color indexed="81"/>
            <rFont val="Tahoma"/>
            <family val="2"/>
            <charset val="204"/>
          </rPr>
          <t>Сгорел трансформатор, уменьшена мощность с 3,2 до 2,5 МВА</t>
        </r>
      </text>
    </comment>
    <comment ref="D1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Откорректировано в соответсвии с нормальной схемой электрических соединений объектов электросетевого хозяйства Филиала, утвержденного 26.12.2011 г. </t>
        </r>
      </text>
    </comment>
    <comment ref="F1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Откорректировано в соответсвии с нормальной схемой электрических соединений объектов электросетевого хозяйства Филиала, утвержденного 26.12.2011 г.  </t>
        </r>
      </text>
    </comment>
    <comment ref="AJ156" authorId="1">
      <text>
        <r>
          <rPr>
            <sz val="8"/>
            <color indexed="81"/>
            <rFont val="Tahoma"/>
            <family val="2"/>
            <charset val="204"/>
          </rPr>
          <t xml:space="preserve">Перевод нагрузки по 6 кВ на ПС Кимры
</t>
        </r>
      </text>
    </comment>
    <comment ref="AJ189" authorId="1">
      <text>
        <r>
          <rPr>
            <sz val="8"/>
            <color indexed="81"/>
            <rFont val="Tahoma"/>
            <family val="2"/>
            <charset val="204"/>
          </rPr>
          <t>ОТКЛЮЧЕНИЕ В-35 Т-1 И Т-2 И  перевод питания Т-2 35 кВ с ПС В.Троица на ПС Роща
( ПС Уницы Т-1 + Савцино Т-1 Т-2) +
 перевод питания Т-1 35 кВ 
с ПС В.Троица на ПС Ильинское</t>
        </r>
      </text>
    </comment>
    <comment ref="AJ192" authorId="1">
      <text>
        <r>
          <rPr>
            <sz val="8"/>
            <color indexed="81"/>
            <rFont val="Tahoma"/>
            <family val="2"/>
            <charset val="204"/>
          </rPr>
          <t xml:space="preserve">Отключение В-35 Т-2  и
Перевод нагрузки Т-1 ПС Стоянцы с ПС  Горицы на ПС 35 кВ Ильиское
</t>
        </r>
      </text>
    </comment>
    <comment ref="F197" authorId="0">
      <text>
        <r>
          <rPr>
            <b/>
            <sz val="8"/>
            <color indexed="81"/>
            <rFont val="Tahoma"/>
            <family val="2"/>
            <charset val="204"/>
          </rPr>
          <t>Трансформатор 16 МВА заменен на трансформатор 25 МВА в августе 2011</t>
        </r>
      </text>
    </comment>
    <comment ref="AD197" authorId="0">
      <text>
        <r>
          <rPr>
            <b/>
            <sz val="8"/>
            <color indexed="81"/>
            <rFont val="Tahoma"/>
            <family val="2"/>
            <charset val="204"/>
          </rPr>
          <t>Трансформатор 16 МВА заменен на трансформатор 25 МВА в августе 2011</t>
        </r>
      </text>
    </comment>
    <comment ref="AJ198" authorId="1">
      <text>
        <r>
          <rPr>
            <sz val="8"/>
            <color indexed="81"/>
            <rFont val="Tahoma"/>
            <family val="2"/>
            <charset val="204"/>
          </rPr>
          <t xml:space="preserve">Перевод нагрузки Т-1 ПС К.Демьяновская на ПС Роща по ВЛ 35 кВ Роща-К.Демьяновская
</t>
        </r>
      </text>
    </comment>
    <comment ref="AJ201" authorId="1">
      <text>
        <r>
          <rPr>
            <sz val="8"/>
            <color indexed="81"/>
            <rFont val="Tahoma"/>
            <family val="2"/>
            <charset val="204"/>
          </rPr>
          <t xml:space="preserve">Перевод нагрузки Т-1  ПС Стоянцы
</t>
        </r>
      </text>
    </comment>
    <comment ref="AJ204" authorId="1">
      <text>
        <r>
          <rPr>
            <sz val="8"/>
            <color indexed="81"/>
            <rFont val="Tahoma"/>
            <family val="2"/>
            <charset val="204"/>
          </rPr>
          <t xml:space="preserve">Перевод нагрузки Т-2 ПС К.Демьяновская на ПС Простор по ВЛ 35 кВ Простор-К.Демьяновская
</t>
        </r>
      </text>
    </comment>
    <comment ref="D215" authorId="0">
      <text>
        <r>
          <rPr>
            <b/>
            <sz val="8"/>
            <color indexed="81"/>
            <rFont val="Tahoma"/>
            <family val="2"/>
            <charset val="204"/>
          </rPr>
          <t>Откорректировано в соответсвии с нормальной схемой электрических соединений объектов электросетевого хозяйства Филиала, утвержденного 26.12.2011 г.  Мощность трансформатора уменьшена с 1,6 МВА до 1 МВА</t>
        </r>
      </text>
    </comment>
    <comment ref="F227" authorId="0">
      <text>
        <r>
          <rPr>
            <b/>
            <sz val="8"/>
            <color indexed="81"/>
            <rFont val="Tahoma"/>
            <family val="2"/>
            <charset val="204"/>
          </rPr>
          <t>лектрических соединений объектов электросетевого хозяйства Филиала, утвержденного 26.12.2011 г.  Мощность трансформатора увеличена с 1,6 МВА до 2,5 МВА</t>
        </r>
      </text>
    </comment>
    <comment ref="D228" authorId="0">
      <text>
        <r>
          <rPr>
            <b/>
            <sz val="8"/>
            <color indexed="81"/>
            <rFont val="Tahoma"/>
            <family val="2"/>
            <charset val="204"/>
          </rPr>
          <t>лектрических соединений объектов электросетевого хозяйства Филиала, утвержденного 26.12.2011 г.  Мощность трансформатора увеличена с 1,6 МВА до 3,2 МВА</t>
        </r>
      </text>
    </comment>
    <comment ref="F228" authorId="0">
      <text>
        <r>
          <rPr>
            <b/>
            <sz val="8"/>
            <color indexed="81"/>
            <rFont val="Tahoma"/>
            <family val="2"/>
            <charset val="204"/>
          </rPr>
          <t>лектрических соединений объектов электросетевого хозяйства Филиала, утвержденного 26.12.2011 г.  Мощность трансформатора увеличена с 1,6 МВА до 4 МВА</t>
        </r>
      </text>
    </comment>
    <comment ref="D240" authorId="0">
      <text>
        <r>
          <rPr>
            <b/>
            <sz val="8"/>
            <color indexed="81"/>
            <rFont val="Tahoma"/>
            <family val="2"/>
            <charset val="204"/>
          </rPr>
          <t>Транформатор заменен в июне 2011 г.</t>
        </r>
      </text>
    </comment>
    <comment ref="D316" authorId="0">
      <text>
        <r>
          <rPr>
            <b/>
            <sz val="8"/>
            <color indexed="81"/>
            <rFont val="Tahoma"/>
            <family val="2"/>
            <charset val="204"/>
          </rPr>
          <t>Трансформатор заменен на 4 МВА в августе 2011</t>
        </r>
      </text>
    </comment>
    <comment ref="F316" authorId="0">
      <text>
        <r>
          <rPr>
            <b/>
            <sz val="8"/>
            <color indexed="81"/>
            <rFont val="Tahoma"/>
            <family val="2"/>
            <charset val="204"/>
          </rPr>
          <t>Транформатор заменен в июне 2011 г.</t>
        </r>
      </text>
    </comment>
    <comment ref="AB316" authorId="0">
      <text>
        <r>
          <rPr>
            <b/>
            <sz val="8"/>
            <color indexed="81"/>
            <rFont val="Tahoma"/>
            <family val="2"/>
            <charset val="204"/>
          </rPr>
          <t>Трансформатор заменен в августе 2011</t>
        </r>
      </text>
    </comment>
    <comment ref="D320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4 до 6,3 МВА 01.2012</t>
        </r>
      </text>
    </comment>
    <comment ref="AB320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4 до 6,3 МВА</t>
        </r>
      </text>
    </comment>
    <comment ref="D325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ТРАНСФОРМАТОРА С 4 до 6,3 МВА (20.11.2011)</t>
        </r>
      </text>
    </comment>
    <comment ref="F325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ТР-РА с 4 до 6,3 МВА (20.11.2011)</t>
        </r>
      </text>
    </comment>
    <comment ref="AB325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ТРАНСФОРМАТОРА С 4 до 6,3 МВА (20.11.2011)</t>
        </r>
      </text>
    </comment>
    <comment ref="AD325" authorId="0">
      <text>
        <r>
          <rPr>
            <b/>
            <sz val="8"/>
            <color indexed="81"/>
            <rFont val="Tahoma"/>
            <family val="2"/>
            <charset val="204"/>
          </rPr>
          <t>petuhov.am:</t>
        </r>
        <r>
          <rPr>
            <sz val="8"/>
            <color indexed="81"/>
            <rFont val="Tahoma"/>
            <family val="2"/>
            <charset val="204"/>
          </rPr>
          <t xml:space="preserve">
УВЕЛИЧЕНА МОЩНОСТЬ ТР-РА с 4 до 6,3 МВА (20.11.2011)</t>
        </r>
      </text>
    </comment>
    <comment ref="F3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Мощность трансформатора увеличена с 4 до 6,3 МВА 08.2012 </t>
        </r>
      </text>
    </comment>
    <comment ref="AD327" authorId="0">
      <text>
        <r>
          <rPr>
            <b/>
            <sz val="8"/>
            <color indexed="81"/>
            <rFont val="Tahoma"/>
            <family val="2"/>
            <charset val="204"/>
          </rPr>
          <t>Мощность трансформатора увеличена с 4 до 6,3 МВА 08.2012</t>
        </r>
      </text>
    </comment>
    <comment ref="F328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4 МВА до 6,3 МВА (2012 г.)</t>
        </r>
      </text>
    </comment>
    <comment ref="F336" authorId="0">
      <text>
        <r>
          <rPr>
            <b/>
            <sz val="8"/>
            <color indexed="81"/>
            <rFont val="Tahoma"/>
            <family val="2"/>
            <charset val="204"/>
          </rPr>
          <t>Замена выполнена в 2012 г. Мощность трансформатора увеличена с 4 МВА до 10 МВА</t>
        </r>
      </text>
    </comment>
    <comment ref="F343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с 6,3 до 10 МВА 08.2012</t>
        </r>
      </text>
    </comment>
    <comment ref="AD343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с 6,3 до 10 МВА 08.2012</t>
        </r>
      </text>
    </comment>
    <comment ref="D345" authorId="0">
      <text>
        <r>
          <rPr>
            <b/>
            <sz val="8"/>
            <color indexed="81"/>
            <rFont val="Tahoma"/>
            <family val="2"/>
            <charset val="204"/>
          </rPr>
          <t>Мощность трансформатора увеличена с 2 до 4 МВА 01.2012</t>
        </r>
      </text>
    </comment>
    <comment ref="AB345" authorId="0">
      <text>
        <r>
          <rPr>
            <b/>
            <sz val="8"/>
            <color indexed="81"/>
            <rFont val="Tahoma"/>
            <family val="2"/>
            <charset val="204"/>
          </rPr>
          <t>Мощность трансформатора увеличена с 2 до 4 МВА 01.2012</t>
        </r>
      </text>
    </comment>
    <comment ref="D419" authorId="0">
      <text>
        <r>
          <rPr>
            <b/>
            <sz val="8"/>
            <color indexed="81"/>
            <rFont val="Tahoma"/>
            <family val="2"/>
            <charset val="204"/>
          </rPr>
          <t>Увеличена мощность трансформатора с 25 МВА до 40 МВА (2012 г.)</t>
        </r>
      </text>
    </comment>
  </commentList>
</comments>
</file>

<file path=xl/sharedStrings.xml><?xml version="1.0" encoding="utf-8"?>
<sst xmlns="http://schemas.openxmlformats.org/spreadsheetml/2006/main" count="8889" uniqueCount="3575">
  <si>
    <t>логистический комплекс_Калининский район, Бурашевское с/п, в районе дер. Садыково</t>
  </si>
  <si>
    <t>СНТ "Сосновый берег"</t>
  </si>
  <si>
    <t xml:space="preserve">СНТ_Тверская область, Старицкий район, Васильевское с/п, вблизи д. Волга </t>
  </si>
  <si>
    <t>таблица 2</t>
  </si>
  <si>
    <t>СНТ "Камвольщик"</t>
  </si>
  <si>
    <t>Тверская область, Калининский район, Каблуковское с/п, д. Мишнево</t>
  </si>
  <si>
    <t>Яковенко Дмитрий Владимирович</t>
  </si>
  <si>
    <t>земельный участок с кадастровым номером №60:11:0000019:0130_Тверская область, Калязинский район, Алферовское с/п,д. Малое плутково</t>
  </si>
  <si>
    <t>земельный участок с кадастровым номером №60:11:0000019:011_Тверская область, Калязинский район, Алферовское с/п,д. Малое плутково</t>
  </si>
  <si>
    <t>ООО "Тоталойл-Тверь"</t>
  </si>
  <si>
    <t>автозаправочный комплекс_Тверская область, Бологовский район, п. Старое Хотилово, 328 км лево автодороги Москва-Санкт-Петербург</t>
  </si>
  <si>
    <t>ДНТ "Лежнево"</t>
  </si>
  <si>
    <t>Тверская область, Осташковский район, Святосельское с/п, д. Лежнево,д. 30</t>
  </si>
  <si>
    <t>Колхоз "Мир"</t>
  </si>
  <si>
    <t>жилой дом_Тверская область, Торжоксий район, п. Мирный</t>
  </si>
  <si>
    <t>ООО "Агроинвест"</t>
  </si>
  <si>
    <t>коттеджный поселок_Тверская область, Калязинский район, Нерльское с/п, район д. Юряхино</t>
  </si>
  <si>
    <t>СНТ "Эра"</t>
  </si>
  <si>
    <t>Тверская область, Калязинский район, Алферовское с/п, дер. Благуново</t>
  </si>
  <si>
    <t>вводное устройство АЗС_Тверская область, п. Молоково, ул. 50 лет Победы</t>
  </si>
  <si>
    <t>Михайлова Вера Васильевна</t>
  </si>
  <si>
    <t>жилой дом_участок находится примерно в 36 м от ориентира по направлению на северо-восток. Почновый адрес ориентира: Тверская область, Селижаровский район, Оковецкое с/п,д. Повадино, д. 2.</t>
  </si>
  <si>
    <t>Летников А.Н.</t>
  </si>
  <si>
    <t>дачный поселок_Тверская область, Конаковский район, Завидовское с/п, д. Концево</t>
  </si>
  <si>
    <t>ДНП "Волжский дачник"</t>
  </si>
  <si>
    <t>Тверская область, Калязинский район, г. Калязин, городской водозабор</t>
  </si>
  <si>
    <t>Администрация городского сельского поселения поселок Радченко</t>
  </si>
  <si>
    <t>Очистные сооружения, поселок Радченко, Тверская область, Конаковский район, п. Радченко.</t>
  </si>
  <si>
    <t>временное подкльчение строительных механизмов_Тверская область, ул. Полевая</t>
  </si>
  <si>
    <t>ООО "Агростройтрейд"</t>
  </si>
  <si>
    <t>вводное устройство жилой застройки_Местоположение установлено относительно ориентира, расположенного за пределами участка. Ориентир дер. Рыблово. Участок находится примерно в 280 м от ориентира по направлению на север. Почновый адрес ориентира: Тверская область, Старицкий район, Ново-Ямское с/п, дер. Рыблово</t>
  </si>
  <si>
    <t>СНП "Калязинский речник"</t>
  </si>
  <si>
    <t>Тверская область, Калязинский район, Алферовское с/п, дер. Мышино.</t>
  </si>
  <si>
    <t>СНТ "Богдановка"</t>
  </si>
  <si>
    <t>садоводческое некоммерческое товарищество_Местоположение установлено относительно ориентира, расположенного в границах участка. Почтовый адрес ориентира: Тверская область, Калязинский район, Нерльское с/п, в районе дер. Богданово</t>
  </si>
  <si>
    <t>ООО "Шкода - Сервис"</t>
  </si>
  <si>
    <t>КТПН-10/0,4 кВ -1000 кВА_Тверская область, Калининский район, Бурашевское с/п, дер. Неготино</t>
  </si>
  <si>
    <t>Царев Павел Юрьевич</t>
  </si>
  <si>
    <t>вводное устройство жилого дома_Тверская область, Кимрский район, Приволжское с.п., дер. Головкино</t>
  </si>
  <si>
    <t>Пономарева Василиса Сергеевна</t>
  </si>
  <si>
    <t>вводное устройство жилого дома_Тверская область, Кимрский район, Приволжское с.п., дер. Головино, участок 209</t>
  </si>
  <si>
    <t>спортивно-оздоровилелный комплекс_Тверская область, г. Ржев, ул. Краснодарское шоссе</t>
  </si>
  <si>
    <t>комплекс жилых домов и построек_Твеская область, Кашинский район, Шепелевкое с/п дер. Кудрино</t>
  </si>
  <si>
    <t>ЗАО "Кашинский маслодельно-сыродельный завод"</t>
  </si>
  <si>
    <t>производственное здние молочного цеха, Тверская область, Кашинский район, Верхнетроицкое сельское поселение, д. Верхняя Троица</t>
  </si>
  <si>
    <t>ООО "Коренная"</t>
  </si>
  <si>
    <t xml:space="preserve">сельхоз производство_Тверская область, Калязинский район, Семендяевское с/п, в районе дер. Селищи. </t>
  </si>
  <si>
    <t>ОАО "Восток-Тверь"</t>
  </si>
  <si>
    <t>жилой поселок_Тверская область, Фировский район, Великооктябрьское с/п, дер Малое Эскино</t>
  </si>
  <si>
    <t>ООО "Охотничье хозяйство "Шолоховское"</t>
  </si>
  <si>
    <t>3-х проектируемых жилых дома, Конаковский район,  район д. Мокшино</t>
  </si>
  <si>
    <t>ООО «ТрастСтройИнвест»</t>
  </si>
  <si>
    <t>строительный городок Конаковский район, Мокшинское с/п, район дер. Архангельское</t>
  </si>
  <si>
    <t>Губонин В.И.</t>
  </si>
  <si>
    <t>с.Завидово</t>
  </si>
  <si>
    <t>ТСЖ Борки-2</t>
  </si>
  <si>
    <t>существующая жил застройка</t>
  </si>
  <si>
    <t>ООО Галеон-К</t>
  </si>
  <si>
    <t>жилые дома 87-а и 87-б с. Свердлово Конаковского р-на</t>
  </si>
  <si>
    <t>(Осн. источник питания ПС  Мокшино) комплекс отдыха "Завидово"</t>
  </si>
  <si>
    <t>Бердник В.М.</t>
  </si>
  <si>
    <t>Калининский р-он, Эмаусский с/о, д. Прибытково, зернохранилище</t>
  </si>
  <si>
    <t>76-ТП/10-07</t>
  </si>
  <si>
    <t>ООО «Автомобильная ассоциация Авитус Авто»</t>
  </si>
  <si>
    <t>автотехцентр, в районе д. Горохово Эмаусского с/п Калининского района</t>
  </si>
  <si>
    <t>ИП Смелков Д.А.</t>
  </si>
  <si>
    <t>Коровник и ветаптека, Тверская область, Калининский район, Эмаусское с/п, район д. Прибытково</t>
  </si>
  <si>
    <t>196-ТП/07-08</t>
  </si>
  <si>
    <t>ЗТП № 35, п.Максатиха пер Бежецкий, 4</t>
  </si>
  <si>
    <t>Московское отделение Октябрьской Железной дороги - филиал ОАО "Российские железные дороги"</t>
  </si>
  <si>
    <t>жилой дом, Максатинский район, п. Максатиха, кл. Звездная,д. № 20</t>
  </si>
  <si>
    <t>ИП Северов Е.Н.</t>
  </si>
  <si>
    <t>объекты КФХ, Максатихинский район, Каменское с.п., дер. Починок</t>
  </si>
  <si>
    <t>ФГУ "Дороги России"</t>
  </si>
  <si>
    <t>скоростная автодорога, Вышневолоцкий район, на участке км 111+90 - км 333+50.</t>
  </si>
  <si>
    <t>скоростная автодорога, Вышневолоцкий район, на участке км 258+50 - км 312+01</t>
  </si>
  <si>
    <t>Скоростная автодорога Москва – С.Петербург на участке км 58 – км 684, Вышневолоцкий район, на участке км 207+75 – км 292+51</t>
  </si>
  <si>
    <t>333-ТП/11-09</t>
  </si>
  <si>
    <t>скоростная автодорога, Бологовский район, на участке км 258+50 - км 386+01</t>
  </si>
  <si>
    <t xml:space="preserve">плавательный бассейин, г.В.Волочек, ул.Д.Бедного, 60 </t>
  </si>
  <si>
    <t>Зао СК Тверьгражданстрой</t>
  </si>
  <si>
    <t>жилая застройка, Маяковского-деревцова-Левобережная,  600 кВт - 2 оч.</t>
  </si>
  <si>
    <t>ООО "Монострой"</t>
  </si>
  <si>
    <t>АЗС, ул.Пржевальского, 67</t>
  </si>
  <si>
    <t>ООО "Тверькомплекс"</t>
  </si>
  <si>
    <t>Производственные гаражи
г.Тверь, Сахаровское шоссе, д.2</t>
  </si>
  <si>
    <t>ООО Строй-Инвест</t>
  </si>
  <si>
    <t xml:space="preserve">многокв.ж/дом с торг.-оф. помещениями, Туполева доп.мощность </t>
  </si>
  <si>
    <t>СНТ "Восход-6"</t>
  </si>
  <si>
    <t>СНТ, Калининский район, с/п Аввакумовское, Старая Константиновка</t>
  </si>
  <si>
    <t>316-ТП/09-09</t>
  </si>
  <si>
    <t xml:space="preserve">ЗАО "Компания Волгодорстрой", наружное </t>
  </si>
  <si>
    <t>освещение автодороги_ул. Псковская (Оснабрюкская) в границах  Октябрьский проспект - Волоколамское шоссе</t>
  </si>
  <si>
    <t>ОАО "Строительная акционерная компания Стройцентр"_</t>
  </si>
  <si>
    <t>микрорайон "Южный-Д" Лот 2 А, ул. Новая, д. 2,4,7</t>
  </si>
  <si>
    <t>Нелидовские Электрические сети</t>
  </si>
  <si>
    <t>Торжокские Электрические сети</t>
  </si>
  <si>
    <t>Тверские Электрические сети</t>
  </si>
  <si>
    <t>ИП Лисицын В.Н.</t>
  </si>
  <si>
    <t>магазин "Флагман плюс", г. Удомля, пр. Курчатова, д. 14-</t>
  </si>
  <si>
    <t>322-ТП/09-09</t>
  </si>
  <si>
    <t>324-ТП/09-09</t>
  </si>
  <si>
    <t>325-ТП/09-09</t>
  </si>
  <si>
    <t>326-ТП/09-09</t>
  </si>
  <si>
    <t xml:space="preserve">ИП Поваляев Д.В. </t>
  </si>
  <si>
    <t xml:space="preserve">ремонтные мастерские, Калязин. район, Алферовское с/п, дер. Чигирево </t>
  </si>
  <si>
    <t>Старицкий Свято-Успенский монастырь, Тверская обл., г. Старица, ул. Пушкина, д. 1</t>
  </si>
  <si>
    <t xml:space="preserve">Гришин А.А. </t>
  </si>
  <si>
    <t>фермерское хозяйство_Кимрский район, Центральное с/п, р-н дер. Слободка</t>
  </si>
  <si>
    <t>Администрация Кимрского района Тверской области</t>
  </si>
  <si>
    <t xml:space="preserve">отопительная котельная, Кимрский район, Ильинское с/п, дер. Кучино </t>
  </si>
  <si>
    <t xml:space="preserve">25-ти кв. жил.дом г.Калязин, ул. Коминтерна, д.75 </t>
  </si>
  <si>
    <t>ООО "Волжские зори"</t>
  </si>
  <si>
    <t>дом отдыха "Усадьба Фонвизина", Каляз. Р-н, Алферовское с/о, дер. Ново Окатово</t>
  </si>
  <si>
    <t>310-ТП/08-09</t>
  </si>
  <si>
    <t xml:space="preserve">Администрация Кимрского района Тверской области </t>
  </si>
  <si>
    <t xml:space="preserve">отопительная котельная Кимрский район, Титовское с/п, дер. Титово </t>
  </si>
  <si>
    <t>ООО Галактика</t>
  </si>
  <si>
    <t>фермерское хозяйство_Калязинский район, Алферовское с/п, вблизи с. Спасское</t>
  </si>
  <si>
    <t>ООО "ТверьЖилДор-Строй"</t>
  </si>
  <si>
    <t xml:space="preserve"> прудовое хозяйство, д.Бараниха</t>
  </si>
  <si>
    <t>№ 27-ТП/2 от 30.12.08</t>
  </si>
  <si>
    <t>строительная площадка для жилого комплекса "Макар" с торгово-офисными помещениями, ул. Макарова, д.5</t>
  </si>
  <si>
    <t>Администрация Пролетарского района</t>
  </si>
  <si>
    <t>Фонтан, г.Тверь, Комсомольская площадь</t>
  </si>
  <si>
    <t>8-ТП/12-07</t>
  </si>
  <si>
    <t>ЗАО «Военно-мемориальная компания»</t>
  </si>
  <si>
    <t>ритуально - похоронный комплекс г. Тверь, 20 м южнее ул.Маршала Конева, 73 Б</t>
  </si>
  <si>
    <t>ООО СемХолл</t>
  </si>
  <si>
    <t>2 здания ООО «Сем Холл», Тверь, Старицкое ш, 15</t>
  </si>
  <si>
    <t>ООО Апрель плюс</t>
  </si>
  <si>
    <t>торгово-офисный центр, 50 лет Октября, 28</t>
  </si>
  <si>
    <t>ОАО «Автобаза Тверская-2»</t>
  </si>
  <si>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</si>
  <si>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</si>
  <si>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</si>
  <si>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</si>
  <si>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</si>
  <si>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</si>
  <si>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</si>
  <si>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</si>
  <si>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</si>
  <si>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</si>
  <si>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</si>
  <si>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</si>
  <si>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</si>
  <si>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</si>
  <si>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</si>
  <si>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</si>
  <si>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</si>
  <si>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</si>
  <si>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</si>
  <si>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</si>
  <si>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</si>
  <si>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</si>
  <si>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</si>
  <si>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</si>
  <si>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</si>
  <si>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</si>
  <si>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</si>
  <si>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</si>
  <si>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</si>
  <si>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</si>
  <si>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</si>
  <si>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</si>
  <si>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</si>
  <si>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</si>
  <si>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</si>
  <si>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</si>
  <si>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</si>
  <si>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</si>
  <si>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</si>
  <si>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</si>
  <si>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</si>
  <si>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</si>
  <si>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</si>
  <si>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</si>
  <si>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</si>
  <si>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>ПС  35/6 кВ №16</t>
  </si>
  <si>
    <t>ПС  35/10 кВ №16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</si>
  <si>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</si>
  <si>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</si>
  <si>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</si>
  <si>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</si>
  <si>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</si>
  <si>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</si>
  <si>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</si>
  <si>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</si>
  <si>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</si>
  <si>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</si>
  <si>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</si>
  <si>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</si>
  <si>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</si>
  <si>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</si>
  <si>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</si>
  <si>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</si>
  <si>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</si>
  <si>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</si>
  <si>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</si>
  <si>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</si>
  <si>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</si>
  <si>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</si>
  <si>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</si>
  <si>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</si>
  <si>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</si>
  <si>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</si>
  <si>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</si>
  <si>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</si>
  <si>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</si>
  <si>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</si>
  <si>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</si>
  <si>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</si>
  <si>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</si>
  <si>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</si>
  <si>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</si>
  <si>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</si>
  <si>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</si>
  <si>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</si>
  <si>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</si>
  <si>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</si>
  <si>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</si>
  <si>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</si>
  <si>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</si>
  <si>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</si>
  <si>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</si>
  <si>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</si>
  <si>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</si>
  <si>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</si>
  <si>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 xml:space="preserve">ПС 35/6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</si>
  <si>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</si>
  <si>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</si>
  <si>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</si>
  <si>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Ю.-Девичье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</si>
  <si>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</si>
  <si>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</si>
  <si>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</si>
  <si>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</si>
  <si>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</si>
  <si>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</si>
  <si>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</si>
  <si>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</si>
  <si>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</si>
  <si>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</si>
  <si>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Безбородово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</si>
  <si>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</si>
  <si>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</si>
  <si>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</si>
  <si>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</si>
  <si>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</si>
  <si>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</si>
  <si>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</si>
  <si>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</si>
  <si>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</si>
  <si>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</si>
  <si>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</si>
  <si>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</si>
  <si>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</si>
  <si>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</si>
  <si>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</si>
  <si>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</si>
  <si>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</si>
  <si>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</si>
  <si>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</si>
  <si>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</si>
  <si>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</si>
  <si>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</si>
  <si>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</si>
  <si>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</si>
  <si>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</si>
  <si>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</si>
  <si>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</si>
  <si>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</si>
  <si>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</si>
  <si>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</si>
  <si>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</si>
  <si>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</si>
  <si>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</si>
  <si>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</si>
  <si>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</si>
  <si>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</si>
  <si>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</si>
  <si>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</si>
  <si>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>Количество Закратых ЦП с загрузкой более 100 %</t>
  </si>
  <si>
    <t>Количество ПС, имеющие загрузку от 70 до 105 %</t>
  </si>
  <si>
    <t xml:space="preserve">г. Тверь, б-р Цанова </t>
  </si>
  <si>
    <t>210-ТП/08-08</t>
  </si>
  <si>
    <t>Военная академия ВКО</t>
  </si>
  <si>
    <t>ж/дом,  Базановой</t>
  </si>
  <si>
    <t>4-эт. 27 кв.ж/дом с встроенными помещ., Тверь, В.Новгорода, 19</t>
  </si>
  <si>
    <t>217-ТП/09-08</t>
  </si>
  <si>
    <t>Кукушкин И.В.</t>
  </si>
  <si>
    <t>гостиница, ул.Чернышевского, д.2/16, ТП по 6 кВ</t>
  </si>
  <si>
    <t>ООО "Стройплюс"</t>
  </si>
  <si>
    <t>многоэтажный жилой дом по ул.Т.Ильиной, д.33 корп.2</t>
  </si>
  <si>
    <t>276-ТП/12-08</t>
  </si>
  <si>
    <t>ООО Регионстрой жилые дома</t>
  </si>
  <si>
    <t>по ул. Склизкова г. Твери, д.116 к1, д. 116 к2, д.114 , ТП по 6 кВ</t>
  </si>
  <si>
    <t>Управление Федеральной службы исполнения наказаний по Тверской области</t>
  </si>
  <si>
    <t>Режимный корпус на 1194 места (блоки А, Б, В)  по адресу: г. Тверь, ул. Вагжанова, д. 141</t>
  </si>
  <si>
    <t>305-ТП/07-09</t>
  </si>
  <si>
    <t>ОАО "Тверь"</t>
  </si>
  <si>
    <t>гостиница "Тверская", ТП по 6 кВ</t>
  </si>
  <si>
    <t>ОООО "Воск-авто-салон"</t>
  </si>
  <si>
    <t>торговый комплекс, в районе Химволокно, 6 кВ</t>
  </si>
  <si>
    <t>ООО "Жилстройинвест",</t>
  </si>
  <si>
    <t>жилой дом по ул.Бассейная, 6</t>
  </si>
  <si>
    <t>Автон.неком.орг-ция "СУЦ Виста"</t>
  </si>
  <si>
    <t>Учебный центр, Тверь, пр. Победы, 40А</t>
  </si>
  <si>
    <t>206-ТП/08-08</t>
  </si>
  <si>
    <t>ООО Капитал</t>
  </si>
  <si>
    <t>здание адм.-торг.,  б-р Цанова, 1 Б</t>
  </si>
  <si>
    <t>ООО "Андреев Софт"</t>
  </si>
  <si>
    <t>ОАО «ЦентрТелеком»</t>
  </si>
  <si>
    <t xml:space="preserve">центр обработки вызовов, г. Тверь, ул. Склизкова, д. 36. </t>
  </si>
  <si>
    <t>Джамалов Р.С. и Магеррашов М.С.</t>
  </si>
  <si>
    <t xml:space="preserve">административно-торговое здание, ул.Коминтерна, 38 б. </t>
  </si>
  <si>
    <t>ОАО "Тверьагрострой"</t>
  </si>
  <si>
    <t>Ж/застройка, Нов.Заря - Р. Люксембург</t>
  </si>
  <si>
    <t>56-ТП/06-07</t>
  </si>
  <si>
    <t>ОАО Кашинский ликеро-водочный завод "Вереск"</t>
  </si>
  <si>
    <t>административно-торговый центр по ул. Туполева, д. 3</t>
  </si>
  <si>
    <t>ООО "Элиан"</t>
  </si>
  <si>
    <t>Поселок малоэтажных домов, г. Тверь, Заволжский р-н, ул. Розы Люксембург, д. 60</t>
  </si>
  <si>
    <t>62-ТП/07-07</t>
  </si>
  <si>
    <t>застройка Маяковского-Добролюбова Левобережная-Деревцова, 1 оч</t>
  </si>
  <si>
    <t>Департамент архитектуры и строительства  г.Твери</t>
  </si>
  <si>
    <t xml:space="preserve">Шк № 3; Н.Заря, 23 доп-но 72 кВт к ранее разрешенной 146,9 кВт </t>
  </si>
  <si>
    <t>110-ТП/12-07</t>
  </si>
  <si>
    <t>4-х квартирный жилой дом
г.Тверь, Затверецкий б-р, д. 104</t>
  </si>
  <si>
    <t>147-ТП/12-07</t>
  </si>
  <si>
    <t>ООО Стройконсалтинг</t>
  </si>
  <si>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</si>
  <si>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</si>
  <si>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</si>
  <si>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</si>
  <si>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</si>
  <si>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</si>
  <si>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Мнацаканян А.А.</t>
  </si>
  <si>
    <t>незавершенное строительство (опытно-промышленное производство цементостойкого стекловолокна – производственный корпус) Сахаровское ш., д. 32, стр. 1</t>
  </si>
  <si>
    <t>Пальчун О.А.</t>
  </si>
  <si>
    <t>коттеджный поселок, Тверская область, Калининский район, Каблуковское с/п, район дер. Иенево</t>
  </si>
  <si>
    <t>ООО "Развитие"</t>
  </si>
  <si>
    <t xml:space="preserve"> магазин, г. Тверь, ул. Маяковского</t>
  </si>
  <si>
    <t>СНТ "Парус"</t>
  </si>
  <si>
    <t>СНТ, Калининский р-н, Каблуковское с/п, район дер. Иенево</t>
  </si>
  <si>
    <t>ООО Экополис</t>
  </si>
  <si>
    <t>магазин_Тверская область, г. Тверь, ул. Маяковского, д. 37.</t>
  </si>
  <si>
    <t>ООО "Руса"</t>
  </si>
  <si>
    <t>жилая застройка с оффисным центром_г. Тверь, Затверецкая набережная, д. 36 стр.1</t>
  </si>
  <si>
    <t>СНП "Вера"</t>
  </si>
  <si>
    <t xml:space="preserve"> СНП, Калинин.р-н, Красногорское с/п, д.Некрасово</t>
  </si>
  <si>
    <t>Администрация МУП Тверской области Калининский район,</t>
  </si>
  <si>
    <t>газовая котельная д. Некрасово, Красногорское с/п</t>
  </si>
  <si>
    <t>ООО "Астория Трэвелс"</t>
  </si>
  <si>
    <t>база отдыха "Волжанка", Калин.р-н, Каблуковское с/п, район д.Юрьевское</t>
  </si>
  <si>
    <t>335-ТП/09-09</t>
  </si>
  <si>
    <t>СПК Юрьевский</t>
  </si>
  <si>
    <t>СПК, Каблуковское с/п, д. Юрьевское</t>
  </si>
  <si>
    <t>ДНП "Возрождение"</t>
  </si>
  <si>
    <t>ДНП, Каблуковское с/п, дер. Заборовье</t>
  </si>
  <si>
    <t>СНТ "Стимул"</t>
  </si>
  <si>
    <t>СНТ, Калининский район, Каблуковское с/п, район дер. Курганово</t>
  </si>
  <si>
    <t>ЗАО НИИ "ЦПС"</t>
  </si>
  <si>
    <t>Пионерлагерь "Березки" в д. Щигалово Калининского р-на</t>
  </si>
  <si>
    <t>60-ТП/07-07</t>
  </si>
  <si>
    <t xml:space="preserve">ЗАО Красново </t>
  </si>
  <si>
    <t>коттеджный поселок, д. Красново Калининского р-на</t>
  </si>
  <si>
    <t>ООО "Капитал-Инвест"</t>
  </si>
  <si>
    <t>Дачный комплекс в д. Рябеево Никулинского с/п</t>
  </si>
  <si>
    <t>67-ТП/08-07</t>
  </si>
  <si>
    <t xml:space="preserve">Самухин А.В. </t>
  </si>
  <si>
    <t>земельные участки под строительство 20 жилых домов, Калининский район, Никулинское с/п, дер. Красново</t>
  </si>
  <si>
    <t>СНТ «Зарница»</t>
  </si>
  <si>
    <t>СНТ, Калининский район, Никулинское с/п, район дер. Опарино, кадастровый номер 69:10:0000024:928</t>
  </si>
  <si>
    <t>СНТ, Калининский район, Никулинское с/п, район дер. Опарино, кадастровый номер 69:10:0000024:936</t>
  </si>
  <si>
    <t>Садоводческое товарищество "Тверецкое"</t>
  </si>
  <si>
    <t>33 дома садоводческого товарищества, Тверская область, Калининский район, Михайловское с/п</t>
  </si>
  <si>
    <t>182-ТП/06-06</t>
  </si>
  <si>
    <t>Департамент архит.и строит. Админ-ии Тв.</t>
  </si>
  <si>
    <t>спорткомплекс д. Долматово</t>
  </si>
  <si>
    <t>Мухина М.М.</t>
  </si>
  <si>
    <t>Учебно-оздоровительный лагерь; Тверская область, Калининский район, Кулицкое с/п, район д. Палагино</t>
  </si>
  <si>
    <t>238-ТП/10-08</t>
  </si>
  <si>
    <t>Герасимова Т.Г.</t>
  </si>
  <si>
    <t>садовые дома дер. Вишняково</t>
  </si>
  <si>
    <t>Назаров Ю.И</t>
  </si>
  <si>
    <t xml:space="preserve">жил.застройка , дер. Вишняково, </t>
  </si>
  <si>
    <t>Прохоров В.С.</t>
  </si>
  <si>
    <t>загородные дома, Калинин.р-н, Кулицкое с/п, д.Олбово</t>
  </si>
  <si>
    <t>ДООЛ "Спутник", Калинин.р-н, Михайловское с/п, д.Долматова</t>
  </si>
  <si>
    <t>Ермаков Вадим Олегович</t>
  </si>
  <si>
    <t>земельный участок для садоводства Калининский район, Михайловское с/п, 450 м от дер. Изворотень по направлению на восток</t>
  </si>
  <si>
    <t xml:space="preserve">Черняев А.Ю. </t>
  </si>
  <si>
    <t>жилой дом,Калинин.р-н, Михайловское с/п, р-н д.Изоротень</t>
  </si>
  <si>
    <t>ФГУ «Дороги России»</t>
  </si>
  <si>
    <t>Скоростная автомобильная дорога Москва – Санкт-Петербург на участке км 58 – км 684</t>
  </si>
  <si>
    <t>МУ Администрация Тургиновского сельского поселения Калининского района Тверской области_во</t>
  </si>
  <si>
    <t>Реконструкция здания интерната по детский сад, Калининский район, Тургиновское с/п, с. Тургиново</t>
  </si>
  <si>
    <t>Администрация Тургиновского с/п</t>
  </si>
  <si>
    <t>уличное освещение, с. Тургиново, д. Мелечкино, д. Заречье</t>
  </si>
  <si>
    <t>511-05-ТП</t>
  </si>
  <si>
    <t>Православный приход Троицкой церкви</t>
  </si>
  <si>
    <t>с. Тургиново Калининского р-на Тверской области</t>
  </si>
  <si>
    <t>59-ТП/06-07</t>
  </si>
  <si>
    <t>ФГОУ ВПО "Тверская ТГСХА"</t>
  </si>
  <si>
    <t>Физкультурно-оздоровительный к-с в п. Сахарово, ул. Парковая, д. 8</t>
  </si>
  <si>
    <t>ДНТ «Рассвет»</t>
  </si>
  <si>
    <t>ДНТ «Рассвет», Калининский район, Аввакумовское с/п, дер. Аввакумово</t>
  </si>
  <si>
    <t>Корректировка проекта учебно-лабораторного корпуса, п. Сахарово, ул. Василевского, д. 7</t>
  </si>
  <si>
    <t>МУ Администрация Аввакумовского с/п</t>
  </si>
  <si>
    <t>блочно-модульная газовая котельная, Калининский р-н, д. Аввакумово,д.5</t>
  </si>
  <si>
    <t xml:space="preserve">СНТ Оршинка-2 </t>
  </si>
  <si>
    <t>Тверская область, Калининский район, 
пос. Сахарово, Аввакумовское сельское поселение (за д. Андреевское)</t>
  </si>
  <si>
    <t>241-ТП/11-08</t>
  </si>
  <si>
    <t>СНТ "Спутник-Искож"</t>
  </si>
  <si>
    <t>СНТ, Калининский район, Аввакумовское с/п, район дер. Пищалкино</t>
  </si>
  <si>
    <t>ФГОУ ВПО «ТГСХА»</t>
  </si>
  <si>
    <t>Спальный корпус на 52 места Санатория – профилактория ФГОУ ВПО «ТГСХА» в стройке «Физкультурно-оздоровительного комплекса», г. Тверь, Заволжский район, п. Сахарово, ул. Василевского, д. 9</t>
  </si>
  <si>
    <t>328-ТП/09-09</t>
  </si>
  <si>
    <t>Албузова Татьяна Геннадьевна е</t>
  </si>
  <si>
    <t>коттеджный поселок Конаковский район, Первомайский с/о, дер. Никольское</t>
  </si>
  <si>
    <t>СНТ «Стимул»</t>
  </si>
  <si>
    <t>Бутузов В.Н.</t>
  </si>
  <si>
    <t>Калининский район, с.Рождественно, Свободы, 15</t>
  </si>
  <si>
    <t>404-01-ТП</t>
  </si>
  <si>
    <t>ООО Волга девелопмент</t>
  </si>
  <si>
    <t>коттеджный поселок Волга-Волга, район д.Мыслятино Конак. р-он</t>
  </si>
  <si>
    <t>285-ТП/05-09</t>
  </si>
  <si>
    <t xml:space="preserve">кондитерский цех </t>
  </si>
  <si>
    <t>РО ОГО ВФСО "Динамо"</t>
  </si>
  <si>
    <t>многофункциональный гостиничный комплекс со встроенным тиром, пр.Чайковского, д.26-а г.Тверь</t>
  </si>
  <si>
    <t xml:space="preserve">Корнеев Алексей Николаевич </t>
  </si>
  <si>
    <t>12-ти квартирный жилой дом, Калининский район, Заволжское с/п, пос.Заволжский, ул. Старо – Каликинская, д. 5</t>
  </si>
  <si>
    <t>ИП Киселев А.Н.</t>
  </si>
  <si>
    <t>Автосервисное производственного помещение, Тверская область, Калининский район, п. Заволжский, автокооператив № 3</t>
  </si>
  <si>
    <t>190-ТП/06-08</t>
  </si>
  <si>
    <t>ООО "Компания Связьэнергомонтаж"</t>
  </si>
  <si>
    <t>Участок автодороги
 Москва-С. Петербург</t>
  </si>
  <si>
    <t>04-ТП/09-06</t>
  </si>
  <si>
    <t xml:space="preserve">Веселов Д. В. </t>
  </si>
  <si>
    <t>СНТ Муравей</t>
  </si>
  <si>
    <t>Старицкий район, д. Кулотино, ПС Городня, РП Борки ф.3 ВЛ 10 кВ</t>
  </si>
  <si>
    <t>315-ТП/09-08</t>
  </si>
  <si>
    <t>Толстов С.П.</t>
  </si>
  <si>
    <t>фермерское хозяйство, д.Марьино</t>
  </si>
  <si>
    <t xml:space="preserve">ОАО ПФ Верхневолжская </t>
  </si>
  <si>
    <t xml:space="preserve">200 жилых домов, п.Рязаново </t>
  </si>
  <si>
    <t>ДНТ "Рассвет"</t>
  </si>
  <si>
    <t>ДНТ, Калининский р-н, д.Орша</t>
  </si>
  <si>
    <t>(Осн.источник ПС Южная) бизнес-парк, Калининский р-н, д. Андрейково, по 162км+450 м(вправо) а/д Москва-С. Пб</t>
  </si>
  <si>
    <t>Администрация муниципального образования «Бурашевское сельское поселение» Калининского района Тверской области</t>
  </si>
  <si>
    <t>комплексная застройка коттеджного типа в с. Бурашево Калининский района</t>
  </si>
  <si>
    <t xml:space="preserve">ООО «СК-3» </t>
  </si>
  <si>
    <t>деревообрабатывающее производство дер. Андрейково</t>
  </si>
  <si>
    <t>ООО "Терра"</t>
  </si>
  <si>
    <t xml:space="preserve">Производственные помещения, Твер. обл., Калининский р-н, д. Никулино, </t>
  </si>
  <si>
    <t>324-01-ТП</t>
  </si>
  <si>
    <t>Транспортная развязка в районе Южного</t>
  </si>
  <si>
    <t>осн.источник питсния ПС Южная</t>
  </si>
  <si>
    <t>Хромов  О.Н.</t>
  </si>
  <si>
    <t>склад-магазин и цех деревообработки, д.Б.Гришкино</t>
  </si>
  <si>
    <t xml:space="preserve">ООО "Аргон"
</t>
  </si>
  <si>
    <t>Торг.-пром.зона, Тв.обл,Калининский р-н, д.Неготино, д.Боровлево Андрейковского с/о I-пуск. очередь</t>
  </si>
  <si>
    <t>140-ТП/02-08</t>
  </si>
  <si>
    <t>ЗАО «Румос-Авто»</t>
  </si>
  <si>
    <t xml:space="preserve">автокомплекс, Калининский район, Бурашевское с/п, район д. Неготино. </t>
  </si>
  <si>
    <t>Торг.-пром.зона, Тв.обл,Калининский р-н, д.Неготино, д.Боровлево Андрейковского с/о II-пуск. очередь</t>
  </si>
  <si>
    <t>141-ТП/02-08</t>
  </si>
  <si>
    <t>"Новый Свет"</t>
  </si>
  <si>
    <t>дачное некоммерческое товарищество, Калининский район, Бурашевское с/п, район д. Игнатово</t>
  </si>
  <si>
    <t>ООО «Стройтрубсервис»</t>
  </si>
  <si>
    <t xml:space="preserve">Спортивный комплекс «Русские горки», Тверская область, Березинское сельское поселение, район деревни Алексеевское </t>
  </si>
  <si>
    <t>219-ТП/09-08</t>
  </si>
  <si>
    <t>Администрация муниципального образования "Бурашевское сельское поселение" Калининского района Тверской области</t>
  </si>
  <si>
    <t>комплексная жилая застройка коттеджного типа_Калининский р-н, с. Бурашево, д. 40 "У"</t>
  </si>
  <si>
    <t>СНТ "Арония"</t>
  </si>
  <si>
    <t xml:space="preserve">Сад.неком. товарищество, Тв.обл, Калининский р-н, д. Труново </t>
  </si>
  <si>
    <t>226-ТП/09-09</t>
  </si>
  <si>
    <t xml:space="preserve">ООО «Петродорпроект») </t>
  </si>
  <si>
    <r>
      <t>линия наружного электроосвещения на участке  автомобильной дороги, Калининский район, автодорога Тверь-Тургиново км 8+500 - км 10+201</t>
    </r>
    <r>
      <rPr>
        <sz val="11"/>
        <color indexed="8"/>
        <rFont val="Calibri"/>
        <family val="2"/>
        <charset val="204"/>
      </rPr>
      <t/>
    </r>
  </si>
  <si>
    <t>ДНП "Куршавель"</t>
  </si>
  <si>
    <t>Дачный поселок - 71 земельный участок, Тверская область, Калининский район, Щербинское с/п, дер. Бакшеево</t>
  </si>
  <si>
    <t>288-ТП/05-09</t>
  </si>
  <si>
    <t>Администрация муниципального образования « Бурашевское сельское поселение» Калининского района Тверской области</t>
  </si>
  <si>
    <t>три 3-х этажных 15-ти квартирных жилых дома, Калининский район, Бурашевское с/п, дер. Салыгино</t>
  </si>
  <si>
    <t>ФГУ Упрдор Россия</t>
  </si>
  <si>
    <t>освещение а/д Москва-Питер км 160+045-км161+900</t>
  </si>
  <si>
    <t>291-ТП/05-09</t>
  </si>
  <si>
    <t>СНТ «КАМАЗ»</t>
  </si>
  <si>
    <t>дачные участки – 58 земельных участков, Калининский район, Щербинское с/п, район дер. Чуприяново</t>
  </si>
  <si>
    <t>МДОУ "Бурашевский детский сад"</t>
  </si>
  <si>
    <t>Бурашевский детский сад, верская обл, Калининский р-н, с.Бурашево</t>
  </si>
  <si>
    <t>ООО "Энерго-Т"</t>
  </si>
  <si>
    <t>торгово-промышленная зона "Боровлево",
Тверская обл., Калининский р-н, Бурашевский с/о, д. Неготино</t>
  </si>
  <si>
    <t xml:space="preserve">269-ТП/01-09 </t>
  </si>
  <si>
    <t>311-ТП/08-09</t>
  </si>
  <si>
    <t>327-ТП/09-09</t>
  </si>
  <si>
    <t>ООО Лентрансгаз</t>
  </si>
  <si>
    <t>ПРС-36-1 ГРС Металлист п. Металлистов</t>
  </si>
  <si>
    <t xml:space="preserve">УФСИН </t>
  </si>
  <si>
    <t>ООО "АМ" 1 очередь</t>
  </si>
  <si>
    <t>ООО "АМ" 2 очередь</t>
  </si>
  <si>
    <t>Лихославльский  район</t>
  </si>
  <si>
    <t>Андреев А.А.</t>
  </si>
  <si>
    <t>Коттеджный поселок "Компьютерия", 
Тверская обл., Калинин.р-н, Медновское с/п</t>
  </si>
  <si>
    <t>СНП "Город Сад и КОМПЬЮТЕРиЯ"</t>
  </si>
  <si>
    <t>СНП, Калининский р-н, дер. Ямок</t>
  </si>
  <si>
    <t>СНТ "Престиж"</t>
  </si>
  <si>
    <t>СНТ, Калининский район, медновское с/п, дер. Мухино</t>
  </si>
  <si>
    <t xml:space="preserve">Журавлев Игорь Леонидович </t>
  </si>
  <si>
    <t>дачный поселок, Калининский район, Медновское с/п, район дер. Слобода</t>
  </si>
  <si>
    <t>СНТ "Вера"</t>
  </si>
  <si>
    <t>СНТ, Калининский р-н, д. Стренево</t>
  </si>
  <si>
    <t>339-ТП/10-09</t>
  </si>
  <si>
    <t>ООО "Оптимизация"</t>
  </si>
  <si>
    <t>103-квартирный ж/дом г. Лихославль</t>
  </si>
  <si>
    <t>96-ТП/11-07</t>
  </si>
  <si>
    <t>Администрация городского поселения г. Лихославль</t>
  </si>
  <si>
    <t>г. Лихославль, юго-западная часть водозаборный узел со станцией очистки воды</t>
  </si>
  <si>
    <t>ООО "Спайт"</t>
  </si>
  <si>
    <t>Универсальный магазин, Тверская область, г. Лихославль, ул. Первомайская</t>
  </si>
  <si>
    <t>284-ТП/04-09</t>
  </si>
  <si>
    <t>Конаковский  район</t>
  </si>
  <si>
    <t>ОАО "Строительное управление - 919"</t>
  </si>
  <si>
    <t>Вахтовый городок в Калининском р-не, д. Смолино, 100 (16 ранее разрешенная)</t>
  </si>
  <si>
    <t>181-ТП/06-08</t>
  </si>
  <si>
    <t>Трансстрой Инвест-С</t>
  </si>
  <si>
    <t>база отдыха "Строитель", д.Алексино</t>
  </si>
  <si>
    <t>243-ТП/11/08</t>
  </si>
  <si>
    <t>СНП "Старое Семеновское"</t>
  </si>
  <si>
    <t>СНП, Калининский р-н, д.Старое Семеновское</t>
  </si>
  <si>
    <t>292-ТП/05-09</t>
  </si>
  <si>
    <t>ООО "ОБС-ГРУП"</t>
  </si>
  <si>
    <t>Коттедж. п "Сосновка": Конаковский р-н, д. Лазурная</t>
  </si>
  <si>
    <t>47-ТП/03-07</t>
  </si>
  <si>
    <t>ООО "Региональное развитие"</t>
  </si>
  <si>
    <t>1 очередь строительства ж/поселка вбл пос.Мокшино</t>
  </si>
  <si>
    <t>ООО Конаковоинвестстрой</t>
  </si>
  <si>
    <t>производственная база д. Заполок</t>
  </si>
  <si>
    <t xml:space="preserve">ОАО «Энергосервис» </t>
  </si>
  <si>
    <t>котельная №1 (резервное питание), Конаковский район, пгт Новозавидовский, ул. Дрожина</t>
  </si>
  <si>
    <t>ООО «ТверьПромИнвест»</t>
  </si>
  <si>
    <t>автозаправочная станция с магазином и кафе, Конаковский район, Завидовское с/п, район с. Завидово на 109 км + 400 (лево) автодороги Москва – Санкт-Петербург</t>
  </si>
  <si>
    <t>УО Администрации Конаковского района Тверской области</t>
  </si>
  <si>
    <t>детский сад, Конаковский район, Завидовское с/п, с. Завидово, ул. Школьная</t>
  </si>
  <si>
    <t>ЗАО "РадиоТел"</t>
  </si>
  <si>
    <t>СНТ "Астра"</t>
  </si>
  <si>
    <t>СНТ "Астра", садовое неком.товарищество, Конаков.р-н, п.Редкино</t>
  </si>
  <si>
    <t>Упрдор</t>
  </si>
  <si>
    <t xml:space="preserve">освещение, пос. Новомелково </t>
  </si>
  <si>
    <t>245-ТП/11-08</t>
  </si>
  <si>
    <t>ЗАО "РегионИнвест"</t>
  </si>
  <si>
    <t>20 жилых домов, Конаковский район, Городенское с/п, район с. Городня</t>
  </si>
  <si>
    <t>СНТ «Петушок»</t>
  </si>
  <si>
    <t>здания административно-торгового центра и хозяйственно-складского корпуса, г. Кимры, Савеловская набережная, д. 1</t>
  </si>
  <si>
    <t>Шмаков Н. А,</t>
  </si>
  <si>
    <t>ж/дом, д.Усад</t>
  </si>
  <si>
    <t>Прокуратура Тверской области, зд-е прокуратуры</t>
  </si>
  <si>
    <t>.гКимры Володарского 23</t>
  </si>
  <si>
    <t>ГУП Тверьоблстройзаказчик, ледовый спорткомплекс</t>
  </si>
  <si>
    <t>спорткомплекс</t>
  </si>
  <si>
    <t>125-ТП/12-07</t>
  </si>
  <si>
    <t>ЗАО Стекол. завод Альгеском</t>
  </si>
  <si>
    <t>ООО Технопарк Кимры</t>
  </si>
  <si>
    <t>научно-пр.комплекс, г.Кимры Старозаводская 19</t>
  </si>
  <si>
    <t>183-ТП/06-08</t>
  </si>
  <si>
    <t>ООО Кимрское объединение Строитель</t>
  </si>
  <si>
    <t>60-кв ж/дом, Кольцова, 48</t>
  </si>
  <si>
    <t>СК "Пудица"</t>
  </si>
  <si>
    <t xml:space="preserve">Садоводческий кооп, Кимр.р-н, Устиновское с/п </t>
  </si>
  <si>
    <t>159-ТП/03-08</t>
  </si>
  <si>
    <t>ООО "Аверс"</t>
  </si>
  <si>
    <t>кемпинг</t>
  </si>
  <si>
    <t>78-ТП/10-07</t>
  </si>
  <si>
    <t>ГУП Тверьоблзем</t>
  </si>
  <si>
    <t>комплекс д Ушаково</t>
  </si>
  <si>
    <t>МГО ВФСО "Динамо"</t>
  </si>
  <si>
    <t>рыббаза "Московское море" Кимрский р-н, Подберезское лесничество, кв № 52</t>
  </si>
  <si>
    <t>287-ТП/05-09</t>
  </si>
  <si>
    <t>ООО НТЦ Радиатор</t>
  </si>
  <si>
    <t xml:space="preserve">производство, г.Кимры, Орджоникидзе, 83а      </t>
  </si>
  <si>
    <t>ООО Фирма Реинвест</t>
  </si>
  <si>
    <t>ж/дом, г.Кимры Троицкая, 69</t>
  </si>
  <si>
    <t>ООО "БП"</t>
  </si>
  <si>
    <t>Комплексная автозаправочная станция Тверская область, Кимрский район, 14 км. 250 м автодороги Дубна – Кимры - Горицы в районе д.Богунино</t>
  </si>
  <si>
    <t>91-ТП/11-07</t>
  </si>
  <si>
    <t>ЗАО Хамильтон стандарт наука</t>
  </si>
  <si>
    <t>производств.к-с г. Кимры, Старозаводская, 18</t>
  </si>
  <si>
    <t>60-кв ж/д г. Кимры  Кольцова 48</t>
  </si>
  <si>
    <t>Щербаков С.Г.</t>
  </si>
  <si>
    <t>крестьянско-фермерское хозяйство, Кимрский р-н, в районе д.Ларцево, поле № 16</t>
  </si>
  <si>
    <t>Арзамасцев В.В</t>
  </si>
  <si>
    <t>350 кВт, 3 кат по 10 кВ</t>
  </si>
  <si>
    <t>348-ТП/11-0,9</t>
  </si>
  <si>
    <t>Никифорова С.В.</t>
  </si>
  <si>
    <t>крестьянско-фермерское хозяйство, Кимрский р-н, в районе д.Ларцево</t>
  </si>
  <si>
    <t>МГО ВФСО Динамо</t>
  </si>
  <si>
    <t>рыббаза, Кимрский р-н, Подберезское лесничество, квадрат № 52, бывшая д. Омутня</t>
  </si>
  <si>
    <t>С. Г. Гапотченко,</t>
  </si>
  <si>
    <t>ж/дом Каш р-н, д. Домажино уч. 075</t>
  </si>
  <si>
    <t>197-ТП/07-08</t>
  </si>
  <si>
    <t xml:space="preserve">С. Г. Гапотченко </t>
  </si>
  <si>
    <t>ж/дом Каш р-н, д. Домажино  уч. 076</t>
  </si>
  <si>
    <t>198ТП/07-08</t>
  </si>
  <si>
    <t>А.А. Манаков</t>
  </si>
  <si>
    <t>ж/дом Каш р-н, д. Домажино уч. 077</t>
  </si>
  <si>
    <t>199-ТП/07-08</t>
  </si>
  <si>
    <t>Шикунова Г.Д.</t>
  </si>
  <si>
    <t>жилой дом, Кашинский р-н, Барыковское с/п, д.Перетрясово</t>
  </si>
  <si>
    <t>Журавлева И.В.</t>
  </si>
  <si>
    <t>Казаков Ю.А</t>
  </si>
  <si>
    <t>Иващенко Ю.В.</t>
  </si>
  <si>
    <t>Чудаков А.В.</t>
  </si>
  <si>
    <t>Администрация Барыковского сельского поселения Кашинского района Тверской области</t>
  </si>
  <si>
    <t>площадка под строительство комплекса индивидуальных жилых домов_Кашинский район, дер. Барыково</t>
  </si>
  <si>
    <t>ООО "Землевед"</t>
  </si>
  <si>
    <t>кролиководческая ферма_Калязинский район, Нерльское с/п, д. Садки</t>
  </si>
  <si>
    <t>КХ "Василево"</t>
  </si>
  <si>
    <t>водоснабжение кр.хоз-ва, Кимр.р-н, д.Лосево</t>
  </si>
  <si>
    <t>214-ТП/09-08</t>
  </si>
  <si>
    <t>СНТ Медведица-Барки</t>
  </si>
  <si>
    <t>сад.некомм.тов-во</t>
  </si>
  <si>
    <t>ООО Снайп</t>
  </si>
  <si>
    <t>картофелехранилище, Кашинский район, Верхнетроицкое с/п, д. Поповка</t>
  </si>
  <si>
    <t>СНТ «Лесная поляна»</t>
  </si>
  <si>
    <t>СНТ, Кашинский район, Верхнетроицкое с/п, дер. Селихово, д.11</t>
  </si>
  <si>
    <t xml:space="preserve">Адм.Кашинского р-на </t>
  </si>
  <si>
    <t>Дом культуры, Луначарского</t>
  </si>
  <si>
    <t>ООО Ритм-2000</t>
  </si>
  <si>
    <t>супермаркет Тверской купец, Кашин ул. Советская, 15</t>
  </si>
  <si>
    <t>ГУП Тверьоблстройзаказчик</t>
  </si>
  <si>
    <t>районный дом культуры г. Кашин пл. Пролетарская, д. 20/2</t>
  </si>
  <si>
    <t>295-ТП/06-09</t>
  </si>
  <si>
    <t>ООО Василево</t>
  </si>
  <si>
    <t>25 инд. ж/домов, г. Кашин, Южная часть</t>
  </si>
  <si>
    <t xml:space="preserve">ОАО Торг.комп"Вереск" </t>
  </si>
  <si>
    <t xml:space="preserve">магазин Чистопрудная, 25 </t>
  </si>
  <si>
    <t>176-ТП/05-08</t>
  </si>
  <si>
    <t>магазин Калининское.ш, 2</t>
  </si>
  <si>
    <t>229-ТП/09-08</t>
  </si>
  <si>
    <t>магазин, г.Кашин, Калининское.ш, 2</t>
  </si>
  <si>
    <t>ООО КЖСиИ, г. Кашин</t>
  </si>
  <si>
    <t>5 эт.ж/дом, г.Кашин, Краснознаменская, 15</t>
  </si>
  <si>
    <t>123-ТП/12-07</t>
  </si>
  <si>
    <t>22 инд ж/дома, г.Кашин  Юж. часть</t>
  </si>
  <si>
    <t>ОАО Торговая компания Вереск</t>
  </si>
  <si>
    <t>242-ТП/11-08</t>
  </si>
  <si>
    <t>ОАО Ритм ТПТА</t>
  </si>
  <si>
    <t>цех чугунного литья г. Кашин, ул. Строителей, 1</t>
  </si>
  <si>
    <t>Адм-ция Письяковск с/п Кашин р-на</t>
  </si>
  <si>
    <t>п. Первомайский Кашин р-н Письяковск с/п п. Первомайский</t>
  </si>
  <si>
    <t>308-ТП/07-09</t>
  </si>
  <si>
    <t>Истер Н. А.</t>
  </si>
  <si>
    <t>админ.здание</t>
  </si>
  <si>
    <t>77-ТП/10-07</t>
  </si>
  <si>
    <t xml:space="preserve">Михеев А. Ю. </t>
  </si>
  <si>
    <t xml:space="preserve">рекр.комплекс, Кашинск.р-н, д.Окороково </t>
  </si>
  <si>
    <t>СПК Колхоз Мечты Ильича</t>
  </si>
  <si>
    <t>Семеноводческий комплекс, д. Дулепово Кашинский район</t>
  </si>
  <si>
    <t>312-ТП/08-09</t>
  </si>
  <si>
    <t>Колесников А. Н.</t>
  </si>
  <si>
    <t xml:space="preserve"> база отдыха Кашинский р-н вбл д Коробейниково и д Степаньково</t>
  </si>
  <si>
    <t>Илясов П. А.</t>
  </si>
  <si>
    <t>жилой дом Кашинский район, Карабузинское с/п, д. Каданово</t>
  </si>
  <si>
    <t xml:space="preserve">Савельев Ю. А. </t>
  </si>
  <si>
    <t>СТ Рябинушка</t>
  </si>
  <si>
    <t>насосная станция, Каляз р-н, д.Мицеево</t>
  </si>
  <si>
    <t>116-ТП/12-07</t>
  </si>
  <si>
    <t>СНП Сосновка</t>
  </si>
  <si>
    <t>д. Сосновка, д. Инальцево</t>
  </si>
  <si>
    <t>СНТ "Барское"</t>
  </si>
  <si>
    <t>дачные дома, Калязинский район, Алферовское с/п, д. Глазково</t>
  </si>
  <si>
    <t>340-ТП/10-09</t>
  </si>
  <si>
    <t xml:space="preserve">Данилов О. Г. </t>
  </si>
  <si>
    <t>6 ж/домов г. Калязин, район ул. Новая</t>
  </si>
  <si>
    <t xml:space="preserve">Плавник П. Г. </t>
  </si>
  <si>
    <t xml:space="preserve">Данилов Г. А. </t>
  </si>
  <si>
    <t>ООО Ультра-Нова</t>
  </si>
  <si>
    <t>30 ж/домов , водозабор, КНС, г. Калязин район ул. Новая</t>
  </si>
  <si>
    <t>СНТ "Звезда"</t>
  </si>
  <si>
    <t>15 ж/домов г. Калязин, район близи д.Носово</t>
  </si>
  <si>
    <t>ООО "РИК-Инвест"</t>
  </si>
  <si>
    <t>база отдыха, Калязинский р-н, Алферовское с/п, д.Мышино</t>
  </si>
  <si>
    <t>ООО Регион СМ</t>
  </si>
  <si>
    <t>АЗС, г.Калязин, Юж.часть промзоны</t>
  </si>
  <si>
    <t>104-ТП/12-07</t>
  </si>
  <si>
    <t xml:space="preserve">ГУП Тверьоблстройзаказчик, </t>
  </si>
  <si>
    <t>котельная, г Калязин, ул.Школьная</t>
  </si>
  <si>
    <t>Администрация Калязинского р-на</t>
  </si>
  <si>
    <t>застройка</t>
  </si>
  <si>
    <t>СНТ "Прибрежное"</t>
  </si>
  <si>
    <t>СНТ, Калязинский р-н, Алферовский с/о, д.Чаплино</t>
  </si>
  <si>
    <t>307-ТП/07-09</t>
  </si>
  <si>
    <t>Королькова А.К.</t>
  </si>
  <si>
    <t>базовая станция подвижной радиосвязи стандарта TETRA  Тверская обл., Калининский р-н, п. Эммаус</t>
  </si>
  <si>
    <t>219-07-ТП</t>
  </si>
  <si>
    <t xml:space="preserve">Искусственное электроосвещение автомобильной дороги, Тверская область, автомобильная дорога М-10 "Россия" - от Москвы через Тверь, Новгород до Санкт-Петербурга подъезд к г. Тверь км 153+913 - км 155+573 </t>
  </si>
  <si>
    <t>247-ТП/11-08</t>
  </si>
  <si>
    <t>Жилой дом Е. Ю. Морозова</t>
  </si>
  <si>
    <t>Конаковский р-н Ю-Девичское с/п, д. Едимоново</t>
  </si>
  <si>
    <t>Жигулина В.А.</t>
  </si>
  <si>
    <t>Жилой дом, Тверская область, Конаковский район, д. Едимоновские Горки</t>
  </si>
  <si>
    <t>216-ТП/09-08</t>
  </si>
  <si>
    <t>ООО "ГеоСервис"</t>
  </si>
  <si>
    <t>база отдыха "Остров", Калинин.р-н, Остров, 232 км.р.Волга</t>
  </si>
  <si>
    <t>287/1-ТП/05-09</t>
  </si>
  <si>
    <t>Носанов Александр Михайлович</t>
  </si>
  <si>
    <t>крестьянское хозяйство, Конаковский район, Юрьево-Девическое с/п, район дер. Андрейцево</t>
  </si>
  <si>
    <t xml:space="preserve">ООО  «Крестьянское Загорье 1» </t>
  </si>
  <si>
    <t>Коттеджная застройка  в районе  д.Осиновки</t>
  </si>
  <si>
    <t>ТВ 327-01-ТВ от 27.02.2007г</t>
  </si>
  <si>
    <t>Старикова Евгения Семеновна</t>
  </si>
  <si>
    <t>жилой дом, Тверская область, Конаковский район, Юрьево-Девическое с/п, район дер. Загорье</t>
  </si>
  <si>
    <t xml:space="preserve">ООО  «Крестьянское Загорье 2» </t>
  </si>
  <si>
    <t>Коттеджная застройка  в районе  д.Загорье</t>
  </si>
  <si>
    <t>ТВ 326-01-ТВ от 27.02.2007г</t>
  </si>
  <si>
    <t xml:space="preserve">ООО  «Крестьянское Загорье 3» </t>
  </si>
  <si>
    <t>База отдыха  в районе  д.Загорье</t>
  </si>
  <si>
    <t>ТВ 328-01-ТВ от 27.02.2007г</t>
  </si>
  <si>
    <t xml:space="preserve">ООО «КРХ Нефедиха» </t>
  </si>
  <si>
    <t>База отдыха  в районе  д. Едимоновские Горки</t>
  </si>
  <si>
    <t>ТВ 323-01-ТВ от 27.02.2007г</t>
  </si>
  <si>
    <t xml:space="preserve">ООО «Риверсайд Девелопмент» </t>
  </si>
  <si>
    <t>Коттеджный поселок в районе д. Бабня</t>
  </si>
  <si>
    <t>ТВ 324-01-ТВ от 21.06.2006г</t>
  </si>
  <si>
    <t>337-ТП/10-09</t>
  </si>
  <si>
    <t>ООО "Омнипак-Тверь"</t>
  </si>
  <si>
    <t>З-д по произв-ву упаковки для ж.пищ. продуктов, п. Редкино,Конак. р-на</t>
  </si>
  <si>
    <t>70-ТП/09-07</t>
  </si>
  <si>
    <t>МУ Администрация гор с/п Редкино</t>
  </si>
  <si>
    <t>108-кв. ж/дом п. Редкино, ул. Фадеева. 12</t>
  </si>
  <si>
    <t>ООО "Вергокан"</t>
  </si>
  <si>
    <t>Пром.предприятие по произв-ву металлоконструкций, Конаковск. р-н, п.Редкино, Промышленная</t>
  </si>
  <si>
    <t>173-ТП/05-08</t>
  </si>
  <si>
    <t>ООО Альстром Тверь</t>
  </si>
  <si>
    <t>п. Редкино, Конаковский р-н, Промышленная, 11</t>
  </si>
  <si>
    <t>ООО "СовСтройТех"</t>
  </si>
  <si>
    <t>190 кв. жилой доми с офисными помещениями, Конаковский район, ул.Фадеева, д.12</t>
  </si>
  <si>
    <t>ОАО "ЖКХ Редкино"</t>
  </si>
  <si>
    <t>Тверская обл., Конаковский р-н, п. Редкино</t>
  </si>
  <si>
    <t>Рамешковский  район</t>
  </si>
  <si>
    <t>ММУ "Рамешковская ЦРБ"</t>
  </si>
  <si>
    <t>офис врача общей практики, Рамешковский р-н, п.Алешино, д.86</t>
  </si>
  <si>
    <t>Очистные сооружения, Тверская область, Рамешковский р-он, с. Застолбье</t>
  </si>
  <si>
    <t>101-ТП/12-07</t>
  </si>
  <si>
    <t>Администрация Рамешковского района Тверской области</t>
  </si>
  <si>
    <t>Тверское отдел №8607 Акцион.комм.Сбербанка РФ</t>
  </si>
  <si>
    <t>Адм.здание банка, пос.Рамешки, ул Советская, д.45</t>
  </si>
  <si>
    <t>Зорина О.Э.</t>
  </si>
  <si>
    <t>230-ТП/09-08</t>
  </si>
  <si>
    <t xml:space="preserve">Администрация городского сельского поселения </t>
  </si>
  <si>
    <t>девятиквартирный трехэтажный жилой дом, Тверская область, п. Рамешки, ул. Советская, д. 37</t>
  </si>
  <si>
    <t>Осипов В.И.</t>
  </si>
  <si>
    <t>база отдыха, Рамешков. район,   д.Старое Долино</t>
  </si>
  <si>
    <t>Бежецкие Электрические сети</t>
  </si>
  <si>
    <t>Вышневолоцкие Электрические сети</t>
  </si>
  <si>
    <t xml:space="preserve">Вышневолоцкие Электрические сети </t>
  </si>
  <si>
    <t>Кимрские Электрические сети</t>
  </si>
  <si>
    <t>Ржевские Электрические сети</t>
  </si>
  <si>
    <t>Сусов М.В.</t>
  </si>
  <si>
    <t>урочище Фомино</t>
  </si>
  <si>
    <t>127-ТП/12-07</t>
  </si>
  <si>
    <t>Губченко П.Е.</t>
  </si>
  <si>
    <t>здание кафе, г.Белый, Октябрьская, 4</t>
  </si>
  <si>
    <t>153-ТП/12-07</t>
  </si>
  <si>
    <t xml:space="preserve">СПК Западнодвинское молоко </t>
  </si>
  <si>
    <t>цех по переработке молока, Западнодвинский район, д. Бибирев</t>
  </si>
  <si>
    <t>ООО "ЭкоСап"</t>
  </si>
  <si>
    <t>цех, д.Данилино</t>
  </si>
  <si>
    <t>225-ТП/09-08</t>
  </si>
  <si>
    <t>ООО "ЛУКОЙЛ - Центрнефтепродукт"</t>
  </si>
  <si>
    <t>АЗС, Нелидовский р-н, д.Подберезье</t>
  </si>
  <si>
    <t>ООО РЭК</t>
  </si>
  <si>
    <t>многофункц.зал г.З.Двина, Пролетарская</t>
  </si>
  <si>
    <t>ЗАО Магистраль</t>
  </si>
  <si>
    <t>АЗС, Западнодвинский р-н д. Новоивановское, 368 км</t>
  </si>
  <si>
    <t>ООО "Контакт-С"</t>
  </si>
  <si>
    <t>стройгородок, Нелидовский р-н, д.Подберезье</t>
  </si>
  <si>
    <t>ООО "Лесозаво Сияние"</t>
  </si>
  <si>
    <t>Лесозавод, Западнодвинский р-н, п.Ст.Торопа</t>
  </si>
  <si>
    <t xml:space="preserve">Ховренок И.Н.   </t>
  </si>
  <si>
    <t>здание-хранилище, г.Торопец</t>
  </si>
  <si>
    <t>ООО "Гекса-нетканные материалы"</t>
  </si>
  <si>
    <t>произв.база, д.Лесная</t>
  </si>
  <si>
    <t>Итого текущий дефицит (зима)</t>
  </si>
  <si>
    <t>+</t>
  </si>
  <si>
    <t>№ п/п</t>
  </si>
  <si>
    <t>Перечень закрытых центров питания ОАО "МРСК Центра"
 по ожидаемым нагрузкам  с учетом подключения новых мощностей по технологическому присоединению и др.развития э/сетевого комплекса</t>
  </si>
  <si>
    <t>Тверская область, Калининский район, Заволжское с/п, район дер. Дмитрово-Черкассы</t>
  </si>
  <si>
    <t>ОАО "Ритм" Тверское производство тормозной аппаратуры</t>
  </si>
  <si>
    <t>г. Тверь, пр-кт 50 лет Октября, д. 45, стр. 3.</t>
  </si>
  <si>
    <t>ОАО "Тверьстрой"</t>
  </si>
  <si>
    <t>420 кв. жилой дом с помещениями общественного назначения по ул. Георгиевская, к.1,2,3 г. Тверь ОАО "Тверьстрой"_г. Тверь, ул.Георгиевская, к. 1,2,3 пос. Мамулино</t>
  </si>
  <si>
    <t>объекты жилья и соцкультурбыта в микрорайоне "Архангельское", Конаковский район, Мокшинское с/п, вблизи д. Вараксино</t>
  </si>
  <si>
    <t>СТ "Гранит"</t>
  </si>
  <si>
    <t>садоводческое товарищество_Тверская область, Конаковский район, Городенское с/п, район с. Городня</t>
  </si>
  <si>
    <t>вводное устройство универсального магазина "Вереск"_Тверская область, Пеновский район, пос. Пено, ул. Л. Чайкиной, д. 95 а.</t>
  </si>
  <si>
    <t>Шишкина Юлия Евненьевна</t>
  </si>
  <si>
    <t>вводное устройство жилого дома с постройками для ведения личного подсобного хозяйства_Тверская область, Андреапольский район, Волокское с/п, дер. Ям</t>
  </si>
  <si>
    <t>Большов Сергей Вячеславович</t>
  </si>
  <si>
    <t>вводное устройство крестьянско-фермерского хозяйства_Тверская область, Калязинский район, Капшинский с/о, вблизи дер. Коротково</t>
  </si>
  <si>
    <t>СНП "Сосновка"</t>
  </si>
  <si>
    <t>Тверская область, Калязинский район, Старобисловское с/п, в районе дер. Инальцево</t>
  </si>
  <si>
    <t>Государственное учреждение "Комплексный центр социального обслуживания населения" Краснохолмского района Тверской области</t>
  </si>
  <si>
    <t>ООО "Заборовье"</t>
  </si>
  <si>
    <t>Тверская область, Калининский район, Каблуковское с/п, дер. Судимирка кадастровый номер 69:10:0000018:1116</t>
  </si>
  <si>
    <t>Тверская область, Калининский район, Каблуковское с/п, дер. Судимирка кадастровый номер 69:10:0000018:1117</t>
  </si>
  <si>
    <t>Габидулин Рустам Габдуллович</t>
  </si>
  <si>
    <t>вводное устройство жилого дома_Тверская область, Калязинский район, Капшинский с/о, дер. Коротково</t>
  </si>
  <si>
    <t>ДНТ "Сказка"</t>
  </si>
  <si>
    <t>дачное некоммерческое товарищество_Тверская область, Старицкий район, Васильевское с/п, дер. Городище</t>
  </si>
  <si>
    <t>Кузнецова Лидия Ефимовна</t>
  </si>
  <si>
    <t>вводное устройство гаража_Тверская область, г. Красный Холм, ул. Октябрьская</t>
  </si>
  <si>
    <t>Тверское региональное отделение Северо-Западного филиала ОАО "МегаФон</t>
  </si>
  <si>
    <t>Тверская область, г.Тверь, промзона Лазурная, д. 35</t>
  </si>
  <si>
    <t>2-х этажный 27 квартирный жилой дом, Калининский район, Бурашевское с/п, дер Салыгино</t>
  </si>
  <si>
    <t>ООО "Логопартс"</t>
  </si>
  <si>
    <t>усадьба Верхняя Волга, Зубцовский район, д. Юркино</t>
  </si>
  <si>
    <t>283-ТП/04-09</t>
  </si>
  <si>
    <t>ООО "Тоталойл-Ржев"</t>
  </si>
  <si>
    <t>многотоплевный АЗК, Зубцовскуий р-н, д.Петровское</t>
  </si>
  <si>
    <t>286-ТП/05-09</t>
  </si>
  <si>
    <t>ООО "Строительная компания Запад"</t>
  </si>
  <si>
    <t>АЗС, 306-307 км р-н автодор Москва-Рига</t>
  </si>
  <si>
    <t>132-ТП/12-07</t>
  </si>
  <si>
    <t>ЗАО "Шелл Нефть"</t>
  </si>
  <si>
    <t>АЗС, Нелидовский р-н Селянское с/п</t>
  </si>
  <si>
    <t xml:space="preserve">261-ТП/12-08 </t>
  </si>
  <si>
    <t>ООО "Юридическое бюро "Содействие"</t>
  </si>
  <si>
    <t>Дом охотника, Тверская область, Старицкий район, Ново-Ямское с/п, д. Дегунино</t>
  </si>
  <si>
    <t>реабилит.центр, д.Н.Ямская</t>
  </si>
  <si>
    <t>90-ТП/11-07</t>
  </si>
  <si>
    <t>ГУП ТОСЗ старицкий филиал объедин. Гос. Музея, г. Старица ул. Володарского</t>
  </si>
  <si>
    <t>лед.спорткомплекс, Старица, Чернозерского</t>
  </si>
  <si>
    <t>97-ТП/11-07</t>
  </si>
  <si>
    <t>2-я очерпедь строит-ва поликлиники, г. Старица</t>
  </si>
  <si>
    <t>ЗАО Строительная компания "Союз"</t>
  </si>
  <si>
    <t>23-квартирный жилой дом, Тверская область, г. Старица, ул. Захарова, д. 95</t>
  </si>
  <si>
    <t>346-ТП/10-09</t>
  </si>
  <si>
    <t>Старицкий Свято-Успенский мужской монастырь Тверской Епархии Русской Православной церкви</t>
  </si>
  <si>
    <t>Дачный потребительский кооператив "Приток"</t>
  </si>
  <si>
    <t>Дачный потребительский кооператив "Приток", Кимрский район, Титовское с/п, д. Притыкино</t>
  </si>
  <si>
    <t>Петров Денис Михайлович</t>
  </si>
  <si>
    <t>приусадебное хозяйство, Сттарицкий район, Васильевское с/п, вблизи дер. Акишево, дер. Кучково</t>
  </si>
  <si>
    <t>344-ТП/10-09</t>
  </si>
  <si>
    <t xml:space="preserve">ООО Старземинвест </t>
  </si>
  <si>
    <t>70 дачных домов д. Сасынье Старицкий р-н</t>
  </si>
  <si>
    <t xml:space="preserve">Администрация Стариц района </t>
  </si>
  <si>
    <t>школа, Старицкий р-н д Степурино</t>
  </si>
  <si>
    <t xml:space="preserve">МИИПО Репутация </t>
  </si>
  <si>
    <t>Гост.комплекс, д.Гурьево</t>
  </si>
  <si>
    <t>Коттедж.посёлокд. Чурилово</t>
  </si>
  <si>
    <t xml:space="preserve">ЗАО Шелл нефть </t>
  </si>
  <si>
    <t>транс-логист. Комплекс, Торжок, Чехова</t>
  </si>
  <si>
    <t>227-ТП/09-08</t>
  </si>
  <si>
    <t xml:space="preserve">ГУП Тверьоблстройзаказчик </t>
  </si>
  <si>
    <t>педучилище, Торжок, Ленингр. Шоссе, 19</t>
  </si>
  <si>
    <t xml:space="preserve">ООО Трансстроймеханизация </t>
  </si>
  <si>
    <t>база в п. Славный Торжокского р-на территория ОНО ОПХ ВНИИЛ</t>
  </si>
  <si>
    <t>жилой дом, Тв. Обл, г. Торжок, ул. Металлистов земельный участок кадастровый номер 69:47:0100303:13</t>
  </si>
  <si>
    <t>ГУП Тверьоблстройзакзачик</t>
  </si>
  <si>
    <t>дет сад г. Торжок</t>
  </si>
  <si>
    <t>ООО "Залесье"</t>
  </si>
  <si>
    <t>Охотохозяйство, г. Торжок</t>
  </si>
  <si>
    <t>26-ТП/11-06</t>
  </si>
  <si>
    <t xml:space="preserve">зал к школе, п.Грузины </t>
  </si>
  <si>
    <t xml:space="preserve">ЗАО Компания Волгодорстрой </t>
  </si>
  <si>
    <t>передв. база, д.Марьино</t>
  </si>
  <si>
    <t>134-ТП/12-07</t>
  </si>
  <si>
    <t xml:space="preserve">ФГУ Упрдор "Россия" </t>
  </si>
  <si>
    <t>нар.осв.автодороги М-10 д. Дубровка</t>
  </si>
  <si>
    <t>222-ТП/09-08</t>
  </si>
  <si>
    <t>ФГУ Упрдор "Россия"</t>
  </si>
  <si>
    <t>нар.осв.автодороги М-10, д. Марьино</t>
  </si>
  <si>
    <t>244-ТП/11-08</t>
  </si>
  <si>
    <t>нар.осв.автодороги, Торжокский район, на участке км 111+900 - км 258+00</t>
  </si>
  <si>
    <t>нар.осв.автодороги  М-10 д. Миронежье</t>
  </si>
  <si>
    <t>303-ТП/06-09</t>
  </si>
  <si>
    <t>Администр. Кувш. р-на</t>
  </si>
  <si>
    <t>27-кв. ж/дом, Кувшиново, Гагарина, 4а</t>
  </si>
  <si>
    <t>118-ТП/12-07</t>
  </si>
  <si>
    <t xml:space="preserve"> цех, Кувшин р-н,  п.Сокольники</t>
  </si>
  <si>
    <t>ООО "Управляющая компания Прагма Капитал</t>
  </si>
  <si>
    <t>ж/комплекс Селищенское с/п, т/б Чайка</t>
  </si>
  <si>
    <t>234-ТП/10-08</t>
  </si>
  <si>
    <t>ООО Эмирус-текстиль</t>
  </si>
  <si>
    <t xml:space="preserve">здание шв.цеха Селиж.р-н, д.Березуг </t>
  </si>
  <si>
    <t>Башкова В.Г.</t>
  </si>
  <si>
    <t>ж/комплекс, д.Хотошино</t>
  </si>
  <si>
    <t>215-ТП/09-08</t>
  </si>
  <si>
    <t xml:space="preserve">ООО "Тверьстроймаш"
</t>
  </si>
  <si>
    <t>Курортно-гостиничный комплекс Тверская обл., Селижаровский р-н.,п.Селище</t>
  </si>
  <si>
    <t>130-ТП/12-07</t>
  </si>
  <si>
    <t>ООО "Эколес"</t>
  </si>
  <si>
    <t>вводное устройство постоялого двора_Тверская область, Ржевский район, с/п "Итомля", дер. Дурово</t>
  </si>
  <si>
    <t>Филиал "Оргстройпроект" ОАО "Мосэнергострой</t>
  </si>
  <si>
    <t xml:space="preserve">12-14-16-этажный 5-ти секционный жилой дом_Тверская область, г.Тверь, ул. Склизкова, д. 100. </t>
  </si>
  <si>
    <t>Панкратьев Виктор Германович_вводное устройство кафе и автостоянки</t>
  </si>
  <si>
    <t>вводное устройство кафе и автостоянки_Конаковский район, с. Завидово, ул. Ленинградская, д. 97 а.</t>
  </si>
  <si>
    <t>Дефицит</t>
  </si>
  <si>
    <t>Профицит</t>
  </si>
  <si>
    <t>ПС  35/10 кВ Алексейково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</si>
  <si>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</si>
  <si>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</si>
  <si>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</si>
  <si>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</si>
  <si>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</si>
  <si>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</si>
  <si>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</si>
  <si>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</si>
  <si>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</si>
  <si>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</si>
  <si>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</si>
  <si>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</si>
  <si>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</si>
  <si>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</si>
  <si>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</si>
  <si>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</si>
  <si>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</si>
  <si>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</si>
  <si>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</si>
  <si>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</si>
  <si>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</si>
  <si>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</si>
  <si>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Фралёво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</si>
  <si>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</si>
  <si>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</si>
  <si>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</si>
  <si>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</si>
  <si>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</si>
  <si>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</si>
  <si>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</si>
  <si>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</si>
  <si>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</si>
  <si>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</si>
  <si>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</si>
  <si>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Березьё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</si>
  <si>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</si>
  <si>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</si>
  <si>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</si>
  <si>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</si>
  <si>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</si>
  <si>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</si>
  <si>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</si>
  <si>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</si>
  <si>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</si>
  <si>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</si>
  <si>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</si>
  <si>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</si>
  <si>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</si>
  <si>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</si>
  <si>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</si>
  <si>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</si>
  <si>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</si>
  <si>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</si>
  <si>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</si>
  <si>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</si>
  <si>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</si>
  <si>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 кВ Октябрьский Карьер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</si>
  <si>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</si>
  <si>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</si>
  <si>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</si>
  <si>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</si>
  <si>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</si>
  <si>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</si>
  <si>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</si>
  <si>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</si>
  <si>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</si>
  <si>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</si>
  <si>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</si>
  <si>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</si>
  <si>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</si>
  <si>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</si>
  <si>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Есеновичи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</si>
  <si>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</si>
  <si>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</si>
  <si>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</si>
  <si>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</si>
  <si>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</si>
  <si>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</si>
  <si>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</si>
  <si>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</si>
  <si>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</si>
  <si>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110/10 кВ Манхино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</si>
  <si>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</si>
  <si>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</si>
  <si>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</si>
  <si>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</si>
  <si>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</si>
  <si>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</si>
  <si>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</si>
  <si>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</si>
  <si>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</si>
  <si>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</si>
  <si>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</si>
  <si>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</si>
  <si>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</si>
  <si>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</si>
  <si>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</si>
  <si>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</si>
  <si>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Выпозово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</si>
  <si>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</si>
  <si>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</si>
  <si>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</si>
  <si>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</si>
  <si>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</si>
  <si>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</si>
  <si>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</si>
  <si>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</si>
  <si>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</si>
  <si>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</si>
  <si>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</si>
  <si>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</si>
  <si>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</si>
  <si>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ПС 35/10 кВ Кимры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</si>
  <si>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</si>
  <si>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</si>
  <si>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</si>
  <si>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</si>
  <si>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</si>
  <si>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</si>
  <si>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</si>
  <si>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</si>
  <si>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ООО «Тверской хладокомбинат»</t>
  </si>
  <si>
    <t>холодильное оборудование г.Тверь, пос. Элеватор, 3-й пер., д.6</t>
  </si>
  <si>
    <t>ЗАО «Тверской хладокомбинат»</t>
  </si>
  <si>
    <t>Эрлихман Г.Я.</t>
  </si>
  <si>
    <t>Адм.здание, В.Новгорода, 19</t>
  </si>
  <si>
    <t>49-ТП/04-07</t>
  </si>
  <si>
    <t>г.Тверь, ул. 15 лет Октября</t>
  </si>
  <si>
    <t>ГУ УВО УВД Тверской области</t>
  </si>
  <si>
    <t>Адм.здание, Озерная, д.11</t>
  </si>
  <si>
    <t>106-ТП/12-07</t>
  </si>
  <si>
    <t>ООО "Петротест"</t>
  </si>
  <si>
    <t>Офис в г. Твери, ул. Макарова, д. 91</t>
  </si>
  <si>
    <t>86-ТП/11-07</t>
  </si>
  <si>
    <t>ООО Цитадель</t>
  </si>
  <si>
    <t>ж/дом ул. Учитьельская, д 6 кор 1</t>
  </si>
  <si>
    <t>Л.Б. Соклеткина</t>
  </si>
  <si>
    <t>8-ми кв. 4-х эт.ж/дом, Макарова, д.3</t>
  </si>
  <si>
    <t>193-ТП/07-08</t>
  </si>
  <si>
    <t xml:space="preserve">реконструкция  Драмтеатра, Советская </t>
  </si>
  <si>
    <t xml:space="preserve">Моторкина Б.Н., Торновская З.М </t>
  </si>
  <si>
    <t>гостиница г. Тверь, ул. Бебеля, д. 29</t>
  </si>
  <si>
    <t>офисное здание г. Тверь, ул. Брагина, д. 3</t>
  </si>
  <si>
    <t xml:space="preserve">кожно - вендиспансер - 2-ая очередь, 75 кВт (ранее разрешенная – 64 кВт)  </t>
  </si>
  <si>
    <t xml:space="preserve">ООО «Строительная Компания «АНТЕЙ»» </t>
  </si>
  <si>
    <t>реконструкция стадиона «Центральный»</t>
  </si>
  <si>
    <t>0226-ТП/12-08</t>
  </si>
  <si>
    <t>ООО Торговый дом Сокол</t>
  </si>
  <si>
    <t>объект недвиж-ти, г. Тверь, ул. П. Савельевой, 57</t>
  </si>
  <si>
    <t>ООО "Арсенал"</t>
  </si>
  <si>
    <t>Продовольственная база,
 г. Тверь, проезд Патона, дом 10</t>
  </si>
  <si>
    <t>218-ТП/09-08</t>
  </si>
  <si>
    <t xml:space="preserve">Лакуфа- Тверь </t>
  </si>
  <si>
    <t>Садоводческое товарищество "Швейник"</t>
  </si>
  <si>
    <t>Тверская область, Калининский район, дер. Кобячево</t>
  </si>
  <si>
    <t>236-ТП/10-08</t>
  </si>
  <si>
    <t>ОАО "Энергострой-Холдинг" (филиал ОАО "Энергострой-Холдинг" в Тверской области</t>
  </si>
  <si>
    <t>Офисное помещение, г. Тверь, ул. П.Савельевой, д. 53</t>
  </si>
  <si>
    <t>279-ТП/03-09</t>
  </si>
  <si>
    <t>ООО "Тверь-КОНФИ"</t>
  </si>
  <si>
    <t>УФНС России по Тв обл</t>
  </si>
  <si>
    <t>налог инспекция Комсомольский просп</t>
  </si>
  <si>
    <t>I очередь 9-этажного жилого жома г. Тверь, ул. Скворцова – Степанова, д.37</t>
  </si>
  <si>
    <t>ООО СК Заволжский посад</t>
  </si>
  <si>
    <t>Многоквартирный жилой дом № 23,1 пуск жилого квартала г. Тверь, ул. Мичурина-З. Коноплянниковой-Пугачева-Красина</t>
  </si>
  <si>
    <t>276/1-ТП/03-09</t>
  </si>
  <si>
    <t>строительство лечебно-производственных мастерских по ул.Фурманова в г.Твери г. Тверь, ул. Фурманова, д.13</t>
  </si>
  <si>
    <t xml:space="preserve">ООО «Терра Нова», </t>
  </si>
  <si>
    <t>офисные спортивно-оздоровительные помещения,ул. Горького, д. 4 «А», максимальной мощностью 33 кВт (5 кВт – ранее разрешенная мощность).</t>
  </si>
  <si>
    <t>ЗАО СК Тверьгражданстрой</t>
  </si>
  <si>
    <t>Сазонова А.А.</t>
  </si>
  <si>
    <t>жилой дом, ул. Соминка, дом 84</t>
  </si>
  <si>
    <t>МУП "Тверьстройзаказчик"</t>
  </si>
  <si>
    <t>ООО «ТК Дельта плюс»»</t>
  </si>
  <si>
    <t>нежилое помещение г.Тверь, бул. Шмидта, д.21</t>
  </si>
  <si>
    <t>Илизаров Л.Г.</t>
  </si>
  <si>
    <t>Торг-офис.п-е, Коминтерна, 18-а</t>
  </si>
  <si>
    <t>51-ПД/04-07</t>
  </si>
  <si>
    <t>Войсковая часть 14258</t>
  </si>
  <si>
    <t>120-кв.десятиэтажный ж/дом, Коминтерна</t>
  </si>
  <si>
    <t>ЗАО "Торговый дом Перекресток"</t>
  </si>
  <si>
    <t>Торгово-досуговый центр, ул.Коминтерна</t>
  </si>
  <si>
    <t>61-ТП/07-07</t>
  </si>
  <si>
    <t>ООО Центрстрой</t>
  </si>
  <si>
    <t>ж/дом, Волокалам.пр-кт.</t>
  </si>
  <si>
    <t>Шестев Д.К.</t>
  </si>
  <si>
    <t xml:space="preserve">Торг.-офис.п-е,Коминтерна, 47/102 </t>
  </si>
  <si>
    <t>52-ПД/04-07</t>
  </si>
  <si>
    <t>ООО Сонет - Тверь</t>
  </si>
  <si>
    <t>УФК по Тверской области г. Тверь</t>
  </si>
  <si>
    <t>Административное здание 
по пр-ту Победы, 35</t>
  </si>
  <si>
    <t>98-ТП/11-07</t>
  </si>
  <si>
    <t>ООО Трионон</t>
  </si>
  <si>
    <t>торг.- офис. здание, Трехсвятская, 32</t>
  </si>
  <si>
    <t>ООО «Сандра»</t>
  </si>
  <si>
    <t>жилой дом с административно-торговыми помещениями, пер. Свободный, д. 5</t>
  </si>
  <si>
    <t>ООО "Коммунальщик"</t>
  </si>
  <si>
    <t>магазин продовольственных товаров, ул. 1-я Суворова, д.16</t>
  </si>
  <si>
    <t>342-ТП/10-09</t>
  </si>
  <si>
    <t>ООО «Брау Сервис»</t>
  </si>
  <si>
    <t>бизнес – центр, пр-т Чайковского, д. 19 «Б»</t>
  </si>
  <si>
    <t>ООО ТОТ1</t>
  </si>
  <si>
    <t>торг-офис здание, Трехсвятская</t>
  </si>
  <si>
    <t>Баглай С.А.</t>
  </si>
  <si>
    <t>производственно-складская база, г.Тверь, ул.Коминтерна, 23</t>
  </si>
  <si>
    <t>подземный пешиходный переход, ул.Коминтерна и пр.Чайковског</t>
  </si>
  <si>
    <t>ЗАО "Эребус"</t>
  </si>
  <si>
    <t>магазин производственных товаров, ул.Склизкова, 6А</t>
  </si>
  <si>
    <t>Хромов О.Н.</t>
  </si>
  <si>
    <t>офисные помещения административно-жилого комплекса "Бульвар Радищева-48", г.Тверь, б-р Радищева, 48</t>
  </si>
  <si>
    <t xml:space="preserve">ООО Центрстрой </t>
  </si>
  <si>
    <t>ж/д Волокаламский пр-кт, 26</t>
  </si>
  <si>
    <t>ФГУ "ОДЕЗ ФНС России"</t>
  </si>
  <si>
    <t>Адм.здание Межрайонной ИФНС России № 10 по Тв. обл.</t>
  </si>
  <si>
    <t>33-ТП/12-06</t>
  </si>
  <si>
    <t>МУП Тверьстройзаказчик</t>
  </si>
  <si>
    <t>ж/дом, Георгиевская</t>
  </si>
  <si>
    <t>ООО "Автотехника"</t>
  </si>
  <si>
    <t>Дилерский центр по продаже л/а в Калининском р-не, Никулинский с/о, р-н д. Кривцово</t>
  </si>
  <si>
    <t>72-ТП/09-07</t>
  </si>
  <si>
    <t>Русаков В. А.</t>
  </si>
  <si>
    <t>поселок д. Палкино Калининского р-на</t>
  </si>
  <si>
    <t>С.В. Шумаков</t>
  </si>
  <si>
    <t>Дилерский центр по продаже л/ автомобилей</t>
  </si>
  <si>
    <t>99-ТП/12-07</t>
  </si>
  <si>
    <t xml:space="preserve">ООО Торговый Дом Тверьметалл </t>
  </si>
  <si>
    <t xml:space="preserve">металлобаза с подъезд путями Калининский р-н Никулинское с/п с Никольское </t>
  </si>
  <si>
    <t>ООО "Финанс Инвест"</t>
  </si>
  <si>
    <t>1 очередь ж/комплекса, Тверь, Оснабрюкская</t>
  </si>
  <si>
    <t>109-ТП/12-07</t>
  </si>
  <si>
    <t>ООО «Проект Инвест-2»</t>
  </si>
  <si>
    <t>застройка  ж/м-рна «Мамулино - 2», Оснабрюкская</t>
  </si>
  <si>
    <t>ООО «Тверское специализированное СМУ – 7»</t>
  </si>
  <si>
    <t>цех по изгот. конструкций и изделий из металла и администр.здание с гостиницей для команд. рабочих</t>
  </si>
  <si>
    <t>ООО "Проект Инвест-2"</t>
  </si>
  <si>
    <t>Строительные механизмы, Тверь, Оснабрюкская</t>
  </si>
  <si>
    <t>188-ТП/06-08</t>
  </si>
  <si>
    <t>Данилюк Александр Николаевич</t>
  </si>
  <si>
    <t>цех деревообработки, Калининский район Никулинское с/п, д.Кривцово</t>
  </si>
  <si>
    <t>195-ТП/07-08</t>
  </si>
  <si>
    <t xml:space="preserve">ж/комплекс, юго-зап.м-рн «Южный-Г» в границах улиц Октябрьский пр. и бульвар Гусева </t>
  </si>
  <si>
    <t>Стадольникова Ю.А.</t>
  </si>
  <si>
    <t>Склад-ангар, расположенный по адресу: 
г. Тверь, Волоколамское шоссе, д. 82</t>
  </si>
  <si>
    <t>258-ТП/12-08</t>
  </si>
  <si>
    <t>Тверской КЭЧ Московского военного округа</t>
  </si>
  <si>
    <t>4-х ж/дома, п. Мамулино, Касьянова</t>
  </si>
  <si>
    <t>1 очередь жилого комплекса г.Тверь, ул.Оснабрюкская</t>
  </si>
  <si>
    <t>ООО «Лидер»</t>
  </si>
  <si>
    <t>ж/застройки в пос.Мамулино</t>
  </si>
  <si>
    <t>СНТ "Ясная поляна"</t>
  </si>
  <si>
    <t>Калинин.р-н, Никулинское с/п, д.Палкино</t>
  </si>
  <si>
    <t xml:space="preserve">Потребительский Гаражно-строительный кооператив «Ягуар» </t>
  </si>
  <si>
    <t>гаражные боксы</t>
  </si>
  <si>
    <t>ООО «АММА Девелопмент»</t>
  </si>
  <si>
    <t>торгово - развлекательный центр, Калининский р-он, вблизи дер. Кривцово, заявленной мощностью 7 МВт (I очередь строительства – 4000 кВт; II очередь строительства 3000 кВт)</t>
  </si>
  <si>
    <t>ООО "Мега - Принт"</t>
  </si>
  <si>
    <t>здание бывшей школы, Калинин.р-н, с.Никольское, д.27</t>
  </si>
  <si>
    <t>РУЗКС МВО МО РФ</t>
  </si>
  <si>
    <t>2 жил.дома, пос.Мамулино, ул.Касьянова</t>
  </si>
  <si>
    <t>СНТ "МикроМамулино"</t>
  </si>
  <si>
    <t>СНТ, Калининский р-н, д.Палкино</t>
  </si>
  <si>
    <t>ФГУП "Госкорпорация по орг-ции воздушного движения в РФ</t>
  </si>
  <si>
    <t>радиотехническое обеспечение полетов и авиационной элетросвязи"</t>
  </si>
  <si>
    <t>СНТ "Микро Мамулино"</t>
  </si>
  <si>
    <t>СНТ, Никулинское с/п, район дер. Палкино</t>
  </si>
  <si>
    <t>Клитвина М.Ю.</t>
  </si>
  <si>
    <t>комплекс придорожного сервиса, Калининский район, Никулинское с/п, район д. Кривцово</t>
  </si>
  <si>
    <t>Департамент, архитекруры и стр-тва г.Твери</t>
  </si>
  <si>
    <t>водозаборная насосная станция № 2 в Палкино и в Никольском</t>
  </si>
  <si>
    <t>ООО ТехСтройЗаказчик</t>
  </si>
  <si>
    <t>Никулинское с/п, район дер. Брусилово</t>
  </si>
  <si>
    <t>торгово-складской комплекс_Калининский район, Никулинское с/п, дер. Кривцово</t>
  </si>
  <si>
    <t>ОАО «СПК Мосэнергострой»</t>
  </si>
  <si>
    <t>ж/дом по ул. Хрустальная</t>
  </si>
  <si>
    <t>270-ТП/01-09</t>
  </si>
  <si>
    <t>реконструкция Драматического театра, ул.Димитрова и 1-ая Плеханова</t>
  </si>
  <si>
    <t>ж/дом по ул. Дачная-Первитинская</t>
  </si>
  <si>
    <t>343-тп/10-09</t>
  </si>
  <si>
    <t>ООО Тверь -Спецбланк</t>
  </si>
  <si>
    <t>административно-торговый центр, , жил.массив "Исаевский"</t>
  </si>
  <si>
    <t>ОАО "Тверьагропродмаш"</t>
  </si>
  <si>
    <t>электроустановки производства, ул.Дачная, 11</t>
  </si>
  <si>
    <t>Фокин Е.М.</t>
  </si>
  <si>
    <t>здание по производству электронных устройств и систем, г.Тверь, ул.Дачная, 5/51</t>
  </si>
  <si>
    <t>дом г. Тверь ул. Виноградова 9</t>
  </si>
  <si>
    <t>ООО "Ель-Брус"</t>
  </si>
  <si>
    <t>физк.-оздоровит. Комплекс, Тверь,  Степанова, 19</t>
  </si>
  <si>
    <t>63-ТП/07-07</t>
  </si>
  <si>
    <t>120-кв.десятиэт. ж/дом по ул.Коминтерна</t>
  </si>
  <si>
    <t xml:space="preserve">ОАО "Тверьагрострой" 
</t>
  </si>
  <si>
    <t>Многоэт. ж/дом, 1-ая Трусова, многоэт. ж/дом, 1-ая Суворова и многоэтажн. стоянки на 500 а/м с пристроенными торг.-офисными помещ., 4-ая Путейская в г. Тверь</t>
  </si>
  <si>
    <t>138-ТП/12-07</t>
  </si>
  <si>
    <t xml:space="preserve">ТГООИ Стройгарант </t>
  </si>
  <si>
    <t>жилой дом, г. Тверь, ул. Коробкова, д. 20 кор. 1</t>
  </si>
  <si>
    <t>Дышеков Э.Р.</t>
  </si>
  <si>
    <t>торговый центр г. Калязин, ул. Чкалова, 25</t>
  </si>
  <si>
    <t xml:space="preserve">МУП Калязинстройзаказчик </t>
  </si>
  <si>
    <t>8-квартирный двухэтаж. жил дом г. Калязин, ул. К. Либкнехта, 46</t>
  </si>
  <si>
    <t>60-ИП/03-09</t>
  </si>
  <si>
    <t>ресторан, г. Калязин, ул. Ленина, 22/1</t>
  </si>
  <si>
    <t>ЗАО "Базис-Диалог"</t>
  </si>
  <si>
    <t>объекты дачного строительства "Никольская слобода",
Тверская область, Калязинский район, Семендяевское с/п, между д. Селищи и д. Высокое</t>
  </si>
  <si>
    <t>64-ИП/04-09</t>
  </si>
  <si>
    <t>ООО Дока-строй-7</t>
  </si>
  <si>
    <t>25-кварт. Жилой дом, г. Калязин, ул. Коминтерна, 76</t>
  </si>
  <si>
    <t>СНТ "Заволжские дали"</t>
  </si>
  <si>
    <t>Дачные дома, Тверская область, Калязинский район, Нерльское с/п, вблизи д. Теляшовка</t>
  </si>
  <si>
    <t>69-ИП/06-09</t>
  </si>
  <si>
    <t>КФХ Карина</t>
  </si>
  <si>
    <t>база, г. Калязин, ул. Заводская, 19</t>
  </si>
  <si>
    <t>ГРП № 3, г. Калязин</t>
  </si>
  <si>
    <t>24-ТП/11-06</t>
  </si>
  <si>
    <t>СНТ "Артемово"</t>
  </si>
  <si>
    <t>СНТ, Калязин.р-н, д.Ярославищи</t>
  </si>
  <si>
    <t>ГРП № 2, г. Калязин</t>
  </si>
  <si>
    <t>25-ТП/11-06</t>
  </si>
  <si>
    <t>ООО "РЭК"</t>
  </si>
  <si>
    <t>5-ти этажный двух подьездный 45-ти квартирный жилой дом_г. Калязин, ул. Урицкого, д. 14 б</t>
  </si>
  <si>
    <t>СНП Новово</t>
  </si>
  <si>
    <t xml:space="preserve">Садоводч.х-во, Каляз.р-н, вбл. д. Благуново </t>
  </si>
  <si>
    <t>23-ТП/11-06</t>
  </si>
  <si>
    <t>Администрация Калязин.р-на</t>
  </si>
  <si>
    <t>ж/дом, г Калязин ул. Володарского 51</t>
  </si>
  <si>
    <t>ООО Комплексные услуги</t>
  </si>
  <si>
    <t>ж/дом, д. Ново-Окатово</t>
  </si>
  <si>
    <t>Администрация Калязин.р-на,</t>
  </si>
  <si>
    <t>садоводч. посёлок, вбл.д.Благуново</t>
  </si>
  <si>
    <t>ДНП Волжский дачник</t>
  </si>
  <si>
    <t>дачн.некомм.партнёрство, Алфёровское с/п вблизи г Калязин</t>
  </si>
  <si>
    <t>Иванов И. С.</t>
  </si>
  <si>
    <t>произв.помещ.</t>
  </si>
  <si>
    <t>40-ТВ/02-07</t>
  </si>
  <si>
    <t>СНТ Заря</t>
  </si>
  <si>
    <t>СНТ Калязинский р-н м. Паулино</t>
  </si>
  <si>
    <t>44-ТВ/03-07</t>
  </si>
  <si>
    <t>ФГУП РСК Миг</t>
  </si>
  <si>
    <t xml:space="preserve"> г. Калязин , ул.Индустриальная, 5</t>
  </si>
  <si>
    <t>ООО УК РЭК</t>
  </si>
  <si>
    <t>спорткомплекс, г.Калязин  ул. Тверская</t>
  </si>
  <si>
    <t>ж/дом ул. Коминтерна, г. Калязин</t>
  </si>
  <si>
    <t>ж/дом ул. Володарского, 49, г. Калязин</t>
  </si>
  <si>
    <t>МУП Калязинстройзаказчик</t>
  </si>
  <si>
    <t>5-этажный ж/дом ул. Колхозная г. Калязин</t>
  </si>
  <si>
    <t>СНТ Паулино</t>
  </si>
  <si>
    <t>сад.товарищество, Калязинский р-н, д.Паулино</t>
  </si>
  <si>
    <t>ООО "АВК-Ойл-К"</t>
  </si>
  <si>
    <t>Калязинский р-н, Нерльское с/п, дер. Яринское</t>
  </si>
  <si>
    <t>330-ТП/09-09</t>
  </si>
  <si>
    <t>СНТ, Калязин.р-н, д.Теляшовка</t>
  </si>
  <si>
    <t>СНП Нерль</t>
  </si>
  <si>
    <t>сад.партнерство Каляз р-н, д.Высоково</t>
  </si>
  <si>
    <t>СНТ "Молочные реки"</t>
  </si>
  <si>
    <t>11 жилых домов, Твеская обл., Калязинский р-н, Старобисловское с/п, в р-не Болдиново</t>
  </si>
  <si>
    <t>Комитет по управлению муниципальным имуществом Калязинского района Тверской области</t>
  </si>
  <si>
    <t>карьер по добыче глины, Калязинский р-н, Алферовское с/п, вблизи дер. Елзыково</t>
  </si>
  <si>
    <t>Кириллова А.Ю.</t>
  </si>
  <si>
    <t>32 ж/д, р-н д.Болдиново</t>
  </si>
  <si>
    <t>СНТ "Речные просторы"</t>
  </si>
  <si>
    <t>331-ТП/09-09</t>
  </si>
  <si>
    <t>кирпичный завод, Калязинский р-н, Алферовское с/п, вблизи дер. Василево</t>
  </si>
  <si>
    <t>Румянцева С. С.</t>
  </si>
  <si>
    <t>СНТ Заимка</t>
  </si>
  <si>
    <t>13 жилых домов , Калязинский р-н, Старобисловское с/п, д. Высоково</t>
  </si>
  <si>
    <t>13 жил.домов Калязинский р-н, Старобисловское с/п, д. Высоково</t>
  </si>
  <si>
    <t>ООО Тверьземстрой</t>
  </si>
  <si>
    <t>жилая застройка, Калязинский район, Старобисловское с/п, район д. Болдиново</t>
  </si>
  <si>
    <t>ЗАО Базис-Диалог</t>
  </si>
  <si>
    <t xml:space="preserve">МУП Калязинстройзакзачик,  </t>
  </si>
  <si>
    <t>котельная, д.Семендяево</t>
  </si>
  <si>
    <t>ЗАО Базис Диалог</t>
  </si>
  <si>
    <t>строение вспомогательного назначения, Калязинский р-н, Семендяевское с/п, между д. Высокое и д. Селище</t>
  </si>
  <si>
    <t>Алпатиков Ф. С., Кравцов А. С., Соловьев В. П.</t>
  </si>
  <si>
    <t>ж/дома, Калязин. р-н, вбл.д.Вески-Поречские</t>
  </si>
  <si>
    <t>142-ТП/02-08</t>
  </si>
  <si>
    <t>ООО Бетиз и К</t>
  </si>
  <si>
    <t>Д/о комплекс, Каляз.р-н, с.Нерль</t>
  </si>
  <si>
    <t>с. Нерль, Калязинский район, многофункцю зал школы</t>
  </si>
  <si>
    <t>пристройка к школе, Кесова Гора, Ленинградская</t>
  </si>
  <si>
    <t>186-ТП/06-08</t>
  </si>
  <si>
    <t>ООО "Лисково -Агро"</t>
  </si>
  <si>
    <t>строительные механизмы,  д.Байково</t>
  </si>
  <si>
    <t>ИП Корчак</t>
  </si>
  <si>
    <t>цех</t>
  </si>
  <si>
    <t>мол.ферма, д.Байково</t>
  </si>
  <si>
    <t>Администрация Кесовогорского р-на</t>
  </si>
  <si>
    <t>станция очистки воды, п. Кесова Гора,  Первомайская и р. Кашинка</t>
  </si>
  <si>
    <t>ООО Дорожная строительная компания</t>
  </si>
  <si>
    <t>производств объекты, п Кесова Гора, Строительная 34</t>
  </si>
  <si>
    <t>251-ТП/12-08</t>
  </si>
  <si>
    <t>МФ Пармские рецепты</t>
  </si>
  <si>
    <t>колбасный цех, п. Кесова Гора,  Мелиоративная 4</t>
  </si>
  <si>
    <t>водозабор, п. Кесова Гора, Первомайская и р. Кашинка</t>
  </si>
  <si>
    <t>0,0438+0,143</t>
  </si>
  <si>
    <t>0,025+0,072</t>
  </si>
  <si>
    <t>0,0663+0,0245</t>
  </si>
  <si>
    <t>0,1063+0,133</t>
  </si>
  <si>
    <t>0,0913+0,045</t>
  </si>
  <si>
    <t>1,0025+0,084</t>
  </si>
  <si>
    <t>Витько В.П.</t>
  </si>
  <si>
    <t>объект на з.участке, д.Бор</t>
  </si>
  <si>
    <t>148-ТП/12-07</t>
  </si>
  <si>
    <t>ООО "Экологический союз"</t>
  </si>
  <si>
    <t>оздоровительный лагерь "Звездный", Нелидовский р-н, д. Матренино</t>
  </si>
  <si>
    <t>Науч.пр.лаборатория дичеразв(Алискеров)</t>
  </si>
  <si>
    <t>адм.база,  р-н н/п Марково и д.Нивы</t>
  </si>
  <si>
    <t>71-ТП/09-07</t>
  </si>
  <si>
    <t>Нелидовское МУП ЦРБ</t>
  </si>
  <si>
    <t>офис врача ОП п. Земцы</t>
  </si>
  <si>
    <t xml:space="preserve"> ООО "АНХК"</t>
  </si>
  <si>
    <t>н/п з-д, д.Соболево</t>
  </si>
  <si>
    <t>201-ТП/07/08</t>
  </si>
  <si>
    <t>36-ти квартирный жилой дом, г. Андреапогль, ул. Кленовая д.2</t>
  </si>
  <si>
    <t xml:space="preserve">ООО "Андреапольский ДОК"               </t>
  </si>
  <si>
    <t>Произв.база,  ул. 50 лет Октября, 1</t>
  </si>
  <si>
    <t>79-ТП/10/07</t>
  </si>
  <si>
    <t xml:space="preserve">ООО "АНХК"
</t>
  </si>
  <si>
    <t>Узел учета нефти и нефтепродуктов Тверская обл., Андреапольское с/п, д.Ерохино</t>
  </si>
  <si>
    <t>133-ТП/12-07</t>
  </si>
  <si>
    <t>ООО "Стройсервис", мясной цех, Андеапольский р-н, д. Курово, ул.Средняя</t>
  </si>
  <si>
    <t>284/1-ТП/04-09</t>
  </si>
  <si>
    <t>Доброхвалов А.В.</t>
  </si>
  <si>
    <t>ж/дом, вбл д.Бенек</t>
  </si>
  <si>
    <t>152-ТП/12-07</t>
  </si>
  <si>
    <t>Многоквартирный жилой дом № 23, 2 пуск жилого квартала г. Тверь, ул. Коноплянниковой</t>
  </si>
  <si>
    <t>349-ТП/11-09</t>
  </si>
  <si>
    <t>производст.корпус, Тверь, ул. П.Савельевой, 45, стр.1</t>
  </si>
  <si>
    <t>многофункциональный жилой и торгово-офисный комплекса  в квартале застройки по ул Советской – ул. Рыбацкой – Татарскому пер. – Смоленскому пер. в г. Твери, ТП по 6 кВ</t>
  </si>
  <si>
    <t>НП "Солнечное"</t>
  </si>
  <si>
    <t>жилые дома, Калининский р-н д.Палкино</t>
  </si>
  <si>
    <t>завода по изготовлению подшипников ООО «СКФ Тверь», Тверская обл., Калининский р-н, Бурашевский с/о, д. Неготино</t>
  </si>
  <si>
    <t>ГОУ ВПО Тверской университет</t>
  </si>
  <si>
    <t>общеж-я №4 и №5, Тверь,  Плеханова</t>
  </si>
  <si>
    <t>жил застройка ул Фрунзе, 22</t>
  </si>
  <si>
    <t>ООО "ГОЭЛРО"</t>
  </si>
  <si>
    <t>Многоэтажная жилая застройка г.Тверь, ул.Луначарского</t>
  </si>
  <si>
    <t>165-ТП/04-08</t>
  </si>
  <si>
    <t>ООО Квадрат</t>
  </si>
  <si>
    <t>ж/ дом по ул Луначарского 9 кор 1</t>
  </si>
  <si>
    <t>ООО «Бином плюс»</t>
  </si>
  <si>
    <t>Центр многофункционального назначения
г. Тверь, ул. П. Савельевой, д. 44</t>
  </si>
  <si>
    <t>255-ТП/12-08</t>
  </si>
  <si>
    <t>ООО Строй капитал</t>
  </si>
  <si>
    <t>ж/дом по ул. Луначарского 32 корп. 1 и д. 32 кор. 2</t>
  </si>
  <si>
    <t>ЗАО ПКФ «АЛ» филиал РТБК «Околица»</t>
  </si>
  <si>
    <t>нежилое здание по 1-му пер. Вагонников</t>
  </si>
  <si>
    <t>277/1-ТП/03-09</t>
  </si>
  <si>
    <t>ОАО «Центртелеком»</t>
  </si>
  <si>
    <t>АТС – 56 на Молодежном б-ре г. Твери</t>
  </si>
  <si>
    <t>ООО Атлантис -Плюс</t>
  </si>
  <si>
    <t>ж/ дом по ул. Луначарского, 32</t>
  </si>
  <si>
    <t>294-ТП/05-09</t>
  </si>
  <si>
    <t>Филиал «Оргстройпроект» ОАО «СПК Мосэнергострой»</t>
  </si>
  <si>
    <t>многоэт. ж/дом ул. Хромова</t>
  </si>
  <si>
    <t xml:space="preserve">ОАО «Тверьстрой» </t>
  </si>
  <si>
    <t xml:space="preserve">10-ти эт. ж/дом по ул Хромова, 25 </t>
  </si>
  <si>
    <t xml:space="preserve">ИП Барсков Юрий Геннадьевич </t>
  </si>
  <si>
    <t xml:space="preserve"> магазин, П.Савельевой, 33-А</t>
  </si>
  <si>
    <t xml:space="preserve">Упр-е инкассации – филиал Российского объединения инкассации ЦентрБанка РФ </t>
  </si>
  <si>
    <t>центральный тепловой пункт, Луначарского, 20</t>
  </si>
  <si>
    <t>Фонд развития детского спорта</t>
  </si>
  <si>
    <t xml:space="preserve"> торговый центр, Молодежный б-р, 2</t>
  </si>
  <si>
    <t>ЗАО "Тверская сотовая связь"</t>
  </si>
  <si>
    <t>ЗАО "Тверская сотовая связь), коммутатор сотовой связи, ул.Оборонная, 5</t>
  </si>
  <si>
    <t>ООО "Юность"</t>
  </si>
  <si>
    <t xml:space="preserve"> административно-торговое здание, Молодежный б-р</t>
  </si>
  <si>
    <t>ООО "ТД "Сокол"</t>
  </si>
  <si>
    <t>объект недвижимости, ул.П.Савельевой, 56</t>
  </si>
  <si>
    <t>ООО "Квадрат", жилой комплекс " Башня Скворца", ул.Докучаева, 36 и ул. Скв.- Степанова, 85</t>
  </si>
  <si>
    <t>ООО "Квадрат", жилой комплекс " Башня Скворца", ул.Докучаева, 36 и ул. Скв.- Степанова, 86</t>
  </si>
  <si>
    <t>ОАО "Тверской мясокомбинат"</t>
  </si>
  <si>
    <t>магазин "Тверской купец", ул.С.-Петербургское шоссе, д.27</t>
  </si>
  <si>
    <t xml:space="preserve">ИП Жаров В. Н. </t>
  </si>
  <si>
    <t xml:space="preserve">здание закусочной "Бистро" г. Тверь, </t>
  </si>
  <si>
    <t>общежитие г. Тверь, ул.Фрунзе</t>
  </si>
  <si>
    <t>ООО «КАЗАК»</t>
  </si>
  <si>
    <t>строимеханизмы г.Тверь, ул.Хромова - 2-ой пер.Седова</t>
  </si>
  <si>
    <t>Управление ФСБ России по Тверской области</t>
  </si>
  <si>
    <t>64 квартирный жилой дом, г.Тверь, ул.1-ый пер.Вагонников</t>
  </si>
  <si>
    <t>производственная база для учреждений культуры, г. Тверь, ул. 1-я Плеханова</t>
  </si>
  <si>
    <t>фондохранилище под хранение музейных фондов, г. Тверь, ул. Г. Димитрова, д. 46</t>
  </si>
  <si>
    <t>1 очередь 9 этажного ж/д_г. Тверь, ул. Скворцова-Степанова,37</t>
  </si>
  <si>
    <t>ООО "Промопост"</t>
  </si>
  <si>
    <t xml:space="preserve">Склад "Горизонт-3" Тверь, Коняевская, 14 </t>
  </si>
  <si>
    <t>34-ТП/12-06</t>
  </si>
  <si>
    <t>ООО "Норд-Авто"</t>
  </si>
  <si>
    <t>Автоцентр "Renault", Тверь, Московское ш</t>
  </si>
  <si>
    <t>65-ТП/08-07</t>
  </si>
  <si>
    <t>ООО "Бизнес-Сервис"</t>
  </si>
  <si>
    <t>производственно-адм.комплекс, Московское ш,15 А</t>
  </si>
  <si>
    <t xml:space="preserve">Адм-складское здание почтово-обраб. комплекса, Тверь, Московск. ш, 5  </t>
  </si>
  <si>
    <t>80-ТП/10-07</t>
  </si>
  <si>
    <t>ООО "СО Тверьнефтепродукт"</t>
  </si>
  <si>
    <t>тверская нефтебаза, ул. Бочкина, 29</t>
  </si>
  <si>
    <t>ЗАО "ДКС"</t>
  </si>
  <si>
    <t>Объекты предприятия,  Тверь, Б. Перемерки, Бочкина 15</t>
  </si>
  <si>
    <t>102-ТП/12-07</t>
  </si>
  <si>
    <t>ООО "Межрегион.Торг.Центр"</t>
  </si>
  <si>
    <t xml:space="preserve">нежил.пом.,Тверь, Коняевская </t>
  </si>
  <si>
    <t>ОАО Бетиз-ЖБИ</t>
  </si>
  <si>
    <t>реконструкция цеха, Тверь, Сердюковская, 15</t>
  </si>
  <si>
    <t>257-ТП/12-08</t>
  </si>
  <si>
    <t>ООО "Ремонтно-эксплуатационное управление Московского района"</t>
  </si>
  <si>
    <t>производственная база для размещения снегоуборочной техники, Московское шоссе, д.84</t>
  </si>
  <si>
    <t>водозабор в п. Элеватор</t>
  </si>
  <si>
    <t>299-ТП/06-09</t>
  </si>
  <si>
    <t>технологическое оборудование, г.Тверь, промзона Лазурная, д.36</t>
  </si>
  <si>
    <t>318-ТП/09-09</t>
  </si>
  <si>
    <t>ООО "Компания АНТЭК"</t>
  </si>
  <si>
    <t>производственно-складская база_г. Тверь, Большие перемерки</t>
  </si>
  <si>
    <t>ж/квартал Маяковского-Добролюбова-Деревцова-Левобережная, ТП по 10 кВ</t>
  </si>
  <si>
    <t>ТГОИ "Инвастрой"</t>
  </si>
  <si>
    <t>1-я очередь жилого дома в г. Тверь, ул. Московская, д. 1</t>
  </si>
  <si>
    <t>66-ТП/08-07</t>
  </si>
  <si>
    <t xml:space="preserve">Адм. Калин. р-на </t>
  </si>
  <si>
    <t>пристройка наб. Лазури, ТП по 10 кВ</t>
  </si>
  <si>
    <t>Тришанкова Е.Ю.</t>
  </si>
  <si>
    <t>база отдыха "Усадьба Фонвизина", Калязин. Р-н д.Н.Окатово</t>
  </si>
  <si>
    <t>321-ТП/09-09</t>
  </si>
  <si>
    <t>ТУ ГУП "Тверьоблстройзаказчик"</t>
  </si>
  <si>
    <t>КНС №1, пос. Кесова Гора, ул. Полевая</t>
  </si>
  <si>
    <t>очистные сооружения, пос. Кесова Гора</t>
  </si>
  <si>
    <t>ТУ ГУП "Тверьоблстройзаказчик</t>
  </si>
  <si>
    <t>КНС №2, пос. Кесова Гора, ул. Юбилейная</t>
  </si>
  <si>
    <t>ООО "Васильевская заводь"</t>
  </si>
  <si>
    <t>жылые дома, Калязин.р-н, вблизи д.Селищи</t>
  </si>
  <si>
    <t>жилой дом с надворными постройками_Бельский район, Демяховское с/п, дер. Рожино, ул. Центральная</t>
  </si>
  <si>
    <t>реконструкция районнного Дома культуры_г. Западная Двина, ул. Культурная</t>
  </si>
  <si>
    <t>ООО "76 Ойл-АЗС"</t>
  </si>
  <si>
    <t>автозаправочный комплекс, Тверская обл, Нелидовский район, Земцовское с/п, 344 км+195 (право) автодорога М-9 "Балтия"</t>
  </si>
  <si>
    <t>Зубц.р-н д.Щеколдино (ТУ Герасим)</t>
  </si>
  <si>
    <t>240-ТП/10-08</t>
  </si>
  <si>
    <t>Администрация Ржевского района тверской области</t>
  </si>
  <si>
    <t>молочный цех,  Ржевкий район, с/о "Чертолино", дер. Чертолино</t>
  </si>
  <si>
    <t>ООО «ЛУКОЙЛ – Центрнефтепродукт»</t>
  </si>
  <si>
    <t xml:space="preserve">придорожный комплекс с АЗС Ржевский район, с/п Есинка, район дер. Захарово 223 км, трасса М-9 «Балтия» </t>
  </si>
  <si>
    <t>комплексная застройка и реконстр. Д. Подвязье, Старицкий район, Ново-Ямское с/п, дер. Подвязье</t>
  </si>
  <si>
    <t>МУ Администр. Тысяцкого с/п</t>
  </si>
  <si>
    <t>стройплощадка под 12 1-кв-ых жилых домов, Кувшиновский р-н, с.Тысяцкое</t>
  </si>
  <si>
    <t xml:space="preserve">ИП Филиппов С.В. </t>
  </si>
  <si>
    <t>модульно-блочная котельная № 1 в г. Осташков, пер. Южный</t>
  </si>
  <si>
    <t>ООО Тверьэнергогаз</t>
  </si>
  <si>
    <t>спортивный центр с универсальным игровым залом_г. Осташков</t>
  </si>
  <si>
    <t>Никифоров А.В.</t>
  </si>
  <si>
    <t>ЗАО "Тверь-Связь"</t>
  </si>
  <si>
    <t>база отдыха, Осташковский р-н, Мошенское  с/п, д. Бородино</t>
  </si>
  <si>
    <t>ООО Респект Групп"</t>
  </si>
  <si>
    <t>производственная площадка, Пеновский р-н, д.Осечно</t>
  </si>
  <si>
    <t xml:space="preserve">Соболев А.В. </t>
  </si>
  <si>
    <t>дачный поселок, Селижаровский район, Большекошкинское с/п, район дер. Большая Коша</t>
  </si>
  <si>
    <t>дачный поселок, Селижаровский район, Большекошкинское с/п, район дер. Пьянково</t>
  </si>
  <si>
    <t>осв.автодороги М-10 "Россия" - от Москвы через Тверь, Новгород до Санкт-Петербурга,  Тверская область, Торжок. район, а/дорога М-10 "Россия" км 218+390 - км 224+000</t>
  </si>
  <si>
    <t>336-ТП/10-09</t>
  </si>
  <si>
    <t>осв.автодороги  М-10 д. Думаново, Миронежье</t>
  </si>
  <si>
    <t>ФГУ "Дороги России", Торжокский район, на участке км 111+900 - км 258+01</t>
  </si>
  <si>
    <t>ЗАО Спецстройтрест ЗАТО-центр</t>
  </si>
  <si>
    <t>ООО "Селянка"</t>
  </si>
  <si>
    <t>птичник №1, №2, В.Волоцкий р-н, д.Дятлово</t>
  </si>
  <si>
    <t>Адм. Кесовогорского р-на</t>
  </si>
  <si>
    <t>с/х рынок, Кесовогорский р-н, пгт. Кесово Гора</t>
  </si>
  <si>
    <t>СНТ "Закат"</t>
  </si>
  <si>
    <t>СНТ, Кимр.р-н, д. Акулово</t>
  </si>
  <si>
    <t>СНТ "Бриз"</t>
  </si>
  <si>
    <t>СНТ, Кимр.р-н, д. Губин Угол</t>
  </si>
  <si>
    <t>СНТ "Исток"</t>
  </si>
  <si>
    <t>СНТ "Ручейный"</t>
  </si>
  <si>
    <t>СНТ "Победа"</t>
  </si>
  <si>
    <t>СНТ, Кимр.р-н, д. Калинино</t>
  </si>
  <si>
    <t>СНТ "Полевой"</t>
  </si>
  <si>
    <t>СНТ "Цветочный"</t>
  </si>
  <si>
    <t>СНТ "Опушка"</t>
  </si>
  <si>
    <t>СНТ "Горизонт"</t>
  </si>
  <si>
    <t>СНТ "Лотос"</t>
  </si>
  <si>
    <t>СНТ "Солнечный"</t>
  </si>
  <si>
    <t>СНТ "Лесной"</t>
  </si>
  <si>
    <t>СНТ "Отечество"</t>
  </si>
  <si>
    <t>ИП Бакаев</t>
  </si>
  <si>
    <t>мотель, в.Волоцкий р-н, д.Коломно</t>
  </si>
  <si>
    <t>Муниципальное образовательное учреждение Славнинская средняя общеобразовательная школа</t>
  </si>
  <si>
    <t>здание школы Торжокский район, п. Славный, ул. Школьная, д. 5 68,8</t>
  </si>
  <si>
    <t>Администрация МО "Михайловское с/п" Калининского района Тверской области</t>
  </si>
  <si>
    <t>площадка под размещение сельскохозяйственного кооперативного рынка на 50 торговых мест_Калининский район, Михайловское с/п, д. Глазково</t>
  </si>
  <si>
    <t>ООО "Ерофеево"</t>
  </si>
  <si>
    <t>база, Конаковский район, Первомайское с/о, дер. Перетрусово, д.4</t>
  </si>
  <si>
    <t>ЗАО племзавод "Заволжское"</t>
  </si>
  <si>
    <t>1-я площадка откорма_Калининский район, р-н дер. Городня</t>
  </si>
  <si>
    <t>2-я площадка откорма_Калининский район, р-н дер. Городня</t>
  </si>
  <si>
    <t>ГУ  «Дирекция территориального дорожного фонда Тверской области»</t>
  </si>
  <si>
    <t>линии освещения автомобильной дороги Тверь – Лотошино – Шаховская – Уваровка Калининский район, дер. Лебедево</t>
  </si>
  <si>
    <t>дачный поселок Калининский район, Никулинское с/п, район дер. Даниловское</t>
  </si>
  <si>
    <t xml:space="preserve">Журавлев ИЛ. </t>
  </si>
  <si>
    <t>здание административно-торгового назначения_бульвар Цанова, 1 б.</t>
  </si>
  <si>
    <t>Департамент ЖКХ и ГХ Тверской области</t>
  </si>
  <si>
    <t>административное здание, г.Тверь, бульвар Радищева, д. 31</t>
  </si>
  <si>
    <t>313-ТП/08-09</t>
  </si>
  <si>
    <t>линии освещения автомобильной дороги Тверь – Лотошино – Шаховская – Уваровка Калининский район, дер. Починки</t>
  </si>
  <si>
    <t>электроосвещение автодороги, Тверская оласть, автомобильная дорога М-10 "Россия" - от Москвы через Тверь, Новгород до Санкт-Петербурга подъезд к г. Твери км 134+780 - км 137+230</t>
  </si>
  <si>
    <t>ферма для разведения рыбы_Конаковский район, Городенское с/п, с. Городня</t>
  </si>
  <si>
    <t>торгово-промышленная зона, Калининский р-н, д.Кривцово</t>
  </si>
  <si>
    <t>ФГУ "Дороги России", Калининский район, на участке км 111+900 - км 207+75</t>
  </si>
  <si>
    <t>ФГУ "Дороги России", Калининский район, на участке км 111+900 - км 207+76</t>
  </si>
  <si>
    <t>Строительные механизмы жилой застройки, Тверская обл., Калининский р-н, д. Ямок</t>
  </si>
  <si>
    <t>ООО "Солнечный Рай"</t>
  </si>
  <si>
    <t>солярий_г. Тверь, пр-кт Ленина, д. 28</t>
  </si>
  <si>
    <t>объекты жилья и соцкультурбыта в микрорайоне "Архангельское", Конаковский район, Мокшинское с/п, вблизи д. Архангельское</t>
  </si>
  <si>
    <t>Московская дистанция гражданских сооружений, водоснабжения и водоотведения МО Октябрьской ж/д филиала ОАО "РЖД"</t>
  </si>
  <si>
    <t>электроотопление поста, Калининский р-н, ст.Доронинская</t>
  </si>
  <si>
    <t>Ермаков В.О. (выпад.доходы)</t>
  </si>
  <si>
    <t xml:space="preserve">земельный участок для садоводства, Калининский район, Михайловское с/п, 450 м от дер. Изворотень по направлению на восток </t>
  </si>
  <si>
    <t>(выпад.доходы)</t>
  </si>
  <si>
    <t>строймеханизмы для застройки в п. Никифоровское, район ВНИИСВ, г. Тверь</t>
  </si>
  <si>
    <t>ООО «ПоварЛюкс»</t>
  </si>
  <si>
    <t xml:space="preserve">здание цеха № 1 ПРА Конаковский район, н/п пос. Изоплит, пос. Озерки, Механический пр. 46 </t>
  </si>
  <si>
    <t>ООО ТверьПромИнвест</t>
  </si>
  <si>
    <t>АЗС с магазином и кафе_Конаковский район, Завидовское с/п, район с. Завидово на 109 км+400(лево) автодороги Москва-Санкт-Петербург</t>
  </si>
  <si>
    <t>Управление образования Администрации Конаковского района Тверской области</t>
  </si>
  <si>
    <t>детский сад  Конаковский район, Завидовское с/п, с. Завидово, ул. Школьная</t>
  </si>
  <si>
    <t>участок, Рамешковский р-н, д.Селище</t>
  </si>
  <si>
    <t>Государственное учреждение «Дирекция территориального дорожного фонда Тверской области»</t>
  </si>
  <si>
    <t>освещение кольцевой а/д по периметру промзоны п. Редкино Конаковский   р-н, п. Редкино, промзона62,5 кВт</t>
  </si>
  <si>
    <t>350-ТП/12-09</t>
  </si>
  <si>
    <t>Мин.</t>
  </si>
  <si>
    <t>Чепа Алексей Васильевич</t>
  </si>
  <si>
    <t>садоводческое некоммерческое товарищество Конаковский район, село Городня</t>
  </si>
  <si>
    <t>Юсуфов С.Ю.</t>
  </si>
  <si>
    <t>Жилой дом, Тверская область, Конаковский р-н, д. Дорино</t>
  </si>
  <si>
    <t>175-ТП/05-08</t>
  </si>
  <si>
    <t>Пучков А.С.</t>
  </si>
  <si>
    <t>Жилые дома, Тверская обл., Конаковский р-н, д. Павельцево, д. 75, 76, 77</t>
  </si>
  <si>
    <t>191-ТП/07-08</t>
  </si>
  <si>
    <t>Администрация Конаковского р-на</t>
  </si>
  <si>
    <t>7 жилых домов, с.Дмитрова Гора ул. Целинников</t>
  </si>
  <si>
    <t xml:space="preserve">Дмитрогорская сельская администрация </t>
  </si>
  <si>
    <t xml:space="preserve">38 жилых домов в с.Дмитрова Гора </t>
  </si>
  <si>
    <t>очистные сооружения, Конаковский р-он, д. Дмитрова Гора</t>
  </si>
  <si>
    <t xml:space="preserve">Шаталов Я.В. </t>
  </si>
  <si>
    <t>Администрации Конаковского района</t>
  </si>
  <si>
    <t>Ткачева А.А.</t>
  </si>
  <si>
    <t>жил/дом Конаковский район, Дмитровогорское с/п, д. Фролово, 13</t>
  </si>
  <si>
    <t>Отделение УФК по Конаковскому р-ну</t>
  </si>
  <si>
    <t>Тверская обл., г. Конаково, ул. Первомайская, д. 20-а</t>
  </si>
  <si>
    <t>105-ТП/12-07</t>
  </si>
  <si>
    <t>ОАО СПК Мосэнергострой,7</t>
  </si>
  <si>
    <t>г.Конаково, ул. Александровка, д.18</t>
  </si>
  <si>
    <t>Управление образования Администрации Конаковского района</t>
  </si>
  <si>
    <t>Общеобразовательная школа, г. Конаково</t>
  </si>
  <si>
    <t>121-ТП/12-07</t>
  </si>
  <si>
    <t>ООО "ТОЦ "Юго - Восток"</t>
  </si>
  <si>
    <t xml:space="preserve"> г.Конаково, ул. Учебная, д.21 а</t>
  </si>
  <si>
    <t>МУП "Отдел единого заказчика по кап.строительству"</t>
  </si>
  <si>
    <t>спортивный комплекс, г.Конаково, ул.Строителей</t>
  </si>
  <si>
    <t>304-ТП/07-09</t>
  </si>
  <si>
    <t>ООО "ТекКом-СП", г.Конаково, ул. Свободы, д.208</t>
  </si>
  <si>
    <t>ООО "ТекКом-СП", г.Конаково, ул. Свободы, д.209</t>
  </si>
  <si>
    <t>СНТ «Карачарово»</t>
  </si>
  <si>
    <t>12 дачных домов СНТ «Карачарово»,  г Конаково, СНТ «Карачарово»</t>
  </si>
  <si>
    <t>А.С. Соколов</t>
  </si>
  <si>
    <t>Мемориальный комплекс, Тверская область, Конаковский лесхоз, Вяземское лесничество, квартал 99, выделы 1,2,3,4 на площади 3,5 Га</t>
  </si>
  <si>
    <t>205-ТП/08-08</t>
  </si>
  <si>
    <t>СНТ "Меркурий"</t>
  </si>
  <si>
    <t>СНТ, Конаковский район, Вахонинское с/п, район дер. Вахромеево</t>
  </si>
  <si>
    <t>223-ТП/09-08</t>
  </si>
  <si>
    <t>ЗАО Тверская сотовая связь</t>
  </si>
  <si>
    <t>базовая станция п. Городня Конаковского района</t>
  </si>
  <si>
    <t>ЗАО «Ю - Тверь»</t>
  </si>
  <si>
    <t>АЗК № 7,Конаковский р-он, дер. Кошелево</t>
  </si>
  <si>
    <t>306-ТП/07-09</t>
  </si>
  <si>
    <t>ООО Редкинская АПК</t>
  </si>
  <si>
    <t>блочная котельная д. Кошелево Конаковский район</t>
  </si>
  <si>
    <t>Садоводческое некоммерческое товарищество «Яблонька»</t>
  </si>
  <si>
    <t>КТП-6/0,4 - 2500 кВА для электроснабжения участков с постройками - 25 домов (планируется увеличение до 76 домов),Тверская обл., Конаковский р-он, дер. Игуменка</t>
  </si>
  <si>
    <t>ООО "Дорошкевич и Ко"</t>
  </si>
  <si>
    <t>Колбасный цех,
 Конаковский р-н, с.Селихово</t>
  </si>
  <si>
    <t>30-ТП/11-06</t>
  </si>
  <si>
    <t>ООО Региональное развитие</t>
  </si>
  <si>
    <t>КНС, д.Мокшино</t>
  </si>
  <si>
    <t>МАЗК с придорож. Сервисом Конаковский роайон п. Мокшино, 117+600 право</t>
  </si>
  <si>
    <t>308/1-ТП/08-09</t>
  </si>
  <si>
    <t>жилая застройка , д.Архангельское Мокшинское с/п, 100 димов</t>
  </si>
  <si>
    <t>ООО "ТрастСтройИнвест"</t>
  </si>
  <si>
    <t>водозабороное устройство, Конаковский район, Мокшинское с/п, р-н д. Архангельское</t>
  </si>
  <si>
    <t>водозабор , д.Демидово Мокшинское с/п</t>
  </si>
  <si>
    <t>индивидуальная жилая застройка , д.Архангельское Мокшинское с/п</t>
  </si>
  <si>
    <t>ГлаваУпДК при МИД России"</t>
  </si>
  <si>
    <t>комплекс отдыха "Завидово"</t>
  </si>
  <si>
    <t>НП Дипломатич. Охотничий клуб</t>
  </si>
  <si>
    <t>застройка в д. Рябинки Вахонинский с/о, Конаковский район</t>
  </si>
  <si>
    <t>МУ Администрация Мокшинского с/п</t>
  </si>
  <si>
    <t>Глинский Н. Е.</t>
  </si>
  <si>
    <t>жил. дом, Селижаровский район, Оковецкое с/п, д. Высоково, ул. Центральная, 26</t>
  </si>
  <si>
    <t>ЗАО Форест</t>
  </si>
  <si>
    <t>т/б "Акватория", п.Селище</t>
  </si>
  <si>
    <t>ООО "Тверьстроймаш"</t>
  </si>
  <si>
    <t>гост.комплекс, п.Селижарово</t>
  </si>
  <si>
    <t>Егерев И. М.</t>
  </si>
  <si>
    <t>ж/д, Селиж.р-н, д.Завирье</t>
  </si>
  <si>
    <t>Яцко С.И.</t>
  </si>
  <si>
    <t>ж/д, д.Заручевье</t>
  </si>
  <si>
    <t>235-ТП/10-08</t>
  </si>
  <si>
    <t xml:space="preserve">Агеев В. П. </t>
  </si>
  <si>
    <t>ж/д, Селиж.р-н, д.Девичье</t>
  </si>
  <si>
    <t>281-ТП/04-09</t>
  </si>
  <si>
    <t>ООО Софья</t>
  </si>
  <si>
    <t>п.Свапуще</t>
  </si>
  <si>
    <t>№ 2</t>
  </si>
  <si>
    <t>Фролова Н.Ю.</t>
  </si>
  <si>
    <t>КФХ, д.Узгово</t>
  </si>
  <si>
    <t>68-ТП/08-07</t>
  </si>
  <si>
    <t>Горбаткин В.Н.</t>
  </si>
  <si>
    <t>ж/д, д.Третьники</t>
  </si>
  <si>
    <t>170-ТП/04-08</t>
  </si>
  <si>
    <t>Дружков Д.В.</t>
  </si>
  <si>
    <t>ж/д, д.Гуща</t>
  </si>
  <si>
    <t>131-ТП/12-07</t>
  </si>
  <si>
    <t>Крюченков С.А.</t>
  </si>
  <si>
    <t>ж/д, д.Задубье</t>
  </si>
  <si>
    <t>221-ТП/09-08</t>
  </si>
  <si>
    <t>Орлов А. В.</t>
  </si>
  <si>
    <t>ж/д, Осташ.р-н, д.Третники</t>
  </si>
  <si>
    <t>248-ТП/11-08</t>
  </si>
  <si>
    <t>СНТ "Гладкий луг"</t>
  </si>
  <si>
    <t>60 ж/д, Осташковск. р-н</t>
  </si>
  <si>
    <t>194-ТП/07-08</t>
  </si>
  <si>
    <t>Орлова Г.А.</t>
  </si>
  <si>
    <t>ж/д, Осташков   р-н Спецавтохоз-ва</t>
  </si>
  <si>
    <t>ООО "Строй-Капитал"</t>
  </si>
  <si>
    <t>застройка 5эт ж/д, Осташков, Заслонова</t>
  </si>
  <si>
    <t>146-ТП/12-07</t>
  </si>
  <si>
    <t>ЗАО МосДом</t>
  </si>
  <si>
    <t>оздор.-реабилитац комплекс, д. Заречье</t>
  </si>
  <si>
    <t>260-ТП/12-08</t>
  </si>
  <si>
    <t xml:space="preserve">ЗАО ТЭКС </t>
  </si>
  <si>
    <t>дом и хоз постройки Осташковский р-н, Ботовское с/п, д. Заречье</t>
  </si>
  <si>
    <t>школа, д.Святое</t>
  </si>
  <si>
    <t>64-ТП/07-07</t>
  </si>
  <si>
    <t>строящиеся объекты, д. Глебово</t>
  </si>
  <si>
    <t>224-ТП/09-08</t>
  </si>
  <si>
    <t>ООО Турсервис</t>
  </si>
  <si>
    <t>тур.комплекс,Осташков р-н д.Пачково</t>
  </si>
  <si>
    <t>ООО Жемчужина Селигера</t>
  </si>
  <si>
    <t>жил. дома и хоз. постройки, Осташков. район, Сорожское с/п, район д. Пачково</t>
  </si>
  <si>
    <t>Юркова Л. И.</t>
  </si>
  <si>
    <t>4 ж/дома, Конак.р-н, д.Ляпино</t>
  </si>
  <si>
    <t>48-ТП/04-07</t>
  </si>
  <si>
    <t xml:space="preserve">Храм Пресвятой Троицы </t>
  </si>
  <si>
    <t>Пеновский район, с/о Ворошилово с. Отолово</t>
  </si>
  <si>
    <t>Молоканова Н. Е.</t>
  </si>
  <si>
    <t>ж/дом, Пеновск.р-н, п.Рунский</t>
  </si>
  <si>
    <t>263-ТП/12-08</t>
  </si>
  <si>
    <t>Отделение УФК Пеновский район</t>
  </si>
  <si>
    <t>здание УФК, Пено, 249 Стрелковой див.,22</t>
  </si>
  <si>
    <t>108-ТП/12-07</t>
  </si>
  <si>
    <t>Афиногенов М. Э.</t>
  </si>
  <si>
    <t xml:space="preserve"> КФК, д.Любеж</t>
  </si>
  <si>
    <t>ПРО Горские устья</t>
  </si>
  <si>
    <t>застройка, Пено, Советская, 60</t>
  </si>
  <si>
    <t>73-ТП/09-07</t>
  </si>
  <si>
    <t xml:space="preserve">ООО Руссо-ДИЗ </t>
  </si>
  <si>
    <t>произв. Здание п. Пено, ул. Л. Чайкиной, 103</t>
  </si>
  <si>
    <t>Администрация Пеновского р-на</t>
  </si>
  <si>
    <t xml:space="preserve"> котельная, п. Пено, ул. В. Павлова</t>
  </si>
  <si>
    <t xml:space="preserve">ИП Фролов С. С. </t>
  </si>
  <si>
    <t>пилорама п. Соблаго Пеновского района</t>
  </si>
  <si>
    <t>271-ТП/02-09</t>
  </si>
  <si>
    <t>, котельная, п. Пено, ул. Л. Чайкиной</t>
  </si>
  <si>
    <t>ООО "Фирма А.Р.Д."</t>
  </si>
  <si>
    <t>Многофункц.здание адм.-торг. назначения, Тверь, б.Цанова, 6, к 3</t>
  </si>
  <si>
    <t>ООО «Строительные технологии»</t>
  </si>
  <si>
    <t>ж/комплкс на юго-западе м-рна «Южный-Г» в границах улиц Октябрьский пр-кт и бульвар Гусева</t>
  </si>
  <si>
    <t>ООО Квантум</t>
  </si>
  <si>
    <t>Торг-развл центр, б-р Цанова, 8</t>
  </si>
  <si>
    <t>44/1-ТП/02-07</t>
  </si>
  <si>
    <t>ООО "Строй - Инвест"</t>
  </si>
  <si>
    <t xml:space="preserve"> жилая застройка, ориентир - ул.Восточная, 99/7</t>
  </si>
  <si>
    <t>ООО «Мансарда - С»</t>
  </si>
  <si>
    <t>жилой дом, г. Тверь, ул. Загородная, д. 9, корп. 1</t>
  </si>
  <si>
    <t>ЗАО Компания объединенных инвестиций «Магеллан»</t>
  </si>
  <si>
    <t xml:space="preserve">многоэтажные жилые дома со встроенными помещениями общественного назначения в  пос. Химинститут, Московского  района, г.Твери </t>
  </si>
  <si>
    <t>спорткомплекс, пос.Химинститут</t>
  </si>
  <si>
    <t>114-ТП/12-07</t>
  </si>
  <si>
    <t>застройка в п. Никифоровское, район ВНИИСВ, г. Тверь</t>
  </si>
  <si>
    <t>ВТМ Дорпроект</t>
  </si>
  <si>
    <t>Федотов В.В.</t>
  </si>
  <si>
    <t>административно-технический комплекс, г.Тверь, пос.Власьево, д.31</t>
  </si>
  <si>
    <t>ООО «ВТМ дорпроект»</t>
  </si>
  <si>
    <t>линия наружного освещения Московского шоссе, г.Тверь, Московское шоссе, участок от пл. Гагарина до границы г. Твери</t>
  </si>
  <si>
    <t>дилерские центры Фольксваг, Шкода пр. 50 лет Октября, 5</t>
  </si>
  <si>
    <t>ООО «Тверьстроймаш»</t>
  </si>
  <si>
    <t>2362 кВт (1662 кВт – ранее разреш. мощность) Старицкое шоссе, 30</t>
  </si>
  <si>
    <t>ООО «Солнечный рай»</t>
  </si>
  <si>
    <t>солярий г.Тверь, пр-т. Ленина, д.28</t>
  </si>
  <si>
    <t>ЗАО "Трест Тверьстрой № 1"</t>
  </si>
  <si>
    <t>Ж/ дом, Мигаловская наб., 1, к. 2, ТП по 6 кВ</t>
  </si>
  <si>
    <t>87-ТП/11-07</t>
  </si>
  <si>
    <t xml:space="preserve">ТСЖ ул. Бобкова 38 </t>
  </si>
  <si>
    <t>дом и ЦТП</t>
  </si>
  <si>
    <t>103-ТП /12-07</t>
  </si>
  <si>
    <t>Автокооператив № 20</t>
  </si>
  <si>
    <t>авто гараж, г. Тверь, Борихино поле</t>
  </si>
  <si>
    <t xml:space="preserve">транспортная развязка в районе м-рна Южный </t>
  </si>
  <si>
    <t>ООО "Мансарда-С"</t>
  </si>
  <si>
    <t>Ж/дом, Тверь,  Загородная-М. Ульяновой-Тургенева-1-й пер. М. Ульяновой</t>
  </si>
  <si>
    <t>89-ТП/11-07</t>
  </si>
  <si>
    <t>Беляков Д.И.</t>
  </si>
  <si>
    <t>Торговый центр, Тверь, Можайского, 52. 220кВт  (120 ранее разр.)</t>
  </si>
  <si>
    <t>171-ТП/04-08</t>
  </si>
  <si>
    <t>ООО "Мега-Принт"</t>
  </si>
  <si>
    <t>бывшая начальная школа, с. Никольское</t>
  </si>
  <si>
    <t>Мамедов Ф.И.</t>
  </si>
  <si>
    <t>ж/застройка,  Восточная, 20</t>
  </si>
  <si>
    <t>ООО "Логопартс"офисно-складской</t>
  </si>
  <si>
    <t>бизнес-парк, Калининский р-н, д. Андрейково, по 162км+450 м(вправо) а/д Москва-С. Пб</t>
  </si>
  <si>
    <t>02-ТП/06-06</t>
  </si>
  <si>
    <t>ООО "Гиперцентр -Тверь"</t>
  </si>
  <si>
    <t>многофункциональный торгово-развлекательный центр, м-рн Южный</t>
  </si>
  <si>
    <t>Стадольникова Юлия Алексеевна</t>
  </si>
  <si>
    <t>склад - ангар</t>
  </si>
  <si>
    <t>ООО "Билдинг"</t>
  </si>
  <si>
    <t>ж/ застройка, Левитано-Вологодская</t>
  </si>
  <si>
    <t>ООО "Клайд"</t>
  </si>
  <si>
    <t xml:space="preserve">АЗС Тверская область, г.Тверь, Московский район, ул. Псковская
</t>
  </si>
  <si>
    <t>290-ТП/05-09</t>
  </si>
  <si>
    <t>МУП «Тверьстройзаказчик»</t>
  </si>
  <si>
    <t xml:space="preserve">автодорога по ул. Псковская – Оснабрюкская г. Твери </t>
  </si>
  <si>
    <t>ООО «Магазин № 50 «Продукты»»</t>
  </si>
  <si>
    <t>кафетерий, г. Тверь, бульвару Гусева, д. 39 Б</t>
  </si>
  <si>
    <t>261/1-ТП-12-08</t>
  </si>
  <si>
    <t>Ж/дом, Тверь,  ул. Загородная, д. 9, корп. 1</t>
  </si>
  <si>
    <t>ООО «Строй-инвест»</t>
  </si>
  <si>
    <t>жилой дом, ул. 2-я Тургенева</t>
  </si>
  <si>
    <t>345-ТП/10-09</t>
  </si>
  <si>
    <t>ГУ Дирекция территориального дорожного фонда Тверской области"</t>
  </si>
  <si>
    <t>линия наружного освещения на уч-ке а/д Тверь-Лотошино_Шаховская - Уваровка на уч-ке км 6+000- км 10 + 000 (км 168 Волоколамская развязка)</t>
  </si>
  <si>
    <t>314-ТП/09-09</t>
  </si>
  <si>
    <t>ЗАО "Облинвестстрой"</t>
  </si>
  <si>
    <t xml:space="preserve">жилзастройка, м-н Южный Д </t>
  </si>
  <si>
    <t>ООО Монтажстрой</t>
  </si>
  <si>
    <t>жилая застройка в Южном Д</t>
  </si>
  <si>
    <t>Департамент архитектуры и строительства администрации г.Твери</t>
  </si>
  <si>
    <t>водопроводная станция регулирования с резервуаром чистой воды в микрорайоне «Южный»  ул. Королева</t>
  </si>
  <si>
    <t xml:space="preserve">детский сад, ул.Новая - Летное поле - ул.Взлетная </t>
  </si>
  <si>
    <t>ООО «Водоканал – Т»</t>
  </si>
  <si>
    <t>КНС Калининский район, Бурашевское шоссе, ул.Восточная</t>
  </si>
  <si>
    <t>ГУП "Тверьстройзаказчик"</t>
  </si>
  <si>
    <t xml:space="preserve">освещение строящейся трол.автодороги, ул.Псковская - Оснабрюкская </t>
  </si>
  <si>
    <t>ООО "ТехСтройЗаказчик"</t>
  </si>
  <si>
    <t>Калининский р-н, Бурашевское с/п, район дер. Кольцово</t>
  </si>
  <si>
    <t>МУП "Тверьгорэлектро"</t>
  </si>
  <si>
    <t>РП-39_г. Тверь, ул. Можайского, д. 70-78</t>
  </si>
  <si>
    <t xml:space="preserve">ОАО "Тверьстрой" </t>
  </si>
  <si>
    <t>10-ти эт. ж/дом на 360 кв.,Тверь, Хромова, д.27</t>
  </si>
  <si>
    <t>150-ТП/12-07</t>
  </si>
  <si>
    <t>ООО Омега Гранд застройка</t>
  </si>
  <si>
    <t xml:space="preserve"> Луначарского, 36</t>
  </si>
  <si>
    <t>ЗАО «Спецстройтрест ЗАТО - Центр»</t>
  </si>
  <si>
    <t xml:space="preserve">126 кв.ж/дом и строит. Механизмы, Тверь, Артюхиной, 15 </t>
  </si>
  <si>
    <t>154-ТП/03-08</t>
  </si>
  <si>
    <t>Нежилое помещение, г.Тверь, Вагжановский пер., д.8 "А"</t>
  </si>
  <si>
    <t>164-ТП/04-08</t>
  </si>
  <si>
    <t>ТГООИ "Стройгарант"</t>
  </si>
  <si>
    <t>2-ой блок секции 1-ой очереди ж/дома с помещ. общественного назначения,  Тверь, ул. Московская, д. 1</t>
  </si>
  <si>
    <t>180-ТП/06-08</t>
  </si>
  <si>
    <t>Данилов В.Г.</t>
  </si>
  <si>
    <t>помещения, ул.Медниковская, д.55/25</t>
  </si>
  <si>
    <t>250-ТП/12-08</t>
  </si>
  <si>
    <t>Администрация муниципального образования Тверской области "Калининский район"</t>
  </si>
  <si>
    <t>Административно-хозяйственный блок, расположенный по адресу: г. Тверь, наб р. Лазури, д. 3</t>
  </si>
  <si>
    <t>259-ТП/12-08</t>
  </si>
  <si>
    <t>ОАО "Строительно-промышленная компания Мосэнергострой"</t>
  </si>
  <si>
    <t>стройплощадка жилого дома, г. Тверь, ул. Склизкова</t>
  </si>
  <si>
    <t>301-ТП/06-09</t>
  </si>
  <si>
    <t>ООО "На Набережной"</t>
  </si>
  <si>
    <t xml:space="preserve">Торгово-офисный центр, </t>
  </si>
  <si>
    <t>184-ТП/06-08</t>
  </si>
  <si>
    <t>ООО "Кеш и Керри"</t>
  </si>
  <si>
    <t>многофункционального торг. комплекса с парковкой на ул. Склизкова г. Тверь, ТП по 6 кВ</t>
  </si>
  <si>
    <t>ООО "Вираж"</t>
  </si>
  <si>
    <t xml:space="preserve">14-этажный жилой дом со встроенными помещениями общественного назначения, </t>
  </si>
  <si>
    <t xml:space="preserve">ООО Атлант </t>
  </si>
  <si>
    <t>жилой застройки в границах улиц Богданова – Т. Ильиной - 15 лет Октября - Склизкова г. Тверь, ТП по 6 кВ</t>
  </si>
  <si>
    <t xml:space="preserve">Областная многопрофильная детская больница,  г. Тверь, наб. С.Разина </t>
  </si>
  <si>
    <t>209-ТП/08-08</t>
  </si>
  <si>
    <t>ООО Тверьградстрой</t>
  </si>
  <si>
    <t>ООО "Капитал"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</si>
  <si>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</si>
  <si>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</si>
  <si>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</si>
  <si>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</si>
  <si>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Итого:</t>
  </si>
  <si>
    <t>№п/п</t>
  </si>
  <si>
    <t>Ном. мощность НН, МВА</t>
  </si>
  <si>
    <t xml:space="preserve">Ном. Мощность СН, МВА </t>
  </si>
  <si>
    <t>Полная мощность                с учётом перераспределения, МВА</t>
  </si>
  <si>
    <t>таблица 1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</si>
  <si>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</si>
  <si>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</si>
  <si>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</si>
  <si>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</si>
  <si>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</si>
  <si>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</si>
  <si>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</si>
  <si>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</si>
  <si>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ПС Старт 110/10 кВ</t>
  </si>
  <si>
    <t>ПС Романцево 35/10 кВ</t>
  </si>
  <si>
    <t>ПС Малышево 110/10 кВ</t>
  </si>
  <si>
    <t>ПС 110/10 кВ Бибирево</t>
  </si>
  <si>
    <t>1сутки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</si>
  <si>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</si>
  <si>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</si>
  <si>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</si>
  <si>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</si>
  <si>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</si>
  <si>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</si>
  <si>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</si>
  <si>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</si>
  <si>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</si>
  <si>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</si>
  <si>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</si>
  <si>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</si>
  <si>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</si>
  <si>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</si>
  <si>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</si>
  <si>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</si>
  <si>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</si>
  <si>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</si>
  <si>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</si>
  <si>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</si>
  <si>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</si>
  <si>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</si>
  <si>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</si>
  <si>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</si>
  <si>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</si>
  <si>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</si>
  <si>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 xml:space="preserve">Ном. мощность СН, МВА </t>
  </si>
  <si>
    <t>ПС 35/10 кВ Кавельщино</t>
  </si>
  <si>
    <t>Процент загрузки к номинальной мощности, %</t>
  </si>
  <si>
    <t>Количество ПС, имеющие загрузку менее 30 %</t>
  </si>
  <si>
    <t>Количество ПС, имеющие загрузку менее от 30  до 70 %</t>
  </si>
  <si>
    <t>Количество ПС, имеющие загрузку более  105 %</t>
  </si>
  <si>
    <t>ПО</t>
  </si>
  <si>
    <t>Договора</t>
  </si>
  <si>
    <t>Актуальные заявки</t>
  </si>
  <si>
    <t>Неактуальные заявки</t>
  </si>
  <si>
    <t>Запросы</t>
  </si>
  <si>
    <t>Установленная мощность по заключенным договорам и выданным ТУ на ТП</t>
  </si>
  <si>
    <t>Установленная мощность по разработанным ТУ, но пока не заключенным договорам  на ТП и заявкам на ТП, находящихся на рассмотрении</t>
  </si>
  <si>
    <t>Установленная мощность по ранее разработанным ТУ, судьба которых не известна</t>
  </si>
  <si>
    <t xml:space="preserve">Установленная мощность по запросу </t>
  </si>
  <si>
    <t>Наименование заявителя</t>
  </si>
  <si>
    <t>Объект присоед-ия и место распол-ния объекта</t>
  </si>
  <si>
    <t>№ договора</t>
  </si>
  <si>
    <t>Р, МВт</t>
  </si>
  <si>
    <t>Cos φ</t>
  </si>
  <si>
    <t>S, МВА</t>
  </si>
  <si>
    <t>Объект присоединения и место расположения объекта</t>
  </si>
  <si>
    <t>Однотрансформаторные ПС</t>
  </si>
  <si>
    <t>ОАО "АБ "Пушкино"</t>
  </si>
  <si>
    <t>нежилое помещ-е, г.ю Бежецк, ул. Нечаева, д. 35/34</t>
  </si>
  <si>
    <t>274-ТП/02-09</t>
  </si>
  <si>
    <t>Итого по договорам</t>
  </si>
  <si>
    <t>Итого по актуальным заявкам</t>
  </si>
  <si>
    <t>Итого по не актуальным заявкам</t>
  </si>
  <si>
    <t>Итого по запросам</t>
  </si>
  <si>
    <t xml:space="preserve"> ПО "Бежецкие ЭС"</t>
  </si>
  <si>
    <t>Производственная база, с.Моркины горы</t>
  </si>
  <si>
    <t xml:space="preserve">ГУ «Юркинского дома интерната для престарелых и инвалидов системы социальной защиты населения Тверской области» Бежецкого района </t>
  </si>
  <si>
    <t>Здания Юркинского дома-интерната (стационар, пищеблок), Тверская область, Бежецкий район, д. Юркино</t>
  </si>
  <si>
    <t>296-ТП/06-09</t>
  </si>
  <si>
    <t>Двух- и более трансформаторные ПС</t>
  </si>
  <si>
    <t>Хохлов А. Н.</t>
  </si>
  <si>
    <t>ж/дом, д.Приворот</t>
  </si>
  <si>
    <t>43-ТП/01-07</t>
  </si>
  <si>
    <t>Ещенко Л. Н.</t>
  </si>
  <si>
    <t>ж/дом, д Противье</t>
  </si>
  <si>
    <t>246-ТП/11-08</t>
  </si>
  <si>
    <t>УФК Весьегонского района</t>
  </si>
  <si>
    <t>адм.здание, пр.Победы, 35</t>
  </si>
  <si>
    <t>94-ТП/11-07</t>
  </si>
  <si>
    <t>Администрация Весьегонского района,</t>
  </si>
  <si>
    <t>дет.сад, ул Кирова 83</t>
  </si>
  <si>
    <t>ООО "Первая базовая компания"</t>
  </si>
  <si>
    <t>установка по переработке углевод.сырья</t>
  </si>
  <si>
    <t>Манделькорн Г.А.</t>
  </si>
  <si>
    <t>нежилое здание Тверская область, Лесной район, Лесное с.п., дер. Городок, ул.Центральная, д. 48</t>
  </si>
  <si>
    <t>329-ТП/09-09</t>
  </si>
  <si>
    <t xml:space="preserve">ГУП Тверьоблстройзаказчик  </t>
  </si>
  <si>
    <t>дом досуга, с. Лесное, ул. Коммунистическая, 1</t>
  </si>
  <si>
    <t>ООО "Верхневолжский животноводческий комплекс"</t>
  </si>
  <si>
    <t>пилорама, д.Заречье</t>
  </si>
  <si>
    <t>253-ТП/12-08</t>
  </si>
  <si>
    <t>ГУП "Тверьоблстройзаказчик"</t>
  </si>
  <si>
    <t>спортзал, п.Сандово, Советская,12</t>
  </si>
  <si>
    <t>Прокуратура Тверской обл.</t>
  </si>
  <si>
    <t>Тверская обл., пос. Сонково, пр-т Ленина, д. 52</t>
  </si>
  <si>
    <t>Огурцов В. Н.</t>
  </si>
  <si>
    <t>скот двор, д.Гарусово</t>
  </si>
  <si>
    <t>264-ТП/12-08</t>
  </si>
  <si>
    <t xml:space="preserve">ЗАО Совместные инвестиции, лет/лагерь Солнышко </t>
  </si>
  <si>
    <t>п. Володарка Максатих. района</t>
  </si>
  <si>
    <t>ООО Агросервис</t>
  </si>
  <si>
    <t>ООО Тверьжилдорстрой", прудовое хозяйство</t>
  </si>
  <si>
    <t>Максатихинский район, д. Бараниха</t>
  </si>
  <si>
    <t>спортзал, п.Максатиха</t>
  </si>
  <si>
    <t>Отдел образования Администрации В.В.р-на</t>
  </si>
  <si>
    <t>детсад п.Пригородный</t>
  </si>
  <si>
    <t>СОТ "Пекарь"</t>
  </si>
  <si>
    <t>сад.огородничес. тов-во, с. Залучье</t>
  </si>
  <si>
    <t>ФГУ Упрдор</t>
  </si>
  <si>
    <t>линия наружного освещения, н.п. В.Волочек, а/д М-10 "Россия" км 293+135 - км 302+602</t>
  </si>
  <si>
    <t>334-ТП/09-09</t>
  </si>
  <si>
    <t>автодром, юж. часть города, уч. № 48, в р-не ул. 6-я Пролетарская и Пионерского переулка</t>
  </si>
  <si>
    <t>113-ТП/12-07</t>
  </si>
  <si>
    <t>ЗАО Тверская Керамика</t>
  </si>
  <si>
    <t>Кирпичный з-д, д. Ненорово</t>
  </si>
  <si>
    <t>75-ТП/10-07</t>
  </si>
  <si>
    <t>спорткомплекс, г. В. Волочек, Б.Садовая</t>
  </si>
  <si>
    <t>115-ТП/12-07</t>
  </si>
  <si>
    <t>ГУП ТОСЗ</t>
  </si>
  <si>
    <t xml:space="preserve"> г. Вышний Волочек, ул. Д. Бедного, 60</t>
  </si>
  <si>
    <t xml:space="preserve">ООО филма "Трейс плюс" </t>
  </si>
  <si>
    <t>эл.снабжение насоса, В.Волоцкий р-н, д. Кожино</t>
  </si>
  <si>
    <t>ООО " Истоки"</t>
  </si>
  <si>
    <t>база отдыха, п.Солнечный</t>
  </si>
  <si>
    <t>ООО Петрол Люкс</t>
  </si>
  <si>
    <t>МАЗК</t>
  </si>
  <si>
    <t>36-ТП/01-07</t>
  </si>
  <si>
    <t>д/сад, гБологое, Заозёрный м-н, 19</t>
  </si>
  <si>
    <t>ФГУ Дороги России</t>
  </si>
  <si>
    <t>Тверская обл., Бологовский район</t>
  </si>
  <si>
    <t>СПК "Салма-плюс" рыбхоз</t>
  </si>
  <si>
    <t>СПК Салма-плюсРыбное х-во,  п.Лубеньковский</t>
  </si>
  <si>
    <t xml:space="preserve"> 92-кв ж/дом,  г.Удомля, Энергетиков</t>
  </si>
  <si>
    <t>Удомельское ОСБ 2601, офис</t>
  </si>
  <si>
    <t>г. Удомля, ул. Попова , 26</t>
  </si>
  <si>
    <t>профилакторий Рогозно, урочище "Остриха"</t>
  </si>
  <si>
    <t>85-ТП/11-07</t>
  </si>
  <si>
    <t>ООО Сфера</t>
  </si>
  <si>
    <t>производственная база, г. Удомля, Полевая, 7</t>
  </si>
  <si>
    <t>ФГУП "Росэнергоатом" Филиал КАЭС</t>
  </si>
  <si>
    <t xml:space="preserve"> 40-кв ж/дом,  г.Удомля, ул.Весенняя</t>
  </si>
  <si>
    <t>112-ТП/12-07</t>
  </si>
  <si>
    <t>ООО "СтройПроект"</t>
  </si>
  <si>
    <t>Адм.здание,  Парковая 20</t>
  </si>
  <si>
    <t>282-ТП/04-09</t>
  </si>
  <si>
    <t>Отделение по Удомельскому УФК по Тверской обл.</t>
  </si>
  <si>
    <t>Административное здание, Тверская обл., г.Удомля, пр-т Энергетиков, д. 3</t>
  </si>
  <si>
    <t>071-2007</t>
  </si>
  <si>
    <t>76 ОКС  (в/ч 30008)</t>
  </si>
  <si>
    <t>хранилище, п.Брусово</t>
  </si>
  <si>
    <t>228-ТП/09-08</t>
  </si>
  <si>
    <t>ДНП Райский остров</t>
  </si>
  <si>
    <t>4 ж/дома, Удомельский район, Таракинский с/о</t>
  </si>
  <si>
    <t>289-ТП/05-09</t>
  </si>
  <si>
    <t>ООО Линза придорожный комплекс</t>
  </si>
  <si>
    <t>266 км а/д Москва-СПб, с. Выдропужск, Спировский р-н</t>
  </si>
  <si>
    <t>276-ТП/02-09</t>
  </si>
  <si>
    <t>Тверская область, Спировский район</t>
  </si>
  <si>
    <t>спортцентр</t>
  </si>
  <si>
    <t>Администрация Фировского р-на</t>
  </si>
  <si>
    <t>комплексная застройка, д. Б.Эскино</t>
  </si>
  <si>
    <t>ООО "Узмень+"</t>
  </si>
  <si>
    <t>завод по разливу воды_Фировский район, пос. Сосновка, д. 102</t>
  </si>
  <si>
    <t>Трофимов Сергей Николаевич</t>
  </si>
  <si>
    <t>жилы дома_Фировский район, Рождественское с/п, в районе д. Глыби</t>
  </si>
  <si>
    <t>Головина И. Н.</t>
  </si>
  <si>
    <t>ж/дом</t>
  </si>
  <si>
    <t>203-ТП/08-08</t>
  </si>
  <si>
    <t>ООО БЖУ</t>
  </si>
  <si>
    <t>станция водоп. , п.Белый городок</t>
  </si>
  <si>
    <t>Люстик С. А.</t>
  </si>
  <si>
    <t>204-ТП/08-08</t>
  </si>
  <si>
    <t>Илькевич Р. П.</t>
  </si>
  <si>
    <t>126-ТП/12-07</t>
  </si>
  <si>
    <t>ООО Городок</t>
  </si>
  <si>
    <t>культ.-развл комплекс</t>
  </si>
  <si>
    <t>50-ТП/04-07</t>
  </si>
  <si>
    <t>ООО Инвестсити</t>
  </si>
  <si>
    <t>база отдыха, д.Прислон</t>
  </si>
  <si>
    <t>272-ТП/02-09</t>
  </si>
  <si>
    <t>ООО Электрооптика</t>
  </si>
  <si>
    <t>жилой поселок Приток, Кимрский район, Титовское с/п, примык. к восточной границе д. Притыкино</t>
  </si>
  <si>
    <t>СНТ "Лесное</t>
  </si>
  <si>
    <t>СНТ, Кимрский район, Титовское с/п</t>
  </si>
  <si>
    <t>ИП Апыхтина О.Д.</t>
  </si>
  <si>
    <t>120 мин</t>
  </si>
  <si>
    <t>Количество Закрытых ЦП</t>
  </si>
  <si>
    <t>2009 г</t>
  </si>
  <si>
    <t>2008 г</t>
  </si>
  <si>
    <t>2007 г</t>
  </si>
  <si>
    <t>ИТОГО</t>
  </si>
  <si>
    <t>2006 г</t>
  </si>
  <si>
    <t>цех деревообработки_Лесной район, Лесное с/п, дер. Городок, ул. Новая, д. 12</t>
  </si>
  <si>
    <t>ЗАО «Основание», временно до 31.12.09г  0,037 кВт</t>
  </si>
  <si>
    <t>12 жилых домов, Дмитровское с/п, д.Верханово (отозвана) 0,06кВт</t>
  </si>
  <si>
    <t>40 жилых домов , с.Дмитрова Гора ул. Кимрская (отозвана) 0,2кВт</t>
  </si>
  <si>
    <t>жилые дома Шаталова Я.В.  Конаковский район, Дмитрогорского с/п, д. Коровино, дом 39 и д. 38 (отозвана) 0,02 кВт</t>
  </si>
  <si>
    <t>12 индивидуальных жилых домов Конаковский р-он, Дмитровогорское с/п, дер. Колодкино, (отозвана) 0,06 кВт</t>
  </si>
  <si>
    <t>ЗАО "Основание", временно до 31.12.09г</t>
  </si>
  <si>
    <t>Филиал КАЭС (присоединение по 35 кВ!)</t>
  </si>
  <si>
    <t>ООО "Фундамент"</t>
  </si>
  <si>
    <t>10 этажный 120 квартирный жилой дом, п. Сахарово, ул. Садовая</t>
  </si>
  <si>
    <t>технологическое оборудование, г.Тверь, промзона Лазурная, д.37</t>
  </si>
  <si>
    <t>341-ТП/10-09</t>
  </si>
  <si>
    <t>302-ТП/06-09</t>
  </si>
  <si>
    <t>спортцентр, г. Весьегонск, ул. Александровская</t>
  </si>
  <si>
    <t>ООО УК Региональная энергетика</t>
  </si>
  <si>
    <t>ООО "Региональная энергетическая комиссия"</t>
  </si>
  <si>
    <t>предприятие ООО Веселый берег, г. Весьегонск, ул. Заречная</t>
  </si>
  <si>
    <t>ОАО Бежецкое отделение №1558 Сбербанка России</t>
  </si>
  <si>
    <t>дополнительный офис, Тверская обл., г. Кр. Холм, пл. Народная, д. 22/25</t>
  </si>
  <si>
    <t>Манделькорн</t>
  </si>
  <si>
    <t>нежилое здание, Лесной р-н, Лесноес/п, дер.Городок, ул. Центральная, 48</t>
  </si>
  <si>
    <t>ООО "Ядро"</t>
  </si>
  <si>
    <t>АЗС_Сонковский район, пос. Сонково, пр. Ленина, д. № 130</t>
  </si>
  <si>
    <t>вводное устройство птичника №1 и №2_Вышневолоцкий район, Дятловское с/о, дер. Дятлово</t>
  </si>
  <si>
    <t xml:space="preserve">Торжокский район, п. Славный, ул. Школьная, д. 5 </t>
  </si>
  <si>
    <t>Филиал ОАО "Концерн Росэнергоатом" "Калининская атомная станция"</t>
  </si>
  <si>
    <t>защищенный пункт управления противоаварийными действиями в г. Удомля с внешним аварийным центром_г. Удомля, ул. Садовая в районе территория производственной базы ООО "Сантехмонтаж"</t>
  </si>
  <si>
    <t>г. Калязин, ул. Индустриальная, д. 5</t>
  </si>
  <si>
    <t>Калязинский машиностроительный завод - филиал ОАО "РСК МиГ"</t>
  </si>
  <si>
    <t>Садовое некоммерческое товарищество «Речные просторы»</t>
  </si>
  <si>
    <t>Тверская область, Калязинский район, Старобисловское с.п., в районе д.Болдиново</t>
  </si>
  <si>
    <t>Кулаковский Кирилл Александрович</t>
  </si>
  <si>
    <t>вводное устройство жилого дома с хозяйственными постройками_Андреапольский район, Волокское с/о, урочище Рогово</t>
  </si>
  <si>
    <t>Черкасов Анатолий Викторович</t>
  </si>
  <si>
    <t>жилой дом, Старицкий район, Ново-Ямское с/п, д. Дегунино</t>
  </si>
  <si>
    <t>ООО "Инновационный центр регионального развития</t>
  </si>
  <si>
    <t>г. Тверь, Беляковский пер., д. 46</t>
  </si>
  <si>
    <t>ЗАО "Центр инноваций и инвестиций", СНТ "Путилово-2"</t>
  </si>
  <si>
    <t>Калинин.р-н, Красногорское с/п, район д.Путилово</t>
  </si>
  <si>
    <t>1-я очередь застройки микрорайона_г. Тверь, ул. Оснабрюкская</t>
  </si>
  <si>
    <t>Рамешковский район, с/о Ведновский, дер. Ивица</t>
  </si>
  <si>
    <t>КФХ "Ручеек"</t>
  </si>
  <si>
    <t>вводное устройство крестьянского фермерского хозяйства_Конаковский район, Ручьевское с/п, село Дулово</t>
  </si>
  <si>
    <t>ООО "Каскад-Энергосеть</t>
  </si>
  <si>
    <t>ООО "Атвен"</t>
  </si>
  <si>
    <t>вводное устройство АЗС_Конаковский район, завидовское с/п, дер. Шорново</t>
  </si>
  <si>
    <t>ОАО фирма оптово-розничной торговли "Универсал</t>
  </si>
  <si>
    <t>вводное устройство продовольственного магазина_Конаковский район, пгт. Новозавидовский, ул. Новая, 22 б.</t>
  </si>
  <si>
    <t>04/6970-09-ТП</t>
  </si>
  <si>
    <t>72 квартирный жилой дом, г. Удомля, ул. Весенняя, блок 2</t>
  </si>
  <si>
    <t>магазин "Флагман плюс", г. Удомля, пр. Курчатова, д. 14-а</t>
  </si>
  <si>
    <t>ООО "КомплексПроектСтройСервис"</t>
  </si>
  <si>
    <t>зона отдыха "Олений бор"_Кашинское лесничество Тверской области, Пригородное участковое лесничество (по материалам лесоустройства Калязинский Лесхоз Пригородное лесничество) квартал 12 выдел 6-11, 15-18, 21-26, кадастровый номер 69:11:00 00 00:0005</t>
  </si>
  <si>
    <t>Гришин Александр Алексеевич</t>
  </si>
  <si>
    <t>фермерское хозяйство, Кимрский район, Центральное с/п, район дер. Слободка</t>
  </si>
  <si>
    <t>Муниципальное учреждение дошкольного образования детей "Детско-юношеская спортивная школа"</t>
  </si>
  <si>
    <t>вводное устройство многофункционального зала_Жарковский район, пос. Жарковский, ул. Советская, д. 30 а</t>
  </si>
  <si>
    <t>ООО "ПАРМА"</t>
  </si>
  <si>
    <t>база отдыха_Торопецкий район, Шешуринское с/о, дер. Наговье</t>
  </si>
  <si>
    <t>Коммерческая организация с иностранными инвестициями в форме ООО "Медеса"</t>
  </si>
  <si>
    <t>производственная территория по производству гранул - пеллетов_Западнодвинский район, пгт. Старая Торопа, ул. Комсомольская, д. 12</t>
  </si>
  <si>
    <t>ООО "Гекса - нетканые материалы"</t>
  </si>
  <si>
    <t>производство_Торопецкий район, Речанское с/п, дер. Лесная</t>
  </si>
  <si>
    <t>ООО "Тотал ойл-Ржев"</t>
  </si>
  <si>
    <t>вводное устройство многотопливного автозаправочного комплекса_Зубцовский район, Погорельское с/п, дер. Петровское (182 км+450 м а/д "Балтия")</t>
  </si>
  <si>
    <t>МУ "Администрация Дмитровогорского сельского поселения Конаковского района Тверской области</t>
  </si>
  <si>
    <t>вводное устройство очистных сооружении_Конаковский район, дер. Дмитрова Гора.</t>
  </si>
  <si>
    <t>Муниципальное учреждение "Администрация Дмитровогорского сельского поселения Конаковского района Тверской области"</t>
  </si>
  <si>
    <t>вводное устройство физкультурно-оздоровительного комплекса_Конаковский район, с . Дмитрова Гора.</t>
  </si>
  <si>
    <t>2010 г</t>
  </si>
  <si>
    <t>2010 г.</t>
  </si>
  <si>
    <t>ЗАО "Тверсой завод железобетонных изделий и труб"</t>
  </si>
  <si>
    <t>реконструкция нефтебазы ООО "Подольскнефтепродукт"_ул. Бочкина, д.11</t>
  </si>
  <si>
    <t>Меджлумян Рубен Даниэльевич и Хитров Анатолий Анатольевич</t>
  </si>
  <si>
    <t>вводное устройство цеха по производству пищевых продуктов из морских бурых водорослей _Калининский район, Медновское с/п, с. Медное, ул. Школьная, дом 30 а</t>
  </si>
  <si>
    <t>Орлова Елена Валерьевна</t>
  </si>
  <si>
    <t>вводное устройство фермерского хозяйства_Калининский район, Медновкое с/п, район д. Троица, кадастровый номер 69:10:0000008:673</t>
  </si>
  <si>
    <t>"Строителство газопровода - отвода и АГРС "Калинин - 3" (дом операторов)_Калининский район, Черногубовское с/п, район дер. Красное Знамя</t>
  </si>
  <si>
    <t>"Строителство газопровода - отвода и АГРС "Калинин - 3" (дом операторов)_Калининский район, Черногубовское с/п (1,2 км к северу от дер. Красное Знамя и 1,5 км к юго-западу от дер. Дубровки)</t>
  </si>
  <si>
    <t>ООО "Тверьмасстрой"</t>
  </si>
  <si>
    <t>вводное устройство административного здания с производственным корпусом и стоянками автомобилей_г. Тверь, ул. Красные Горки, д. 32</t>
  </si>
  <si>
    <t>ОАО "Строительная акционенрная компания "Стройцентр"</t>
  </si>
  <si>
    <t>4-5 этажный жилой дом (7 и 8 очереди строительства)_г. Тверь, микрорайон "Южный - Д" Лот 2А, ул. Стартовая, д. 7</t>
  </si>
  <si>
    <t>строительство газопровода - отвода и АГРС "Калинин - 3"_Калининский район, Черногубовское с/п, (1,2 км к северу от дер. Красное Знамя и 1,5 км к юго-западу от дер. Дубровки</t>
  </si>
  <si>
    <t>Водно -моторный потребителский кооператив "Глобус"</t>
  </si>
  <si>
    <t>лодочная станция_Конаковский район, пгт. Новозавидовский, ул. Пригородная, д. 26</t>
  </si>
  <si>
    <t>Панкратьев Виктор Германович</t>
  </si>
  <si>
    <t>вводное устройство здания автосервиса_Конаковский район, с. Завидово, ул. Ленинградская</t>
  </si>
  <si>
    <t>ООО "Тверская строительная фирма"</t>
  </si>
  <si>
    <t>вводное устройство 90 квартирного жилого дома_Конаковский район, пгт. Радченко, д. 76</t>
  </si>
  <si>
    <t>Администрация Эмаусского сельского поселения Калининского района Тверской области</t>
  </si>
  <si>
    <t>вводное устройство сельскохозяйственного рынка_Калининский район, Эмаусское с/п, пос. Эммаус</t>
  </si>
  <si>
    <t>Муниципальное учреждение "Администрация Дмитровогорского сельского поселения Конаковского района Тверской области</t>
  </si>
  <si>
    <t>вводное устройство жилой застройки с малоэтвжными жилыми домами_Конаковский район, с. Дмитрова Гора</t>
  </si>
  <si>
    <t>промышленная нагрузка_Ржевский Район, г. Ржев</t>
  </si>
  <si>
    <t>44-ТП/02-07</t>
  </si>
  <si>
    <t>СПК Сельское</t>
  </si>
  <si>
    <t>МТФ, Торопецкий р-н, д. Лохово</t>
  </si>
  <si>
    <t>ООО "Пересвет"</t>
  </si>
  <si>
    <t>произв.база, Торопец, Чистовский тракт, 30</t>
  </si>
  <si>
    <t>128-ТП/12-07</t>
  </si>
  <si>
    <t>ОВД, п. Жарковский</t>
  </si>
  <si>
    <t>83-ТП/10-07</t>
  </si>
  <si>
    <t>Жарковское поселковое потреб. Общество</t>
  </si>
  <si>
    <t>магазин, Жарковский р-н, п.Жарковский, ул.Советская</t>
  </si>
  <si>
    <t>ГУП «Тверьоблстройзаказчик»</t>
  </si>
  <si>
    <t xml:space="preserve">ООО Территория </t>
  </si>
  <si>
    <t>стройплощадка, Ржев.р-н, д.Появилово</t>
  </si>
  <si>
    <t>189-ТП/06-08</t>
  </si>
  <si>
    <t>ТУ ФГУ Упрдор "Россия"</t>
  </si>
  <si>
    <t>линия наружного освещения на участке автомобильной дороги М-9 - "Балтия" на участке км 223+300 - км 224+400 (поворот на г. Ржев с а/д М-9 "Балтия")</t>
  </si>
  <si>
    <t>очистные сооружения, Ржевский район, д. Хорошево</t>
  </si>
  <si>
    <t>Кривенко В. В</t>
  </si>
  <si>
    <t>с/х произв-во, д.Хомутово</t>
  </si>
  <si>
    <t>163-ТП/04-08</t>
  </si>
  <si>
    <t>ООО Верхневолжский АПК</t>
  </si>
  <si>
    <t>МТФ, Ржев.р-н, д.Тихменеево</t>
  </si>
  <si>
    <t>дачный поселок, р-н д.Появилово</t>
  </si>
  <si>
    <t>275-ТП/02-09</t>
  </si>
  <si>
    <t>280-ТП/03-09</t>
  </si>
  <si>
    <t xml:space="preserve">ООО Ржевский ДСК </t>
  </si>
  <si>
    <t>з-д каркасных домов п. Есинка, Ржев.р-н</t>
  </si>
  <si>
    <t>46-ТП/03-07</t>
  </si>
  <si>
    <t>ООО "Дантон-Птицепром"</t>
  </si>
  <si>
    <t>ф-л №1 Ржевской птицефабрики, п.Есинка</t>
  </si>
  <si>
    <t>ООО "Дюна"</t>
  </si>
  <si>
    <t>пункт охраны, Ржевский р-н  вблизи д.Зайцево</t>
  </si>
  <si>
    <t>Егоров О. К.</t>
  </si>
  <si>
    <t>ж/дом, д. Печеры</t>
  </si>
  <si>
    <t>317-ТП/09-09</t>
  </si>
  <si>
    <t>СНТ Княжий дом</t>
  </si>
  <si>
    <t xml:space="preserve">197 ж/домов, д.Стрелки </t>
  </si>
  <si>
    <t>213-ТП/08-08</t>
  </si>
  <si>
    <t>СНТ Княжеское</t>
  </si>
  <si>
    <t>сад.тов-во, 336 уч-ков,  д.Стрелки Зубцовский р-н Княжьегрское с/п</t>
  </si>
  <si>
    <t>СНТ Алмаз</t>
  </si>
  <si>
    <t xml:space="preserve">270 ж/домов, д.Стрелки </t>
  </si>
  <si>
    <t>212-ТП/08-08</t>
  </si>
  <si>
    <t>СПК Княжьи Горы</t>
  </si>
  <si>
    <t>животн.х-во, с.Кн.Горы, Садовая</t>
  </si>
  <si>
    <t>298-ТП/06-09</t>
  </si>
  <si>
    <t>СНТ Иваново</t>
  </si>
  <si>
    <t>ООО Прогресс</t>
  </si>
  <si>
    <t>Фермер. х-во, Зубцовский р-н, д. Быково</t>
  </si>
  <si>
    <t>05-ТП/09-06</t>
  </si>
  <si>
    <t>ООО Инициатива 1 пуск</t>
  </si>
  <si>
    <t xml:space="preserve">40 ж/д, м-н, 3 адм. здания, д.Коротнево </t>
  </si>
  <si>
    <t>100-ТП/11-07</t>
  </si>
  <si>
    <t>ООО Скорость</t>
  </si>
  <si>
    <t>АЗК, автодор. Москва-Рига, 207 км</t>
  </si>
  <si>
    <t>ООО Элит сервис 1 пуск</t>
  </si>
  <si>
    <t>зона лесн., охотн. и сельск.х-ва,  д.Марково</t>
  </si>
  <si>
    <t>95-ТП/11-07</t>
  </si>
  <si>
    <t xml:space="preserve">Администр. Вазузского с/п </t>
  </si>
  <si>
    <t xml:space="preserve">50 домов, Зубц.р-н,  д.Серговское </t>
  </si>
  <si>
    <t>ООО Элит сервис 2 пуск</t>
  </si>
  <si>
    <t>129-ТП/12-07</t>
  </si>
  <si>
    <t xml:space="preserve">50 домов, Зубц.р-н,  д.Щеколдино </t>
  </si>
  <si>
    <t>ООО Элит сервис 3 пуск</t>
  </si>
  <si>
    <t>посёлок, д.Марково</t>
  </si>
  <si>
    <t>135-ТП/12-07</t>
  </si>
  <si>
    <t>50 домов,Зубц.р-н,  д.М.Коробино</t>
  </si>
  <si>
    <t>Отдел. УФК Зубцовский Р-н</t>
  </si>
  <si>
    <t xml:space="preserve">Здание отделения, г. Зубцов, ул. Советская, д.1/12 </t>
  </si>
  <si>
    <t xml:space="preserve">ООО Инициатива </t>
  </si>
  <si>
    <t>ООО Элта ИГ</t>
  </si>
  <si>
    <t>дачн.посёлок, в границ. с/п Щеколдино</t>
  </si>
  <si>
    <t>237-ТП/10-08</t>
  </si>
  <si>
    <t>насосные станции, артскважина_Зубцовский район,Вазузское с/п, вблизи дер. Фомино-Городище</t>
  </si>
  <si>
    <t>ЧАК Иджерн Холдингс Лимитед</t>
  </si>
  <si>
    <t>Количество ПС, имеющие загрузкуот 70 до 105 %</t>
  </si>
  <si>
    <t>ООО "СтройЖилКомплект"</t>
  </si>
  <si>
    <t>Жилищное строительство_г.Тверь, ул. Фрунзе</t>
  </si>
  <si>
    <t>ФГУП "Научно-исследовательский институт прикладной аккустики"</t>
  </si>
  <si>
    <t>"Волжское отделение Федерального государственного унитарного предприятия "Научно-исследовательский институт прикладной аккустики"_Конаковский район, Дмитровогоррское с/п, в районе дер. Новое Домкино</t>
  </si>
  <si>
    <t>Потребительское общество "Садоводческое сельскохозяйственное общество "Юрьевское"</t>
  </si>
  <si>
    <t>Тверская область, Калининский район, Каблуковское с/п, район дер. Юрьевское</t>
  </si>
  <si>
    <t>Администрация Спировского района Тверской области_вводное устройство автозаправочного комплекса</t>
  </si>
  <si>
    <t>Тверская область, Спировксий район, Выдропужское с/п, с. Выдропужск, 265 км+800 м автодороги  Москва - Санкт-Петербург</t>
  </si>
  <si>
    <t>вводное устройство 2-х этажного 4-х квартирного жилого дома_Тверская область, Конаковский район, Дмитровогорское с/п, с.Дмитрова Гора, ул. Целинников</t>
  </si>
  <si>
    <t>ООО "Терминал"</t>
  </si>
  <si>
    <t>металлобаза с подъездными путями_Калининский район, Никулинское сельское поселение, с. Никольское</t>
  </si>
  <si>
    <t>ЗАО "Гостинница Волга"</t>
  </si>
  <si>
    <t>газовая котельная_Тверская область, г. Тверь, ул Желябова, д.1</t>
  </si>
  <si>
    <t>ЗАО "Ю - Тверь"</t>
  </si>
  <si>
    <t>многотопливный автозаправочный комплекс №19, Тверская область, Торжокский район, км 247+640 (правая сторона) автодороги М-10</t>
  </si>
  <si>
    <t>Черная Алла Александровна</t>
  </si>
  <si>
    <t>вводное устройство жилого дома_Тверская область, торопецкий район, Васильевское с/п, дер.  Цикорево кадастровы № 69:34:19:3001:0066:2/3:363/35:001/А</t>
  </si>
  <si>
    <t>0, 025</t>
  </si>
  <si>
    <t>Воробьева Тамара Николаевна</t>
  </si>
  <si>
    <t>СНТ "Тверская мануфактура"</t>
  </si>
  <si>
    <t>садоводческое некоммерческое товарищество_Тверская область, Калининский район, Михайловское с/п, дер. Александровка</t>
  </si>
  <si>
    <t>ООО "Тепличный комбинат "Ильинское"</t>
  </si>
  <si>
    <t>Лихославльский район, Ильинское с/п, с. Ильинское, ориентир с. Ильинскон</t>
  </si>
  <si>
    <t>ООО "Аргон"</t>
  </si>
  <si>
    <t>Тверская область, г. Тверь, промышленная зона "Боровлево"</t>
  </si>
  <si>
    <t>ООО "Агропредприятие Партнер"</t>
  </si>
  <si>
    <t>свиноферма на 2400 голов продуктивных свиноматок_Тверская область, сонковский район, Беляницкое с/п, между деревнями Пригорки и Рылово</t>
  </si>
  <si>
    <t>Реабилитационный центр для детей и подростков с ограниченными возможностями</t>
  </si>
  <si>
    <t>Тверская область, Лихославльский район, Вескинское с/п, дер. Владычня</t>
  </si>
  <si>
    <t>Индивидуальный предприниматель Ольховик Александр Иванович</t>
  </si>
  <si>
    <t>АЗС стационарного типа_Тверская область, Вышневолоцкий район, Коломенское с/п, с. Коломно</t>
  </si>
  <si>
    <t xml:space="preserve">  </t>
  </si>
  <si>
    <t>СНТ "Родничок"</t>
  </si>
  <si>
    <t>садоводческое некоммерческое товарищество_Тверская область,Кимрский район, п.Центральный</t>
  </si>
  <si>
    <t>ПС  35/6 кВ Каликино</t>
  </si>
  <si>
    <t>ООО "Тверьполимерсистемы"</t>
  </si>
  <si>
    <t>вводное устройство материального склада_г. Тверь, промзона ст. Лазурная</t>
  </si>
  <si>
    <t>Кунцевич Людмила Александровна</t>
  </si>
  <si>
    <t>Муниципальное унитарное предприятие электрических сетей "Тверьгорэлектро"</t>
  </si>
  <si>
    <t>жилой дом_Тверская область, г. Тверь, ул. Фрунзе, д. 24</t>
  </si>
  <si>
    <t xml:space="preserve">детская поликлиника №2 МУЗ "КГБ №6"_Тверская обл., г. Тверь, м-н. Южный, пересечение ул. Можайского с ул. Левитана. </t>
  </si>
  <si>
    <t>ООО Производственная фирма "ЛОТТ"</t>
  </si>
  <si>
    <t>вводное устройство складского комплекса_г.Тверь, Пролетарский район, ул. Освобожденная, д. 199</t>
  </si>
  <si>
    <t>микробиологический лабораторный корпус Федерального государствеееого учреждения здравоохраненияы "Центр гигиены и эпидемологии в Тверской области" (Заказчик - Муниципальное унитарное предприятие электрических сетей "Тверьгорэлектро")_г. Тверь, ул. Дарвина, д. 13, 17</t>
  </si>
  <si>
    <t>ООО "Волга-Мста-Сервис"</t>
  </si>
  <si>
    <t>объекты хоззоны_Тверская область, Конаковский район, Первомайское с/п, дер. Мыслятино, 23</t>
  </si>
  <si>
    <t>ООО "ТрастСтройИнвест"_дренажные насосы гольф-поля</t>
  </si>
  <si>
    <t>дренажные насосы гольф-поля_Конаковский район, Мокшинское с/п, дер. Архангельское</t>
  </si>
  <si>
    <t>здание по торгово-офисные помещения ООО "Сонет-Тверь"_г. Тверь, Свободный пер.,д.9</t>
  </si>
  <si>
    <t>СНТ "Светлый"</t>
  </si>
  <si>
    <t>жилые дома_Тверская область, Калининский район, Черногубовское с/п, в ррайоне Литвинки</t>
  </si>
  <si>
    <t>ООО "Союзспецтранс"</t>
  </si>
  <si>
    <t>деревообрабатывающий цех, Тверская область, г. Тверь, пр-д Мелиораторов, д. 3б</t>
  </si>
  <si>
    <t>ЗАО "Калининское"</t>
  </si>
  <si>
    <t>животноводческий комплекс_Калининский район, Михайловское с/п, пос. Загородный</t>
  </si>
  <si>
    <t>СНТ "Сосновка"</t>
  </si>
  <si>
    <t>ООО "Сервис-М"</t>
  </si>
  <si>
    <t>вводное устройство придорожного комплекса автосервиса_г. Торжок, ул. Кожевников (кадастровый номер 69:47:0150203:66)</t>
  </si>
  <si>
    <t>ООО "Спортивно-развлекательный парк культуры и отдыха "Яхрома"</t>
  </si>
  <si>
    <t>Тверская область, Торжокский район, с. Раек</t>
  </si>
  <si>
    <t>ИП Филиппов Сергей Викторович</t>
  </si>
  <si>
    <t>вводное устройство здания_Кувшиновксйий район, п. Сокольники, ул. Школьная</t>
  </si>
  <si>
    <t>ЗАО "УКС Вертикаль"</t>
  </si>
  <si>
    <t>вводное устройство базы отдыха_Тверская область, Осташковский район, Сорожский с/о, дер. Жар</t>
  </si>
  <si>
    <t>ДНТ "Ивановское"</t>
  </si>
  <si>
    <t>вводное устройство некоммерческого товарищества_Тверская область, Старицкий район, Ново-ямское с/п, вблизи дер. Калошино, Льгово.</t>
  </si>
  <si>
    <t>ООО "Региональная электросетевая компания"</t>
  </si>
  <si>
    <t>два 3-х этажных многоквартирных дома ООО "Межрегионстрой"_Тверская область, г. Западная Двина, ул. Больничная, д. №40 и №41-А</t>
  </si>
  <si>
    <t>7-ми этажный 3-х секционный жилой дом ОАО "Долгопруденское управление капитального строительства"_г. Зубцов, микрорайон Южный.</t>
  </si>
  <si>
    <t>Зона Бежецкие Электрические сети</t>
  </si>
  <si>
    <t>Зона Вышневолоцкие электрические сети</t>
  </si>
  <si>
    <t>Зона Кимрские электрические сети</t>
  </si>
  <si>
    <t>Зона Нелидовские электрические сети</t>
  </si>
  <si>
    <t>Зона Ржевские Электрические сети</t>
  </si>
  <si>
    <t>Зона Торжокские электрические сети</t>
  </si>
  <si>
    <t>Зона Тверские электрические сети</t>
  </si>
  <si>
    <t>ООО "Нинэль"</t>
  </si>
  <si>
    <t>40084439 (договор заключен 15.01.2010)</t>
  </si>
  <si>
    <t>4001810 (договор заключен 22.01.2010)</t>
  </si>
  <si>
    <t>40083266 (договор заключен 01.01.2010)</t>
  </si>
  <si>
    <t>жилой дом, Максатинский район, п. Максатиха, кл. Звездная,д. № 19</t>
  </si>
  <si>
    <t>Московское отделение Октябрьской Железной дороги - филиал ОАО "РЖД"</t>
  </si>
  <si>
    <t>40061458 (договор заключен 01.01.2010)</t>
  </si>
  <si>
    <t>40085122 (договор заключен 27.01.2010)</t>
  </si>
  <si>
    <t>40085744
(договор заключен 12.01.2010)</t>
  </si>
  <si>
    <t>40068222
(договор заключен 03.02.2010)</t>
  </si>
  <si>
    <t>40063415 (договор заключен
16.02.2010)</t>
  </si>
  <si>
    <t>40063940
(договор заключен 24.02.2010)</t>
  </si>
  <si>
    <t>40083290
(договор заключен 17.02.2010)</t>
  </si>
  <si>
    <t>40081993
(договор заключен 17.02.2010)</t>
  </si>
  <si>
    <t>40081801
(договор заключен 17.02.2010)</t>
  </si>
  <si>
    <t>Федеральное государственное квартирно-эксплуатационное учреждение "Ржевская квартирно-эксплуатационная часть района" Министерства Обороны Российской Федерации</t>
  </si>
  <si>
    <t>Войсковая часть 96031, Тверская область, Калининский район, Бурашевское с/п, в/ч 96031</t>
  </si>
  <si>
    <t>40082799 (договор заключен 02.03.2010)</t>
  </si>
  <si>
    <t>№ 40096569 (договор заключен 02.03.2010)</t>
  </si>
  <si>
    <t>40073862
(договор заключен 02.03.2010)</t>
  </si>
  <si>
    <t>40081842
(Договор заключен 09.02.2010)</t>
  </si>
  <si>
    <t>40065775
(договор заключен 14.01.2010)</t>
  </si>
  <si>
    <t>40096555
(договор заключен 10.03.2010)</t>
  </si>
  <si>
    <t>40092258
(договор заключен 25.03.2010)</t>
  </si>
  <si>
    <t xml:space="preserve">40086489
(договор заключен 25.03.2010) </t>
  </si>
  <si>
    <t>40099204
(договор заключен 25.03.2010)</t>
  </si>
  <si>
    <t>40099203
(договор заключен 25.03.2010)</t>
  </si>
  <si>
    <t>40114370
(договор заключен 25.03.2010)</t>
  </si>
  <si>
    <t>40099057
(договор заключен 02.04.2010)</t>
  </si>
  <si>
    <t xml:space="preserve">40111518 
(договор заключен 07.04.2010) </t>
  </si>
  <si>
    <t>40111740 (договор заключен  07.04.2010)</t>
  </si>
  <si>
    <t>40103475
(договор заключен 08.04.2010)</t>
  </si>
  <si>
    <t>40096798
(договор заключен 13.04.2010)</t>
  </si>
  <si>
    <t xml:space="preserve">40086450 (договор заключен 14.04.2010) </t>
  </si>
  <si>
    <t>40103628
(договор заключен 24.04.2010)</t>
  </si>
  <si>
    <t>40108796
(договор заключен 22.04.2010)</t>
  </si>
  <si>
    <t>40118900
(договор заключен 27.04.2010)</t>
  </si>
  <si>
    <t>40118905
(договор заключен 27.04.2010)</t>
  </si>
  <si>
    <t>40118954
(договор заключен 04.05.2010)</t>
  </si>
  <si>
    <t>40124748
(договор заключен 04.05.2010)</t>
  </si>
  <si>
    <t>40114005
(договор заключен 11.05.2010)</t>
  </si>
  <si>
    <t>40114012
(договор заключен 11.05.2010)</t>
  </si>
  <si>
    <t>16027
(договор заключен 12.05.2010)</t>
  </si>
  <si>
    <t>40075843
(договор заключен 17.05.2010)</t>
  </si>
  <si>
    <t>40111587
(17.05.2010)</t>
  </si>
  <si>
    <t>40098949
(договор заключен 18.05.2010)</t>
  </si>
  <si>
    <t>40085129
(договор заключен 24.05.2010)</t>
  </si>
  <si>
    <t>40115895
(договор заключен 01.06.2010)</t>
  </si>
  <si>
    <t>40136614
(договор заключен 07.06.2010)</t>
  </si>
  <si>
    <t>40092242
(договор заключен 07.06.2010)</t>
  </si>
  <si>
    <t>40085481
(договор заключен 11.06.2010)</t>
  </si>
  <si>
    <t>40108770
(договор заключен 17.06.2010)</t>
  </si>
  <si>
    <t>40112892
(договор заключен 28.06.2010)</t>
  </si>
  <si>
    <t>40120335
(договор заключен 29.06.2010)</t>
  </si>
  <si>
    <t>ООО "Сбытовое объединение "Тверьнефтепродукт"</t>
  </si>
  <si>
    <t>40140765
(договор заключен 05.07.2010)</t>
  </si>
  <si>
    <t>40118940
(договор заключен 05.07.2010)</t>
  </si>
  <si>
    <t>40131141
(договор заключен 05.07.2010)</t>
  </si>
  <si>
    <t>40136576
(договор заключен 12.07.2010)</t>
  </si>
  <si>
    <t>40150638
(договор заключен 14.07.2010)</t>
  </si>
  <si>
    <t>40135715
(договор заключен 15.07.2010)</t>
  </si>
  <si>
    <t>40135710
(договор заключен 15.07.2010)</t>
  </si>
  <si>
    <t>40143681
(договор заключен 15.07.2010)</t>
  </si>
  <si>
    <t>40124734
(договор заключен 16.07.2010)</t>
  </si>
  <si>
    <t>40131221
(договор заключен 19.07.2010)</t>
  </si>
  <si>
    <t>40171681
(договор заключен 30.07.2010)</t>
  </si>
  <si>
    <t>40086498 (договор заключен 02.08.2010)</t>
  </si>
  <si>
    <t>40086492 (договор заключен 02.08.2010)</t>
  </si>
  <si>
    <t>40136669
(договор заключен 04.08.2010)</t>
  </si>
  <si>
    <t>40150485 (договор заключен 05.08.2010)</t>
  </si>
  <si>
    <t>40136599 (договор заключен 06.08.2010)</t>
  </si>
  <si>
    <t>40135330 
(договор заключен 06.08.2010)</t>
  </si>
  <si>
    <t>40177843
(договор заключен 13.08.2010)</t>
  </si>
  <si>
    <t>40178644
(договор заключен19.08.2010)</t>
  </si>
  <si>
    <t>40162293 (договор заключен 20.08.2010)</t>
  </si>
  <si>
    <t>40162228(заключен 26.08.2010)</t>
  </si>
  <si>
    <t>40150502
(договор заключен 31.08.2010)</t>
  </si>
  <si>
    <t>40152855
(договор заключен 31.08.2010)</t>
  </si>
  <si>
    <t>40188367
(договор заключен 31.08.2010)</t>
  </si>
  <si>
    <t xml:space="preserve">2010 г. </t>
  </si>
  <si>
    <t>40061132
(договор заключен 19.10.2010)</t>
  </si>
  <si>
    <t>40058889
(договор заключен 27.10.2010)</t>
  </si>
  <si>
    <t>40062820
(договор заключен 26.10.2010)</t>
  </si>
  <si>
    <t>40065432
(договор заключен 29.10.2010)</t>
  </si>
  <si>
    <t>40071327
(договор заключен 14.09.2010)</t>
  </si>
  <si>
    <t>40060977
(10.11.2009)</t>
  </si>
  <si>
    <t>40047744 (договор заключен
13.11.2009)</t>
  </si>
  <si>
    <t>40060123
(договор заключен 16.11.2009)</t>
  </si>
  <si>
    <t>40065246
(договор заключен 10.11.2009)</t>
  </si>
  <si>
    <t>40076381
(договор заключен 20.11.2009)</t>
  </si>
  <si>
    <t>40076407
(договор заключен 23.11.2009)</t>
  </si>
  <si>
    <t>40076909
(договор заключен 20.11.2009)</t>
  </si>
  <si>
    <t>40060379
(договор заключен 19.11.2009)</t>
  </si>
  <si>
    <t>40069344
(договор заключен 01.12.2009)</t>
  </si>
  <si>
    <t>40083424
(договор заключен 08.12.2009)</t>
  </si>
  <si>
    <t>40062943
(договор заключен 24.12.2009)</t>
  </si>
  <si>
    <t>40077786
(договор заключен 15.12.2009)</t>
  </si>
  <si>
    <t>ООО "Экополис"</t>
  </si>
  <si>
    <t>40085301
(договор заключен 14.12.2009)</t>
  </si>
  <si>
    <t>40063232
(договор заключен 17.12.2009)</t>
  </si>
  <si>
    <t>40077245
(договор заключен 23.12.2009)</t>
  </si>
  <si>
    <t>дачн.поселок Никольское 2, д.Высокое и д. Селище</t>
  </si>
  <si>
    <t>40076991
(договор заключен 22.12.2009)</t>
  </si>
  <si>
    <t>40075717
(договор заключен 07.12.2009)</t>
  </si>
  <si>
    <t>ООО "Оптимзация"</t>
  </si>
  <si>
    <t>Дом торговли и бытового обслуживания, г. Старица, ул. Коммунистическая, 27</t>
  </si>
  <si>
    <t>273-ТП/02-09</t>
  </si>
  <si>
    <t>277-ТП/03-09</t>
  </si>
  <si>
    <t>ООО "СтарЗемИнвест"</t>
  </si>
  <si>
    <t>дачный поселок, Старицкий район, вблизи д. Кулотино</t>
  </si>
  <si>
    <t>309-ТП/07-09</t>
  </si>
  <si>
    <t>332-ТП/09-09</t>
  </si>
  <si>
    <t>40060709
(договор заключен 12.10.2009)</t>
  </si>
  <si>
    <t>2007 г.</t>
  </si>
  <si>
    <t>2008 г.</t>
  </si>
  <si>
    <t>2009 г.</t>
  </si>
  <si>
    <t>40062908
(договор заключен 12.01.2010)</t>
  </si>
  <si>
    <t>300-ТП/06-09</t>
  </si>
  <si>
    <t>40061193
(договор заключен 21.01.2010)</t>
  </si>
  <si>
    <t>ООО "Техинвест"</t>
  </si>
  <si>
    <t xml:space="preserve">жилой микрорайон из шести одноэтажных домов_Тверская область, Калязинский район, Нерльское с/п, с. Нерль, ул. Садовая, ул. Полевая  </t>
  </si>
  <si>
    <t>СНП "НовоИгнатово"</t>
  </si>
  <si>
    <t>жилой комплекс_Калининский район, Бурашевское с/п, дер. Игнатово, д. 7-а</t>
  </si>
  <si>
    <t>ООО "Старицкий завод "Линарес"</t>
  </si>
  <si>
    <t>вводное устройство здания механического цеха_Тверская область, г. Старица, ул. Пионерская</t>
  </si>
  <si>
    <t>ООО "Луговое"</t>
  </si>
  <si>
    <t>жилая комплексная застройка_Тверская область, Конаковский район, Дмитровогорское с/п, дер. Коровино</t>
  </si>
  <si>
    <t>ОАО "Евротел"</t>
  </si>
  <si>
    <t>вводное устройство  контейнера связи_Тверская область, г. Удомля, ПС Удомля</t>
  </si>
  <si>
    <t>ООО "Камчатка"</t>
  </si>
  <si>
    <t>Сивирский А.И.</t>
  </si>
  <si>
    <t>жилой дом и хозяйственные постройки_Тверская область_Лихославльский район, Микшинское сельское поселение, д. Бойцово</t>
  </si>
  <si>
    <t>СППК "Медведица"</t>
  </si>
  <si>
    <t>вводное устройство с/х потребительского коопереатива_Лихославльский район, с. Толмачи, ул. Кооперативная , д.9</t>
  </si>
  <si>
    <t>ЗАО "Петрол Комплекс Эквипмент Кампани"</t>
  </si>
  <si>
    <t>вводно-распределительное устройство многофункционального автозаправочного комплекса_Тверская область, автодорога Москва - Санкт-Петербург, 171 км (правая сторона)</t>
  </si>
  <si>
    <t>ООО "Петрол-ЛЮКС"</t>
  </si>
  <si>
    <t>40178670 (договор заключен 10.08.2010)</t>
  </si>
  <si>
    <t>40178957
(договор заключен 02.09.2010 г.)</t>
  </si>
  <si>
    <t>вводное устройство производственной базы_Тверская область, г. Тверь, в промзоне "Лазурная" в Московском районе</t>
  </si>
  <si>
    <t>40189122
(договор заключен 07.09.2010 г.)</t>
  </si>
  <si>
    <t>40184415
(договор заключен 08.09.2010)</t>
  </si>
  <si>
    <t>40184752
(договор заключен 10.09.2010)</t>
  </si>
  <si>
    <r>
      <t xml:space="preserve">172-ТП/04-08
</t>
    </r>
    <r>
      <rPr>
        <sz val="11"/>
        <color indexed="10"/>
        <rFont val="Times New Roman"/>
        <family val="1"/>
        <charset val="204"/>
      </rPr>
      <t>40200188
(договор заключен 15.09.2010)</t>
    </r>
  </si>
  <si>
    <t>40131191
(договор заключен 15.09.2010 г.)</t>
  </si>
  <si>
    <t>40128014
(договор заключен 15.09.2010 г.)</t>
  </si>
  <si>
    <t>40181187
(договор заключен 14.09.2010 г.)</t>
  </si>
  <si>
    <t>40159865
(договор заключен 09.2010)</t>
  </si>
  <si>
    <t>40162751
(договор заключен 24.09.2010 г.)</t>
  </si>
  <si>
    <t>вводно-распределительное устройство многофункционального автозаправочного комплекса_Тверская область, автодорога Москва - Санкт-Петербург, 171 км (левая сторона)</t>
  </si>
  <si>
    <t>ООО "Петрол _ ЛЮКС"</t>
  </si>
  <si>
    <t>вводное устройство многотопливного заправочного комплекса_местоположение  установлено относительно ориентира, расположенного за пределами участка. Ориентир дер. Кривцово. Участок находится примерно в 1470 м от ориентира по направлению на восток. Почтовый адрес ориентира: Тверская область, Калининский район, Никулинское с/пос, дер. Кривцово</t>
  </si>
  <si>
    <t>МУ "Администрация Вахонинского с/пос"</t>
  </si>
  <si>
    <t>вводное устройство дома культуры_Тверская область,Конаковский район, Вахонинское с/пос., д. Вахонино, ул. Весенняя, 18.</t>
  </si>
  <si>
    <t>Маринин Сергей Владимирович</t>
  </si>
  <si>
    <t>вводное устройство офисно-складского комплекса_ месопооложение установлено относительно ориентира, расположенного за пределами участка, ориентир: административный корпус завода "Центросвар", участок находится примерно в 25 м от ориентира по напралению на север, аочновый адрес ориентира: Тверская область, г. Тверь, ул. Паши Савельевой, д. 47</t>
  </si>
  <si>
    <t>ООО "Девон"</t>
  </si>
  <si>
    <t>многоуровневая стоянка_Тверская область, гю Тверь, Пролетарский район, Волоколамское шоссе.</t>
  </si>
  <si>
    <t>вводное устройство детского сада_Тверская область, Конаковский район, д. Вахонино, 72</t>
  </si>
  <si>
    <t>вводное устройство 21-квартирного жилого дома - I очередь_Тверская область, г. Бежецк, Первомайский пер., д. 44А.</t>
  </si>
  <si>
    <t>ЗАО "Ипотечная компания атомной отрасли"</t>
  </si>
  <si>
    <t>ООО "Электромонтажная компания"</t>
  </si>
  <si>
    <t>72-квартирный жилой дом Филиала ОАО "Концерн Росэнергоатом" "Калининская атомная станция"_Тверская область, г. Удомля, ул. Весенняя, блок 2.</t>
  </si>
  <si>
    <t>СТ "Смородинка"</t>
  </si>
  <si>
    <t>садоводческое товарищество_Тверска область, Кимрский район, с/п "Центральное"</t>
  </si>
  <si>
    <t>ООО "Красново"</t>
  </si>
  <si>
    <t>Застройка коттеджный поселок, Тверская область, Калининский район, Никулинское с/п, район дер. Красново</t>
  </si>
  <si>
    <t>12-563/2010</t>
  </si>
  <si>
    <t>40184432
(договор заключен 06.10.2010)</t>
  </si>
  <si>
    <t>40121518
(договор заключен 08.10.2010)</t>
  </si>
  <si>
    <t>40184740
(договор заключен 08.10.2010)</t>
  </si>
  <si>
    <t>40204965
(договор заключен 08.10.2010)</t>
  </si>
  <si>
    <t>вводно-распределительное устройство многотопливного автозаправочного комплекса_Тверская обл., Зубцовский р-н, Вазузское с/п, д. Ширкино, на 202 км + 800 м (слева) автодороги</t>
  </si>
  <si>
    <t>вводно-распределительное устройство многотопливного автозаправочного комплекса_Тверская обл., Зубцовский р-н, Вазузское с/п, д. Ширкино</t>
  </si>
  <si>
    <t>40204976
(договор заключен 08.10.2010)</t>
  </si>
  <si>
    <t>40213430
(договор заключен 08.10.2010)</t>
  </si>
  <si>
    <t>40206754
(договор заключен 12.10.2010)</t>
  </si>
  <si>
    <t>40165918
(договор заключен 13.10.2010)</t>
  </si>
  <si>
    <t>Сельскохозяйственный снабженческо-сбытовой потребительский кооператив "Бахмутово"</t>
  </si>
  <si>
    <t>вводное устройство сельскохозяйственного кооперативного рынка на 25 торговых мест_Тверская область, Ржевский район, с/п "Есинка", дер. Сбоево</t>
  </si>
  <si>
    <t xml:space="preserve">40185804
(договор заключен 27.10.2010) </t>
  </si>
  <si>
    <t>40185804
(договор заключен 27.10.2010)</t>
  </si>
  <si>
    <t xml:space="preserve">ПС 35/6 кВ Городок </t>
  </si>
  <si>
    <t>ФГУП "Российская телевизионная и радиовещательная сеть" филиал "Тверской областной радио и телепередающий центр" (филиал РТРС "Тверской ОРТПЦ"))</t>
  </si>
  <si>
    <t>вводное устройство телевизионной башни цифрового вещания_Пеновский район, Рунское с/п, дер. Слаутино</t>
  </si>
  <si>
    <t>ФГУП "Российская телефизионная и радиавещательная сеть" филиал "Тверской областной радио и телепередающий центр" (филиал РТРС "Тверской ОРТПЦ"</t>
  </si>
  <si>
    <t>вводное устройство телевизионной башни цифрового радиовещания_Тверская область, Весьегонский район, Кесемское с/п, с. Кесьма (100 метров в северном направлении от дома №31 по ул. Пушкинская)</t>
  </si>
  <si>
    <t>ГУП "Российская телефизионная и радиавещательная сеть" филиал "Тверской областной радио и телепередающий центр" (филиал РТРС "Тверской ОРТПЦ"</t>
  </si>
  <si>
    <t>вводное устройство телевизионной башни цифрового радиовещания_Тверская область, Фиовский район, Рождественское с/п, дер. Рождество</t>
  </si>
  <si>
    <t>ДНТ "Элегия"</t>
  </si>
  <si>
    <t>дачное некоммерческое товарищество_Тверская область, Удомельский район, Удомельское с/п,дер. Липки</t>
  </si>
  <si>
    <t>Сливко Александр Петрович</t>
  </si>
  <si>
    <t>вводное устройство жилого дома_Тверская область, Старицкий район, Коречинское с/п, дер. Молоково, д. 19 б</t>
  </si>
  <si>
    <t>Государственное учреждение "Управление противопожарной службы, защиты населения т и территории Тверской области"</t>
  </si>
  <si>
    <t>вводное устройство здания пожарного депо на 4 автомобиля ПЧ-43_Тверская область, Оленининский район, п. Оленино, ул. Гагарина, д. 59</t>
  </si>
  <si>
    <t>ООО "Производственно-коммерческая фирма "ТОКО-2"</t>
  </si>
  <si>
    <t>вводное устрйство АЗС_Тверская область, Калязинский район, Нерльское сельское поселение, д. Большое Михайловское</t>
  </si>
  <si>
    <t>Русский фонд содействия образованию и науке</t>
  </si>
  <si>
    <t>вводное устройство здания школы_Тверская область, Фировский район, Рождественское с/п, дер. Мартюшино, д. 33.</t>
  </si>
  <si>
    <t>вводное устройство здания школы_Тверская область, Фировский район, Великооктябрьское с/п, дер. Трестино, д. 88 а</t>
  </si>
  <si>
    <t>ЗАО "Ю-Тверь"</t>
  </si>
  <si>
    <t>многотопливный автозаправочный комплекс №21_Тверская область, Бологовский район, Куженкинское с/п, вблизи дер. Лопатино</t>
  </si>
  <si>
    <t>ООО "Лидер"</t>
  </si>
  <si>
    <t>жилая застройка_Тверская область, г. Тверь, Поолетарский район, пос. Мамулино</t>
  </si>
  <si>
    <t>ДНТ "Русские дали"</t>
  </si>
  <si>
    <t>дачное некоммерческое товарищество_Тверская область, Зубцовский район, Зубцовское с/п, вблизи дер. Мозгово</t>
  </si>
  <si>
    <t>МУП электрических сетей "Тверьгорэлектро"</t>
  </si>
  <si>
    <t>здание кинотеатра "Звезда" ОАО "КРК Звезда"_Тверская область, г. Тверь, Центральный район, наб. Степана Разина, д.</t>
  </si>
  <si>
    <t>10 этажный 600 квартирный жилой дом с помещениями общественного назначения и торговым центром_Тверская область, г. Тверь, ул. Фрунзе, д.20</t>
  </si>
  <si>
    <t xml:space="preserve">4-х квартирный жилой дом ЗАО "ТЕЛЕНЕТ"_Тверская область, г. Тверь, ул. Медниковская , д. 17 </t>
  </si>
  <si>
    <t>Градусова Татьяна Николаевна</t>
  </si>
  <si>
    <t>вводное устройство жилого дома_Тверская область, Андреапольский район, Бологовское с/п, пос. Бологово, ул. Назимова, д.79</t>
  </si>
  <si>
    <t>ЗАО "Тандер"</t>
  </si>
  <si>
    <t>вводное устройство магазина "Магнит"_Тверская область, Максатихинский район, п. Максатиха, ул. Пролетарская, д. №2</t>
  </si>
  <si>
    <t>Депртамент архитектуры и строительства Администрации города Твери</t>
  </si>
  <si>
    <t>наружное освещение автодорога_Тверская область, г. Тверь, ул. Оснабрюкская от Волоколамского шоссе до ул. Складская</t>
  </si>
  <si>
    <t>ООО "СКФ Тверь"</t>
  </si>
  <si>
    <t>здания склада хранения отходов производства, контрольно-пропускного пункта, котельной, насосной станции пожаротушения_Тверская область, Калининский район, Бурашевское с/п, торгово-промышленная зона Боровлево-2, № В</t>
  </si>
  <si>
    <t>технологическая линия по производщству подшипников_Тверская область, Калининский район, Бурашевское с/п, торгово-промышленная зона Боровлево-2, № В</t>
  </si>
  <si>
    <t>Ковалев Илья Сергеевич</t>
  </si>
  <si>
    <t>жилая застройка_Тверская область, Калининский район, Щербинское с/п, д. Перхурово</t>
  </si>
  <si>
    <t>Братченко Алексей Геннадьевич</t>
  </si>
  <si>
    <t>жилая застройка_Тверская область, Калининский район, Щербинское с/п, дер. Перхурово</t>
  </si>
  <si>
    <t>Соколов Алексей Николаевич</t>
  </si>
  <si>
    <t>вводное устройство офисно-складского комплекса_ месопооложение установлено относительно ориентира, расположенного за пределами участка, ориентир: административный корпус завода "Центросвар", участок находится примерно в 25 м от ориентира по напралению на север, аочновый адрес ориентира: Тверская область, г. Тверь, ул. Паши Савельевой, д. 49</t>
  </si>
  <si>
    <t>Филиал "Оргстройпроект" ОАО "СПК Мосэнргострой"</t>
  </si>
  <si>
    <t>жилая застройка_Тверская область, г. Конаково, ул. Александровка, жилой дом позиция 7</t>
  </si>
  <si>
    <t>жилая застройка_Тверская область, г. Конаково, ул. Александровка, д. 4 "А"</t>
  </si>
  <si>
    <t>ФГУП "Российская телевизионная и радиавещательная сеть" (филиал РТРС "Тверсой ОРТПЦ"))</t>
  </si>
  <si>
    <t>Тверская область, Спировский район, восточная часть пгт. Спирово</t>
  </si>
  <si>
    <t>ООО "Газпром инвест Запад"</t>
  </si>
  <si>
    <t>вводное устройство газораспределительной  станции "Кашин" (ГРС)_Тверская область, г. Кашин, Стражковское шоссе</t>
  </si>
  <si>
    <t>ФГУП «Российская телевизионная и радиовещательная сеть» филиал «Тверской областной радио и телепередающий центр» (филиал РТРС «Тверской ОРТПЦ»)</t>
  </si>
  <si>
    <t>вводное устройство телевизионной башни цифрового радиовещания_Тверская область, Бологовский район, Березорядское с/п, с. Березовский Рядок, ул. Заречная, д. 37</t>
  </si>
  <si>
    <t>СНТ "Медведица"</t>
  </si>
  <si>
    <t>садоводческое некоммерческое товарищество_Тверская область, г. Куашин, д. Малечкино</t>
  </si>
  <si>
    <t>Зверев Денис Викторович</t>
  </si>
  <si>
    <t>50  коттеджных домов на территории базы отдыха "Мстино"_Тверская область, Вышневолоцкий район, Солнечное с/п, пос. Солнечный, ул. Светлая, д. №7</t>
  </si>
  <si>
    <t>вводное устройство телевизионной башни цифрового радиовещания_Тверская область, Сандовский район, Старосандовское сельское поселение, бнп. Горохово</t>
  </si>
  <si>
    <t>вводное устройство телевизионной башни цифрового радиовещания_Тверская область, Весьегонский район, Чамеровское с/п, с. Чамерово (80 метров в южном направлении от дома №122)</t>
  </si>
  <si>
    <t>ГУП "Российская телефизионная и радиавещательная сеть" филиал "Тверской областной радио и телепередающий центр" (филиал РТРС "Тверской ОРТПЦ"_вводное устройство телевизионной башни цифрового радиовещания</t>
  </si>
  <si>
    <t>вводное устройство телевизионной башни цифрового радиовещания_Тверская область, Весьегонский район, Любигощинское с/п, с. Любегощи (100 метров в восточном направлении от дома №40 по ул. Центральной)</t>
  </si>
  <si>
    <t>вводное устройство телевизионной башни цифрового радиовещания_Тверская область, Кесовогорский район, городское поселение, пгт. Кесова Гора(западная часть).</t>
  </si>
  <si>
    <t>40217613
(договор заключен 08.11.2010)</t>
  </si>
  <si>
    <t>40220455
(договор заключен 08.11.2010)</t>
  </si>
  <si>
    <t>40103778
(договор заключен 02.11.2010)</t>
  </si>
  <si>
    <t xml:space="preserve">                                                                                                             2010 г</t>
  </si>
  <si>
    <t>40162242
(договор заключен 12.11.2010)</t>
  </si>
  <si>
    <t>4021622
(договор заключен 17.11.2010)</t>
  </si>
  <si>
    <t>40180219
(договор заключен 17.11.2010)</t>
  </si>
  <si>
    <t>Бурашевский детский сад на 90 мест,Твекрская область, Калининский район, Бурашевское с/п, с. Бурашево</t>
  </si>
  <si>
    <t>40237681
(договор заключен 29.11.2010)</t>
  </si>
  <si>
    <t>40249349
(договор заключен 01.12.2010)</t>
  </si>
  <si>
    <t>Государственное образовательное учреждение высшего профессионального образования Тверской госуниверситет</t>
  </si>
  <si>
    <t>главный корпус университета, г. Тверь, ул. 2-я Красина-ул. Прошина</t>
  </si>
  <si>
    <t>40248671
договор заключен 01.12.2010 г.)</t>
  </si>
  <si>
    <t>40223780
(договор заключен 01.12.2010 г.)</t>
  </si>
  <si>
    <t>40200483
(договор заключен 07.12.2010 г.)</t>
  </si>
  <si>
    <t>40253337
(договор заключен 07.12.2010 г.)</t>
  </si>
  <si>
    <t>40213629
(договор заключен 08.12.2010 г.)</t>
  </si>
  <si>
    <t>40222524
(договор заключен 14.12.2010 г.)</t>
  </si>
  <si>
    <t>40216015
(договор заключен 17.12.2010 г.)</t>
  </si>
  <si>
    <t>40261996
(договор заключен 17.12.2010 г.)</t>
  </si>
  <si>
    <t>филиал РТРС "Тверской ОРТПЦ"</t>
  </si>
  <si>
    <t>Тверская обл., Лихославльский р-н, Сосновицкое с/п, д. Михайлова Гора</t>
  </si>
  <si>
    <t>40256245
(договор заключен 17.12.2010 г.)</t>
  </si>
  <si>
    <t>40163446
(договор заключен 17.12.2010 г.)</t>
  </si>
  <si>
    <t>40248789
(договор заключен 17.12.2010 г.)</t>
  </si>
  <si>
    <t>Жилой дом_Тверская область, Конаковский район, вблизи дер. Мал. Новоселье, земельный участок (кадастровый номер 69:15:0000011:1919)</t>
  </si>
  <si>
    <t>40206664
(договор заключен 25.12.2010)</t>
  </si>
  <si>
    <t>40248716
(договор заключен 31.12.2010)</t>
  </si>
  <si>
    <t>ДНТ, почтовый адрес ориентира: Тверская обл., Старицкий р-н, Ново-Ямское с/п, вблизи д. Калошино, Льгово</t>
  </si>
  <si>
    <t>40264105
(договор заключен 14.01.2011)</t>
  </si>
  <si>
    <t>2011 г</t>
  </si>
  <si>
    <t>ОАО "Инженерно-инвестиционная компания"</t>
  </si>
  <si>
    <t>40268468
(договор заключен 14.01.2011)</t>
  </si>
  <si>
    <t>117-ТП/12-07
- договор 40083972 от 24.12.2007 расторгнут 30.03.2010</t>
  </si>
  <si>
    <t>30/6920-09-ТП - договор 40032884 от 20.04.2009 расторгнут 23.05.2010</t>
  </si>
  <si>
    <t>Договор 40060845       от 22.01.2010 расторгнут 02.08.2010</t>
  </si>
  <si>
    <t>Договор 40114236 от 03.06.2008 расторгут 26.10.2010 г.</t>
  </si>
  <si>
    <t>111-ТП/12-07
договор 40256847 от 17.12.2007 расторгнут 30.12.2010</t>
  </si>
  <si>
    <t>187-ТП/06-08 договор 40248168 от 19.06.2008 расторгнут 30.12.2010 г.)</t>
  </si>
  <si>
    <t>200-ТП/07-08 договор 40256724 от 23.07.2008 расторгнут 30.12.2010</t>
  </si>
  <si>
    <t xml:space="preserve">254-ТП/12-08
договор 40016589 от 30.12.2008 расторгнут 05.10.2010 </t>
  </si>
  <si>
    <t xml:space="preserve"> 262-ТП/12-08 договор 40035269 от 31.12.2008 расторгнут 01.10.2010 </t>
  </si>
  <si>
    <t>278/1-ТП/03-09
договор 40256843 от 16.03.2009 расторгнут 30.12.2010</t>
  </si>
  <si>
    <t>37-ТП/01-07
договор 40034986 от 16.01.2007 расторгнут 30.12.2010</t>
  </si>
  <si>
    <t>договор 40081801
от 26.02.2010 расторгнут 01.10.2010</t>
  </si>
  <si>
    <t xml:space="preserve">Договор 40114001
от 07.04.2010 расторгнут 08.11.2010 </t>
  </si>
  <si>
    <t>74-ТП/10-07 договор 40248071 от 04.10.2007 расторгнут 30.12.2010</t>
  </si>
  <si>
    <t>32-ТП/12-06 договор от 21.12.2006 расторгнут</t>
  </si>
  <si>
    <t>Договор 202-ТП/08-08 от 06.08.2008 расторгнут</t>
  </si>
  <si>
    <t>ЗАО "Хамильтон Стандард - Наука"</t>
  </si>
  <si>
    <t>Научно-производственный комплекс, г. Кимры, ул. Старозаводская</t>
  </si>
  <si>
    <t>Договор 232-ТП/10-08 от 03.10.2008 расторгнут</t>
  </si>
  <si>
    <t>Договор 297-ТП/06-09 от 09.06.2009 расторгнут</t>
  </si>
  <si>
    <t>Расторгнутые договора</t>
  </si>
  <si>
    <t>Установленная мощность по расторгнутым договорам и выданным ТУ на ТП</t>
  </si>
  <si>
    <t xml:space="preserve"> 4-7 очереди "Застройки квартала по ул.Новая"</t>
  </si>
  <si>
    <t>ПС 110/10 кВ Механич. з-д.</t>
  </si>
  <si>
    <t>ПС 110/6 кВ Механич. з-д.</t>
  </si>
  <si>
    <t>ПС 110/10 кВ Экскаваторный з-д</t>
  </si>
  <si>
    <t>ПС 110/6 кВ Экскаваторный з-д</t>
  </si>
  <si>
    <t>40154047
(договор заключен 27.09.2010 г.)</t>
  </si>
  <si>
    <t>2006 г.</t>
  </si>
  <si>
    <t>Вводное устройство производственной базы, местоположение установлено относительно ориентира, расположенного за пределами участка. Ориентир жилой дом.Участок находится примерно в 2000 м от ориентира по направлению на юго-восток. Почтовый адрес ориентира: Тверская область, Конаковский район, Первомайское с/о, дер. Перетрусово, д.3</t>
  </si>
  <si>
    <t>СНТ "Урожай"</t>
  </si>
  <si>
    <t>ФГУП "Российская телевизионная и радиовещательная сеть" филиал "Тверской областной и телерадиопередающий центр" (филиал РТРС "Тверской ОРТПЦ")</t>
  </si>
  <si>
    <t>Вводное устройство объекта Газопровод-отвод г. Ржев - г. Нелидово Тверской области" (Газораспределительная станция) (в ОРЗТП с 20.01.2011)</t>
  </si>
  <si>
    <t>Вводное устройство телебашни цифрового радиовещания_Тверская область, Торжокский район, Борисцевское с/п, дер. Головинские горки, д. 36 (в ОРЗТП с 26.01.2011)</t>
  </si>
  <si>
    <t>Ввводное устройство телебашни цифрового вещания_Тверская область, г. Ржев, ул. К.Маркса, д. 40 (в ОРЗТП с 20.01.2011)</t>
  </si>
  <si>
    <t>Вводное устройство продовольственного магазина с административно-оффисными помещениями_Тверская область, г. Тверь, ул. 15 лет Октября, д. 10 (в ОРЗТП с 26.01.2011)</t>
  </si>
  <si>
    <t>жилой дом_Тверская область, г. Тверь, ул. Фрунзе, д. 22 (в ОРЗТП с 26.01.2011)</t>
  </si>
  <si>
    <t>Вводное устройство жилого дома Управления Федеральной службы безопасности РФ по Тв. Области_Тверская обл., г. Тверь, 1-ый пер. Вагонников (в ОРЗТП с 26.01.2011)</t>
  </si>
  <si>
    <t>газовая котельная_Тверская область, г. Тверь, ул Желябова, д.1 (в ОРЗТП с 26.01.20111)</t>
  </si>
  <si>
    <t>жилая застройка ЗАО "МосДом"_Тверскяа обл., гор. Тверь, пер. Трудолюбия, д.1 (в ОРЗТП с 26.01.2011)</t>
  </si>
  <si>
    <t>вводное устройство телебашни цифрового вещания_Тверская область, Андреаполький район, г. Андреаполь (в ОРЗТП с 26.01.2011)</t>
  </si>
  <si>
    <t>вводное устройство магазина ЗАО "ТАНДЕР"_Тверская обл., г. Калязин, ул. Шорина, д. №27/59 (в ОРЗТП с 17.01.2011)</t>
  </si>
  <si>
    <t>ООО "Паулинг Рус"</t>
  </si>
  <si>
    <t>Завод по производству продуктов питания_Тверская область, Калининский район, Бурашевское с/п, дер. Садыково (в ОРЗТП с 27.12.2010)</t>
  </si>
  <si>
    <t>Вводное устройство объекта Газопровод-отвод г. Ржев - г. Нелидово Тверской области"_Тверская область, Андреапольский район, Андреапольское с.п., на юго-востоке от дер. Карабаново (в ОРЗТП с 20.01.2011)</t>
  </si>
  <si>
    <t>Вводное устройство объекта Газопровод-отвод г. Ржев - г. Нелидово Тверской области"_Тверская область,Оленинский район, на северо-западе от п. Оленино (в ОРЗТП с 20.01.2011)</t>
  </si>
  <si>
    <t>СПССК "Развитие"</t>
  </si>
  <si>
    <t>вводное устройство пункта приема и переработки молока_Тверская область, Зубцовский район, Вазуское сельское поселение, д. Коровкино (в ОРЗТП с 20.01.2011)</t>
  </si>
  <si>
    <t>ГУП "Российская телефизионная и радиавещательная сеть" филиал "Тверской областной радио и телепередающий центр" (филиал РТРС "Тверской ОРТПЦ")</t>
  </si>
  <si>
    <t>ДНП "ОАЗИС"</t>
  </si>
  <si>
    <t>ДНП_Тверская область, Конаковский район, Юрьево-девичьевское с/п, район дер. Новенькое (в ОРЗТП с 20.01.2011)</t>
  </si>
  <si>
    <t>Государственное учреждение "Тверская областная картинная галерея"</t>
  </si>
  <si>
    <t>Тверская область, Удомельский район, Порожкинское с/п, дер. Касково, д. 110 А (в ОРЗТП с 17.01.2011)</t>
  </si>
  <si>
    <t>ООО "Верхневолжье СП"</t>
  </si>
  <si>
    <t>вводное устройство здания №2_Тверская область, Кесовогорский район, пгт Кесова Гора, ул. Мелиоративная, дом №2</t>
  </si>
  <si>
    <t>вводное устройство здания магазина с кафетерием Дубинина Н.Н._Тверская область, Московский район, ул. Можайского (около д. 76, 78) (в ОРЗТП с 17.12.2010)</t>
  </si>
  <si>
    <t>вторая очередь строящегося жилого дома с помещениями общественного назначения и автостоянкой (2-й пусковой комплекс) ГТООИ "Стройгарант"_Тверская область, г. Тверь, Центральный район, ул. Д.Донского, д. 40 (в ОРЗТП с 17.12.2010 г.)</t>
  </si>
  <si>
    <t>клуб многоцелевого назначения со встроенными помещениями общественного питания ООО "САН" (в ОРЗТП с 17.12.2010)</t>
  </si>
  <si>
    <t>СНТ_Тверская область, Калининский район, Красногорское с/п, дер. Некрасово (в ОРЗТП с 20.01.2011)</t>
  </si>
  <si>
    <t>Коммунально-бытовая нагрузка_г. Тверь, Московксое шоссе, район площади Гагарина (в ОРЗТП с 10.12.2010)</t>
  </si>
  <si>
    <t>вводное устройство телебашни цифрового вещания_Тверская область, Западнодвинский район, п. Старая Торопа, ул. Комсомольская (в ОРЗТП с 06.12.2010)</t>
  </si>
  <si>
    <t>МУ Администрация городского сельского поселения поселка Новозавидовский Конаковского района Тверской области</t>
  </si>
  <si>
    <t>ярмарка выходного дня_Тверская область, Конаковский район, пос. Новозавидовский, ул. Транспортная (в ОРЗТП с 06.12.2010)</t>
  </si>
  <si>
    <t>Королев Роман Михайлович</t>
  </si>
  <si>
    <t>Вводное устройство жилого дома_Тверская область, Конаковский район, пгт Завидовское с/п,дер. Высоково, д.9 (в ОРЗТП с 06.12.2010 г.)</t>
  </si>
  <si>
    <t>вводное устройство телебашни цифрового вещания_Тверская область, Западнодвинский район,Ильинское с/п, п. Ильино (в ОРЗТП с 06.12.2010)</t>
  </si>
  <si>
    <t>садоводческое некоммерческое товарищество_Кашинский район, Булатовское с/п, дер. Лужки (в ОРЗТП с 17.12.2010)</t>
  </si>
  <si>
    <t>40259887 (договор заключен 24.01.2011)</t>
  </si>
  <si>
    <t>40217565
(договор заключен 28.01.2011)</t>
  </si>
  <si>
    <t xml:space="preserve">40274325
(договор заключен 17.02.2011) </t>
  </si>
  <si>
    <t>40263316
(договор заключен 24.02.2011)</t>
  </si>
  <si>
    <t>ЗТП-10/0,4 кВ-2х2 500 кВА "Парето Принт", г. Тверь, промышленная зона "Боровлево-1"</t>
  </si>
  <si>
    <t>31-ТП/12-06</t>
  </si>
  <si>
    <t>319-ТП/09-09</t>
  </si>
  <si>
    <t>ОАО "Мегафон"</t>
  </si>
  <si>
    <t>ОАО "Энерго-Т"</t>
  </si>
  <si>
    <t>Промышленная нагрузка_ г. Тверь, промышленная зона "Боровлево-1"</t>
  </si>
  <si>
    <t>Буриличев Алексей Витальевич</t>
  </si>
  <si>
    <t>вводное устройство жилого дома_Тверская область, Торопецкий район, Речанское с/п, д. Лукьяново (в ОРЗТП с 24.02.2010)</t>
  </si>
  <si>
    <t>вводное устройство телебашни цифрового вещания_Тверская область, Кимрский район, Горицкое с/п, с. Горицы (в ОРЗТП с 02.2011)</t>
  </si>
  <si>
    <t>ООО "Дорожная Строительная компания"</t>
  </si>
  <si>
    <t>ОАО фирма ОРТ "Универсал"</t>
  </si>
  <si>
    <t>вводное устройство здания кинотеатра "Ракета"_Тверская область, Рамешковский район, пос. Рамешки, ул. Советская, д. 26 (в ОРЗТП с 24.02.2011)</t>
  </si>
  <si>
    <t>вводное устройство телевизионной башни цифрового радиовещания_Тверская область, Максатихинский район, дер. Сельцы (широта - 57,56'59'' , долгота 35,56'02'')
(в ОРЗТП с 24.02.2011)</t>
  </si>
  <si>
    <t>Вводное устройство телевизионной башни цифрового радиовещания_Тверская область, Старицкий район, Паньковское с/п, дер. Коньково (в ДО с 24.02.2011)</t>
  </si>
  <si>
    <t>Вводное устройство телевизионной башни цифрового радиовещания_Тверская область, Оленинский район, городское поселение пос. Оленино, пгт Оленино, ул. Райсельхозхимии (в ДО с 15.02.2011)</t>
  </si>
  <si>
    <t>Вводное устройство телебашни цифрового радиовещания_Тверская область, Селижаровский район, Березугское с/п, дер. Козловцы (в ОРЗТП с 15.02.2011)</t>
  </si>
  <si>
    <t>ООО "Гематек"</t>
  </si>
  <si>
    <t>Промышленная нагрузка_Тверская обл., г. Тверь, ул. Сердюковская, д. 1
(в ОРЗТП с 17.02.2011)</t>
  </si>
  <si>
    <t>Павлов Игорь Вячеславович</t>
  </si>
  <si>
    <t>МУ Администрация Торжокского района Тверской области</t>
  </si>
  <si>
    <t>Детский сад на 90 мест_Тверская область, Торжокский район, Грузинское с/п, дер. Грузины
(в ОРЗТП с 15.02.2011)</t>
  </si>
  <si>
    <t>Скобелев Владимир Юрьевич</t>
  </si>
  <si>
    <t>здание торгово-офисного комплекса ООО "Стандарт-ТМ"_г. Тверь, Заволжский район, ул. Маяковского - ул. Пржевальсского, кадастровый номер 69:40:01:00:620:0071
(в ОРЗТП с 15.02.2011)</t>
  </si>
  <si>
    <t>Управление Федеральной службы исполнения наказаний России по Тверской области</t>
  </si>
  <si>
    <t>!2 категория!10-этажный 300-квартирный жилой дом _Тверская область, г. Тверь, Бурашевское шоссе
(в ОРЗТП с 15.02.2011)</t>
  </si>
  <si>
    <t>ООО "Премьер"</t>
  </si>
  <si>
    <t>!2 категория! Вводное устройство жилого комплекса "Аврора"_Тверская област, г. Тверь, ул. Можайского, дом 62, корпус 1
(в ОРЗТП с 15.02.2011)</t>
  </si>
  <si>
    <t>вводное устройство телебашни цифрового вещания_Тверская область, Андреаполький район, г. Андреаполь (в ОРЗТП с 15.02.2011)</t>
  </si>
  <si>
    <t>Федеральное государственное учреждение культуры "Всероссийский историко-этнографический музей"</t>
  </si>
  <si>
    <t>Ввводное устройство объекта "Гостиница Пожарских"_Тверская область, г. Торжок, ул. Дзержинского, 48
(в ОРЗТП с 15.02.2011)</t>
  </si>
  <si>
    <t>ИП Петров Сергей Александрович</t>
  </si>
  <si>
    <t>Вводное устройство пилорамы_Тверская область, Осташковский район, Замошское с/п, д. Иванова гора
(в ОРЗТП с 15.02.2011)</t>
  </si>
  <si>
    <t>СНТ "Игуменка-2"</t>
  </si>
  <si>
    <t>СНТ_Тверская область, Конаковский район, дер. Игуменка
(в ОРЗТП с 20.01.2011)</t>
  </si>
  <si>
    <t>вводное устройство 4-х квартирного жилого дома со встроенными офисными помещениями Куприяновой Т.А._Тверская область, г. Тверь, набережная реки Тьмаки, д. 20 корпус 1</t>
  </si>
  <si>
    <t>!1 категория! вводное устройство телевизионной башни цифрового радиовещания_Тверская область, Удомельский район, Молжинский с/о, дер. Поддубье
(в ОРЗТП с 20.01.2011)</t>
  </si>
  <si>
    <t>!1 категория! вводное устройство телевизионной башни цифрового радиовещания_Тверская область, г. Кашин, Калининское шоссе, д.3
(в ОРЗТП с 08.02.2011)</t>
  </si>
  <si>
    <t>Вводное устройство телебашни цифрового вещания_Тверская область, Зубцовский район, пос. Погорелое городище, ул. Ленина, д. 5 В (в ОРЗТП с 08.02.2011)</t>
  </si>
  <si>
    <t>Вводное устройство телебашни цифрового вещания_Тверская область, г. Зубцов, ул. Ржевская д. 31 (в ОРЗТП с 08.02.2011)</t>
  </si>
  <si>
    <t>вводное устройство объекта Газопровод-отвод г. Ржев - г. Нелидово Тверской области"_Тверская область,Оленинский район, на севере пос. Мирный (в ОРЗТП с 08.02.2011)</t>
  </si>
  <si>
    <t>вводное устройство телебашни цифрового вещания_Тверская область, г. Торопец, ул. Советская, д.116 а (в ОРЗТП с 08.02.2011)</t>
  </si>
  <si>
    <t>вводное устройство телебашни цифрового вещания_Тверская область, г. Западная Двина, пер. Больничный, д. 10 (в ОРЗТП с 08.02.2011)</t>
  </si>
  <si>
    <t>Вводное устройство объекта Газопровод-отвод г. Ржев - г. Нелидово Тверской области"_Тверская область, Западнодвинский район на юго-востоке от г. Западная Двина (в ОРЗТП с 08.02.2011)</t>
  </si>
  <si>
    <t>вводное устройство телебашни цифрового вещания_Тверская область, г. Белый, пос. Пригородный, ул. Центральная, д.28 (в ОРЗТП с 08.02.2011)</t>
  </si>
  <si>
    <t>Филиал "Московский центр автоматизированного управления воздушным движением" ФГУП "Госкорпорация ОрВД"</t>
  </si>
  <si>
    <t>Вводное устройство объекта ВРДП 422 Тверского центра ОрВД филиала_Тверская область, Калининский район, Никулинское с/п, район с. Никольское
(в ОРЗТП с 08.02.2011)</t>
  </si>
  <si>
    <t>пел.цех, Селижар р-н,  д.Языково (было перераспределение мощности 17.02.2011)</t>
  </si>
  <si>
    <t>252-ТП/12-08
(перераспределение мощности - договор 40279891 в 2011)</t>
  </si>
  <si>
    <t>Ранее разрешенная мощность_промышленная нагрузка 2 категории_Тверскяа область, г. Тверь, ул. 2-я Грибоедова - ул. Прошина
(в ОРЗТП с 24.02.2011)</t>
  </si>
  <si>
    <t>вводное устройство телевизионной башни цифрового радиовещания_Тверская область, г. Красный Холм в районе учхоза, с левой стороны а/д Красный Холм - Васильки (широта - 58,03'59'' , долгота 37,08'07'')
(в ОРЗТП с 01.03.2011)</t>
  </si>
  <si>
    <t>"Строителство газопровода - отвода и АГРС "Калинин - 3" (газораспределительная станция)_Калининский район, Черногубовское с/п (1,2 км к северу от дер. Красное Знамя и 1,5 км к юго-западу от дер. Дубровки)
(в ОРЗТП с 01.03.2011)</t>
  </si>
  <si>
    <t>ООО "Тверская региональная строительная компания"</t>
  </si>
  <si>
    <t>2 категория КЛ-6 кВ и КТП-6/0,4 кВ 2х630 кВА для строительства инжененрной инфраструктуры
(в ОРЗТП с 01.03.2011)</t>
  </si>
  <si>
    <t>320-ТП/09-09
(договор заключен 11.09.2009)</t>
  </si>
  <si>
    <t>ООО "Василево"</t>
  </si>
  <si>
    <t>Комплексная жилищная застройка, г. Тверь, район ВНИИСВ, п. Никифоровское 
(в ОРЗТП с 23.03.2011)</t>
  </si>
  <si>
    <t>Модульная котельная_Тверская область, Калининский район, Бурашевское с/п, с. Бурашево
 (в ОРЗТП с 21.03.2011)</t>
  </si>
  <si>
    <t>Глава КФХ Большов Сергей Вячеславович</t>
  </si>
  <si>
    <t>ОАО "Головное системное конструкторское бюро Концерна ПВО "Алмаз-Антей" имени академика А.А. Расплетина (ОАО "ГСКБ "Алмаз-Антей"))</t>
  </si>
  <si>
    <t>Филиал РТРС "Тверской ОРТПЦ"</t>
  </si>
  <si>
    <t>ООО "Титов Бор"</t>
  </si>
  <si>
    <t>Здание усадьбы_Тверская область, Ржевский район, с/п. "Победа", дер. Харино
(в ОРЗТП 16.03.2011)</t>
  </si>
  <si>
    <t>Вводное устройство газовой котельной ММУ "Кувшиновская ЦРБ (с поликлиникой) в г. Кувшиново"_Тверская область, Кувшиновский район, г. Кувшиново, ул. Семашко, д. 11
(в ОРЗТП с 23.03.2011)</t>
  </si>
  <si>
    <t>ООО "Атлант"</t>
  </si>
  <si>
    <t xml:space="preserve"> исправительная колония № 10, Калининский р-н, п.Металлистов 
(в ОРЗТП с 23.03.2011)</t>
  </si>
  <si>
    <t>Жилые дома с помещениями общественного назначения по ул. Георгиевская_Тверская область, ул. Георгиевская, к. 1,2,3 пос. Мамулино
(в ОРЗТП с 23.03.2011)</t>
  </si>
  <si>
    <t>ВЛ-10 кВ и ТП-10/0,4 кВ для электроснабжения пристройки к школе пос. Рамешки_Тверская область, п. Рамешки, ул. Советская, д. 47
(в ОРЗТП с 21.03.2011)</t>
  </si>
  <si>
    <t>Садоводческое некоммерческое товарищество "Губино"</t>
  </si>
  <si>
    <t>ВЛ-10 кВ и ТП-10/0,4 кВ-400 кВА для электроснабжения базы отдыха "ЛУЧ", Калининский район, Михайловское с/п дер. Долматово (в ОРЗТП с 21.03.2011)</t>
  </si>
  <si>
    <t>МУП ЭС "Тверьгорэлектро"</t>
  </si>
  <si>
    <t>Торгово-офизное здание А.А.Ефанова_Тверская область, г. Тверь, ул. Благоева и Соминка, д. 74/19
(в ОРЗТП с 21.03.2011)</t>
  </si>
  <si>
    <t>вводное устройство предприятия общественного питания_Тверская область, Конаковкский район, Мокшинское с/пос, район д. Мокшино, земельный участок (кадастровый номер 69:15:0000027:464)
(в ОРЗТП с 02.03.2011)</t>
  </si>
  <si>
    <t>Вводное устройство здания цеха ООО "Тверьтехногрейд"_Тверская область, г. Тверь, промышленный проезд, д. 2а
(в ОРЗТП с 21.03.2011)</t>
  </si>
  <si>
    <t>ООО "Мегапласт"</t>
  </si>
  <si>
    <t>Промышленная нагрузка_Тверская область, г. Торопец, ул. Чистовский тракт, д. 30
(в ОРЗТП с 21.03.2011)</t>
  </si>
  <si>
    <t>вводное устройство телебашни цифрового вещания_Тверская область, Старицкий район, Архангельское с/п, дер. Кунилово (в ОРЗТП с 16.03.2011)</t>
  </si>
  <si>
    <t>вводное устройство газораспределительной  станции "Реконструкция ГРС "Кесова Гора", Тверская область"_Тверская область, Кесовогорский район, Кесовогорское с.п., на юге п. Кесова Гора (в ОРЗТП с 02.03.2011 г.)</t>
  </si>
  <si>
    <t>ООО "Тверьагропром"</t>
  </si>
  <si>
    <t>Промышленная нагрузка_Тверская область, Лихославльский район, дер. Вески, ул. Центральная, д. 14 а
(в ОРЗТП с 16.03.2011)</t>
  </si>
  <si>
    <t>вводное устройство телевизионной башни цифрового радиовещания_Тверская область, Бежецкий район, Житницкое с/п, д. Житищи (широта - 57,27'46'' , долгота 36,30'47'')
(в ОРЗТП с 02.03.2011)</t>
  </si>
  <si>
    <t>Волков Игорь Валентинович</t>
  </si>
  <si>
    <t>ВЛ-10 кВ и ТП-10/0,4 кВ-160 кВА для электроснабжения жилых домов и хозпостроек_Тверская область, Осташковский район, Свапущенское с.п., район дер. Старое Село, земельный участок с кадастровым № 69:24:000009:0681
(в ОРЗТП с 31.03.2011)</t>
  </si>
  <si>
    <t>ОАО "Завод по розливу минеральной воды "Вереск"</t>
  </si>
  <si>
    <t>ООО "У Городища"</t>
  </si>
  <si>
    <t>ВЛ-10 кВ и ТП-10/0,4 кВ - 160 кВА для электроснабжения базы отдыха
(в ОРЗТП с 31.03.2011)</t>
  </si>
  <si>
    <t xml:space="preserve">40266186
(договор заключен 01.03.2011) </t>
  </si>
  <si>
    <t>40217598
(договор заключен 03.03.2011)</t>
  </si>
  <si>
    <t>40285335
(договор заключен 
17.03.2011)</t>
  </si>
  <si>
    <t>40280182
(договор заключен
21.03.2011)</t>
  </si>
  <si>
    <t>2011 г.</t>
  </si>
  <si>
    <t xml:space="preserve">40296129
(договор
заключен
22.03.2011)
</t>
  </si>
  <si>
    <t>40176296
(договор 23.03.2011)</t>
  </si>
  <si>
    <t>40293503
(договор заключен
30.03.2011)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</si>
  <si>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</si>
  <si>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</si>
  <si>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</si>
  <si>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</si>
  <si>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</si>
  <si>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</si>
  <si>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</si>
  <si>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ООО "Хорошие колеса"</t>
  </si>
  <si>
    <t>Администрация Бельского района Тверской области</t>
  </si>
  <si>
    <t>ВЛ-10 кВ и ТП-10/0,4 кВ-160 кВА для электроснабжения объекта "Пункт приемки и переработки молока в г. Белый"_Тверская область, Бельский район, г. Белый, ул. Строителей, 4а_в ОРЗТП с 08.04.2011</t>
  </si>
  <si>
    <t>!2 категория! Многоквартирные жилые дома НПВК "Первомайский - 2"_г. Тверь, Пролетарский район, ул. Б. Полевого, 2 корп. 2_в ОРЗТП с 19.04.2011</t>
  </si>
  <si>
    <t>Сельскохозяйственный производственный кооператив "Красный октябрь"</t>
  </si>
  <si>
    <t>Два зерносклада_Тверская область, Рамешковский район, село Волосково_в ОРЗТП с 22.04.2011</t>
  </si>
  <si>
    <t>ВЛ-10 кВ и ТП-10/0,4 кВ - 40 кВА "АЗС" для электроснабжения автозаправочного комплекса №14_Тверская область, Калининский район, Медновский с/о, район дер. Букарево, земельный участок с кадастровым номером 69:10:00:00:08:0173_в ОРЗТП с 22.04.2011</t>
  </si>
  <si>
    <t>ВЛ-10 кВ и ТП-10/0,4 кВ - 100 кВА для электроснабжения линии наружного освещения на участке автомобильной дороги М-10 "Россия" 172+000 - км 176+000_в ОРЗТП с  19.04.2011</t>
  </si>
  <si>
    <t>Администрация Жарковского района Тверской области</t>
  </si>
  <si>
    <t>вводное устройство здания объекта "ГУ Социальный приют для детей и подростков, многофункциональный зал, пос. Жарковский"_Тверская область, Жарковский район, пгт. Жарковский, ул. Советская_в ОРЗТП с 19.04.2011</t>
  </si>
  <si>
    <t>Дачное некоммерческое товарищество "Тверьземстрой"</t>
  </si>
  <si>
    <t>ВЛ-10 кВ и ТП-10/0,4 кВ - 400 кВА для электроснабжения дачного поселка_Тверская область, Калязинский район, Алферовское с.п., дер. Медвежье, земельный участок с кадастровым № 69:11:0000019:162_в ОРЗТП с 19.04.2011</t>
  </si>
  <si>
    <t>Промышленная нагрузка_г. Тверь, Московский р-н, пл. Гагарина, 5_в ОРЗТП с 19.04.2011</t>
  </si>
  <si>
    <t>Ордена Ленина колхоз "Красный Путиловец" Кашинского района Тверской области</t>
  </si>
  <si>
    <t>Вводные устройства молочно-товарного комплекса на 800 голов КРС и телятника на 150 голов_Тверская область, Кашинский район, Письяковское с.п., д. Путилово_в ОРЗТП с 13.04.2011</t>
  </si>
  <si>
    <t>Электроустановки жилого комплекса "Аврора"_Тверская область, г. Тверь, ул. Можайского, дом 62, корпус 1, земельный участок с кадастровым № 69:40:0200105:0027_в ОРЗТП с 22.04.2011</t>
  </si>
  <si>
    <t>Администрация Лесного района Тверской области</t>
  </si>
  <si>
    <t>вводное устройство объекта "Спортивный комплекс с универскальным игровым залом"_Тверская область, Лесной район, с. Лесное, ул. Пионерская_в ОРЗТП с 22.04.2011 г.</t>
  </si>
  <si>
    <t>ЗАО "Центр инноваций и инвестиций"</t>
  </si>
  <si>
    <t>Коттеджный поселок_Тверская область, Калининский район, Красногорское с.п., земельный участок с кадастровым № 69:10:0000038:1267_в ОРЗТП с 19.04.2011</t>
  </si>
  <si>
    <t>ИП Рожков Дмитрий Николаевич</t>
  </si>
  <si>
    <t>вводное устройство производственного здания_Тверская область, Калининский район, пгт. Орша, ул. Ленина, д. 11 а, земельный участок с кадастровым № 69:10:16:19:09:0008:3-66:1000/А_в ОРЗТП с 22.04.2011</t>
  </si>
  <si>
    <t>Садоводческое некоммерческое товаричество_Тверскяа область, Калининский район, Эмаусское с/п, дер. Губино</t>
  </si>
  <si>
    <t>40296263
(договор заключен 30.03.2011)</t>
  </si>
  <si>
    <t>СНТ_Тверская область, Конаковский район, Вахонинское с/п</t>
  </si>
  <si>
    <t>40266192
(договор заключен 05.04.2011)</t>
  </si>
  <si>
    <t>Вводное устройство административно-производственного здания_Тверская область, Калининский район, Никулинское с/о, с. Никольское, д. 26</t>
  </si>
  <si>
    <t>40197699
(договор 
заключен 12.10.2010)</t>
  </si>
  <si>
    <t>40306741
(договор заключен 05.04.2011)</t>
  </si>
  <si>
    <t>ВЛ-10 кВ и ТП-10/0,4 кВ комплексной застройки_Тверская область, Кесовогорский район, г/пос п. Кесова Гора, ул. Им. Алелюхина, 45</t>
  </si>
  <si>
    <t>40295820
(договор заключен 06.04.2011)</t>
  </si>
  <si>
    <t>40226185
(договор заключен 05.04.2011)</t>
  </si>
  <si>
    <t>Вводное устройство школы на 100 мест_Тверская область, Кашинский район, Барыковское с/п, дер. Барыково</t>
  </si>
  <si>
    <t>40308832
(договор
заключен
13.04.2011)</t>
  </si>
  <si>
    <t>вводное устройство здания супермаркета (1 этаж)_Тверская область, Молоковский район, п. Молоково, пл. Корнилова, д. 4</t>
  </si>
  <si>
    <t>40280143
(договор заключен 15.04.2011)</t>
  </si>
  <si>
    <t>вводное устройство крестьянского фермерского хозяйства "Большов С.В."_Тверская область, Калязинский район, Капшинский с/о, вблизи дер. Коротково, кадастровый №69:11:000020:0347</t>
  </si>
  <si>
    <t>40307900
(договор заключен 26.04.2011)</t>
  </si>
  <si>
    <t>Воздушный поршневой компрессор VC-В 160-40_Тверская область, Кашинский район, г. Кашин, ул. Ленина, д.49</t>
  </si>
  <si>
    <t>40306227
(договор заключен 27.04.2011)</t>
  </si>
  <si>
    <t>Вводное устройство здания шиномонтажа_Тверская область, Бологовский район, Выползовское с.п., пос. Выползово, ул. Шоссейная, д. 46, земельный участок с кадастровым № 69:04:131309:0035</t>
  </si>
  <si>
    <t>40305912
(договор
заключен
28.04.2011)</t>
  </si>
  <si>
    <t>ООО "Софья"</t>
  </si>
  <si>
    <t>Промышленная нагрузка_Тверская область, Осташковский район, дер. Свапуще, ул. Центральная, дом 1 А_в ОРЗТП с 08.04.2011</t>
  </si>
  <si>
    <t>ООО "Экстраком"</t>
  </si>
  <si>
    <t>комбикормовый завод_Тверская область, Калининский район, Бурашевское с/п., в районе дер. Цветково, земельный участок с кадастровым номером 69:10:0000030:239_в ОРЗТП с 05.2011</t>
  </si>
  <si>
    <t>ООО "Макдоналдс"</t>
  </si>
  <si>
    <t>ЗАО "ТАНДЕР" Тверской филиал</t>
  </si>
  <si>
    <t>ООО "Унимаркет - Тверь"</t>
  </si>
  <si>
    <t>Государственное учреждение Тверской области "Спортивный ледовый комплекс "Триумф"</t>
  </si>
  <si>
    <t>!2 категория! вводное устройство модульной котельной_Тверская область, Калининский район, Бурашевкое с/п, дер. Березино (в ОРЗТП с 05.2011)</t>
  </si>
  <si>
    <t>40299584
(договор заключен 16.04.2011)</t>
  </si>
  <si>
    <t>40305637
(договор заключен 29.04.2011)</t>
  </si>
  <si>
    <t>40327527
(договор заключен 03.05.2011)</t>
  </si>
  <si>
    <t>40293759
(договор заключен 04.05.2011)</t>
  </si>
  <si>
    <t>ООО "Большой берег"</t>
  </si>
  <si>
    <t>ЛЭП-0,4 кВ для электроснабжения коттеджного поселка (в ОРЗТП с 25.05.2011)</t>
  </si>
  <si>
    <t>ЛЭП-0,4 кВ для электроснабжения телевизионной башни цифрового радиовещания_Тверская область, Конаковский район, пгт. Новозавидовский, ул. Октябрьская, район д. 59 а
(в ОРЗТП с 25.05.2011)</t>
  </si>
  <si>
    <t>ООО "Агропромышленный комплекс Кушалино"</t>
  </si>
  <si>
    <t>Ферма крупного рогатого скота, расположенная по адресу Тверская область, Рамешковский район, с/п Кушалино, д. Вельшино
(в ОРЗТП с 25.05.2011)</t>
  </si>
  <si>
    <t>ООО "Диет-Кроль"</t>
  </si>
  <si>
    <t>ЛЭП-0,4 кВ для электроснабжения производственного комплекса промышленного кролиководства, расположенного по адресу:Тверская область, Калининский район, Бурашевское с/п, в районе дер. Цветково
(в ОРЗТП с 05.2011)</t>
  </si>
  <si>
    <t>Государственное учреждение "13 отряд федеральной противопожарной службы по Тверской области"</t>
  </si>
  <si>
    <t>ВЛ-10 кВ и ТП-10/0,4 кВ - 40 кВА расположенные по адресу: Тверская обл., Конаковский район, п. Изоплит
(в ОРЗТП с 05.2011)</t>
  </si>
  <si>
    <t>Администрация Максатихинского района Тверской области</t>
  </si>
  <si>
    <t>ГУП "Тверьоблстройзаказчик" Тверской области</t>
  </si>
  <si>
    <t>вводное устройство объекта "Реконструкция физкультурно-оздоровительного комплекса (ФОК) в г. Красный Холм", по адресу: Тверская область, г. Красный холм, ул. Красноармейская
(в ОРЗТП с 25.05.2011)</t>
  </si>
  <si>
    <t>!2 категория 20 кВт! здание гостиницы "Молога" под поликлиннику, расположенная по адресу Тверская область, п. Максатиха, ул. Им. Нового, д. №2
(в ОРЗТП с 25.05.2011)</t>
  </si>
  <si>
    <t>строительные механизмы (временное электроснабжение на период строителства индустриального парка "Раслово")_Тверская область, Калининский район, Никулинское с/п., дер. Лебедево_в ОРЗТП с 04.05.2011)</t>
  </si>
  <si>
    <t>электроустановки объекта "Разделение системы хозпитьевого водоснабжения г. Удомля и АЭС"_Тверская область, Удомельский район, Удомельское с/п., район дер. Елманова Горка и дер. Братаново, земельный участок с кадастровым номером 69:35:0000020:969  
( в ОРЗТП с 04.05.2011)</t>
  </si>
  <si>
    <t>Административное здание "Управление делами аппарата Губернатора Тверской области"_Тверская область, г. Тверь, ул. Советская, д. 44 (в ОРЗТП с 16.05.2011 г.)</t>
  </si>
  <si>
    <t>КЛ-6 кВ и РТП-6/0,4 кВ 2х1000 кВА для электроснабжения спорткомплекса с универсальным игровым залом_Тверская область, г. Тверь, пос. Химинститута, земельный участок с кадастровым номером 69:40:0200092:23 (в ОРЗТП с 04.05.2011)</t>
  </si>
  <si>
    <t>Жилищная застройка_Тверская область, г. Тверь, ул. Богданова - ул. Т. Ильиной - ул. 15 лет Октября - ул. Склизкова
(в ОРЗТП с 18.05.2011)</t>
  </si>
  <si>
    <t>Жуков Александр Алексеевич</t>
  </si>
  <si>
    <t>склад-ангар, расположенный по адресу: Тверская область, г. Тверь, проспект Октябрьский, д. 56 а
(в ОРЗТП с 18.05.2011)</t>
  </si>
  <si>
    <t>Вводное устройство здания магазина смешанной группы товаров_Тверская область, г. Торжок, ул. Мира, приблизительно в 6 м по направлению на юго-восток от жилого дома №38 
(в ОРЗТП с 04.05.2011)</t>
  </si>
  <si>
    <t>ЗАО "Свободный Труд" Кашинского района Тверской области</t>
  </si>
  <si>
    <t>вводное устройство здания картофелехранилища на 3500 кг, расположенное по адресу: Тверская область, Кашинский район, Барыковское с/п, дер. Барыково, земельный участок с кадастровым номером 69:12:000025:0212
(в ОРЗТП с 16.05.2011)</t>
  </si>
  <si>
    <t>вводное устройство объекта "Спортивный комплекс с универскальным игровым залом"_Тверская область, Максатихинский район, п. Максатиха, ул. Красноармейская, 58-а, (в ОРЗТП с 16.05.2011 г.)</t>
  </si>
  <si>
    <t>Администрация Молоковского района Тверской области</t>
  </si>
  <si>
    <t>вводное устройство объекта "Спортивный комплекс с универскальным игровым залом"_Тверская область, Молоковский район, п. Молоково, ул. Красноармейская
(в ОРЗТП с 16.05.2011 г.)</t>
  </si>
  <si>
    <t>Администрация Пеновского р-на Тверской области</t>
  </si>
  <si>
    <t>здание культурно-спортивного комплекса в п. Пено_Тверская область, Пеновский район, пос. Пено, ул. Советская, д. 15
(в ОРЗТП с 16.05.2011)</t>
  </si>
  <si>
    <t>Шакиров Борис Мухаметович</t>
  </si>
  <si>
    <t>ВЛ-10 кВ и ТП 10/0,4 кВ - 40 кВА для электроснабжения жилого дома_Тверская область, Жарковский район, Жарковское с/п, дер. Озеры, земельный участок с кадастровым номером 69:07:0081101:2
(в ОРЗТП с 05.2011)</t>
  </si>
  <si>
    <t>!2 категория! вводное устройство модульной котельной_Тверская область, Калининский район, Бурашевкое с/п, дер. Березино (в ОРЗТП с 04.05.2011)</t>
  </si>
  <si>
    <t>ЛЭП-10 кВ и КТП-10/0,4 кВ для резервного электроснабжения объектов_Тверская область, Конаковский район, дер. Домкино, НИБ "Большая Волга"
(в ОРЗТП с 04.05.2011)</t>
  </si>
  <si>
    <t>40327607
(договор заключен 27.05.2011)</t>
  </si>
  <si>
    <t>40334350
(договор заключен 01.06.2011 г.)</t>
  </si>
  <si>
    <t>40344903
(договор заключен 03.06.2011 г.)</t>
  </si>
  <si>
    <t>40343511
(договор заключен 16.06.2011)</t>
  </si>
  <si>
    <t>40339517
(договор заключен 16.06.2011)</t>
  </si>
  <si>
    <t>40282861
(договор заключен 16.06.2011)</t>
  </si>
  <si>
    <t>40288864
(договор заключен 16.06.2011)</t>
  </si>
  <si>
    <t>40288853
(договор 16.06.2011 г.)</t>
  </si>
  <si>
    <t>40286534
(договор заключен 16.06.2011 г.)</t>
  </si>
  <si>
    <t>ООО "Крафтлайнер"</t>
  </si>
  <si>
    <t>завод по производству гофротары_Тверская область, Кимрский район, с. Ильинское, ул. Мира, уч. 15</t>
  </si>
  <si>
    <t>40351734
(договор заключен 24.06.2011)</t>
  </si>
  <si>
    <t>ПС 110/10 кВ Ерохино</t>
  </si>
  <si>
    <t>Договор 
185-ТП/06-08
расторгнут 07.12.2010 (40035217 16.06.2008)</t>
  </si>
  <si>
    <t>ООО "Ритм-2000"</t>
  </si>
  <si>
    <t>!2 категория! технологическая линия по производщству подшипников_Тверская область, Калининский район, Бурашевское с/п, торгово-промышленная зона Боровлево-2, № В</t>
  </si>
  <si>
    <t>40245770
(договор заключен 01.07.2011 г.)</t>
  </si>
  <si>
    <t>!2! категория здания склада хранения отходов производства, контрольно-пропускного пункта, котельной, насосной станции пожаротушения_Тверская область, Калининский район, Бурашевское с/п, торгово-промышленная зона Боровлево-2, № В</t>
  </si>
  <si>
    <t>40245798
(договор заключен 01.07.2011)</t>
  </si>
  <si>
    <t>!2 категория! здания склада хранения отходов производства, контрольно-пропускного пункта, котельной, насосной станции пожаротушения_Тверская область, Калининский район, Бурашевское с/п, торгово-промышленная зона Боровлево-2, № В</t>
  </si>
  <si>
    <t>40351717
(договор заключен 04.07.2011)</t>
  </si>
  <si>
    <t>40337060
(договор заключен 04.07.2011)</t>
  </si>
  <si>
    <t>40342036
(договор заключен 12.07.2011)</t>
  </si>
  <si>
    <t>40312369
(договор заключен 13.07.2011)</t>
  </si>
  <si>
    <t>Семенова Татьяна Николаевна</t>
  </si>
  <si>
    <t>Вводное устройство здания крытого рынка_Тверская область, Пеновский район, пос. Пено, ул. Л. Чайкиной, д. 38
(в ОРЗТП с 04.07.2011)</t>
  </si>
  <si>
    <t>Администрация: Муниципальное образование городского поселения - город Кашин Тверской области</t>
  </si>
  <si>
    <t>"Водозабор с комплексом обработки воды для города Кашина Тверской области (1 очередь)"_Тверская область, Кашинский район, г. Кашин, северная часть (в ОРЗТП с 02.06.2011)</t>
  </si>
  <si>
    <t>ООО "ВИВО"</t>
  </si>
  <si>
    <t>Туристическая база_Тверская область, Кимрский район, Федоровское с.п., д. Крева, ул. Сосновый бор, участок № 91А (в ОЗТП с 03.06.2011)</t>
  </si>
  <si>
    <t>ДНП "Караси на Волге"</t>
  </si>
  <si>
    <t>Дачное поселение (ВЛ-6 кВ и ТП-6/0,4 кВ)_Тверская область, Кимрский район, Титовское с.п., д. Папулово
(в ОРЗТП с 02.06.2011)</t>
  </si>
  <si>
    <t>СНТ "Восход"</t>
  </si>
  <si>
    <t>СНТ_Тверская область, Калининский район, Михайловское с/п, район дер. Александровка (в ОРЗТП с 05.07.2011)</t>
  </si>
  <si>
    <t>Электроснабжение 54 жилых домов_расположение относительно ориентира - адрес: Тверская область, Калининский район, Михайловское с/п, пос. Загородный, д. 4</t>
  </si>
  <si>
    <t>ООО "Бокарево"</t>
  </si>
  <si>
    <t>Жилой дом_Тверская область, Сонковский район, Беляницкое с/п, дер. Бокарево, д. 4
(в ОРЗТП с 05.07.2011)</t>
  </si>
  <si>
    <t>ООО "Лодочная станция"</t>
  </si>
  <si>
    <t>Лодочная станция_Тверская область, Кимрской район, Приволжское с/п, дер. Кадниково, земельный участок с кадастровым номером 69:14:0203301:415
(в ОРЗТП с 05.07.2011)</t>
  </si>
  <si>
    <t>вводное устройство административного здания_Тверская область, г. Красный Холм, ул. Красноармейская, д. 73/21
(в ОРЗТП с 05.07.2011)</t>
  </si>
  <si>
    <t>ООО "Петрол-Люкс"</t>
  </si>
  <si>
    <t>Земельный учасок с кадастровым номером 69:33:0000019:0322, Тверская область, Торжокский район, Мирновское с/п, район дер. Гальково, 222 км+60 м (правая сторона) автодороги Москва - Санкт-Петербург 
(в ОРЗТП с 04.07.2011)</t>
  </si>
  <si>
    <t>ООО "Новая Орлинка"</t>
  </si>
  <si>
    <t>Хозпостройка_Адрес ориентира: Тверская область, Пеновский район, Заевское с/п, дер. Орлинка
(в ОРЗТП с 29.07.2011)</t>
  </si>
  <si>
    <t>ВЛ-6 кВ и ТП-6/0,4 кВ - 2х400 кВА для электроснабжения ресторана быстрого обслуживания "Макдоналдс"
(в ОРЗТП с 27.07.2011)</t>
  </si>
  <si>
    <t>ООО "ТверьЭнергоСервис"</t>
  </si>
  <si>
    <t>Ввводное устройство газовой котельной_Тверская область, Торжокский район, п. Славный
(в ОРЗТП с 27.07.2011)</t>
  </si>
  <si>
    <t>вводное устройство телевизионной башни цифрового радиовещания_Тверская область, г. Красный Холм в районе учхоза, с левой стороны а/д Красный Холм - Васильки (широта - 58,03'59'' , долгота 37,08'07'')
(в ОРЗТП с 27.07.2011)</t>
  </si>
  <si>
    <t>ООО "Аргамак"</t>
  </si>
  <si>
    <t>Хозяйственная постройка_Тверская область, Кимрский район, Федоровское с/п, д. Богунино. Уч. 127
(в ОРЗТП с 27.07.11)</t>
  </si>
  <si>
    <t>ООО "ЖСК "Слободка"</t>
  </si>
  <si>
    <t>Жилой социальный комплекс "Слободка"_Твесркая область, Калининскиий район, Бурашевское с/п., д. Слободка 
(в ОРЗТП с 27.07.2011)</t>
  </si>
  <si>
    <t>ООО "Завидово Плаза"</t>
  </si>
  <si>
    <t>ООО "Оршинские зори"</t>
  </si>
  <si>
    <t>Жилая застройка_г. Тверь, Пролетарский район, пос. Мамулино 
(в ОРЗТП с 11.07.2011)</t>
  </si>
  <si>
    <t>Пункт по приемке и первичной переработке сельскохозяйственных животных_Калининский район, п.Заволжский, д. 2
(в ОРЗТП с 15.06.2011)</t>
  </si>
  <si>
    <t>Индивидуальная жилая застройка, Тверская область. Калининский район, Каблуковское с/п, район д. Иенево
(в ОРЗТП с 07.06.2011)</t>
  </si>
  <si>
    <t>Автозаправочный комплекс_Тверская область, Торжокский район, Марьинское с/п, в границах колхоза "Марьино". Земенльный участок с кадастровым номером 69:33:0000022:429 (209 км автодороги М-10 Россия (правая сторона.
(в ОРЗТП с 09.06.2011)</t>
  </si>
  <si>
    <t>Автозаправочный комплекс_Тверская область, Торжокский район, Марьинское с/п, в границах колхоза "Марьино". Земенльный участок с кадастровым номером 69:33:0000022:427 (209 км автодороги М-10 Россия (левая сторона.
(в ОРЗТП с 09.06.2011)</t>
  </si>
  <si>
    <t>ООО "Унимаркет-Тверь"</t>
  </si>
  <si>
    <t>Магазин смешанной группы товаров_Тверская область, г. Торжок, ул. Мира, приблизительно в 6 м по направлению на юго-восток от жилого дома №38 (в ОРЗТП с 09.06.2011)</t>
  </si>
  <si>
    <t>Чигринов Дмитрий Александрович</t>
  </si>
  <si>
    <t>Подсобное хозяйство_почтовый адрес ориентира: Тверская область, Вышневолоцкий район, с/п Овсищенское, дер. Чеполшево (в ОРЗТП с 04.07.2011)</t>
  </si>
  <si>
    <t>Автозаправочный комплекс_Тверская область, Торжокский район, Мирновское с/п, район дер. Паники, 222 км + 800 м (левая сторона) автодороги Москво - Санкт-Петербург, земельный участок с кадастровым номером 69:33:0000019:0321_
(в ОРЗТП с 04.07.2011)</t>
  </si>
  <si>
    <t>ООО "ПоварЛюкс"</t>
  </si>
  <si>
    <t>Здание материального склада_Тверская область, Конаковский район, пос. Озерки, ул. Комсомольская, д. 15
(в ОРЗТП с 05.07.2011)</t>
  </si>
  <si>
    <t>ООО "Интек"</t>
  </si>
  <si>
    <t>Жилой комплекс с газовой котельной_Тверская область, г. Тверь, ул. Лрасина, д. 46/38_(В ОРЗТП с 16.06.2011)</t>
  </si>
  <si>
    <t>вводное устройство телебашни цифрового вещания_Тверская область, Торопецкий район, Плоскошское с/п, юго-восточная часть п. Плоскошь (в ОРЗТП с 02.06.2011)</t>
  </si>
  <si>
    <t>Торгово-административный центр, Тверская область, г. Тверь, ул. Луночарского, д. 18
(в ОРЗТП с 22.07.2011)</t>
  </si>
  <si>
    <t>Договора заключены в 2011 г.</t>
  </si>
  <si>
    <t>Алла Николаевна Жукова</t>
  </si>
  <si>
    <t>Жилая застройка, Калининский район, д. Никола</t>
  </si>
  <si>
    <t>Договор 150/40306236 заключен 01.08.2011 г.</t>
  </si>
  <si>
    <t>ОАО "Каменская бумажно-картонная фабрика"</t>
  </si>
  <si>
    <t>"Бумагоделательная машина"_Тверская область, г. Кувшиново, ул. Октябрьская, д. 5</t>
  </si>
  <si>
    <t>Договор 40380073 заключен 01.08.2011</t>
  </si>
  <si>
    <t>"Массоподготовка"_Тверская область, г. Кувшиново, ул. Октябрьская, д. 5</t>
  </si>
  <si>
    <t>Договор 40380092
заключен 01.08.2011</t>
  </si>
  <si>
    <t>40327344
(договор заключен 02.08.2011)</t>
  </si>
  <si>
    <t>Договор 40377938 заключен 02.08.2008</t>
  </si>
  <si>
    <t>Электроснабжение здания материального склада_Тверская область, Конаковский район, пос. Озерки, ул. Комсомольская, д. 15</t>
  </si>
  <si>
    <t>Договор 40380625 заключен 02.08.2011</t>
  </si>
  <si>
    <t>Договор 40366156 заключен 03.08.2011</t>
  </si>
  <si>
    <t>Договор 40386382 заключен 05.08.2011</t>
  </si>
  <si>
    <t xml:space="preserve">Жилая застройка_г. Тверь, Пролетарский район, пос. Мамулино </t>
  </si>
  <si>
    <t>40244803
(договор заключен 09.08.2011)</t>
  </si>
  <si>
    <t>40381005
(договор заключен 10.08.2011)</t>
  </si>
  <si>
    <t>40349956
(договор заключен 12.08.2011)</t>
  </si>
  <si>
    <t>40387130
(договор заключен 15.08.2011)</t>
  </si>
  <si>
    <t>40390107
(договор заключен 16.08.2011)</t>
  </si>
  <si>
    <t>40347148
(договор заключен 25.08.2011)</t>
  </si>
  <si>
    <t>Зерносклад_Тверская область, Рамешковский район, село Волосково_в ОРЗТП с 25.08.2011</t>
  </si>
  <si>
    <t>Администрация муниципального образования "Михайловское сельское поселение" Калининского района Тверской области</t>
  </si>
  <si>
    <t>ЛЭП-0,4 кВ для электроснабжения здания котельной_Тверская область, Калининский район, Михайловское с/п, с. Михайловское</t>
  </si>
  <si>
    <t>Управление министерства внутренних дел Российской Федерации по Тверской области</t>
  </si>
  <si>
    <t>Муниципальное унитарное межрайонное предприятие электрических сетей "Тверьгорэлектро"</t>
  </si>
  <si>
    <t>пешеходный переход Департамента архитектуры и строительства Администрации города Твери, расположенный по адресу: Тверская область, г. Тверь, ул. Коминтерна - пр-кт. Чайковского (в ОРЗТП с 25.08.2011)</t>
  </si>
  <si>
    <t>Торгово-офисный комплекс ОАО фирма ОРТ "Универсал", расположенный по адресу: Тверская область, г. Тверь, ул. Софьи Перовской, д. 6
(в ОРЗТП с 25.08.2011)</t>
  </si>
  <si>
    <t>1/2 часть здания цеха ООО "Твертехногрейд" расположенного по адресу: Тверская область, г. Тверь, Промышленный проезд, д. 2 а
(в ОРЗТП с 25.08.2011)</t>
  </si>
  <si>
    <t>Встроено-пристроенное 2-х этажное с подвалом здание магазина ООО "Корвет"_расположенное по адресу: Тверская область, г. Тверь, б-р Ногина, д.7
(в ОРЗТП с 25.08.2011)</t>
  </si>
  <si>
    <t>Здание выставочного зала с магазином и административными помещениями Бондаренко Е.В. И Захарова С.В., расположенного по адресу: Тверская область, г. Тверь, ул. Веры Бонч-Бруевич, д. 16
(в ОРЗТП с 19.08.2011)</t>
  </si>
  <si>
    <t>1/2 часть здания цеха ЗАО "ДиалогЦентр" расположенного по адресу: Тверская область, г. Тверь, Промышленный проезд, д. 2 а.</t>
  </si>
  <si>
    <t>12-этажный двухсекционный жилой дом ОАО "СПК Мосэнергострой" расположенный по адресу: Местоположение установлено относительно ориентира, расположенного за пределами участка. Риентир жилой дом. Участок находится примернов 4 м. от ориентира по направлению на запад. Почтовый адрес ориентира: Тверская область, Калининский район, г. Тверь, ул. 8-я Красной Слободы, д. 4, корпус 1 
(в ОРЗТП с 25.08.2011)</t>
  </si>
  <si>
    <t>ООО "ВитОМЭК"</t>
  </si>
  <si>
    <t>ВЛ-10 кВ и ТП-10/0,4 кВ для электроснабжения здания семяочистительного завода_Тверская область, г. Лихославль, ул. Северная, д. 5
(в ОРЗТП с 15.08.2011)</t>
  </si>
  <si>
    <t>Государственное образовательное учреждение начального профессионального образования "Профессиональный лицей № 20"</t>
  </si>
  <si>
    <t>Вводное устройство спортивного комплекса с многофункциональным залом в г. Белый_Тверская область, г. Белый, ул. Кирова, д. 40 
(в ОРЗТП с 15.08.2011)</t>
  </si>
  <si>
    <t>ООО "Сокол"</t>
  </si>
  <si>
    <t>Коттеджный поселок_Тверская область, Калязинский район, Алферовское с.п., в районе д. Заручье
(в ОРЗТП с 19.08.2011)</t>
  </si>
  <si>
    <t>ЛЭП-0,4 кВ для жилого социального комплекса_Тверская область, Калининский район, Бурашевское с/п, д. Слободка
(в ОРЗТП с 27.07.2011)</t>
  </si>
  <si>
    <t>ООО "Газпромнефть-Центр"</t>
  </si>
  <si>
    <t>Автозаправачная станция_почтовый адрес ориентира: Тверская область, Торжокский район, с/п Будовское, дер. Большая Киселенка
(в ОРЗТП с 15.08.2011)</t>
  </si>
  <si>
    <t>ОАО "Агрофирма Дмитрова Гора"</t>
  </si>
  <si>
    <t>ЛЭП-0,4 кВ для электроснабжения площадки №2, №3 доращивания и откорма_Тверская область, Ржевский район, Успенское с/п, район д. Глебово
(в ОРЗТП с 04.08.2011)</t>
  </si>
  <si>
    <t>ЛЭП-0,4 кВ для электроснабжения площадки №1 племрепродуктора_Тверская область, Ржевский район, Успенское с/п, район с. Заречная
(в ОРЗТП с 04.08.2011)</t>
  </si>
  <si>
    <t>Администрация Лихославлского района Тверской области</t>
  </si>
  <si>
    <t>ЛЭП-0,4 кВ для электроснабжения спортивного центра с плавательным бассейном_почтовый адрес ориентира - Тверская область, Лихославльский район, г/пос. г. Лихославль, ул. Афанасьева, д. 2</t>
  </si>
  <si>
    <t>ЛЭП-0,4 кВ для элетроснабжения автозаправочного комплекса_адрес ориентира: Тверская область, г. Тверь, проспет Октябрьский 
(в ОРЗТП с 02.08.2011)</t>
  </si>
  <si>
    <t>Денисова Оксана Вячеславовна</t>
  </si>
  <si>
    <t>Вводное устройство жилого дома, Тверская область, Калязинский район, Алферовское с.п., дер. Петрушино
(в ОРЗТП с 02.08.2011)</t>
  </si>
  <si>
    <t>Электроустановки объекта "Массоподготовка"_Тверская область, г. Кувшиново, ул. Октябрьская, д. 5
(в ОРЗТП с 08.08.2011)</t>
  </si>
  <si>
    <t>ООО "Прогресс"</t>
  </si>
  <si>
    <t>Здание магазина промышленных товаров_Тверская область, г. Торжок, ул. Дзержинского, примерно в 9 м по направлению на север от дома №30
(в ОРЗТП с 02.08.2011)</t>
  </si>
  <si>
    <t>ООО "Тверьэнергогаз"</t>
  </si>
  <si>
    <t>Федеральное бюджетное учреждение "Исправительная колония №10 Управления Федеральной службы исполнния наказаний России по Тверской области"</t>
  </si>
  <si>
    <t>исправительная колония_Тверская область, Калининский район, п. Металлистов
(в ОРЗТП с 08.08.2011)</t>
  </si>
  <si>
    <t>40392648
(договор
заключен
16.08.2011)</t>
  </si>
  <si>
    <t>40380052
(договор заключен 30.08.2011)</t>
  </si>
  <si>
    <t>40388176
(договор заключен 29.08.2011)</t>
  </si>
  <si>
    <t>40342816
(договор заключен 31.08.2011)</t>
  </si>
  <si>
    <t>40342229
(договор заключен 02.09.2011)</t>
  </si>
  <si>
    <t>40392588
(договор заключен 05.09.2011)</t>
  </si>
  <si>
    <t>40354049
(договор заключен 05.09.2011)</t>
  </si>
  <si>
    <t>40354016
(договор заключен 05.09.2011)</t>
  </si>
  <si>
    <t>40390902
(договор заключен 05.09.2011)</t>
  </si>
  <si>
    <t>40288898
(договор
заключен
06.09.2011)</t>
  </si>
  <si>
    <t>40363838
(договор заключен 07.09.2011)</t>
  </si>
  <si>
    <t>40330588
(договор заключен 09.09.2011)</t>
  </si>
  <si>
    <t>40400530
(договор заключен 09.09.2011)</t>
  </si>
  <si>
    <t>40409848
(договор заключен 25.08.2011)</t>
  </si>
  <si>
    <t xml:space="preserve">40120712
(договор заключен 13.09.2011) </t>
  </si>
  <si>
    <t xml:space="preserve">40291946
(договор заключен 14.09.2011) </t>
  </si>
  <si>
    <t>40359051
(договор заключен 15.09.2011)</t>
  </si>
  <si>
    <t>40414319
(договор заключен 20.09.2011 г.)</t>
  </si>
  <si>
    <t>ЛЭП-0,4 кВ для электроснабжения свинокомплекса_Тверская область, Ржевский район, Успенское с/п, район д. Глебово (в ОРЗТП с 16.09.2011)</t>
  </si>
  <si>
    <t>ЛЭП-0,4 кВ для электроснабжения площадки №2 и №3 доращивания и откорма_Тверская область, Ржевский район, Успенское с/п, район д. Глебово (в ОРЗТП с 16.09.2011)</t>
  </si>
  <si>
    <t>ООО "ВИСТА"</t>
  </si>
  <si>
    <t>ВЛ-10 кВ и ТП-10/0,4 кВ - 25 кВА для электроснабжения автозаправочной станции, почтовый адрес ориентира : Тверская область, Оленинский район, Мостовское с/п, дер. Луни. Земельный участок с кадастровым номером 69:23:0000016:102
(в ОРЗТП с 16.09.2011)</t>
  </si>
  <si>
    <t>ЛЭП-0,4 кВ для электроснабжения комбикормого завода_Тверская область, Ржевский район, Успенское с/п, район д. Глебово (в ОРЗТП с 16.09.2011)</t>
  </si>
  <si>
    <t>ООО "Коралл"</t>
  </si>
  <si>
    <t>ВЛ-10 кВ и ТП-10/0,4 кВ для электроснабжения стройплощадки свинокомплекса_Тверская область, Бежецкий район, Шишковское с.п., д. Викторово
(в ОРЗТП с 16.09.2011)</t>
  </si>
  <si>
    <t>ООО "Мастер - Ресурс"</t>
  </si>
  <si>
    <t>ЛЭП-10 кВ и ТП-10/0,4 кВ для электроснабжения карьера глинистого сырья, Тверская область, Ржевский район, с/п "Хорошево", дер. Соколово, дер. Малахово
(в ОРЗТП с 16.09.2011)</t>
  </si>
  <si>
    <t>усадьба Верхняя Волга, Зубцовский район, д. Юркино
(в ОРЗТП с 13.09.2011)</t>
  </si>
  <si>
    <t>Электроустановки Администрации МО "Бурашевское сельское поселение" Калининского района Тверской области для электроснабжения объекта "Жилой комплекс в с. Бурашево"</t>
  </si>
  <si>
    <t>здание магазина смешанной группы товаров_Тверская область, г. Торжок, ул. Старицкая, д. 98, корпус 1, пом. 88 
(в ОРЗТП с 02.09.2011)</t>
  </si>
  <si>
    <t>ОАО "СПК Мосэнергострой"</t>
  </si>
  <si>
    <t>ТП-10/0,4 кВ - 2х630 кВА "Кольцевая 80-82" для электроснабжения жилого дома №3 с помещениями общественного назначения_Тверская область, г. Тверь, ул. Хрустальная, д. 37 а 
(в ОРЗТП с 02.09.2011)</t>
  </si>
  <si>
    <t>ООО "Газпромнефть - Центр"</t>
  </si>
  <si>
    <t>ЛЭП-0,4 кВ для электроснабжения автозаправочного комплекса, почтовый адрес ориентира: Тверская область, Калининский район, Никулинсское с/п, дер. Кривцово
(в ОРЗТП с 02.09.2011)</t>
  </si>
  <si>
    <t>ВЛ-10 кВ и ТП-10/0,4 кВ - 25 кВА для электроснабжения автозаправочной станции, почтовый адрес ориентира : Тверская область, Оленинский район, Глазовское с/п, дер. Бобровка. Земельный участок с кадастровым номером 69:23:0000017:263
(в ОРЗТП с 16.09.2011)</t>
  </si>
  <si>
    <t>ВЛ-10 кВ и ТП-10/0,4 кВ-25 кВА для электроснабжения автозаправочной станции, Почтовый адрес ориентира: Тверская область, Зубцовский район, Княжьегорское с/п, вблизи дер. Кузьминка (в ОРЗТП с 16.09.2011)</t>
  </si>
  <si>
    <t>Вводное устройство телевизионной башни цифрового радиовещания_местоположение установлено относительно ориентира, расположенного за пределами участка. Участок находится примерно в 180 м от ориентира по направлению на запад. Почтовый адрес ориентира: Тверская область, Рамешковский район, пос. Рамешки, ул. Советская, д. 2 (в ДО с 15.08.2011)</t>
  </si>
  <si>
    <t>ООО "ПромАгроБизнес" (Максатихинский комбикормовый завод)</t>
  </si>
  <si>
    <t>!Ранее присоединение от ПС 110/35/10 кВ ДВП! ВЛ-10 кВ для резервного электроснабжения ТП-10/0,4 кВ-2х630 кВА №1_Тверская область, Максатихинский район, п. Максатиха, ул. 2-ая Железнодорожная, д. 1-а
(в ОРЗТП с 26.09.2011)</t>
  </si>
  <si>
    <t>Федеральнон казенное учреждение "Управление автомобильной магистрали Москва - Санкт-Петербург Федерального дорожного агенства" (ФКУ Упрдор "Россия")</t>
  </si>
  <si>
    <t>ВЛ-10 кВ и ТП-10/0,4 кВ для электроснабжения линии наружного освещения на автомобильной дороге М-10 "Россия" км 120+150 - км 127+150 (Конаковский район)_Тверская область, Конаковский район, автомобильая дорога М-10 "Россия"-от Москвы через Тверь, Новгород до Санкт-Петербурга, на участке км 120+150 - км 127+150
(в ОРЗТП с 26.09.2011)</t>
  </si>
  <si>
    <t>ВЛ-10 кВ и ТП-10/0,4 кВ-25 кВА для электроснабжения автозаправочной станции, Почтовый адрес ориентира: Тверская область, Зубцовский район, Княжьегорское с/п, в районе дер. Буево
(в ОРЗТП с 27.09.2011)</t>
  </si>
  <si>
    <t xml:space="preserve">Бурашевский детский сад на 90 мест_Тверская область, Калининский район, Бурашевское с/п, с. Бурашево
(в ОРЗТП с 26.09.2011) </t>
  </si>
  <si>
    <t>ВЛ-6 кВ и ТП-6/0,4 кВ для электроснабжения линии наружного освещения на автомобильной дороге М-10 "Россия" км 129+150 - км 130+400 (Конаковский район)_Тверская область, Конаковский район, автомобильная дорога М-10 "Россия" - от Москвы через Тверь, Новгород до Санкт-Петербурга, на участке км 129+150 - км 130+400
(в ОРЗТП с 26.09.2011)</t>
  </si>
  <si>
    <t>ВЛ-6 кВ и ТП-6/0,4 кВ для электроснабжения линии наружного освещения на участке автомобильной дороги М-10 "Россия" км 137+100 - км 138+560_Тверская область, Конаковский район, а/д М-10 "Россия" - от Москвы через Тверь, Новгород до Санкт-Петербурга, на участке км 137+100 - км 138+560
(в ОРЗТП с 09.2011)</t>
  </si>
  <si>
    <t>Федеральное казенное учреждение "Управление автомобильной магистрали Москва - Санкт-Петербург Федерального дорожного агенства" (ФКУ Упрдор "Россия")</t>
  </si>
  <si>
    <t>Оганнисян Сос Меружанович</t>
  </si>
  <si>
    <t>ВЛ-10 кВ и ТП-10/0,4 кВ для электроснабжения линии наружного освещения на участке автомобильной дороги М-10 "Россия" км 193+200 - км 209+600_Тверская область, Калининский район, а/д М-10 "Россия" - от Москвы через Тверь, Новгород до Санкт-Петербурга, на участке км 193+200 - км 209+600
(в ОРЗТП с 09.2011)</t>
  </si>
  <si>
    <t>ВЛ-6 кВ и ТП-6/0,4 кВ - 63 кВА для электроснабжения линия наружного освещения на участке автомобильной дороги М-10 "Россия" км 139+690 - км 142+200_Тверская область, Конаковский район, а/д М-10 "Россия" - от Москвы через Тверь, Новгород до Санкт-Петербурга,</t>
  </si>
  <si>
    <t>ВЛ-6 кВ и ТП-6/0,4 кВ для электроснабжения линии наружного освещения на автомобильной дороге М-10 "Россия" км 132+800 - км 135+900 (Конаковский район)_Тверская область, Конаковский район, автомобильная дорога М-10 "Россия" - от Москвы через Тверь, Новгород до Санкт-Петербурга, на участке км 132+800 - км 135+900
(в ОРЗТП с 09.2011)</t>
  </si>
  <si>
    <t>Исмаилов Намик Яшар оглы</t>
  </si>
  <si>
    <t>Вводное устройство административно-хозяйственного здания с комплексом автообслуживания_почтовый адрес ориентира: Тверская область, Калининский район, г. Тверь, ул. Марины Расковой
(в ОРЗТП с 25.08.2011)</t>
  </si>
  <si>
    <t>!2 категория! Гостинница "Radisson Завидово", Тверская область, Конаковский район, д. Вараксино
(в ОРЗТП с 08.08.2011)</t>
  </si>
  <si>
    <t xml:space="preserve">ПС 35/10 кВ Киверичи </t>
  </si>
  <si>
    <t>Филиал "МЦ АУВД" ФГУП "Госкорпорация по ОрВД"</t>
  </si>
  <si>
    <t>ВЛ-10 кВ и ТП-10/0.4 кВ для электроснабжения объекта ОПРС "Белый"_Адрес ориентира: Тверская область, Бельский район, г. Белый. Ул. Октябрьская
(в ОРЗТП с 20.10.11)</t>
  </si>
  <si>
    <t>ЛЭП-10 кВ и ТП-10/0,4 кВ для электроснабжения водозаборного узла со станцией очистки воды_Тверская область, Лихославльский район, юго-западная часть г. Лихославль_в ОРЗТП с 14.10.11</t>
  </si>
  <si>
    <t>Христенко Александр Алексеевич</t>
  </si>
  <si>
    <t>ВЛ-10 кВ и ТП-10/0,4 кВ для электроснабжения производственной базы_местоположение установлено относительно ориентира, расположенного за пределами участка. Участок находится примерно в 2000 м. от ориентира по направлению на север. Почтовый адрес ориентира: Тверская область, Рамешковский район, с/п Некрасово, д. Заручье</t>
  </si>
  <si>
    <t>ФКУ Упрдор "Россия"</t>
  </si>
  <si>
    <t>ВЛ-6 кВ и ТП-6/0,4 кВ для электроснабжения линии наружного освещения на автомобильной дороге М-10 "Россия" км 142+800-км 144+000 (Конаковский район)_Адрес: Тверская область, Конаковский район, автомобильная дорога М-10 "Россия" - от Москвы через Тверь. Новгород до Санкт-Петербурга, на участке км 142+800 - км 144+000_в ОРЗТП с 26.09.11</t>
  </si>
  <si>
    <t>ВЛ-6 кВ и ТП-6/0,4 кВ для электроснабжения линии наружного освещения на автомобильной дороге М-10 "Россия" км 145+550-км 150+500 (Конаковский район)_Адрес: Тверская область, Конаковский район, автомобильная дорога М-10 "Россия" - от Москвы через Тверь_В ОРЗТП с 26.09.11</t>
  </si>
  <si>
    <t>ВЛ-10 кВ и ТП-10/0,4 кВ - 40 кВА "АЗС" для электроснабжения автозаправочного комплекса №14_Тверская область, Калининский район, Медновский с/о, район дер. Букарево, земельный участок с кадастровым номером 69:10:00:00:08:0173_в ОРЗТП с 07.10.2011</t>
  </si>
  <si>
    <t>ЛЭП-0,4 кВ для электроснабжения объекта подсобного сельского хозяйства_Почтовый адрес ориентира: Тверская область, Калининский район, Бурашевское с/п, дер. Лукъяново
(в ОРЗТП с 07.10.2011)</t>
  </si>
  <si>
    <t>40312394
(договор заключен 14.09.2011)</t>
  </si>
  <si>
    <t>40412867
(договор заключен 28.09.2011)</t>
  </si>
  <si>
    <t>40401351
(договор заключен 29.09.2011)</t>
  </si>
  <si>
    <t>40306240
(договор заключен 28.09.2011)</t>
  </si>
  <si>
    <t>40422519
(договор заключен 05.10.2011)</t>
  </si>
  <si>
    <t>40423318
(договор заключен 05.10.2011)</t>
  </si>
  <si>
    <t>40412896
(в ОРЗТП с 05.10.2011)</t>
  </si>
  <si>
    <t>40412899
(договор заключен 05.10.2011 г.)</t>
  </si>
  <si>
    <t>40412887
(договор заключен 05.10.2011 г.)</t>
  </si>
  <si>
    <t>40412913
(договор заключен 06.10.2011)</t>
  </si>
  <si>
    <t>40393742
(договор заключен 18.10.2011)</t>
  </si>
  <si>
    <t>40393844
(договор заключен 18.10.2011)</t>
  </si>
  <si>
    <t>40426105
(договор заключен 19.10.2011)</t>
  </si>
  <si>
    <t>40426132
(договор заключен 19.10.2011)</t>
  </si>
  <si>
    <t>"Хладобойня"_Тверская область, Конаковский район, Дмитровогорское с/п, район с. Дмитрова Гора</t>
  </si>
  <si>
    <t>40431069
(договор заключен 19.10.2011)</t>
  </si>
  <si>
    <t>40439052
(договор заключен 25.10.2011)</t>
  </si>
  <si>
    <t>ВЛ-10 кВ и ТП-10/0,4 кВ-100 кВА "Мост" для электроснабжения линии наружного освещения на автомобильной дороге М-10 "Россия" км 120+150 - км 127+150 (Конаковский район)_в ОРЗТП с 25.10.2011</t>
  </si>
  <si>
    <t>Производственная база_две ВЛ-10 кВ и ТП-10/0,4 кВ 2х1000 кВА для электроснабжения производственной базы_Тверская область, Калининсткий район, г/п пос. Суховерково, пгт. Суховерково (в ОРЗТП с 25.10.2011)</t>
  </si>
  <si>
    <t xml:space="preserve">!2 категория! автокомплекс, Калининский район, Бурашевское с/п, район д. Неготино. </t>
  </si>
  <si>
    <t>СНТ "Металлист"</t>
  </si>
  <si>
    <t>ЛЭП-6 кВ фид. "РП-24", административное здание (Музыкальное педагогическое училище) Управления Министерства Юстиции Российской Федерации по тверско й области, расположенного по адресу Тверская обл., г. Тверь, ул. Крылова, д.18</t>
  </si>
  <si>
    <t>ОО "Лидер"</t>
  </si>
  <si>
    <t>СНТ "Заря"</t>
  </si>
  <si>
    <t>ВЛ-6 кВ и распределительная сеть 6-0.4 кВ для эс СНТ_Тверская обл., Конаковский район, пгт. Новозавидовский. СНТ "Заря"_в ОРЗТП с 20.10.2011 г.</t>
  </si>
  <si>
    <t>СНТ "Виктория"</t>
  </si>
  <si>
    <t>ВЛ-6 кВ и распределительная сеть 6-0.4 кВ для электроснабжения садоводческого некоммерческого товарищества_Тверская область, Конаковский район, п.г.т. Редкино
(в ОРЗТП с 20.10.2011)</t>
  </si>
  <si>
    <t>"Хладобойна"_Конаковский район, Дмитровогорское с/п, район с. Дмитрова Гора_в ОРЗТП с 21.10.11</t>
  </si>
  <si>
    <t xml:space="preserve">ПС  35/3 кВ №6 </t>
  </si>
  <si>
    <t>ЛЭП-0,4 кВ для электроснабжения продовольственного магазина_Тверская область, Конаковский район, пгт. Новозавидовский, ул. Моховая, д.6_в ОРЗТП с 01.11.2011</t>
  </si>
  <si>
    <t>Отдел жилищно-коммунального хозяйства, транспорта и связи Администрация Калязинского района Тверской области</t>
  </si>
  <si>
    <t>ЛЭП-0,4 кВ для электроснабжения блочно-модульной газовой котельной_Тверская область, Калязинский район, Семендяевское с/п, с. Семендяево_в ОРЗТП с 01.11.11</t>
  </si>
  <si>
    <t>Муниципальное дошкольное образовательное учреждение Тысяцкий детский сад №5</t>
  </si>
  <si>
    <t>ЛЭП-0,4 кВ для электроснабжения детского сада_Тверская область, Кувшиновксий район, с. Тысяцкое_в ОРЗТП с 09.11.11</t>
  </si>
  <si>
    <t>ЛЭП-0,4 кВ для электроснабжения автозаправочного комплекса_Почтовый адрес ориентира, расположенного в границах участка: Тверская область, Торжокский район, Марьинское с/п, в границах колхоза "Марьино" (земельный участок с кадастровым номером 69:33:0000022:429)_в ОРЗТП с 17.11.11</t>
  </si>
  <si>
    <t>ЛЭП-0,4 кВ для электроснабжения автозаправочного комплекса_Почтовый адрес ориентира, расположенного в границах участка: Тверская область, Торжокский район, Марьинское с/п, в границах колхоза "Марьино" (земельный участок с кадастровым номером 69:33:0000022:427)_в ОРЗТП с 17.11.11</t>
  </si>
  <si>
    <t>ООО "Истра-Сол"</t>
  </si>
  <si>
    <t>ЛЭП-0,4 кВ для электроснабжения свинофермы на 6000 постановочных свиномест_Почтовый адрес ориентира: Тверская область, Рамешковский район, с/п Кушалино, с. Кушалино_в ОРЗТП с 23.11.11.</t>
  </si>
  <si>
    <t>СНТ_Тверская область, Калининский район, Красногорское с/п, район дер. Некрасово 
(в ОРЗТП с 09.11.2011)</t>
  </si>
  <si>
    <t>ЛЭП-10 кВ и ТП-10/0,4 кВ - 250 кВА для электроснабжения жилой застройки_Тверская область, Калязинский район, Алферовское с/п, дер. Авсергово_в ОРЗТП с 17.11.11</t>
  </si>
  <si>
    <t>ЛЭП-0,4 кВ для электроснабжения жилой застройки_Тверская область, г. Тверь, Пролетарский район, пос. Мамулино_в ОРЗТП с 09.11.2011</t>
  </si>
  <si>
    <t>СНТ "Кимрячка"</t>
  </si>
  <si>
    <t>ЛЭП-0,4 кВ для электроснабжения СНТ_Тверская область, Кимрский район, пос. Центральный_в ОРЗТП с 01.01.2011</t>
  </si>
  <si>
    <t>ООО "Полигон"</t>
  </si>
  <si>
    <t>ЛЭП-0,4 кВ для электроснабжения полигона твердых бытовых отходов_почтовый адрес ориентира: Тверская область, Калининский район, Славновское с/п, в рйоне д. Славное_в ОРЗТП с 17.11.11</t>
  </si>
  <si>
    <t>ЛЭП-0,4 кВ для электроснабжения индустриального парака "Раслово"_Почтовый адрес ориентира: Тверская область, Калининский район, Никулинское с/п, дер. Лебедево (в ОРЗТП с 30.11.2011)</t>
  </si>
  <si>
    <t>Смирнов Владимир Иванович</t>
  </si>
  <si>
    <t>ЛЭП-0,4 кВ для электроснабжения рыбного хозяйства_Почтовый адрес ориентира: Тверская область, Калининский район,  Каблуковское с/п, в районе н.п. "Савватьевское лесничество"_в ОРЗТП с 17.11.11</t>
  </si>
  <si>
    <t>ООО "ВЕМАС - агро"</t>
  </si>
  <si>
    <t>"Животноводческая ферма до 1200 фуражных коров со шлейфом"_Тверская область, Калининский район, Славновское с/п, район дер. Славное_в ОРЗТП с 29.11.11</t>
  </si>
  <si>
    <t>Департамент архитектуры и строительства администрации города Твери</t>
  </si>
  <si>
    <t>ЛЭП-6 кВ и ТП-6/0,4 кВ для электроснабжения объекта "Строительство инженерной инфраструктуры в п. Никифоровское под комплексную жилищную застройку"_Тверская область, г. Тверь, район ВНИИСВ, п. Никифоровское
(в ОРЗТП с 01.11.2011)</t>
  </si>
  <si>
    <t>ООО "ВИП Гласс"</t>
  </si>
  <si>
    <t>Стеклозавод по производству парфюмерного стекла_Тверская область, Спировский район, Пеньковское с.п., дер. Пеньково, ул. Центральная, д.77 Б_в ОРЗТП с 09.11.11</t>
  </si>
  <si>
    <t>ВЛ-10 кВ и ТП-10/0,4 кВ для электроснабжения линии наружного освещения на участке автомобильной дороги М-10 "Россия" км 193+200 - км 209+600_Тверская область, Калининский район</t>
  </si>
  <si>
    <t>40429903
(договор заключен 14.10.2011)</t>
  </si>
  <si>
    <t>40430260
(договор загружен 14.10.2011)</t>
  </si>
  <si>
    <t>40429944
(договор заключен 14.10.2011)</t>
  </si>
  <si>
    <t>40429465
(договор заключен
14.10.2011)</t>
  </si>
  <si>
    <t>40430358
(договор заключен 14.10.2011)</t>
  </si>
  <si>
    <t>40429658
(договор заключен 14.10.2011)</t>
  </si>
  <si>
    <t>40430392
(договор заключен 14.11.2011)</t>
  </si>
  <si>
    <t>40432583(договор заключен 14.10.2011)</t>
  </si>
  <si>
    <t>40429848
(договор заключен 14.10.2011)</t>
  </si>
  <si>
    <t>40426051
(договор заключен 10.11.2011)</t>
  </si>
  <si>
    <t>40441088
(договор заключен 03.11.2011)</t>
  </si>
  <si>
    <t>40454799
(договор заключен 17.11.2011)</t>
  </si>
  <si>
    <t>40447174
(договор заключен 25.11.2011)</t>
  </si>
  <si>
    <t>40443080
(договор заключен 
23.11.2011)</t>
  </si>
  <si>
    <t>40378118
(договор заключен 30.11.11)</t>
  </si>
  <si>
    <t>ИП Фролов Виктор Иванович</t>
  </si>
  <si>
    <t>Тверская область, Калязинский район, с. Нерли, ул. Больничный участок, д. 4 а_ЛЭП-0,4 кВ для электроснабжения жилого дома_в ОРЗТП с 23.12.11</t>
  </si>
  <si>
    <t>ООО "ТоргЦентр"</t>
  </si>
  <si>
    <t>ЛЭП-0,4 кВ для электроснабжения зданий придорожного сервиса_Тверская область, Калининский район, Никулинское с/п, в районе дер. Кривцово_в ОРЗТП с 23.12.11</t>
  </si>
  <si>
    <t>ООО "Зеленый остров"</t>
  </si>
  <si>
    <t>Губашев Ваха Курешевич</t>
  </si>
  <si>
    <t>ЛЭП-0,4 кВ для электроснабжения ленточной пилорамы_Тверская область, Спировский район, Пеньковское с/п, п. Новое Ободово_в ОРЗТП с 07.12.2011</t>
  </si>
  <si>
    <t>СТ "Надежда"</t>
  </si>
  <si>
    <t>ВЛ-6 кВ и распределительная сеть 6-0,4 кВ для электроснабжения садоводческого некоммерческого товарищества_Тверская область, Калининский район, Савватьевский с/о, населенный пункт "Савватьевское лесничество", СНТ "Металлист"_в ОРЗТП с 19.12.11</t>
  </si>
  <si>
    <t>Архипова Тамара Ивановна</t>
  </si>
  <si>
    <t>ЛЭП-0,4 кВ для электроснабжения жилого дома и хозяйственных построек_Тверская область, Осташковской район, Ботовское с/п, район озера Кривское_в ОРЗТП с 13.12.11</t>
  </si>
  <si>
    <t>ООО "КАЗАК"</t>
  </si>
  <si>
    <t>ЛЭП-0,4 кВ для электроснабжения квартальной многоэтажной жилой комплексной застройки II квартала по ул. Луначарского в г. Тверь_почтовый адрес ориентира: Тверская область, г. Тверь, ул. Луначарского, д. 34_в ОРЗТП с 19.12.11</t>
  </si>
  <si>
    <t>Две ЛЭП-10 кВ для электроснабжения РП-10 кВ_Тверская область, г. Тверь, пос. Элеватор, 1-й переулок, д. 6_в ОРЗТП с 13.12.11</t>
  </si>
  <si>
    <t>ОАО "ВЕМАС - агро"</t>
  </si>
  <si>
    <t>ЛЭП-10 кВ и ТП-10/0,4 кВ для электроснабжения строительных механизмов (временное электроснабжение на период строительства объекта "Животноводческая ферма до 1200 фуражных коров со шлейфом")_Тверская область, Калининский район, Славновское с/п, район дер. Славное_в ОРЗТП с 07.12.11</t>
  </si>
  <si>
    <t>Соболев Алексей Викторович</t>
  </si>
  <si>
    <t>ЛЭП-0,4 кВ для электроснабжения объекта промышленности_Тверская область, Калининский район, Никулинское с/п, в районе дер. Кривцово_в ОРЗТП с 07.12.11</t>
  </si>
  <si>
    <t>40451894 (договор заключен 30.11.11)</t>
  </si>
  <si>
    <t>40466218
(договор заключен 05.12.2011)</t>
  </si>
  <si>
    <t>40447857
(договор заключен 20.12.2011)</t>
  </si>
  <si>
    <t>40455937
(договор заключен 27.12.2011)</t>
  </si>
  <si>
    <t>ЗАО "Спецстройтрест ЗАТО-центр"</t>
  </si>
  <si>
    <t>ЛЭП-0,4 кВ для электроснабжения многоквартирного жилого дома с помещениями общественного назначения по ул. Металлистов в г. Торжке_Тверская область, г. Торжок, ул. Металлистов, д. 1-а (земельный участок с кадастровым номером 69:47:0100303:13)_в ОРЗТП с 19.01.2012</t>
  </si>
  <si>
    <t>ООО Управляющая компания "Энергосервис"</t>
  </si>
  <si>
    <t>ООО "Микро ДСК"</t>
  </si>
  <si>
    <t>ЛЭП-0,4 кВ для электроснабжения обьекта "Многоквартирные жилые дома со встроенными помещениями общественного назначения по улице Псковская в г. Твери_в ОРЗТП с 19.01.12</t>
  </si>
  <si>
    <t>ВЛ-10 кВ и ТП-10/0,4 кВ для электроснабжения 2-х этажного 27 квартирного жилого дома_Тверская область, Калининский район, Бурашевское с/п, д. Салыгино (в ОРЗТП с 19.01.12)</t>
  </si>
  <si>
    <t>ОАО "РЖД"</t>
  </si>
  <si>
    <t>ЛЭП-0,4 кВ для электроснабжения многоквартирных жилых домов_Тверская область, г. Торжок, ул. Ржевская, примерно в 9 м. по направлению на запад от дома №73. Земельный участок с кадастровым номером 69:47:0160121:26_в ОРЗТП с 19.01.2012</t>
  </si>
  <si>
    <t>ООО "Завидовский текстиль"</t>
  </si>
  <si>
    <t>РУ-10 кВ_Тверская область, Конаковский район, пгт Козлово, ул. Октябрьская, д. 41_в ОРЗТП с 30.12.11</t>
  </si>
  <si>
    <t>40483889
(договор заключен 23.12.2011)</t>
  </si>
  <si>
    <t>40475657
(договор заключен 12.01.2012)</t>
  </si>
  <si>
    <t>2012 г.</t>
  </si>
  <si>
    <t>2012 г</t>
  </si>
  <si>
    <t xml:space="preserve">Договор ?
Заключен 20.01.2012 </t>
  </si>
  <si>
    <t>40478366
(договор заключен 20.01.2012)</t>
  </si>
  <si>
    <t>Заключенные договора по ТУ до 15 кВт</t>
  </si>
  <si>
    <t>Жилые дома</t>
  </si>
  <si>
    <t>Выполненные и заключенные договора по ТУ до 15 кВ</t>
  </si>
  <si>
    <t xml:space="preserve">ПС 110/35/10 кВ Зубцов </t>
  </si>
  <si>
    <t>ПС 35/6 кВ Карачарово</t>
  </si>
  <si>
    <t>РЗА</t>
  </si>
  <si>
    <t>Ограничивающий фактор при отключении 2-й с.ш.35кВ допустимая нагрузка на Т-1 составит 10,5МВА,т.к.Т-2 включается на параллельную работу только с Т-3.</t>
  </si>
  <si>
    <t>ТТ</t>
  </si>
  <si>
    <t>Ошиновка, шины</t>
  </si>
  <si>
    <t>ТТ, РЗА</t>
  </si>
  <si>
    <t xml:space="preserve">РЗА </t>
  </si>
  <si>
    <t>Ошиновка</t>
  </si>
  <si>
    <t>Примечание с указанием ограничивающего фактора</t>
  </si>
  <si>
    <t>tgφ</t>
  </si>
  <si>
    <t>Приборы, по которым выполнялась оценка</t>
  </si>
  <si>
    <t>нет приб.</t>
  </si>
  <si>
    <t>счетч.</t>
  </si>
  <si>
    <t>A,V</t>
  </si>
  <si>
    <t>A,V,ТИ</t>
  </si>
  <si>
    <t>40488265
(договор заключен 30.01.2012)</t>
  </si>
  <si>
    <t>40492022
(договор заключен 31.01.2012)</t>
  </si>
  <si>
    <t>40466272
(договор заключен 02.02.2012)</t>
  </si>
  <si>
    <t>МУ "Администрация Клоковского сельского поселения Торжокского района Тверской области"</t>
  </si>
  <si>
    <t>ЛЭП-0,4 кВ для электроснабжения 12-ти квартирного жилого дома _Тверская область, Торжокский район, Клоковское с/п, ж.д. станция Терешкино_в ОРЗТП с 22.02.2012</t>
  </si>
  <si>
    <t>ООО "Трансстроймеханизация"</t>
  </si>
  <si>
    <t>ТП-10/0,4 кВ - 630 кВА для электроснабжения жилого комплекса_адрес ориентира: Тверская область, Торжокский район, Тверецкое с/п, пос. Тверецкий_в ОРЗТП ч 22.02.2012</t>
  </si>
  <si>
    <t>МУП г. Торжка "Горэнерго"</t>
  </si>
  <si>
    <t>II категория_ЛЭП-0,4 кВ для электроснабжения блочно-модульной котельной_Тверская область, Торжокский район, г. Торжок, Калининское шоссе, 33-б (земельный участок с кадастровым номером 69:47:0170304:51)_в ОРЗТП с 22.02.2012</t>
  </si>
  <si>
    <t>Детский сад на 120 мест_Тверская область, Конаковский район, Мокшинское с/п, дер. Мокшино (в ОРЗТП с 16.02.2012)</t>
  </si>
  <si>
    <t>Хромов Олег Витальевич</t>
  </si>
  <si>
    <t>Электроснабжение объекта "Жилой комплекс"_адрес ориентира: Тверская область, Калининский район, Бурашевское с/п, дер. Большое Гришкино_в ОРЗТП с 17.02.2012</t>
  </si>
  <si>
    <t>ООО "ДорХан - Селигер"</t>
  </si>
  <si>
    <t>Производственно-складской комплекс_адрес ориентира: Тверская область, г. Осташков, ул. Загородная_в ОРЗТП с 02.2012 г.</t>
  </si>
  <si>
    <t>СНТ "Огонек" Управления государственной противопожарной службы УВД</t>
  </si>
  <si>
    <t>Вновь сооружаемая распределительная сеть 6-0,4 кВ_Тверская область, Калининский район, Аввакумовское с/п,  в районе дер. Сокол_в ОРЗТП 17.02.2012</t>
  </si>
  <si>
    <t>Блочно-модульная котельная тепловой мощностью_Почтовый адрес ориентира г. Тверь, пос. ВНИИСВ Московского района, земельный участок с кадастровым номером 69:40:0200092:31
(в ОРЗТП с 17.02.2012</t>
  </si>
  <si>
    <t>Соловьев Иван Валерьевич</t>
  </si>
  <si>
    <t>ТП-6/0,4 кВ для электроснабжения производственного цеха_Тверская область, Конаковсий район, гпп. Изоплит, пос. Озерки_в ОРЗТП с 13.02.2012</t>
  </si>
  <si>
    <t>6 коттеджных домов и гостинницы на территории базы отдыха "Мстино"_Тверская область, Вышневолоцкий район, Солнечное с/п, пос. Солнечный, ул. Светлая, д. №7_в ОРЗТП с 03.02.2012</t>
  </si>
  <si>
    <t>Торгово-офисный центр ООО "Восток", расположенный по адресу: Тверская область, г. Тверь, ул. Оржоникидзе, д. 51</t>
  </si>
  <si>
    <t>ЛЭП-6 кВ и ТП-6/0,4 кВ для электроснабжения 1 очереди жилого комплекса "Зеленый остров"_Тверская область, г. Тверь, ул. Ротмистрова, д. 29 г_в ОРЗТП с 21.12.2011</t>
  </si>
  <si>
    <t>ЛЭП-6 кВ и ТП-6/0,4 кВ для электроснабжения 2 очереди жилого комплекса "Зеленый остров"_Тверская оласть, г. Тверь, ул. Ротмистрова, д. 29 г_в ОРЗТП с 21.12.2011</t>
  </si>
  <si>
    <t>Ресторанно-гостинничный комплекс Молчановой Прасковьи Александровны_Тверская область, г. Тверь, ул. Крылова, д. 16_в ОРЗТП с 27.01.2012</t>
  </si>
  <si>
    <t>ВЛ-10 кВ и ТП-10/0,4 кВ для электроснабжения объекта "Газопровод - отвод г. Ржев - г. Нелидово Тверской области" (блок-бокс станции катодной защиты 81 км с оборудованим телемеханики)_Тверская область, Западнодвинский район, Западнодвинское с/п, на северо-востоке от дер. Дорофеево (в ОРЗТП с 27.01.2012)</t>
  </si>
  <si>
    <t>ООО "Диалог"</t>
  </si>
  <si>
    <t>Малоэтажные жилые дома_Тверская область, Бологовский район, Куженкинское с/п, с. Куженкино, ул. Полевая, д. №13_в ОРЗТП с 16.02.2012</t>
  </si>
  <si>
    <t>Строительные механизмы (для строительства жилых домов)_почтовый адрес ориентира: Тверская область, г. Тверь, пр-кт Октябрьский, д. 95, корп. 5_в ОРЗТП с 13.02.2012</t>
  </si>
  <si>
    <t>ООО "Бетон Трейд"</t>
  </si>
  <si>
    <t>ВЛ-10 кВ и ТП-10/0,4 кВ для электроснабжения бетонного завода БСУ-30_адрес ориентира: Тверская область, Пеновский район, Охватское с/п, п. Соблаго_в ОРЗТП с 27.01.2012</t>
  </si>
  <si>
    <t>ООО "Строитель-плюс"</t>
  </si>
  <si>
    <t>Многоквартирный жилой комплекс_Тверская область, Конаковский район, пгт. Новозавидовский, ул. Октябрьская, д. 63</t>
  </si>
  <si>
    <t>ООО "РжевМашИнвест"</t>
  </si>
  <si>
    <t>Распределительная сеть 10/0,4 кВ и ТП 10/0,4 кВ_Тверская область, Ржевский район, с/п "Есинка" вблизи д. Домашино_в ОРЗТП с 24.01.2012</t>
  </si>
  <si>
    <t>Детский сад на 135 мест в г. Торжке, Тверская область, Торжокский район, г. Торжок, Калининское шоссе, 18-д (земельный участок с кадастровым номером 69:47:0170202:86)_в ОРЗТП с 03.02.2012</t>
  </si>
  <si>
    <t>Многоквартирный жилой дом с помещениями общественного назначения по ул. Металлистов в г. Торжке_адрес ориентира: Тверская область, г. Торжок, ул. Металлистов, д. 1-а (земельный участок с кадастровым номером 69:47:0100303:13)_в ОРЗТП с 03.02.2012</t>
  </si>
  <si>
    <t>Панкратов Юрий Анатольевич</t>
  </si>
  <si>
    <t>Жилой дом_Тверская область, Пеновский район, Рунское с/п, п. Рунский</t>
  </si>
  <si>
    <t>1</t>
  </si>
  <si>
    <t>40502823
договор заключен 01.03.2012</t>
  </si>
  <si>
    <t>40506889
(договор заключен 02.03.2012)</t>
  </si>
  <si>
    <t>40504052
(договор заключен 05.03.2012)</t>
  </si>
  <si>
    <t>40463899
(договор заключен 12.03.2012)</t>
  </si>
  <si>
    <t>40504421
(договор заключен 16.03.2012)</t>
  </si>
  <si>
    <t>Белов Александр Владимирович</t>
  </si>
  <si>
    <t>Вводное устройство жилого дома_почтовый адрес ориентира: Тверская область, Андреапольский район, Волокское с/п, урочище Покровское (земельный участок с кадастровым номером 69:01:0000012:272)</t>
  </si>
  <si>
    <t>40528263
(договор заключен 20.03.2012)</t>
  </si>
  <si>
    <t>40507653
(договор заключен 21.03.2012)</t>
  </si>
  <si>
    <t>40523947
(договор заключен 21.03.2012)</t>
  </si>
  <si>
    <t>40524063
(договор заключен 21.03.2012)</t>
  </si>
  <si>
    <t>40524050
(договор заключен 21.03.2012)</t>
  </si>
  <si>
    <t>40524031
(договор заключен 21.03.2012)</t>
  </si>
  <si>
    <t>40525803
(договор заключен 21.03.2012)</t>
  </si>
  <si>
    <t>40523569
(договор заключен 21.03.2012)</t>
  </si>
  <si>
    <t>40466274
(договор заключен 27.03.2012)</t>
  </si>
  <si>
    <t>Колхоз им. Чапаева</t>
  </si>
  <si>
    <t>ВЛ-0,4 кВ и ТП 10/0,4 кВ для электроснабжения карьера_Тверская область, Кувшиновский район, Могилевское с/п, в районе дер. Силино (земельный участок с кадастровым номером 69:17:0000008:195)</t>
  </si>
  <si>
    <t>40528558 (договор заключен 27.03.2012)</t>
  </si>
  <si>
    <t>ООО "Комбинат ЖБИ-6"</t>
  </si>
  <si>
    <t>ЛЭП-0,4 кВ для электроснабжения бетонного завода_Тверская область, Калининский район, Бурашевское с/п, дер. Садыково (земельный участок с кадастровым номером 69:10:0000025:641)_в ОРЗТП с 21.03.2012</t>
  </si>
  <si>
    <t>Тверской район гидротехнических сооружений - филиал ФГУП "Канал имени Москвы"</t>
  </si>
  <si>
    <t>ТП 10/0,4 кВ для электроснабжения отстойного-ремонтного пункта "Малые перемерки"_Тверская область, г. Тверь, ул. Малые перемерки, д. 15 А_в ОРЗТП с 21.03.2012</t>
  </si>
  <si>
    <t>ЛЭП-0,4 кВ для электроснабжения многофункционального автозаправочного комплекса_Тверская область, г. Тверь, ш. Московское (земельный участок с кадастровым номером 69:40:0200016:120)_В орзтп С 30.03.2012</t>
  </si>
  <si>
    <t>ВЛ-10 кВ и ТП-10/0,4 кВ - 25 кВА "Арония" для электроснабжения СНТ_Тверская область, Калининский район, дер. Труново_в ОРЗТП с 21.03.2012</t>
  </si>
  <si>
    <t>"Жилые кварталы по улице Псковской в г. Твери"_Тверская область, г. Тверь_в ОРЗТП с 29.03.2012</t>
  </si>
  <si>
    <t>ТП-10/0,4 кВ-400 кВА для электроснабжения нефтеперерабатывающего завода_в ОРЗТПс 29.03.2012</t>
  </si>
  <si>
    <t>ЗАО "Торжокский топливно-энергетический комплекс"</t>
  </si>
  <si>
    <t>ООО "РСУ №1"</t>
  </si>
  <si>
    <t>Вводное устройство жилого дома_Тверская область, Жарковский район, п. Жарковский, ул. Комсомольская, 9_в ОРЗТП с 21.03.2012</t>
  </si>
  <si>
    <t>Телевизионная башня цифорового радиовещания_Тверская область, Калининский район, дер. Андрианово_в ОРЗТП с 21.03.2012</t>
  </si>
  <si>
    <t>Дышеков Эдуард Русланович</t>
  </si>
  <si>
    <t>ЛЭП-10 кВ и ТП-10/0,4 кВ  - 2х160 кВА для электроснабжения жилой застройки_Тверская область, г. Тверь, ул. Макакрова, д. 4_в ОРЗТП с 21.03.2012</t>
  </si>
  <si>
    <t>СНТ "Перелески"</t>
  </si>
  <si>
    <t>ВЛ-10 кВ и ТП-10/0,4 кВ для электроснабжения СНТ_Тверская область, Калининский район, Авввакумовское с/п, врайоне дер. Пищалкино СНТ "Перелески"_в ОРЗТП с 12.03.2012</t>
  </si>
  <si>
    <t>ООО "Песком"</t>
  </si>
  <si>
    <t>ЛЭП-0,4 кВ для электроснабжения оборудования для разработки прудового хозяйства_Тверская область, Калининский район, с/п Кулицкое, дер. Копылово_в ОРЗТП с 12.03.2012</t>
  </si>
  <si>
    <t>ЛЭП-0,4 кВ для электроснабжения объектов жилья и соцкультбыта_Тверская область, Конаковский район, Мокшинское с/п, дер. Вараксино (земельный участок с кадастровым номером 69:15:0000027:590)_в ОРЗТП с 13.03.2012</t>
  </si>
  <si>
    <t>ЛЭП-0,4 кВ для электроснабжения объектов соцкульбыта_почтовый адрес ориентира: Тверская область, Конаковский район, Мокшинское с/п, дер. Архангельское (земельный участок с кадастровым номером 69:15:0000027:256)_в ОРЗТП с 13.03.2012</t>
  </si>
  <si>
    <t>филиал РТС "Тверской ОРТПЦ"</t>
  </si>
  <si>
    <t>Телевизионная башня цифрового вещания_Тверская область, Конаковский район, пгт Новозавидовский, ул. Октябрьская, район д. 59 а_в ОРЗТП с 13.03.2012</t>
  </si>
  <si>
    <t>Существующая ЛЭП-0,4 кВ для электроснабжения антенно-мачтового сооружения (АМС) телевизионной башни цифрового радиовещания_Тверская область, Торжокский район, Борисцевское с/п, дер. Головинские Горки, д. 36_в ОРЗТП с 12.03.2012</t>
  </si>
  <si>
    <t>СНТ "Оршинка-2"</t>
  </si>
  <si>
    <t>ВЛ-10 кВ и распределительная сеть 10-0,4 кВ для электроснабжения садоводческого некоммерческого товарищества_Тверская область, Калининский район, Аввакумовское с/п, район пос. Сахарово_в ОРЗТП с 13.03.2012</t>
  </si>
  <si>
    <t>Макаров Александр Александрович</t>
  </si>
  <si>
    <t>ЛЭП-0,4 кВ для электроснабжения жилого домма_Тверская область, Кимрский район, Приволжское с/п, дер. Сенькино, увчасток с кадастровым номером 69:14:20:19:01:0123_в ОРЗТП с 12.03.2012</t>
  </si>
  <si>
    <t>Государственное учреждение - Управление Пенсионного фонда Российской Федерации в Максатихинсом районе Тверской области</t>
  </si>
  <si>
    <t>ЛЭП-0,4 кВ для электроснабжения административного здания_Тверская область, Максатихинский район, пос. Максатиха, ул. Санаторная, д. 5 (земельный участок с кадастровым номером 69:20:0070131:7:19)_в ОРЗТП с 12.03.2012</t>
  </si>
  <si>
    <t>сад.тов-во "Княжеская поляна", Зубцовский район, Княжьегорское с/п_в ОРЗТП с 13.03.2012</t>
  </si>
  <si>
    <t>вводное устройство телебашни цифрового вещания_Тверская область, Кимрский район, Горицкое с/п, с. Горицы, ул. Спортивная, участок 25 (земельный участок с кадастровым номером 69:14:0100904:405)_в ОРЗТП с 12.03.2012</t>
  </si>
  <si>
    <t>Турчанович Владимир Олегович</t>
  </si>
  <si>
    <t>Вводное устройство жилого дома_почтовый адрес ориентира: Тверская область, Кимрский район, Федоровское с/п, район дер. Крева (земельный участок с кадастровым номером 69:14:0000024:1122)_в ОРЗТП с 12.03.2012</t>
  </si>
  <si>
    <t>Многоквартирный жилой комплекс_Тверская область, Конаковский район, пгт. Новозавидовский, ул. Октябрьская, д. 64_в ОРЗТП с 03.2012</t>
  </si>
  <si>
    <t>Благотоворительный фонд "Дмитровогорский храм"</t>
  </si>
  <si>
    <t>ЛЭП-0,4 кВ для электроснабжения Храмового комплекса во имя Святого Преподобного Сергия Радонежского_Тверская область, Конаковский район, Дмитровское с/п, с. Дмитрова Гора, ул. Центральная (земельный участок с кадастровым номером 69:15:0110101:582)_в ОРЗТП с 29.03.2012</t>
  </si>
  <si>
    <t>ЛЭП-10 кВ и ТП-10/0,4 кВ для электроснабжения ДНП_Тверская область, Калязинский район, г. Калязин, городской водозабор_в ОРЗТП с 12.03.2012</t>
  </si>
  <si>
    <t>ЛЭП-10 кВ и ТП-10/0,4 кВ для электроснабжения СНТ_Тверская область, Калязинский район, Алферовское с/п, сНТ "Эра", вблизи д. Благуново</t>
  </si>
  <si>
    <t>49-квартирный жилой дом с офисными помещениями (2-й пусковой комплекс) ТГООИ "Стройгарант" расположенный по адресу: Тверская область, г. Тверь, ул. Д.Донского, д. 40_в ОРЗТП с 21.03.2012</t>
  </si>
  <si>
    <t>ООО "Тверьоблэлектро"</t>
  </si>
  <si>
    <t>ЛЭП-10 кВ фид. №1 "РП-51" от ячейки 10 кВ №13 и ЛЭП-10 кВ фид. №2 "РП-51" от ячейки 10 кВ №16_Тверская обл, г. Калязин, ул. Тверская_в ОРЗТП с 03.2012</t>
  </si>
  <si>
    <t>спортзал, п.Максатиха, Красноармейская, 58-а (земельный участок с кадастровым номером 69:20:070127:0060)</t>
  </si>
  <si>
    <t>Вводное устройство объекта "Водозаборный узел"_Тверская область, Калининский район, Никулинское с/п, район дер. Даниловское_в ОРЗТП с 29.03.2012</t>
  </si>
  <si>
    <t>40521356
(договор заключен 03.04.2012)</t>
  </si>
  <si>
    <t>40531296
(договор заключен 06.04.2012)</t>
  </si>
  <si>
    <t>40528225
(договор заключен 10.04.2012)</t>
  </si>
  <si>
    <t>40510917
(договор заключен 10.04.2012)</t>
  </si>
  <si>
    <t>40525037
(договор заключен 10.04.2012)</t>
  </si>
  <si>
    <t>40519899
(договор заключен 17.04.2012)</t>
  </si>
  <si>
    <t>40531682
(договор заключен 18.04.2012)</t>
  </si>
  <si>
    <t>Фролов А.Ю.</t>
  </si>
  <si>
    <t>Жилой дом, Тверская обл., Зубцовский р-н, Вазузское с/п, д. Новоселово</t>
  </si>
  <si>
    <t>40535337
(договор заключен 18.04.2012)</t>
  </si>
  <si>
    <t>40532200
(договор заключен 18.04.2012)</t>
  </si>
  <si>
    <t>40500183
(договор заключен 24.04.2012)</t>
  </si>
  <si>
    <t>40524643
(договор заключен 25.04.2012)</t>
  </si>
  <si>
    <t>ГБУ "КЦСОН" Краснохолмского района</t>
  </si>
  <si>
    <t>ЛЭП-0,4 кВ для электроснабжения административного здания_Тверская область, г. Красный Холм, ул. Красноарамейская, д. №73/21_в ОРЗТП с 23.04.2012</t>
  </si>
  <si>
    <t>ВЛ-10 кВ и ТП-10/0,4 кВ -100 кВА для электроснабжения линии наружного освещения на участке автомобильной дороги М-10 "Россия" 172+000 - км 176+000_Тверкая область, Калининский район, а/д М-10 "Россия"- от Москвы через Тверь, Новгород до Санкт-Петербурга, на участке 172+000 - км 176+000_ в ОРЗТП с 29.03.2012</t>
  </si>
  <si>
    <t>ООО "САНДРА"</t>
  </si>
  <si>
    <t>ЛЭП-0,4 кВ для электроснабжения объекта "Многоквартирный жилой дом с помещениями административно-торгового назначения"</t>
  </si>
  <si>
    <t>Коттеджный поселок с зоной рекреации_Тверская область, Калининский район, с/п Каблуковское, дер. Орша
(в ОРЗТП с 17.04.2012)</t>
  </si>
  <si>
    <t>ООО "ЭМК"</t>
  </si>
  <si>
    <t>Существующая ПС 35/10 кВ Удомля_Тверская область, Удомельский район, Удомельское с/п, район дер. Елманова Горка и дер. Братаново (земельный участок с кадастровым номером 69:35:0000020:969)_в ОРЗТП с 13.04.2012)</t>
  </si>
  <si>
    <t>Магазин продовольственных товаров ООО "Концепт"_Тверская область, г. Удомля, ул. Космонавтов, между д. 5 и д.7_в ОРЗТП с 13.04.2012</t>
  </si>
  <si>
    <t>Арсентьев Василий Фридрихович</t>
  </si>
  <si>
    <t>Предприятие материально-технического снабжения с мастерскими по изготовлению и сбыту санитарно-технических заготовок и оборудования_Тверская область, Калининский район, Михайловское с/п, в районе дер. Глазково (1/4 часть земельного участка с кадастровым номером 69:10:0000012:0100)_в ОРЗТП с 02.04.2012</t>
  </si>
  <si>
    <t>Многоквартирный жилой комплекс_Тверская область, Конаковский район, пгт. Новозавидовский, ул. Октябрьская, д. 63_в ОРЗТП с 02.04.2012</t>
  </si>
  <si>
    <t>Фролов Алекскей  Юрьевич</t>
  </si>
  <si>
    <t>Жилой дом_Местоположение установлено относительно ориентира, расположенного за пределами участка, адрес ориентира Тверская область, Зубцовский район, Вазузское с/п, дер. Новоселово (земельный участок с кадастровым номером 69:09:0000026:499)_в ОРЗТП с 02.04.2012</t>
  </si>
  <si>
    <t>СНТ "Колос"</t>
  </si>
  <si>
    <t>ВЛ-10 кВ и распределительная сеть 10-0,4 кВ для электроснабжения садоводческого некоммерческого товарищества_Тверская область, Удомельский район, Удомельское с/п, район Южной окраины г. Удомля (земельный участок с кадастровым номером 69:35:0000020:35)_в ОРЗТП с 13.04.2012</t>
  </si>
  <si>
    <t>ЛЭП-0,4 кВ для электроснабжения технологической линии по производству торфобрикетов_Адрес ориентира Тверская область, Торжокский район, Сукромленское с/п, с. Сукромля, ул. Центральная, д. 62 (земельный участок с кадастровым номером 69:33:0261204:65)_в ОРЗТП с 19.01.2012</t>
  </si>
  <si>
    <t>Ангиографический комплекс, гемодиализный центр, реконструкция операционной, комплекс томографический ренгеновский_г. Тверь, С. Петербургское шоссе, д. 105</t>
  </si>
  <si>
    <t>Уведомление МУП "Тверьгорэлектро" от 19.04.2012 № 019-16/934 об увеличений мощности на 894 кВт</t>
  </si>
  <si>
    <t>40512562
(договор заключен
26.04.2012)</t>
  </si>
  <si>
    <t>40534788
(договор заключен 04.05.2012)</t>
  </si>
  <si>
    <t>40534795
(договор заключен 04.05.2012)</t>
  </si>
  <si>
    <t>40538843
(договор заключен 11.05.2012)</t>
  </si>
  <si>
    <t>40536177
(договор заключен 16.05.2012)</t>
  </si>
  <si>
    <t>40532516
(договор заключен 21.05.2012)</t>
  </si>
  <si>
    <t>40532795
(договор заключен 24.05.2012)</t>
  </si>
  <si>
    <t>Щербина Александр Николаевич</t>
  </si>
  <si>
    <t>ЛЭП-0,4 кВ для электроснабжения  крестьянско-фермерского хозяйства_Тверская область, Конаковский район, пгт. Радченко, район п. Новомелково (земельный участок с кадастровым номером 69:15:0000014:394)</t>
  </si>
  <si>
    <t>40550247
(договор заключен 29.05.2012)</t>
  </si>
  <si>
    <t>40533383
(договор заключен 02.04.2012)</t>
  </si>
  <si>
    <t>Электроснабжение объекта "Жилой социальный комплекс "Слободка"_почтовый адрес ориентира: Тверская область. Калининский район, Бурашевское с/п, дер. Слободка
(в ОРЗТП с 12.09.2011)</t>
  </si>
  <si>
    <t>ОАО "Вымпел-Коммуникации"</t>
  </si>
  <si>
    <t>Существующие ВЛ-10 кВ и ТП-10/0,4 кВ-25 кВА для электроснабжения базовой станции сотовой радиотелефонной связи сети "Билайн"_Тверская область, Осташковский район, Сорожское с/п, район дер. Светлица_в ОРЗТП с 21.05.2012</t>
  </si>
  <si>
    <t>Федеральное казенное учреждение "Исправительная колония №4 Управления Федеральной службы исполнения наказаний России по Тверской области"</t>
  </si>
  <si>
    <t>Исправительная колония_Тверская облсть, г. Торжок, ул. Старицкая, д.79</t>
  </si>
  <si>
    <t>ООО "Спорт"</t>
  </si>
  <si>
    <t>Распределительная сеть 10-0,4 кВ с необходимым количеством ТП-10/0,4 кВ, запитанная от концевой опоры проектируемой ЛЭП-10 кВ, построенной от ВЛ-10 кВ фид. №15 "Новенькое" ПС 35/10 кВ Юрьево-Девичье_Тверская область, Конаковский район, Тверское лесничество Волжское участковое лесничество, квартал 40 вылел 3,5-15</t>
  </si>
  <si>
    <t>ЗАО "Диэлектрические кабельные системы"</t>
  </si>
  <si>
    <t>Гаражный кооператив № 36</t>
  </si>
  <si>
    <t>ВЛ-10 кВ и ТП-10/0,4 кВ для электроснабжения гаражного кооператива_Тверская область, г. Кимры, ул. Ильича_в ОРЗТП с 21.05.2012</t>
  </si>
  <si>
    <t>ООО "Шинэнергоснаб"</t>
  </si>
  <si>
    <t>Вводное устройство предприятия материально-технического снабжения с мастерскими по изготовлению и сбыту санитарно-технических заготовок и оборудования_Тверская область, Калининский район, Никулинское с/п, район дер. Кривцово (земельный учсаток с кадастровым номером 69:10:0000024:2430)_в ОРЗТП с 21.05.2012</t>
  </si>
  <si>
    <t>Русский Фонд Содействия образованию и науке</t>
  </si>
  <si>
    <t>ЛЭП-6 кВ и ТП-6/0,4 кВ - 400 кВА для электроснабжения строительной площадки университета_Тверская область, Фировский район, Великооктябрьское с/п, в границах АО "Новоселье" (земельный участок с кадастровым номером 69:36:0000016:810)_в ОРЗТП с 16.05.2012</t>
  </si>
  <si>
    <t>ДНТ "Рябинки"</t>
  </si>
  <si>
    <t>Существующие ЛЭП-0,4 кВ для электроснабжения ДНП_Тверская область, Калининский район, Аввакумовское с/п, ДНТ "Рябинки"_в ОРЗТП с 29.04.2012</t>
  </si>
  <si>
    <t>Лукин Евгений Рафаилдович</t>
  </si>
  <si>
    <t>Вводное устройство хозяйственной постройки_Тверская область, Осташковский район, Сорожское с/п, район дер. Зорино (1/4 часть земельного участка с кадастровым номером 69:24:0000013:2846)_в ОРЗТП с 10.05.2012</t>
  </si>
  <si>
    <t>Две существующие ЛЭП-10 кВ для электроснабжения РП-10 кВ_Тверская область, г. Тверь, пос. Элеватор, 1-й переулок, д. 6_в ОРЗТП с 28.04.2012</t>
  </si>
  <si>
    <t>ТП-10/0,4 кВ для электроснабжения административно-производсвенного здания_Тверская область, Калининский район, Никулинское с/п, с. Никольское, д. 26 (земельный участок с кадастровым номером 69:10:0241001:0:19)</t>
  </si>
  <si>
    <t>ТП-10/0,4 кВ - 250 кВА для электроснабжения офисно-бытового городка_Тверская область, Вышневолоцкий район, Лужниковское с/п, дер. Жилотково_в ОРЗТП с 28.04.2012</t>
  </si>
  <si>
    <t>ОАО "Ритм" ТПТА</t>
  </si>
  <si>
    <t>Электроснабжение литейного цеха (производство тормозной араматуры)_Тверская область, г. Кашин, ул. Строителей, д.7_в ОРЗТП с 15.05.2012)</t>
  </si>
  <si>
    <t>Морозов Аркадий Юрьевич</t>
  </si>
  <si>
    <t>ВЛ-10 кВ и ТП-10/0,4 кВ для электроснабжения пункта технического обслуживания со складом_Тверская область, г. Тверь, ул. Хрустальная, д. 61 (1/3 часть земельного участка с кадастровым номером 69:40:0100292:2767:42)_в ОРЗТП с 21.05.2012</t>
  </si>
  <si>
    <t>Администрация муниципального образования "город Торжок" Тверской области</t>
  </si>
  <si>
    <t>ДНП "Бриллиант"</t>
  </si>
  <si>
    <t>ООО "Русская мостостроительная компания"</t>
  </si>
  <si>
    <t>ДНП "Федневское"</t>
  </si>
  <si>
    <t>ВЛ-10 кВ и ТП-10/0,4 кВ для электроснабжения дачных домов_Тверская область, Удомельский район, Котлованское с/п, в 100 метрах на северо-восток от дер. Феднево_в ОРЗТП с 31.05.2012</t>
  </si>
  <si>
    <t>Отдел образования Администрации Вышневолоцкого района Тверской области</t>
  </si>
  <si>
    <t>ВЛ-6 кВ и ТП-6/0,4 кВ для электроснабжения объекта "Здание детского сада на 100 мест"_Адрес ориентира: Тверская область, Вышневолоцкий район, Сорокинское с/п, пос. Пригородный, ул. Ленинградская, 2б (земельный участок с кадастровым номером 69:06:0170602:641)_в ОРЗТП с 31.05.2012</t>
  </si>
  <si>
    <t>ООО "Трасстройинвест"</t>
  </si>
  <si>
    <t>ЛЭП-0,4 кВ для электроснабжения производственной базы и бытового городка_Тверская область, Вышневолоцкий район, вблизи дер. Иваньково_в ОРЗТП с 31.05.2012</t>
  </si>
  <si>
    <t>ООО "АтомТеплоЭлектроСеть"</t>
  </si>
  <si>
    <t>Вводное устройство теплового пункта_Тверская область, удомельский район, Удомельское с/п, дер. Лайково-Попово (земельный участок с кадастровым номером 69:35:02000901:0:2)_в ОРЗТП с 31.05.2012</t>
  </si>
  <si>
    <t xml:space="preserve">40556478
(договор заключен 07.06.2012) </t>
  </si>
  <si>
    <t>40533893
(договор заключен
26.06.2012</t>
  </si>
  <si>
    <t>Зинин Михаил Владимирович</t>
  </si>
  <si>
    <t>Вводное устройство хоз. Блока_Тверская область, Кимрский район, Приволжское с/п, участок примыкет к дер. Кочнево по направлению на север (земельный участок с кадастровым номером 69:14:000020:0118)_в ОРЗТП с 27.06.2012</t>
  </si>
  <si>
    <t>40578404
(договор заключен 27.06.2012)</t>
  </si>
  <si>
    <t>40344876
(договор закллючен 28.06.2012)</t>
  </si>
  <si>
    <t>Гаджимусаева Валентина Николаевна</t>
  </si>
  <si>
    <t>Вводное устройство жилого дома_Тверская область, Оленинский район, Гришкинское с/п, дер. Зубовка, д. 3 (земельный участок с кадастровым номером 69:23:0241801:4)_в ОРЗТП с 27.06.2012</t>
  </si>
  <si>
    <t>Садоводческое товарищество "Полянка"</t>
  </si>
  <si>
    <t>ЛЭП-0,4 кВ для электроснабжения садоводческого товарищества_Тверская область, Кимрский район, Титовское с/п, дер. Притыкино, СТ "Полянка"_в ОРЗТП с 27.06.2012</t>
  </si>
  <si>
    <t>Многоквартирный жилой дом с помещениями административно-торгового назначения_Тверская область, г. Тверь, ул. З. Коноплянниковой, д. 85, 87, 89_в ОРЗТП с 14.06.2012 г.</t>
  </si>
  <si>
    <t>Кшенина Татьяна Ивановна</t>
  </si>
  <si>
    <t>Вводное устройство промышленно-логистического комплекса_Тверская область, Калининский район, Бурашевское с/п, дер. Садыково (земельный участок с кадастровым номером 69:10:0000025:1069)_в ОРЗТП с 14.06.2012</t>
  </si>
  <si>
    <t>Год ввода в эксплуатацию</t>
  </si>
  <si>
    <t>Год реконструкции с заменой силовых трансформаторов</t>
  </si>
  <si>
    <t>-</t>
  </si>
  <si>
    <t>Суммарная полная мощность ЦП по результатам замеров максимума нагрузки Sмах, МВА</t>
  </si>
  <si>
    <t>Текущий дефицит/ профицит, МВА</t>
  </si>
  <si>
    <t>Перспективный дефицит/ профицит, МВА</t>
  </si>
  <si>
    <t>Текущий статус</t>
  </si>
  <si>
    <t>Перспективный статус</t>
  </si>
  <si>
    <t>Широта</t>
  </si>
  <si>
    <t>Долгота</t>
  </si>
  <si>
    <t>40559306
(договор заключен 29.06.2012)</t>
  </si>
  <si>
    <t>40554474
(договор заключен 02.07.2012)</t>
  </si>
  <si>
    <t>40551395
(договор заключен 02.07.2012)</t>
  </si>
  <si>
    <t>40466241
(договор заключен 23.07.2012)</t>
  </si>
  <si>
    <t>40554470 (договор заключен
30.07.2012)</t>
  </si>
  <si>
    <t>ООО "Эколеспром"</t>
  </si>
  <si>
    <t>Ввводное устройство жилого дома_адрес ориентира Тверская область, Рамешковский район, с/п. Кушалино, с. Кушалино, п. Электросеть, д. 16 (земельный участок с кадастровым номером 69:26:0241021:56)_в ОРЗТП с 09.07.2012</t>
  </si>
  <si>
    <t>Вводное устройство предприятия материально-технического снабжения с мастерскими по изготовлению и сбыту санитарно-технических заготовок и оборудования_Тверская область, Калининский район, Никулинское с/п, район дер. Кривцово (земельный учсаток с кадастровым номером 69:10:0000024:2430)_в ОРЗТП с 19.07.2012</t>
  </si>
  <si>
    <t>СНТ "Дорожник"</t>
  </si>
  <si>
    <t>Вводное устройство здания ведомственной гостинницы_Тверская область, Калининский район, Михайловское с/п, в районе пос. Загородный (земельный участок с кадастровым номером 69:10:0000012:1813)_в ОРЗТП с 07.2012</t>
  </si>
  <si>
    <t>Вводное устройство 2-этажного 22-квартирного жилого дома санатория "Черногубово"_Тверская область, Калининский район, Черногубовское с/п, пос. Черногубово_в ОРЗТП с 07.2012</t>
  </si>
  <si>
    <t>Илюнов Андрей Валерьевич</t>
  </si>
  <si>
    <t>ТП-10/0,4 кВ для электроснабжения производственной базы_Тверская область, г. Тверь, промзона Лазурная, д. 9_в ОРЗТП с 19.07.2012</t>
  </si>
  <si>
    <t>ООО "Водоканал-Т"</t>
  </si>
  <si>
    <t>ЛЭП-0,4 кВ для электроснабжения водозаборного узла ТПЗ "Боровлево"_адрес Тверская область, Калининский район, Бурашевское с/п, в районе дер. Неготино (земельный участок с кадастровым номером 69:10:0000025:0568)_в ОРЗТП с 16.07.2012</t>
  </si>
  <si>
    <t>ООО Редкинская "АПК"</t>
  </si>
  <si>
    <t>Вводное устройство здания телятника на 130 голов с пристройкоой_Тверская область, Конаковский район, Городенское с/п, дер. Кошелево (земеьный участок с кадастровым номером 69:15:00:00:00:0022:000)_в ОРЗТП с 16.07.2012</t>
  </si>
  <si>
    <t>Ряполов Юрий Григорьевич</t>
  </si>
  <si>
    <t>Вводное устройство жилого дома_Тверская область, Нелидовский район, Высокинсеое с/п, дер. Нива (земельный участок с кадастровым номером 69:22:0102201:4)_в ОРЗТП с 09.07.2012</t>
  </si>
  <si>
    <t>ЛЭП-0,4 кВ для электроснабжения садоводческого товарищества_Тверская область, Калязинсий район, Алферовское с/п, дер. Дымово_в ОРЗТП с 09.07.2012</t>
  </si>
  <si>
    <t>ОАО СФ "Тверьагрострой"</t>
  </si>
  <si>
    <t>Вводное устройство 2-х этажного многоквартирного жилого дома_адрес: Тверская область, Зубцовский район, Погорельское с/п, с. Погорелое Городище, ул. Ленина (земельный участок с кадатровым номером 69:09:0191702:48)_в ОРЗТП с 09.07.2012</t>
  </si>
  <si>
    <t>Косарев Игорь Дмитриевич</t>
  </si>
  <si>
    <t>ЛЭП-0,4 кВ для электроснабжения коттеджного поселка_адрес ориентира: Тверская область, Осташковский район, Сорожское с/п, район дер. Залучье, д. 57 (земельный участок с кадастровым номером 69:24:0000013:2720)_в ОРЗТП с 03.07.2012</t>
  </si>
  <si>
    <t>ЛЭП-0,4 кВ для электроснабжения многоквартирного жилого дома_Тверская область, г. Торжок, ул. Ржевская, примерно в 9 м по направлению на запад от дома №73 (земельный участок с кадастровым номером 69:47:0160121:26)_В ОРЗТП с 03.07.2012</t>
  </si>
  <si>
    <t>Две ЛЭП-0,4 кВ для электроснабжения блочно-модульной котельной жилой застройки мкр. "Мамулино-2"_Тверская область, Пролетарский район, пос. Мамулино_в ОРЗТП с 29.06.2012</t>
  </si>
  <si>
    <t>40587499
(договор заключен 02.08.2012)</t>
  </si>
  <si>
    <t>40591091
(договор заключен 02.08.2012 г.)</t>
  </si>
  <si>
    <t>40589152
(договор заключен 07.08.2012)</t>
  </si>
  <si>
    <t>40490958
(договор заключен 09.08.2012)</t>
  </si>
  <si>
    <t>ООО "Автосоюз"</t>
  </si>
  <si>
    <t>КЛ-6 кВ и ТП-6/0,4 кВ для электроснабжения объектов_г. Тверь, Петербургское шоссе, д. 3_в ОРЗТП с 04.09.2012</t>
  </si>
  <si>
    <t xml:space="preserve">40111569 (договор заключен 05.04.2010) , договор расторгнут 26.04.2012 </t>
  </si>
  <si>
    <t xml:space="preserve">233-ТП/10-08 (40242388), доровор расторгнут 30.01.2012 </t>
  </si>
  <si>
    <t xml:space="preserve">347-ТП/10-09 (40068664) договор расторгнут 30.01.2012 </t>
  </si>
  <si>
    <t>40551374
(договор заключен 03.05.2012), договор расторгнут 02.05.2012</t>
  </si>
  <si>
    <t>40186113
(договор заключен 05.10.2010) договор расторгнут 01.06.2012</t>
  </si>
  <si>
    <t>40338033
(договор заключен 03.06.2011) договор расторгнут 10.07.2012</t>
  </si>
  <si>
    <t>40605104
(договор заключен 21.08.2012)</t>
  </si>
  <si>
    <t>40586155
(договор заключен 18.09.2012)</t>
  </si>
  <si>
    <t>ОАО "Мостоотряд №19"</t>
  </si>
  <si>
    <t>ДНП_Тверская область, Калининский район, Никулинское с/п, район дер. Красново</t>
  </si>
  <si>
    <t>ЛЭП-6 кВ фид. "РП-24" от ячейки 6 кВ №9 и ЛЭП-6 кВ фид. "РП-1" от ячейки 6 кВ №16_Тверская обл., г. Тверь, Беляковский пер., д. 1 а_в ОРЗТП с 26.09.2012</t>
  </si>
  <si>
    <t>ЗАО "Хамильтон Стандарт - Наука"</t>
  </si>
  <si>
    <t>Вводное устройство здания отдела внутренних дел по Вышневолоцкому району_Тверская область, г. Вышний Волочек, Московское шоссе, 2
(в ОРЗТП с 19.09.2012)</t>
  </si>
  <si>
    <t>цех переработки отходов с санитарным убоем_Тверская область, Калининский район, Заволжское с/п, район дер. Дмитрово-Черкассы_в ОРЗТП с 18.09.2012</t>
  </si>
  <si>
    <t>ОАО племзавод "Заволжское"</t>
  </si>
  <si>
    <t>Завод по производству комбикормов_Тверская область, Калининский район, с.п. Заволжское, п. Гордня_в ОРЗТП с 18.09.2012 г.</t>
  </si>
  <si>
    <t>ООО "Кимрский завод теплового оборудования "РАДИАТОР" (ООО "КЗТО "РАДИАТОР")</t>
  </si>
  <si>
    <t>Завод теплового оборудования_Тверская область, г. Кимры, ул. Оржоникидзе, д. 83 а_в ОРЗТП с 19.09.2012 г.</t>
  </si>
  <si>
    <t>Пучков Александр Вячеславович</t>
  </si>
  <si>
    <t>ЛЭП-10 кВ и ТП-10/0,4 кВ для электроснабжения подсобного хозяйства_Тверская область, Калязинский район, Семендяевское с/п, в районе дер. Селищи_в ОРЗТП с 18.09.2012</t>
  </si>
  <si>
    <t>ООО СК "Альянс"</t>
  </si>
  <si>
    <t>Жилая и торговая застройка в мкрн. Южный_Тверская обл., г. Тверь, просп. Октябрьский, д. 56 а_в ОРЗТП с 10.08.2012</t>
  </si>
  <si>
    <t>ООО "Завидово Энергосервис"</t>
  </si>
  <si>
    <t>Элекроснабжение стройплощадки для жилого дома_Тверская область, Конаковский район, Мокшинское с/п, дер. Мокшино_в ОРЗТП с 03.08.2012</t>
  </si>
  <si>
    <t>ЗАО "Парок"</t>
  </si>
  <si>
    <t>Электроснабжение объекта "Парок. Тверской завод по производству каменной ваты"_Тверская область, Конаковский район, г/п. пос. Изоплит, пгт. Изоплит_в ОРЗТП с 03.07.2012</t>
  </si>
  <si>
    <t>ООО "Тверское специализированное строительно-монтажное управление - 7"</t>
  </si>
  <si>
    <t>Электроснабжение цеха по производству металлоконструкции_Тверская область, Калининский район, Никулинское с/п, район лер. Кривцово (земельный участок с кадастровым номером 69:10:00:00:24:0319)_в ОРЗТП с 08.08.2012 г.</t>
  </si>
  <si>
    <t>ООО "Альянс-Агро"</t>
  </si>
  <si>
    <t>Электроснабжение объекта "Складской комплекс"_Тверская область, Спировский район, Козловское с/п, дер. Малое Козлово_в ОРЗТП с 13.09.2012 г.</t>
  </si>
  <si>
    <t>Вводное устройство предприятия по производству пищевой продукции_Тверская область, Калининский район, Бурашевское с/п, дер. Садыково (земельный участок с кадастровым номером 69:10:0000025:653)</t>
  </si>
  <si>
    <t>ЗАО "Грод"</t>
  </si>
  <si>
    <t>Электроснабжение коттеджного поселка_Тверская область, Кимрский район, Федоровское с/п, дер. Крева, ул. Лесная, д. 30_в ОРЗТП с 13.09.2012</t>
  </si>
  <si>
    <t>ТП-10/0,4 кВ - 250 кВА для электроснабжения производственной базы_почтовый адрес ориентира: Тверская область, Вышневолоцкий район, Есеновическое с/п, д. Бухолово, д. 14_в ОРЗТП с 21.08.2012</t>
  </si>
  <si>
    <t>ДНП "Волжанка"</t>
  </si>
  <si>
    <t>ТП-10/0,4 кВ для электроснабжения дачных домов_Тверская область, Конаковский раон, Вахонинское с/п, дер. Шоша_в ОРЗТП с 13.09.2012</t>
  </si>
  <si>
    <t>ВЛ-10 кВ и КТП-10/0,4 кВ - 160 кВА для электроснабжения СНТ_Тверская область, Кашинский район, Барыковское с/п, СНТ "Дорожник"_в ОРЗТП  с 13.09.2012</t>
  </si>
  <si>
    <t>Васильев Сергей Анатольевич</t>
  </si>
  <si>
    <t>Существующая ЛЭП-0,4 кВ для электроснабжения усадьбы "Степановское"_Тверская область, Зубцовский район, Дорожаевское с/п, вблизи  дер. Волосово (земельный участок с кадастровым номером 69:09:0000016:129)_в ОРЗТП с 08.08.2012 г.</t>
  </si>
  <si>
    <t>Распределительная сеть 10-0,4 кВ, запитанная по двум существующим ЛЭП-10 кВ от линейных ячеек 10 кВ фид. №12 и фид. №36 ПС 110/35/10 кВ Лазурная_Тверская область, г. Тверь, Большие перемерки, ул. Бочкина, д. 15_в ОРЗТП с 24.08.2012</t>
  </si>
  <si>
    <t>Присоединение ПС 35/10 кВ_Тверская область, Ржевский район, г. Ржев_в ОРЗТП с 19.08.2012</t>
  </si>
  <si>
    <t>ВЛ-10 кВ и ТП-10/0,4 кВ для электроснабжения дачных домов_Тверская область, Старицкий район, Новоямское с/п, вблизи дер. Калошино, Льгово_в ОРЗТП с 08.08.2012 г.</t>
  </si>
  <si>
    <t>Электроснабжение автозаправочного комплекса_Тверская область, Калининский район, Бурашевское с/п, с. Андрейково (земельный участок с кадастровым номером 69:10:0251201:376)_в ОРЗТП с 08.08.2012 г.</t>
  </si>
  <si>
    <t>ФГУП филиал РТРС "Тверской ОРТПЦ"</t>
  </si>
  <si>
    <t xml:space="preserve">Башня цифрового радиовещания_Тверская область, Калининский район, дер. Андрианово_в ОРЗТП с 08.08.2012 г. </t>
  </si>
  <si>
    <t>СНТ "Садовод-3"</t>
  </si>
  <si>
    <t>ТП-6/0,4 кВ для электроснабжения дачных домов_Тверская область, Калининский район, Аввакумовское с/п, дер. Сокол_в ОРЗТП с 08.08.2012</t>
  </si>
  <si>
    <t>СНТ "Дружба"</t>
  </si>
  <si>
    <t>Садоводческое некоммерческое товарищество_Тверская область, Конаковский район, городское поселение п. Радченко, пгт. Радченко, СНТ "Дружба"_в ОРЗТП с 08.08.2012 г.</t>
  </si>
  <si>
    <t>40625686
(договор заключен 12.09.2012)</t>
  </si>
  <si>
    <t>40589908
(договор заключен 26.09.2012)</t>
  </si>
  <si>
    <t>40590763
(договор заключен 27.09.2012)</t>
  </si>
  <si>
    <t>0.185</t>
  </si>
  <si>
    <t>40534172
(договор заключен 28.09.2012)</t>
  </si>
  <si>
    <t xml:space="preserve">40561287
(договор заключен 01.10.2012) </t>
  </si>
  <si>
    <t xml:space="preserve">2012 г. </t>
  </si>
  <si>
    <t>40551353
(договор заключен 03.10.2012)</t>
  </si>
  <si>
    <t>40601199
(договор заключен 03.10.2012)</t>
  </si>
  <si>
    <t>40620983
(договор заключен 04.10.2012)</t>
  </si>
  <si>
    <t>40632055
(договор заключен 10.10.2012)</t>
  </si>
  <si>
    <t>40630750
(договор заключен 10.10.2012)</t>
  </si>
  <si>
    <t>40614824
(договор заключен 17.10.2012)</t>
  </si>
  <si>
    <t>ООО "Вэриус Сервис"</t>
  </si>
  <si>
    <t>40615006
(договор заключен 29.10.2012)</t>
  </si>
  <si>
    <t>ООО "САНАРагро-Сандово"</t>
  </si>
  <si>
    <t>Вводное устройство цеха по переработке древесины (строительная площадка)_Почтовый адрес ориентира: Тверская область, Сандовский район, Топоровское с/п, дер. Радиониха (земельный участок с кадастровым номером 69:28:0000014:49)_в ОРЗТП с 08.10.2012</t>
  </si>
  <si>
    <t>Объект "Апартотель"_Тверская область, Конаковский район, Мокшинское с/п, район дер. Вараксино_в ОРЗТП с 16.10.2012</t>
  </si>
  <si>
    <t>ООО "Мега-Пак"</t>
  </si>
  <si>
    <t>ТП-10/0,4 кВ - 160 кВА для электроснабжения предприятия по изготовлению гофроупаковки_Тверская область, Калининский район, Никулинское с/п, с. Никольское, д. 26_ в ОРЗТП с 23.10.2012</t>
  </si>
  <si>
    <t>ООО "Олимп"</t>
  </si>
  <si>
    <t>Торговый магазин_Тверская область, Конаковский район, пгт. Новозавидовский, ул. Транспортная (земельный участок с кадастровым номером 69:15:220121:0024:1/1926/16:1000/А)_ в ОРЗТП с 12.10.2012</t>
  </si>
  <si>
    <t>Угольников Петр Анатольевич</t>
  </si>
  <si>
    <t>Жилой дом и хозяйственная пристройка_Тверская область, осташковский район, Сорожское с/п, дер. Твердякино (кад. № 69:24:0000013:3477)_в ОРЗТП с 08.10.2012 г.</t>
  </si>
  <si>
    <t>Жилой дом и хозяйственная пристройка_Тверская область, осташковский район, Сорожское с/п, дер. Твердякино (кад. № 69:24:0000013:3476)_в ОРЗТП с 08.10.2012 г.</t>
  </si>
  <si>
    <t>Мансуров Омар Надырович</t>
  </si>
  <si>
    <t>Жилой дом_Тверская область, Конаковский район, Завидовское с/п, район с. Завидово, ул. Ленинградская, район д. 76 (земельный участок с кадастровым номером 69:15:0210101:1560)_в ОРЗТП с 12.10.2012</t>
  </si>
  <si>
    <t>Федеральное унитарное предприятие "Космическая связь" - филиал Центр космической связи "Дубна"</t>
  </si>
  <si>
    <t>ЛЭП-10 кВ и ТП 10/0,4 кВ 1000 кВА для обеспечения резервного питания ТП ЦКС "Дубна"_Московская область, г. Дубна, ул. Александровка, д. 43_в ОРЗТП с 12.10.2012 г.</t>
  </si>
  <si>
    <t>ЛЭП-0,4 кВ для электроснабжения автозаправочного комплекса_Тверская область, Калининский район, Никулинское с/п, дер. Кривцово, земельный участок с кадастровым номером 69:10:0000024:1763_ТУ в ОРЗТП с 08.10.2012</t>
  </si>
  <si>
    <t>ТП-6/0,4 кВ №106_г. Тверь, ул. Паши Савельевой, д. 41_в ОРЗТП с 13.09.2012</t>
  </si>
  <si>
    <t>"Строительство, содержание, ремонт, капитальный ремонт и эксплуатация на платной основе скоростной автодороги Москва - Санкт - Петербург на участке км 258 - км 334 (обход В.Волочка"_Торжокскй район, Будовское с/п, в границах колхоза "Родина"_в ОРЗТП с 08.10.2012</t>
  </si>
  <si>
    <t>Администрация Андреапольского района Тверской области</t>
  </si>
  <si>
    <t>Вводные устройства 25-ти индивидуальных жилых домов и уличное освещение_Тверская область, Андреапольский район, г. Андреаполь (земельный участок с кадастровым номером 69:01:0070115:79)_в ОРЗТП с 08.10.2012</t>
  </si>
  <si>
    <t>закрыт</t>
  </si>
  <si>
    <t>Тверская обл., Лихославльский р-н, Сосновицкое с/п, д. Михайлова Гора_в ОРЗТП с 28.11.2012</t>
  </si>
  <si>
    <t>Смирнова Юлия Валерьевна</t>
  </si>
  <si>
    <t>ЛЭП-0,4 кВ для электроснабжения жилого дома_Почтовый алдрес ориентира: Тверская область, Оленинский район, Глазовское с/п, дер. Глазки, ул. Центральная, д. 37 (земельный участок с кадастровым номером 69:23:0180501:11)_в ОРЗТП с 28.11.2012.</t>
  </si>
  <si>
    <t>МБОУ ДОД ДЮСШ "Тверь"</t>
  </si>
  <si>
    <t>ЛЭП-0,4 кВ для электроснабжения спорткомплекса, расположенного по адресу: Тверская область, г. Тверь, ул. П. Савельевой, д. 51, корп. 1_в ОРЗТП с 28.11.2012.</t>
  </si>
  <si>
    <t>ЛЭП-10 кВ и ТП-10/0,4 кВ для электроснабжения дачный домов_почтовый адрес ориентира: Тверская область, Удомельский район, Удомельское с/п, дер. Елманова Горка_в ОРЗТП с 31.05.2012</t>
  </si>
  <si>
    <t>ООО "Старица Авиа"</t>
  </si>
  <si>
    <t>ЛЭП-0,4 кВ для электроснабжения аэродрома_почтовый адрес ориентира: Тверская область, Старицкий район, НовоЯмское с/п, вблизи д. Ново-Ямская (земельный участок с кадастровым номером 69:32:0000022:258)_в ОРЗТП с 01.11.2012 г.</t>
  </si>
  <si>
    <t>ООО "Универсал"</t>
  </si>
  <si>
    <t>ЛЭП-0,4 кВ для электроснабжения торгового центра_Почтовы адрес ориентира: Тверская область,ж Старицкий район, Ново-Ямское с/п, дер. Луговая, д. 33 (земельный участок с кадастровым номером 69:32:0221602:338)_в ОРЗТП  с 23.10.2012</t>
  </si>
  <si>
    <t>Магеррамов Агалар Магеррам оглы</t>
  </si>
  <si>
    <t>ТП-10/0,4 кВ - 63 кВА для электроснабжения коровника_Тверская область, Калининский район, Бурашевское с/п, дер. Измайлово (земельный участок с кадастровым номером 69:10: 00 00 030:0138:5-1676:1000/А)_в ОРЗТП с 14.11.2012</t>
  </si>
  <si>
    <t>Бондаренко Инорь Сергеевич</t>
  </si>
  <si>
    <t>ВЛ-6 кВ и ТП-6/0,4 кВ для электроснабжения жилого дома_Тверская область, Калининский район, Никулинское с/п, дер. Прудище (земельный участок с кадастровым номером 69:10:0240101:0197)_в ОРЗТП с 14.11.2012</t>
  </si>
  <si>
    <t>КЛ-6 кВ и ТП-6/0,4 кВ для электроснабжения объектов_г. Тверь, Петербурское шоссе, д. 3_в ОРЗТП с 07.11.2012</t>
  </si>
  <si>
    <t>"Многоквартирные жилые дома со встроенными помещениями общественного назначения по улице Псковской в г. Твери"_Тверская область, г. Тверь_в ОРЗТП с 01.11.2012</t>
  </si>
  <si>
    <t>ООО "Домовой"</t>
  </si>
  <si>
    <t>Вводное устройство магазина_Тверская область, г. Торжок, ул. Дзержинского, д. 37</t>
  </si>
  <si>
    <t>ЗАО "ДИКСИ Юг"</t>
  </si>
  <si>
    <t>Существующая ЛЭП-0,4 кВ для электроснабжения здания магазина_Тверская область, г. Торжок, ул. Пролетарская, д. 2_в ОРЗТП с 01.11.2012</t>
  </si>
  <si>
    <t>ООО "Союз"</t>
  </si>
  <si>
    <t>ТП-10/0,4 кВ для электроснабжения торгово-гостинничного комплекса_Тверская область, г. Тверь, ш. Московское (земельный участок с кадастровым номером 69:40:0200063:32)_в ОРЗТП с 01.11.2012</t>
  </si>
  <si>
    <t>Барков Анатолий Александрович</t>
  </si>
  <si>
    <t>ЛЭП-10 кВ и ТП-10/0,4 кВ для электроснабжения жилого дома_Тверская область, Конаковский район, Дмитровогорский с/о, дер. Малое Новоселье, ул. Лесная, д. 5 (земельный участок с кадастровым номером 69:15:11:08:03:0020:0:0)_в ОРЗТП с 01.11.2012 г.</t>
  </si>
  <si>
    <t>40629249
(договор заключен 26.10.2012)</t>
  </si>
  <si>
    <t>ДНП "Светлый путь"</t>
  </si>
  <si>
    <t>40618821,
(договор заключен 31.10.2012)</t>
  </si>
  <si>
    <t>40648780
(договор заключен 06.11.2012)</t>
  </si>
  <si>
    <t>40594153
(договор заключен 12.11.2012)</t>
  </si>
  <si>
    <t>40657532
(договор заключен 19.11.2012)</t>
  </si>
  <si>
    <t>40657776
(договор заключен 22.11.2012)</t>
  </si>
  <si>
    <t>40653741
(договор заключен 27.11.2012)</t>
  </si>
  <si>
    <t>ПС  35/6 кВ Даниловская</t>
  </si>
  <si>
    <t>ГБУ"Михайловский специальный дом-интернат для престарелых и инвалидов"</t>
  </si>
  <si>
    <t>Вводное устройство здания прачки по 0,4 кВ_Тверская область, Торопецкий район, с. Михайловское_в ОРЗТП с 24.12.12</t>
  </si>
  <si>
    <t>Вводное устройство здания кухни по 0,4 кВ_Тверская область, Торопецкий район, с. Михайловское_в ОРЗТП с 24.12.13</t>
  </si>
  <si>
    <t>Администрация муниципального образования Лесного района Тверской области</t>
  </si>
  <si>
    <t>ЛЭП-0,4 кВ для электроснабжения здания котельной_Тверская область, Лесной раон, с. Лесное, ул. Дзержинского_в ОРЗТП с 19.12.12</t>
  </si>
  <si>
    <t>Электроснабжение жилой и торговой застройки в мкрн. Южный_Тверская область, г. Тверь, проспект Октябрьский, д. 56 а_в ОРЗТП с 21.12.12</t>
  </si>
  <si>
    <t>ОАО "Мостотрест"</t>
  </si>
  <si>
    <t>ООО "Мостотрест"</t>
  </si>
  <si>
    <t>ООО "Интернет Логистика"</t>
  </si>
  <si>
    <t>Линейная ячейка 10 кВ проектируемого РП-10 кВ, запитанного от вновь установленной линейной ячейки 10 кВ в РУ-10 кВ 3 секции шин 10 кВ ПС 110/35/10 кВ Южная и от ВЛ-10 кВ фид. 31 ПС 110/35/10 кВ Южная_Тверская область, Калининский район, Бурашевское с/п, в районе дер. Садыково, д. 1 "А"_в ОРЗТП с 17.12.12</t>
  </si>
  <si>
    <t>ГК "Завидово" Федеральной службы охраны РФ</t>
  </si>
  <si>
    <t>Две ЛЭП-10 кВ, РП-10 кВ № 2 и ТП-10/0.4 кВ № 403_Тверская область, Конаковский район, п. Козлово_в ОРЗТП с 12.12.12</t>
  </si>
  <si>
    <t>ВЛ-10 кВ  и ТП-10/0,4 кВ для электроснабжения строительных механизмов на стрительной площадке, расположенной на земельом участке общей площадью 49032 кв.м._Тверская область, Калининский район, Бурашевское с/п, дер. Неготино (земельный участок с кадстровам номером 69:10:0000025:616)_в ОРЗТП с 05.12.12</t>
  </si>
  <si>
    <t>ООО "Акведук"</t>
  </si>
  <si>
    <t>Существующая ВЛ-6 кВ и ТП-6/0.4 кВ - 180 кВА для электроснабжения производственной базы_Тверская область, Калининский район, Черногубовское с/п, дер. Дубровки, д. 45_в ОРЗТП с 27.12.12</t>
  </si>
  <si>
    <t>ООО "АгроПекинг"</t>
  </si>
  <si>
    <t>ТП-6/0,4 кВ - 2х1000 кВА для  электроснабжения объекта "Пищевое предприятие по производству фруктовых и офощных пюре, конценратов и напитков"_Тверская область, Конаковский район, Городенское с/п, дер. Кошелево, д. 7 (земельный участок с кадастровым номером 69:15:0130902:35)_в ОРЗТП с 27.12.12</t>
  </si>
  <si>
    <t>Инбер Екатерина Израилевна</t>
  </si>
  <si>
    <t>ЛЭП-0,4 кВ для электроснабжения жилого дома_Тверская область, Калининский район, Каблуковское с/п, дер. Орша_в ОРЗТП с 27.12.12</t>
  </si>
  <si>
    <t>Вводное устройство торгово-складского комплекса_адрес ориентира Тверская область, Калининский район, Никулинское с/п, район дер. Кривцово (земельный участок с кадастровым номером 69:10:0000024:2430)_в ОРЗТП с 27.12.12</t>
  </si>
  <si>
    <t>Вводное устройство объекта "Дом - музей В.А. Серова в Домотканово"_Тверская область, Калининский район, Андрейковский с/о, дер. Красная Новь
(в ОРЗТП с 27.12.2012)</t>
  </si>
  <si>
    <t>Вводное устройство 3-х этажного 33-квартирного жилого дома_Тверская область, Калининкий район, Черногубовское с/п, пос. Черогубово_в ОРЗТП с 28.11.12</t>
  </si>
  <si>
    <t>ВЛ-10 кВ и ТП-10/0,4 кВ-100 кВА для электронабжения линия наружного освещения на участке автомобильной дороги М-10 "Россия" км 218+390 - км 230+000_в ОРЗТП с 17.12.12</t>
  </si>
  <si>
    <t>ООО "Паулиг Рус"</t>
  </si>
  <si>
    <t>ЛЭП-10 кВ и ТП-10/0,4 кВ - 630 кВА для электроснабжения кофеобжарочного завода_Тверская область, Калининский район, Бурашевское с/п, торгово-промышленная зона Боровлево - 2. № 2 (земельный участок с кадастровым номером 69:10:0000025:642:79)_в ОРЗТП с 05.12.12</t>
  </si>
  <si>
    <t>ООО "ГРАНД МАРИН ЗАВИДОВО"</t>
  </si>
  <si>
    <t>ЛЭП-0,4 кВ для электроснабжения строительной бытовки_Тверская область, Конаковский район, Мокшинское с/п, дер. Безбородово (земельный участок с кадастровым номером 69:15:0190302:97)_в ОРЗТП с 28.11.12ъ</t>
  </si>
  <si>
    <t>40647388
(договор заключен 07.12.12)</t>
  </si>
  <si>
    <t>40676772
(договор заключен 12.12.12)</t>
  </si>
  <si>
    <t>40620978
(договор заключен 13.12.2012)</t>
  </si>
  <si>
    <t>40639104
(договор заключен 20.12.12)</t>
  </si>
  <si>
    <t>40632634
(договор заключен 24.12.2012)</t>
  </si>
  <si>
    <t>Ошиновка Т-1,2, шины</t>
  </si>
  <si>
    <t>счетчик</t>
  </si>
  <si>
    <t xml:space="preserve"> -</t>
  </si>
  <si>
    <t>прибора нет</t>
  </si>
  <si>
    <t>нет данных</t>
  </si>
  <si>
    <t>40177092
(договор был заключен 04.08.2010)</t>
  </si>
  <si>
    <t>Суммарная мощность ТУ до 15 кВт, находящихся на исполнении</t>
  </si>
  <si>
    <t>Суммарная можность ТУ до 15 кВт. находящихся на исполнении</t>
  </si>
  <si>
    <t>Суммарная мощность ТУ до 15 кВ, находящихся на исполнении</t>
  </si>
  <si>
    <t>Суммарная мощность ТУ до 15 кВ. находящихся на исполнении</t>
  </si>
  <si>
    <t>Суммарная мощность ТУ до 15 кВт, находящихся на рассмотрении</t>
  </si>
  <si>
    <t>Суммарная мощность ТУ до 15 кВт,находящихся на исполнении</t>
  </si>
  <si>
    <t>Суммарная мощность по ТУ до 15 кВт, находящихся на исполнении</t>
  </si>
  <si>
    <t>2013 г.</t>
  </si>
  <si>
    <t>Симбирцева Евгения Валентиновна</t>
  </si>
  <si>
    <t>КТП-10/0,4 кВ для электроснабжения  жилого дома_Тверская область, Зубцовский район, Столининское с/п, дер. Колчеватики, д. 6 (земельный участок с кадастровым номером 69:09:0110301:0040)_ТУ в ОРЗТП с 29.01.2013 г.</t>
  </si>
  <si>
    <t>ЛЭП-0,4 кВ для электроснабжения коттеджного поселка_Тверская область, Калининский район, Никулинское с/п, дер. Кривцово (земельный участок с кадастровым номером 69:10:0241301:470)_в ОРЗТП с 01.2013</t>
  </si>
  <si>
    <t>ООО "Торг-Импекс"</t>
  </si>
  <si>
    <t>Тверской район гидротехнических сооружений - филиал ФГУП "Канал имени Москвы" (ТРГС - филиал ФГУП "Канал имени Москвы"</t>
  </si>
  <si>
    <t>Существующие ВЛ-10 кВ и КТП-10/0,4 кВ - 25 кВА "Комкино-плотина" для электроснабжения плотины.</t>
  </si>
  <si>
    <t>Филиал ОАО "СО ЕЭС" Тверское РДУ</t>
  </si>
  <si>
    <t>ТП-10/0,4 кВ для электроснабжения административного здания и офисных помещений_Тверская область, г. Тверь, ул. Спартака, д. 14 и д. 15_в ОРЗТП с 22.01.2013</t>
  </si>
  <si>
    <t>Электроустановки объекта "Скоростная автомобильная дорога Москва-Санкт-Петербург на участке км 58-км 684" ОАО "Мостотрест"_Тверская область, Вышневолоцкий район, на участке км 312_в ОРЗТП с 24.012013</t>
  </si>
  <si>
    <t>ЛЭП-6 кВ и ТП-6/0,4 кВ -630 кВА для электроснабжения жилых домов_Тверская область, Конаковский район, Городенское с/п, дер. Игуменка, д. 1 (земельный участок с кадастровым номером 69:15:0130502:0012)_в ОРЗТП с 14.01.2013</t>
  </si>
  <si>
    <t>Существующая ЛЭП-10 кВ и 2КТПНУ-630 /10/0,4 кВ для электроснабжения объекта "Строительство научно-производственного комплекса по выпуску агрегатов систем кондиционирования летательных аппаратов г. Киммры"_Тверская область, г. Кимры, ул. Кленовая, 39 (земельный участок с кадастровым номером 69:42:0070623:7)_в ОРЗТП с 15.01.2012</t>
  </si>
  <si>
    <t>Захаров Сергей Валерьевич</t>
  </si>
  <si>
    <t>ЛЭП-0,4 кВ для электроснабжения жилой застройки_Тверская область, Калининский район, Тургиновское с/п, дер. Рязаново (земельный участок с кадастровым номером 69:10:0000033:426)_в ОРЗТП с 14.01.2013 г.</t>
  </si>
  <si>
    <t>Электроустановки объекта "Скоростная авомобильная дорога Москва - Санкт-Петербург на участке км 58-км 684" ОАО "Мостотрест"_Тверская область на участке км 330_в ОРЗТП с 15.01.2013 г.</t>
  </si>
  <si>
    <t>Электроустановки объекта "Скоростная автомобильная дорога Москва - Санкт-Петербург на участке км 58-км 684" ОАО "Мостотрест"_Тверская область, Торжокский район, на участке км 58 - км 684" ОАО "Мостотрест"_в ОРЗТП с 15.01.2013</t>
  </si>
  <si>
    <t>40680415
(договор заключен 24.12.2012)</t>
  </si>
  <si>
    <t>40680401
(договор заключен 24.12.2012)</t>
  </si>
  <si>
    <t>40573871
(договор заключен 14.01.2013)</t>
  </si>
  <si>
    <t>Расчет пропускной способности Центров питания  филиала ОАО "МРСК Центра" Тверьэнерго по итогам зимнего замера максимума нагрузки в декабре 2012 г.</t>
  </si>
  <si>
    <t>Перечень закрытых центров питания ОАО "МРСК Центра"  по зимним нагрузкам нагрузкам 2012 года
(текущий дефицит мощности).</t>
  </si>
  <si>
    <t>ЛЭП-0,4 кВ для электроснабжения коттеджного поселка_Тверская область, Калининский район, Никулинское с/п, дер. Кривцово (земельный участок с кадастровым номером 69:10:0241301:469)_в ОРЗТП с 01.2013</t>
  </si>
  <si>
    <t>ООО "МСК №1"</t>
  </si>
  <si>
    <t>Две укомплектованные линейные ячейки 10 кВ вновь ссоружаемого РТП-10 кВ. запитанного от вновь установленных линейных ячеек 10 кВ на 1 и 2 секции шин 10 кВ ПС 110 кВ Южная_Тверская область, г. Тверь, м-н Мамулино-2 в границах улиц Оснабрюкская, Складская, Степана Горобца (земельный участок с кадастровым номером 69:40:0300015:55)_в ОРЗТП с 22.02.13</t>
  </si>
  <si>
    <t>Острая Зоя Евгеньевна</t>
  </si>
  <si>
    <t>ВЛ-10 кВ и ТП-10/0,4 кВ для электроснабжения хоз.постройки_Тверская область, Калининский район, Никулинское с/п, дер. Брусилово (земельный участок с кадастровым номером 69:10:0241201:136)_в ОРЗТП с 20.02.13</t>
  </si>
  <si>
    <t>ООО "Манан"</t>
  </si>
  <si>
    <t>Вводное устройство молочного завода_Тверская область, Бежецкий район, Городищенское с/п, дер. Городищи, ул. Центральная, д. 8_в ОРЗТП с 12.02.2013</t>
  </si>
  <si>
    <t>ООО "Спектор-И"</t>
  </si>
  <si>
    <t>ЛЭП-0,4 кВ для электроснабжения 112-квартирного жилого дома_Тверская область, Конаковский район, городское поселение п. Радченко, пгт. Радченко, д. 76 (земельный участок с кадастровым номером 69:15:0000017:193)_в ОРЗТП с 25.02.13</t>
  </si>
  <si>
    <t>ООО НПО "Мобильные клиники"</t>
  </si>
  <si>
    <t>Завод по производству мобильных медицинских комплексов в дер. Итомля сельского поселения Итомля" Ржевского района Тверской области_Почтовый адрес ориентира Тверская область, Ржевский район, с/п "Итомля", земельный участок с кадастровым номером 69:27:0141101:392_в ОРЗТП с 20.02.13</t>
  </si>
  <si>
    <t>Муниципальное образование "Никулинское сельское поселение Калинского района Тверской области"</t>
  </si>
  <si>
    <t>Вводное устройство котельной_Тверская область, Калининский район, д. Никулино, ул. Школьная, д. 2_в ОРЗТП с 17.09.2012</t>
  </si>
  <si>
    <t>Вводное устройство здания детского сада на 135 мест в г. Торжке_адрес ориентира: Тверская область, Торжокский район, г. Торжок, Калиниское шоссе, 18-д_в ОРЗТП с 30.01.2013</t>
  </si>
  <si>
    <t>!1 категория! ЛЭП-0,4 кВ для электроснабжения телевизионной башни цифрового радиовещания_Тверскяа область, Калининский район, дер. Андрианово_в ОРЗТП с 02.13</t>
  </si>
  <si>
    <t>Электроснабжение объекта "Складской комплекс для хранения картофеля и овощей"_Тверская область, Спировский район, Ориентир дер. Малое Козлово_участок находится примерно в 460 м от ориентира по направлению на юго восток. Почтовый адрес ориентира: Тверская область, Спировский район, Козловское с/п, дер. Малое Козлово (земельный участок с кадстровым номером 69:31:0000010:318_в ОРЗТП с 12.02.2013 г.</t>
  </si>
  <si>
    <t>ЛЭП-10 кВ, РТП-10/0,4 кВ - 2х100 кВА №89 и шесть БКТП-10/0,4 кВ - 2х100 кВА (БКТП-10/0,4 кВ №87, БКТП-10/0,4 кВ №88, БКТП-10/0,4 кВ № 90, БКТП-10/0,4 кВ № 91, БКТП-10/0.4 кВ № 92, БКТП-10/0,4 кВ № 93) для электроснабжения объекта "Скоростная автомобильная дорога Москва-Санкт-Петербург на участке км 58 - км 684"_Тверская область, Спировский район, на участке км 273_в ОРЗТП с 01.03.13</t>
  </si>
  <si>
    <t>ЛЭП-10 кВ, РТП-10/0.4 кВ - 2х100 кВА № 97 и шесть БКТП-10/0,4 кВ - 2х100 кВА (БКТП-10/0,4 кВ № 94, БКТП-10/0,4 кВ № 95, БКТП -10/0,4 кВ № 96,  БКТП-10/0,4 кВ № 98, БКТП № 99, БКТП № 100) для электроснабжения объекта "Скоростная автомобильная дорога Москва-Санкт-Петербург на участке км 58-км 684"_Тверская область, Вышневолоцкий район, на участке км 58 - км 684"_в ОРЗТП 01.03.13</t>
  </si>
  <si>
    <t>ООО "Снайп"</t>
  </si>
  <si>
    <t>Существующая ЛЭП-0,4 кВ для электроснабжения кумысной фермы_Тверская область, Кашинский район, Верхнетроицкое с/п, дер. Слободка, дом б/н (Кумысный цех) (земельный участок с кадастровым номером 69:12:0000022:0:1)_в ОРЗТП  с 01.03.13</t>
  </si>
  <si>
    <t>Фонд энергоэффективности и новых коммунальных технологий</t>
  </si>
  <si>
    <t>ЛЭП-0,4 кВ для электроснабжения объекта "Бизнес - Центр "Энергопарк"_Тверская область, Конаковский район, Мокшинское с/п, дер. Мокшино (земельный участок с кадастровым номером 69:15:0000019:0135)_в ОРЗТП с 01.03.13</t>
  </si>
  <si>
    <t>ЛЭП-6 кВ и ТП-6/0,4 кВ-63 кВА для электроснабжения мех.мастерских_Тверская область, Фировский район, Великооктябрьское с/п, в район дер. Кузнецово (земельный участок с кадастровым номером 69:36:0000016:735)_в ОРЗТП с 01.03.13</t>
  </si>
  <si>
    <t>Крестьянское фермерское хозяйство "Созь" (КФХ "Созь")</t>
  </si>
  <si>
    <t>ЛЭП-0,4 кВ для электроснабжения крестьянского фермерского хозяйства_Адрес ориентира: Тверская область, Конаковский район, Первомайское с/о, дер. Мыслятино (земельный участок с кадастровым номером 69:15:0000008:0221)_в ОРЗТП с 01.03.13</t>
  </si>
  <si>
    <t>ЛЭП-0,4 кВ для электроснабжения здания котельной_Тверская область, Калининский район, Михайловское с/п, с. Михайловское (земельный участок с кадастровым номером 69:10:0121:01:0:16)_в ОРЗТП с 01.03.13</t>
  </si>
  <si>
    <t>Две ЛЭП-6 кВ и распределительная сеть 6-0,4 кВ_Тверская область, Конаковский район р-н, п. Редкино_в ОРЗТП с 01.03.13</t>
  </si>
  <si>
    <t>Две существующие ЛЭП-10 кВ для электроснабжения объекта "Столовая, поле для игры в мини-футбол с трибунами по адресу: г. Тверь, пер. 1-й пос. Элеватор, д. 6"_в ОРЗТП с 01.03.13</t>
  </si>
  <si>
    <t>2013 г</t>
  </si>
  <si>
    <t>40654432
(договор заключен 01.02.2013)</t>
  </si>
  <si>
    <t>40686022
(договор заключен 05.02.13)</t>
  </si>
  <si>
    <t>40663206
(договор заключен 06.02.13)</t>
  </si>
  <si>
    <t>40657159
(договор заключен 11.02.13)</t>
  </si>
  <si>
    <t>40662647
(договор заключен  19.02.2013)</t>
  </si>
  <si>
    <t>40692474
(договор заключен 19.02.2012)</t>
  </si>
  <si>
    <t>1984/2012</t>
  </si>
  <si>
    <t>1982/2011</t>
  </si>
  <si>
    <t>1985/2012</t>
  </si>
  <si>
    <t>1980/2012</t>
  </si>
  <si>
    <t>1969/2011</t>
  </si>
  <si>
    <t>1979/2012</t>
  </si>
  <si>
    <t>1967/2011</t>
  </si>
  <si>
    <t>1964/2011</t>
  </si>
  <si>
    <t>1978/2011</t>
  </si>
  <si>
    <t>1988/2011</t>
  </si>
  <si>
    <t>1974/2012</t>
  </si>
  <si>
    <t>1971/2011</t>
  </si>
  <si>
    <t>1963/2011</t>
  </si>
  <si>
    <t>1987/2011</t>
  </si>
  <si>
    <t>1965/2011</t>
  </si>
  <si>
    <t>1989/2011</t>
  </si>
  <si>
    <t>1970/2012</t>
  </si>
  <si>
    <t>1975/2011</t>
  </si>
  <si>
    <t>1958/2012</t>
  </si>
  <si>
    <t>1953/2010</t>
  </si>
  <si>
    <t>1976/2012</t>
  </si>
  <si>
    <t>1983/2012</t>
  </si>
  <si>
    <t>открыт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</si>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</sst>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00"/>
    <numFmt numFmtId="166" formatCode="0.0_)"/>
    <numFmt numFmtId="167" formatCode="#,##0.0"/>
    <numFmt numFmtId="168" formatCode="#,##0.000"/>
    <numFmt numFmtId="169" formatCode="dd/mm/yy;@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indexed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color indexed="12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indexed="3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43" fontId="1" fillId="0" borderId="0" applyFont="0" applyFill="0" applyBorder="0" applyAlignment="0" applyProtection="0"/>
  </cellStyleXfs>
  <cellXfs count="18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165" fontId="33" fillId="0" borderId="23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49" fontId="7" fillId="2" borderId="1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3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3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50" fillId="2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3" xfId="1" applyFont="1" applyBorder="1" applyAlignment="1" applyProtection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0" fillId="0" borderId="2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1" xfId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3" xfId="1" applyFont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3" fillId="7" borderId="26" xfId="2" applyFont="1" applyFill="1" applyBorder="1" applyAlignment="1">
      <alignment horizontal="center" vertical="center" wrapText="1"/>
    </xf>
    <xf numFmtId="0" fontId="3" fillId="7" borderId="17" xfId="2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 vertical="center" wrapText="1"/>
    </xf>
    <xf numFmtId="0" fontId="52" fillId="7" borderId="0" xfId="0" applyFont="1" applyFill="1" applyAlignment="1">
      <alignment horizontal="center" vertical="center"/>
    </xf>
    <xf numFmtId="0" fontId="3" fillId="7" borderId="3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center" vertical="center" wrapText="1"/>
    </xf>
    <xf numFmtId="0" fontId="51" fillId="7" borderId="0" xfId="0" applyFont="1" applyFill="1" applyBorder="1" applyAlignment="1">
      <alignment horizontal="center" vertical="center" wrapText="1"/>
    </xf>
    <xf numFmtId="0" fontId="50" fillId="7" borderId="12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2" fillId="7" borderId="9" xfId="0" applyNumberFormat="1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1" fillId="7" borderId="3" xfId="0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20" fillId="7" borderId="31" xfId="1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7" borderId="16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166" fontId="8" fillId="7" borderId="15" xfId="2" applyNumberFormat="1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0" fontId="8" fillId="2" borderId="38" xfId="2" applyFont="1" applyFill="1" applyBorder="1" applyAlignment="1">
      <alignment horizontal="center" vertical="center" wrapText="1"/>
    </xf>
    <xf numFmtId="166" fontId="8" fillId="2" borderId="37" xfId="2" applyNumberFormat="1" applyFont="1" applyFill="1" applyBorder="1" applyAlignment="1">
      <alignment horizontal="center" vertical="center" wrapText="1"/>
    </xf>
    <xf numFmtId="166" fontId="8" fillId="2" borderId="38" xfId="2" applyNumberFormat="1" applyFont="1" applyFill="1" applyBorder="1" applyAlignment="1">
      <alignment horizontal="center" vertical="center" wrapText="1"/>
    </xf>
    <xf numFmtId="166" fontId="8" fillId="2" borderId="39" xfId="2" applyNumberFormat="1" applyFont="1" applyFill="1" applyBorder="1" applyAlignment="1">
      <alignment horizontal="center" vertical="center" wrapText="1"/>
    </xf>
    <xf numFmtId="0" fontId="8" fillId="7" borderId="34" xfId="2" applyFont="1" applyFill="1" applyBorder="1" applyAlignment="1">
      <alignment horizontal="center" vertical="center" wrapText="1"/>
    </xf>
    <xf numFmtId="0" fontId="8" fillId="7" borderId="41" xfId="2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8" fillId="0" borderId="37" xfId="2" applyFont="1" applyFill="1" applyBorder="1" applyAlignment="1">
      <alignment horizontal="center" vertical="center" wrapText="1"/>
    </xf>
    <xf numFmtId="0" fontId="8" fillId="2" borderId="37" xfId="2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 wrapText="1"/>
    </xf>
    <xf numFmtId="0" fontId="12" fillId="7" borderId="15" xfId="2" applyFont="1" applyFill="1" applyBorder="1" applyAlignment="1">
      <alignment horizontal="center" vertical="center" wrapText="1"/>
    </xf>
    <xf numFmtId="0" fontId="12" fillId="7" borderId="0" xfId="2" applyFont="1" applyFill="1" applyBorder="1" applyAlignment="1">
      <alignment horizontal="center" vertical="center" wrapText="1"/>
    </xf>
    <xf numFmtId="0" fontId="12" fillId="7" borderId="13" xfId="2" applyFont="1" applyFill="1" applyBorder="1" applyAlignment="1">
      <alignment horizontal="center" vertical="center" wrapText="1"/>
    </xf>
    <xf numFmtId="0" fontId="9" fillId="7" borderId="15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center" vertical="center" wrapText="1"/>
    </xf>
    <xf numFmtId="0" fontId="9" fillId="7" borderId="13" xfId="2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 wrapText="1"/>
    </xf>
    <xf numFmtId="0" fontId="8" fillId="7" borderId="34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22" xfId="2" applyFont="1" applyFill="1" applyBorder="1" applyAlignment="1">
      <alignment horizontal="center" vertical="center" wrapText="1"/>
    </xf>
    <xf numFmtId="0" fontId="8" fillId="7" borderId="37" xfId="2" applyFont="1" applyFill="1" applyBorder="1" applyAlignment="1">
      <alignment horizontal="center" vertical="center" wrapText="1"/>
    </xf>
    <xf numFmtId="0" fontId="8" fillId="7" borderId="38" xfId="2" applyFont="1" applyFill="1" applyBorder="1" applyAlignment="1">
      <alignment horizontal="center" vertical="center" wrapText="1"/>
    </xf>
    <xf numFmtId="0" fontId="8" fillId="7" borderId="39" xfId="2" applyFont="1" applyFill="1" applyBorder="1" applyAlignment="1">
      <alignment horizontal="center" vertical="center" wrapText="1"/>
    </xf>
    <xf numFmtId="166" fontId="8" fillId="7" borderId="41" xfId="2" applyNumberFormat="1" applyFont="1" applyFill="1" applyBorder="1" applyAlignment="1">
      <alignment horizontal="center" vertical="center" wrapText="1"/>
    </xf>
    <xf numFmtId="166" fontId="8" fillId="7" borderId="28" xfId="2" applyNumberFormat="1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0" fontId="8" fillId="2" borderId="45" xfId="2" applyFont="1" applyFill="1" applyBorder="1" applyAlignment="1">
      <alignment horizontal="center" vertical="center" wrapText="1"/>
    </xf>
    <xf numFmtId="0" fontId="8" fillId="2" borderId="44" xfId="2" applyFont="1" applyFill="1" applyBorder="1" applyAlignment="1">
      <alignment horizontal="center" vertical="center" wrapText="1"/>
    </xf>
    <xf numFmtId="14" fontId="2" fillId="7" borderId="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8" fillId="7" borderId="10" xfId="2" applyFont="1" applyFill="1" applyBorder="1" applyAlignment="1">
      <alignment horizontal="center" vertical="center" wrapText="1"/>
    </xf>
    <xf numFmtId="164" fontId="8" fillId="7" borderId="8" xfId="2" applyNumberFormat="1" applyFont="1" applyFill="1" applyBorder="1" applyAlignment="1">
      <alignment horizontal="center" vertical="center" wrapText="1"/>
    </xf>
    <xf numFmtId="164" fontId="8" fillId="7" borderId="27" xfId="2" applyNumberFormat="1" applyFont="1" applyFill="1" applyBorder="1" applyAlignment="1">
      <alignment horizontal="center" vertical="center" wrapText="1"/>
    </xf>
    <xf numFmtId="164" fontId="8" fillId="7" borderId="9" xfId="2" applyNumberFormat="1" applyFont="1" applyFill="1" applyBorder="1" applyAlignment="1">
      <alignment horizontal="center" vertical="center" wrapText="1"/>
    </xf>
    <xf numFmtId="164" fontId="8" fillId="7" borderId="15" xfId="2" applyNumberFormat="1" applyFont="1" applyFill="1" applyBorder="1" applyAlignment="1">
      <alignment horizontal="center" vertical="center" wrapText="1"/>
    </xf>
    <xf numFmtId="164" fontId="8" fillId="7" borderId="0" xfId="2" applyNumberFormat="1" applyFont="1" applyFill="1" applyBorder="1" applyAlignment="1">
      <alignment horizontal="center" vertical="center" wrapText="1"/>
    </xf>
    <xf numFmtId="164" fontId="8" fillId="7" borderId="13" xfId="2" applyNumberFormat="1" applyFont="1" applyFill="1" applyBorder="1" applyAlignment="1">
      <alignment horizontal="center" vertical="center" wrapText="1"/>
    </xf>
    <xf numFmtId="164" fontId="8" fillId="7" borderId="41" xfId="2" applyNumberFormat="1" applyFont="1" applyFill="1" applyBorder="1" applyAlignment="1">
      <alignment horizontal="center" vertical="center" wrapText="1"/>
    </xf>
    <xf numFmtId="164" fontId="8" fillId="7" borderId="28" xfId="2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8" fillId="7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vertical="center" wrapText="1"/>
    </xf>
    <xf numFmtId="0" fontId="8" fillId="7" borderId="37" xfId="0" applyFont="1" applyFill="1" applyBorder="1" applyAlignment="1">
      <alignment vertical="center" wrapText="1"/>
    </xf>
    <xf numFmtId="0" fontId="8" fillId="7" borderId="38" xfId="0" applyFont="1" applyFill="1" applyBorder="1" applyAlignment="1">
      <alignment vertical="center" wrapText="1"/>
    </xf>
    <xf numFmtId="0" fontId="8" fillId="7" borderId="39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vertical="center"/>
    </xf>
    <xf numFmtId="0" fontId="2" fillId="8" borderId="31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27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20" fillId="7" borderId="1" xfId="1" applyFont="1" applyFill="1" applyBorder="1" applyAlignment="1" applyProtection="1">
      <alignment horizontal="center" vertical="center" wrapText="1"/>
    </xf>
    <xf numFmtId="0" fontId="20" fillId="7" borderId="10" xfId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64" fontId="54" fillId="0" borderId="1" xfId="0" applyNumberFormat="1" applyFont="1" applyFill="1" applyBorder="1" applyAlignment="1" applyProtection="1">
      <alignment horizontal="center" vertical="center" wrapText="1"/>
    </xf>
    <xf numFmtId="0" fontId="3" fillId="7" borderId="31" xfId="1" applyFont="1" applyFill="1" applyBorder="1" applyAlignment="1" applyProtection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65" fontId="10" fillId="0" borderId="28" xfId="0" applyNumberFormat="1" applyFont="1" applyFill="1" applyBorder="1" applyAlignment="1">
      <alignment horizontal="center" vertical="center" wrapText="1"/>
    </xf>
    <xf numFmtId="165" fontId="38" fillId="0" borderId="20" xfId="0" applyNumberFormat="1" applyFont="1" applyFill="1" applyBorder="1" applyAlignment="1">
      <alignment horizontal="center" vertical="center" wrapText="1"/>
    </xf>
    <xf numFmtId="165" fontId="38" fillId="0" borderId="14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6" xfId="2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42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 wrapText="1"/>
    </xf>
    <xf numFmtId="2" fontId="8" fillId="7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/>
    </xf>
    <xf numFmtId="2" fontId="8" fillId="7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164" fontId="10" fillId="4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vertical="center" wrapText="1"/>
    </xf>
    <xf numFmtId="0" fontId="0" fillId="0" borderId="0" xfId="0" applyFill="1" applyBorder="1"/>
    <xf numFmtId="2" fontId="55" fillId="0" borderId="1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49" fillId="2" borderId="0" xfId="0" applyFont="1" applyFill="1" applyBorder="1" applyAlignment="1"/>
    <xf numFmtId="2" fontId="56" fillId="2" borderId="1" xfId="0" applyNumberFormat="1" applyFont="1" applyFill="1" applyBorder="1"/>
    <xf numFmtId="1" fontId="38" fillId="0" borderId="0" xfId="0" applyNumberFormat="1" applyFont="1" applyFill="1" applyBorder="1" applyAlignment="1">
      <alignment horizontal="center" vertical="center" wrapText="1"/>
    </xf>
    <xf numFmtId="0" fontId="8" fillId="10" borderId="0" xfId="0" applyFont="1" applyFill="1"/>
    <xf numFmtId="0" fontId="8" fillId="10" borderId="9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0" xfId="0" applyFont="1" applyFill="1" applyProtection="1">
      <protection locked="0"/>
    </xf>
    <xf numFmtId="0" fontId="43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3" fillId="10" borderId="0" xfId="0" applyFont="1" applyFill="1"/>
    <xf numFmtId="0" fontId="43" fillId="0" borderId="0" xfId="0" applyFont="1" applyFill="1" applyBorder="1"/>
    <xf numFmtId="49" fontId="43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Fill="1"/>
    <xf numFmtId="165" fontId="43" fillId="0" borderId="0" xfId="0" applyNumberFormat="1" applyFont="1" applyFill="1" applyBorder="1"/>
    <xf numFmtId="0" fontId="4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24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/>
    <xf numFmtId="49" fontId="8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65" fontId="8" fillId="0" borderId="25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8" fillId="0" borderId="14" xfId="0" applyFont="1" applyFill="1" applyBorder="1"/>
    <xf numFmtId="49" fontId="8" fillId="0" borderId="48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vertical="center" wrapText="1"/>
    </xf>
    <xf numFmtId="2" fontId="10" fillId="0" borderId="31" xfId="0" applyNumberFormat="1" applyFont="1" applyFill="1" applyBorder="1" applyAlignment="1">
      <alignment vertical="center" wrapText="1"/>
    </xf>
    <xf numFmtId="165" fontId="8" fillId="0" borderId="31" xfId="0" applyNumberFormat="1" applyFont="1" applyFill="1" applyBorder="1"/>
    <xf numFmtId="0" fontId="8" fillId="0" borderId="31" xfId="0" applyFont="1" applyFill="1" applyBorder="1" applyAlignment="1">
      <alignment wrapText="1"/>
    </xf>
    <xf numFmtId="0" fontId="8" fillId="0" borderId="16" xfId="0" applyFont="1" applyFill="1" applyBorder="1"/>
    <xf numFmtId="49" fontId="8" fillId="0" borderId="5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righ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 wrapText="1"/>
    </xf>
    <xf numFmtId="165" fontId="8" fillId="0" borderId="46" xfId="0" applyNumberFormat="1" applyFont="1" applyFill="1" applyBorder="1"/>
    <xf numFmtId="0" fontId="8" fillId="0" borderId="46" xfId="0" applyFont="1" applyFill="1" applyBorder="1" applyAlignment="1">
      <alignment wrapText="1"/>
    </xf>
    <xf numFmtId="0" fontId="8" fillId="0" borderId="53" xfId="0" applyFont="1" applyFill="1" applyBorder="1"/>
    <xf numFmtId="49" fontId="8" fillId="0" borderId="5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/>
    <xf numFmtId="0" fontId="8" fillId="0" borderId="31" xfId="0" applyFont="1" applyFill="1" applyBorder="1"/>
    <xf numFmtId="0" fontId="8" fillId="0" borderId="46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/>
    <xf numFmtId="49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2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Border="1"/>
    <xf numFmtId="0" fontId="43" fillId="0" borderId="0" xfId="0" applyFont="1" applyFill="1" applyAlignment="1">
      <alignment wrapText="1"/>
    </xf>
    <xf numFmtId="0" fontId="43" fillId="0" borderId="3" xfId="0" applyFont="1" applyFill="1" applyBorder="1"/>
    <xf numFmtId="0" fontId="43" fillId="0" borderId="1" xfId="0" applyFont="1" applyFill="1" applyBorder="1"/>
    <xf numFmtId="2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166" fontId="8" fillId="7" borderId="15" xfId="2" applyNumberFormat="1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166" fontId="8" fillId="7" borderId="15" xfId="2" applyNumberFormat="1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1" fontId="43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/>
    </xf>
    <xf numFmtId="2" fontId="50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20" fillId="7" borderId="9" xfId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center" wrapText="1"/>
    </xf>
    <xf numFmtId="2" fontId="47" fillId="5" borderId="1" xfId="0" applyNumberFormat="1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 applyProtection="1">
      <alignment horizontal="center" vertical="center" wrapText="1"/>
    </xf>
    <xf numFmtId="164" fontId="47" fillId="0" borderId="1" xfId="0" applyNumberFormat="1" applyFont="1" applyFill="1" applyBorder="1" applyAlignment="1" applyProtection="1">
      <alignment horizontal="center" vertical="center" wrapText="1"/>
    </xf>
    <xf numFmtId="2" fontId="47" fillId="0" borderId="1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166" fontId="8" fillId="7" borderId="15" xfId="2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9" borderId="10" xfId="0" applyNumberFormat="1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7" fillId="0" borderId="0" xfId="0" applyFont="1" applyFill="1" applyAlignment="1">
      <alignment horizontal="center" vertical="center" wrapText="1"/>
    </xf>
    <xf numFmtId="2" fontId="38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0" fontId="57" fillId="0" borderId="12" xfId="0" applyFont="1" applyBorder="1"/>
    <xf numFmtId="0" fontId="57" fillId="0" borderId="3" xfId="0" applyFont="1" applyBorder="1"/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43" fillId="0" borderId="8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2" fontId="10" fillId="0" borderId="51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0" xfId="2" applyNumberFormat="1" applyFont="1" applyFill="1" applyBorder="1" applyAlignment="1">
      <alignment horizontal="center" vertical="center" wrapText="1"/>
    </xf>
    <xf numFmtId="2" fontId="8" fillId="0" borderId="12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0" xfId="2" applyNumberFormat="1" applyFont="1" applyFill="1" applyBorder="1" applyAlignment="1">
      <alignment horizontal="center" vertical="center" wrapText="1"/>
    </xf>
    <xf numFmtId="2" fontId="8" fillId="0" borderId="12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7" fillId="0" borderId="12" xfId="0" applyFont="1" applyBorder="1"/>
    <xf numFmtId="0" fontId="57" fillId="0" borderId="3" xfId="0" applyFont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0" xfId="0" applyNumberFormat="1" applyFont="1" applyFill="1" applyBorder="1" applyAlignment="1" applyProtection="1">
      <alignment horizontal="center" vertical="center" wrapText="1"/>
    </xf>
    <xf numFmtId="164" fontId="8" fillId="7" borderId="12" xfId="0" applyNumberFormat="1" applyFont="1" applyFill="1" applyBorder="1" applyAlignment="1" applyProtection="1">
      <alignment horizontal="center" vertical="center" wrapText="1"/>
    </xf>
    <xf numFmtId="164" fontId="8" fillId="7" borderId="3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 wrapText="1"/>
    </xf>
    <xf numFmtId="49" fontId="34" fillId="2" borderId="26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2" fontId="36" fillId="0" borderId="0" xfId="0" applyNumberFormat="1" applyFont="1" applyFill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2" fontId="36" fillId="0" borderId="26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4" fillId="2" borderId="0" xfId="0" applyNumberFormat="1" applyFont="1" applyFill="1" applyAlignment="1">
      <alignment horizontal="center" vertical="center" wrapText="1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26" xfId="0" applyNumberFormat="1" applyFont="1" applyFill="1" applyBorder="1" applyAlignment="1">
      <alignment horizontal="center" vertical="center" wrapText="1"/>
    </xf>
    <xf numFmtId="49" fontId="35" fillId="2" borderId="26" xfId="0" applyNumberFormat="1" applyFont="1" applyFill="1" applyBorder="1" applyAlignment="1">
      <alignment horizontal="center" vertical="center" wrapText="1"/>
    </xf>
    <xf numFmtId="0" fontId="39" fillId="2" borderId="24" xfId="0" applyNumberFormat="1" applyFont="1" applyFill="1" applyBorder="1" applyAlignment="1">
      <alignment horizontal="center"/>
    </xf>
    <xf numFmtId="0" fontId="39" fillId="2" borderId="31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2" fontId="2" fillId="9" borderId="24" xfId="0" applyNumberFormat="1" applyFont="1" applyFill="1" applyBorder="1" applyAlignment="1">
      <alignment horizontal="center" vertical="center" wrapText="1"/>
    </xf>
    <xf numFmtId="2" fontId="2" fillId="9" borderId="31" xfId="0" applyNumberFormat="1" applyFont="1" applyFill="1" applyBorder="1" applyAlignment="1">
      <alignment horizontal="center" vertical="center" wrapText="1"/>
    </xf>
    <xf numFmtId="2" fontId="2" fillId="9" borderId="16" xfId="0" applyNumberFormat="1" applyFont="1" applyFill="1" applyBorder="1" applyAlignment="1">
      <alignment horizontal="center" vertical="center" wrapText="1"/>
    </xf>
    <xf numFmtId="0" fontId="23" fillId="9" borderId="31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7" borderId="36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9" borderId="24" xfId="2" applyFont="1" applyFill="1" applyBorder="1" applyAlignment="1">
      <alignment horizontal="center" vertical="center" wrapText="1"/>
    </xf>
    <xf numFmtId="0" fontId="3" fillId="9" borderId="31" xfId="2" applyFont="1" applyFill="1" applyBorder="1" applyAlignment="1">
      <alignment horizontal="center" vertical="center" wrapText="1"/>
    </xf>
    <xf numFmtId="0" fontId="3" fillId="9" borderId="16" xfId="2" applyFont="1" applyFill="1" applyBorder="1" applyAlignment="1">
      <alignment horizontal="center" vertical="center" wrapText="1"/>
    </xf>
    <xf numFmtId="0" fontId="3" fillId="8" borderId="24" xfId="2" applyFont="1" applyFill="1" applyBorder="1" applyAlignment="1">
      <alignment horizontal="center" vertical="center" wrapText="1"/>
    </xf>
    <xf numFmtId="0" fontId="3" fillId="8" borderId="31" xfId="2" applyFont="1" applyFill="1" applyBorder="1" applyAlignment="1">
      <alignment horizontal="center" vertical="center" wrapText="1"/>
    </xf>
    <xf numFmtId="0" fontId="3" fillId="8" borderId="16" xfId="2" applyFont="1" applyFill="1" applyBorder="1" applyAlignment="1">
      <alignment horizontal="center" vertical="center" wrapText="1"/>
    </xf>
    <xf numFmtId="0" fontId="50" fillId="9" borderId="24" xfId="0" applyFont="1" applyFill="1" applyBorder="1" applyAlignment="1">
      <alignment horizontal="center" vertical="center" wrapText="1"/>
    </xf>
    <xf numFmtId="0" fontId="50" fillId="9" borderId="31" xfId="0" applyFont="1" applyFill="1" applyBorder="1" applyAlignment="1">
      <alignment horizontal="center" vertical="center" wrapText="1"/>
    </xf>
    <xf numFmtId="0" fontId="50" fillId="9" borderId="1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34" xfId="2" applyFont="1" applyFill="1" applyBorder="1" applyAlignment="1">
      <alignment horizontal="center" vertical="center" wrapText="1"/>
    </xf>
    <xf numFmtId="0" fontId="8" fillId="7" borderId="15" xfId="2" applyFont="1" applyFill="1" applyBorder="1" applyAlignment="1">
      <alignment horizontal="center" vertical="center" wrapText="1"/>
    </xf>
    <xf numFmtId="0" fontId="8" fillId="7" borderId="41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3" fillId="8" borderId="10" xfId="2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 wrapText="1"/>
    </xf>
    <xf numFmtId="0" fontId="3" fillId="8" borderId="17" xfId="2" applyFont="1" applyFill="1" applyBorder="1" applyAlignment="1">
      <alignment horizontal="center" vertical="center" wrapText="1"/>
    </xf>
    <xf numFmtId="0" fontId="3" fillId="8" borderId="3" xfId="2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26" xfId="2" applyFont="1" applyFill="1" applyBorder="1" applyAlignment="1">
      <alignment horizontal="center" vertical="center" wrapText="1"/>
    </xf>
    <xf numFmtId="0" fontId="3" fillId="7" borderId="16" xfId="2" applyFont="1" applyFill="1" applyBorder="1" applyAlignment="1">
      <alignment horizontal="center" vertical="center" wrapText="1"/>
    </xf>
    <xf numFmtId="0" fontId="3" fillId="7" borderId="17" xfId="2" applyFont="1" applyFill="1" applyBorder="1" applyAlignment="1">
      <alignment horizontal="center" vertical="center" wrapText="1"/>
    </xf>
    <xf numFmtId="0" fontId="3" fillId="7" borderId="31" xfId="2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8" borderId="26" xfId="2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6" borderId="31" xfId="1" applyFont="1" applyFill="1" applyBorder="1" applyAlignment="1" applyProtection="1">
      <alignment horizontal="center" vertical="center" wrapText="1"/>
    </xf>
    <xf numFmtId="0" fontId="3" fillId="6" borderId="16" xfId="1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31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7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9" borderId="24" xfId="1" applyFont="1" applyFill="1" applyBorder="1" applyAlignment="1" applyProtection="1">
      <alignment horizontal="center" vertical="center" wrapText="1"/>
    </xf>
    <xf numFmtId="0" fontId="3" fillId="9" borderId="31" xfId="1" applyFont="1" applyFill="1" applyBorder="1" applyAlignment="1" applyProtection="1">
      <alignment horizontal="center" vertical="center" wrapText="1"/>
    </xf>
    <xf numFmtId="0" fontId="3" fillId="9" borderId="16" xfId="1" applyFont="1" applyFill="1" applyBorder="1" applyAlignment="1" applyProtection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166" fontId="8" fillId="7" borderId="41" xfId="2" applyNumberFormat="1" applyFont="1" applyFill="1" applyBorder="1" applyAlignment="1">
      <alignment horizontal="center" vertical="center" wrapText="1"/>
    </xf>
    <xf numFmtId="166" fontId="8" fillId="7" borderId="0" xfId="2" applyNumberFormat="1" applyFont="1" applyFill="1" applyBorder="1" applyAlignment="1">
      <alignment horizontal="center" vertical="center" wrapText="1"/>
    </xf>
    <xf numFmtId="166" fontId="8" fillId="7" borderId="28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166" fontId="8" fillId="7" borderId="34" xfId="2" applyNumberFormat="1" applyFont="1" applyFill="1" applyBorder="1" applyAlignment="1">
      <alignment horizontal="center" vertical="center" wrapText="1"/>
    </xf>
    <xf numFmtId="166" fontId="8" fillId="7" borderId="15" xfId="2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58" fillId="2" borderId="0" xfId="0" applyFont="1" applyFill="1" applyAlignment="1"/>
    <xf numFmtId="0" fontId="58" fillId="2" borderId="0" xfId="0" applyFont="1" applyFill="1" applyBorder="1" applyAlignment="1"/>
    <xf numFmtId="49" fontId="7" fillId="2" borderId="0" xfId="0" applyNumberFormat="1" applyFont="1" applyFill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Alignment="1"/>
    <xf numFmtId="165" fontId="43" fillId="0" borderId="0" xfId="0" applyNumberFormat="1" applyFont="1" applyFill="1" applyAlignment="1"/>
    <xf numFmtId="0" fontId="8" fillId="0" borderId="0" xfId="0" applyFont="1" applyFill="1" applyAlignment="1"/>
    <xf numFmtId="165" fontId="8" fillId="0" borderId="0" xfId="0" applyNumberFormat="1" applyFont="1" applyFill="1" applyAlignment="1"/>
    <xf numFmtId="164" fontId="58" fillId="2" borderId="0" xfId="0" applyNumberFormat="1" applyFont="1" applyFill="1" applyBorder="1" applyAlignment="1"/>
    <xf numFmtId="164" fontId="58" fillId="2" borderId="0" xfId="0" applyNumberFormat="1" applyFont="1" applyFill="1" applyAlignment="1"/>
    <xf numFmtId="164" fontId="7" fillId="2" borderId="0" xfId="0" applyNumberFormat="1" applyFont="1" applyFill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8" fillId="2" borderId="0" xfId="0" applyNumberFormat="1" applyFont="1" applyFill="1" applyAlignment="1"/>
    <xf numFmtId="0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58" fillId="2" borderId="0" xfId="0" applyNumberFormat="1" applyFont="1" applyFill="1" applyBorder="1" applyAlignment="1"/>
    <xf numFmtId="2" fontId="57" fillId="0" borderId="1" xfId="0" applyNumberFormat="1" applyFont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Финансовый 2" xfId="4"/>
  </cellStyles>
  <dxfs count="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/../Application%20Data/nikolskaya/banko-so/Application%20Data/Local%20Settings/&#1058;&#1077;&#1093;&#1091;&#1089;&#1083;&#1086;&#1074;&#1080;&#1103;/&#1058;&#1069;&#1057;/&#1055;&#1057;%20&#8470;%2015/&#1040;&#1088;&#1089;&#1077;&#1083;&#1086;&#1088;-740%20&#1082;&#1042;&#1040;-1%20&#1086;&#1095;&#1077;&#1088;&#1077;&#1076;&#1100;&#1089;%20&#1088;&#1072;&#1073;&#1086;&#1090;&#1072;&#1084;&#1080;.pdf" TargetMode="External"/><Relationship Id="rId2" Type="http://schemas.openxmlformats.org/officeDocument/2006/relationships/hyperlink" Target="../../Application%20Data/nikolskaya/banko-so/Application%20Data/Local%20Settings/&#1058;&#1077;&#1093;&#1091;&#1089;&#1083;&#1086;&#1074;&#1080;&#1103;/&#1058;&#1069;&#1057;/&#1056;&#1072;&#1084;&#1077;&#1096;&#1082;&#1080;/&#1058;&#1059;%20&#1058;&#1054;&#1057;%208607%20&#1074;%20&#1087;.&#1056;&#1072;&#1084;&#1077;&#1096;&#1082;&#1080;.pdf" TargetMode="External"/><Relationship Id="rId1" Type="http://schemas.openxmlformats.org/officeDocument/2006/relationships/hyperlink" Target="../../Application%20Data/nikolskaya/banko-so/Application%20Data/Local%20Settings/&#1058;&#1077;&#1093;&#1091;&#1089;&#1083;&#1086;&#1074;&#1080;&#1103;/&#1058;&#1069;&#1057;/&#1051;&#1080;&#1093;&#1086;&#1089;&#1083;&#1072;&#1074;&#1083;&#1100;/&#1058;&#1059;%20&#1086;&#1087;&#1090;&#1080;&#1084;&#1080;&#1079;&#1072;&#1094;&#1080;&#1103;.pd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../../Application%20Data/nikolskaya/banko-so/Application%20Data/Local%20Settings/&#1058;&#1077;&#1093;&#1091;&#1089;&#1083;&#1086;&#1074;&#1080;&#1103;/&#1058;&#1069;&#1057;/&#1055;&#1057;%20&#8470;%2015/&#1040;&#1088;&#1089;&#1077;&#1083;&#1086;&#1088;%20-%20II%20&#1086;&#1095;&#1077;&#1088;&#1077;&#1076;&#1100;-740%20&#1082;&#1042;&#1090;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X882"/>
  <sheetViews>
    <sheetView zoomScale="55" zoomScaleNormal="55" workbookViewId="0">
      <pane ySplit="5" topLeftCell="A391" activePane="bottomLeft" state="frozen"/>
      <selection activeCell="A5" sqref="A5"/>
      <selection pane="bottomLeft" activeCell="AA8" sqref="AA8:AH433"/>
    </sheetView>
  </sheetViews>
  <sheetFormatPr defaultRowHeight="15" x14ac:dyDescent="0.25"/>
  <cols>
    <col min="1" max="1" width="9.140625" style="934" customWidth="1"/>
    <col min="2" max="2" width="6" style="256" hidden="1" customWidth="1"/>
    <col min="3" max="3" width="36.7109375" style="256" customWidth="1"/>
    <col min="4" max="4" width="5.7109375" style="1008" customWidth="1"/>
    <col min="5" max="5" width="2.7109375" style="256" customWidth="1"/>
    <col min="6" max="6" width="5.7109375" style="256" customWidth="1"/>
    <col min="7" max="7" width="2.7109375" style="256" customWidth="1"/>
    <col min="8" max="8" width="5.7109375" style="256" customWidth="1"/>
    <col min="9" max="9" width="18" style="256" hidden="1" customWidth="1"/>
    <col min="10" max="10" width="13.28515625" style="256" customWidth="1"/>
    <col min="11" max="11" width="15.42578125" style="256" customWidth="1"/>
    <col min="12" max="12" width="10.85546875" style="256" customWidth="1"/>
    <col min="13" max="13" width="10.5703125" style="1009" customWidth="1"/>
    <col min="14" max="14" width="18.42578125" style="256" customWidth="1"/>
    <col min="15" max="15" width="18.42578125" style="256" hidden="1" customWidth="1"/>
    <col min="16" max="16" width="9.28515625" style="256" customWidth="1"/>
    <col min="17" max="17" width="12.140625" style="256" customWidth="1"/>
    <col min="18" max="18" width="11" style="256" customWidth="1"/>
    <col min="19" max="19" width="18.28515625" style="256" customWidth="1"/>
    <col min="20" max="20" width="13.7109375" style="256" hidden="1" customWidth="1"/>
    <col min="21" max="22" width="13.5703125" style="256" hidden="1" customWidth="1"/>
    <col min="23" max="23" width="12.42578125" style="256" hidden="1" customWidth="1"/>
    <col min="24" max="24" width="2.28515625" style="934" customWidth="1"/>
    <col min="25" max="25" width="9.85546875" style="940" customWidth="1"/>
    <col min="26" max="26" width="9.140625" style="941" hidden="1" customWidth="1"/>
    <col min="27" max="27" width="32.140625" style="1812" customWidth="1"/>
    <col min="28" max="28" width="5.7109375" style="1812" customWidth="1"/>
    <col min="29" max="29" width="2.7109375" style="1812" customWidth="1"/>
    <col min="30" max="30" width="5.7109375" style="1812" customWidth="1"/>
    <col min="31" max="31" width="2.7109375" style="1812" customWidth="1"/>
    <col min="32" max="32" width="5.7109375" style="1812" customWidth="1"/>
    <col min="33" max="33" width="10.7109375" style="1812" hidden="1" customWidth="1"/>
    <col min="34" max="34" width="13.140625" style="1813" customWidth="1"/>
    <col min="35" max="35" width="11.42578125" style="942" customWidth="1"/>
    <col min="36" max="37" width="9.140625" style="934" customWidth="1"/>
    <col min="38" max="38" width="9.7109375" style="934" customWidth="1"/>
    <col min="39" max="39" width="9.140625" style="934" customWidth="1"/>
    <col min="40" max="40" width="9.42578125" style="934" customWidth="1"/>
    <col min="41" max="41" width="11.28515625" style="942" customWidth="1"/>
    <col min="42" max="42" width="11.140625" style="942" customWidth="1"/>
    <col min="43" max="43" width="17.5703125" style="942" customWidth="1"/>
    <col min="44" max="44" width="13.42578125" style="1012" hidden="1" customWidth="1"/>
    <col min="45" max="45" width="17.85546875" style="934" hidden="1" customWidth="1"/>
    <col min="46" max="46" width="37.5703125" style="1014" hidden="1" customWidth="1"/>
    <col min="47" max="47" width="20.140625" style="934" hidden="1" customWidth="1"/>
    <col min="48" max="50" width="9.140625" style="934" hidden="1" customWidth="1"/>
    <col min="51" max="16384" width="9.140625" style="934"/>
  </cols>
  <sheetData>
    <row r="1" spans="1:50" ht="9" customHeight="1" x14ac:dyDescent="0.25">
      <c r="B1" s="935"/>
      <c r="C1" s="936"/>
      <c r="D1" s="937"/>
      <c r="E1" s="936"/>
      <c r="F1" s="936"/>
      <c r="G1" s="936"/>
      <c r="H1" s="936"/>
      <c r="I1" s="936"/>
      <c r="J1" s="936"/>
      <c r="K1" s="936"/>
      <c r="L1" s="936"/>
      <c r="M1" s="938"/>
      <c r="N1" s="936"/>
      <c r="O1" s="936"/>
      <c r="P1" s="936"/>
      <c r="Q1" s="1407"/>
      <c r="R1" s="1407"/>
      <c r="S1" s="936"/>
      <c r="T1" s="255"/>
      <c r="X1" s="939"/>
      <c r="AP1" s="943"/>
      <c r="AQ1" s="943"/>
      <c r="AR1" s="944"/>
      <c r="AS1" s="940"/>
      <c r="AT1" s="940"/>
    </row>
    <row r="2" spans="1:50" ht="39" customHeight="1" x14ac:dyDescent="0.25">
      <c r="B2" s="1416" t="s">
        <v>3507</v>
      </c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8"/>
      <c r="X2" s="939"/>
      <c r="Z2" s="945"/>
      <c r="AA2" s="945"/>
      <c r="AB2" s="945"/>
      <c r="AC2" s="945"/>
      <c r="AD2" s="945"/>
      <c r="AE2" s="945"/>
      <c r="AF2" s="945"/>
      <c r="AG2" s="945"/>
      <c r="AH2" s="946"/>
      <c r="AI2" s="946"/>
      <c r="AJ2" s="945"/>
      <c r="AK2" s="945"/>
      <c r="AL2" s="945"/>
      <c r="AM2" s="945"/>
      <c r="AN2" s="945"/>
      <c r="AO2" s="946"/>
      <c r="AP2" s="946"/>
      <c r="AQ2" s="946"/>
      <c r="AR2" s="945"/>
      <c r="AS2" s="940"/>
      <c r="AT2" s="940"/>
    </row>
    <row r="3" spans="1:50" ht="15.75" customHeight="1" x14ac:dyDescent="0.25">
      <c r="B3" s="1411" t="s">
        <v>1794</v>
      </c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3"/>
      <c r="X3" s="939"/>
      <c r="AO3" s="1340" t="s">
        <v>3</v>
      </c>
      <c r="AP3" s="1340"/>
      <c r="AQ3" s="1340"/>
      <c r="AR3" s="1340"/>
      <c r="AS3" s="1340"/>
      <c r="AT3" s="1340"/>
    </row>
    <row r="4" spans="1:50" ht="24" customHeight="1" x14ac:dyDescent="0.25">
      <c r="A4" s="1371" t="s">
        <v>1790</v>
      </c>
      <c r="B4" s="1371" t="s">
        <v>1790</v>
      </c>
      <c r="C4" s="1376" t="s">
        <v>331</v>
      </c>
      <c r="D4" s="1414" t="s">
        <v>332</v>
      </c>
      <c r="E4" s="1415"/>
      <c r="F4" s="1415"/>
      <c r="G4" s="1415"/>
      <c r="H4" s="1415"/>
      <c r="I4" s="1415"/>
      <c r="J4" s="1415"/>
      <c r="K4" s="1415"/>
      <c r="L4" s="1415"/>
      <c r="M4" s="1415"/>
      <c r="N4" s="1415"/>
      <c r="O4" s="1415"/>
      <c r="P4" s="1415"/>
      <c r="Q4" s="1415"/>
      <c r="R4" s="1370"/>
      <c r="S4" s="1371" t="s">
        <v>1797</v>
      </c>
      <c r="T4" s="1371" t="s">
        <v>1797</v>
      </c>
      <c r="U4" s="1370" t="s">
        <v>1836</v>
      </c>
      <c r="V4" s="1408" t="s">
        <v>3085</v>
      </c>
      <c r="W4" s="1370" t="s">
        <v>3086</v>
      </c>
      <c r="X4" s="939"/>
      <c r="Y4" s="1370" t="s">
        <v>1790</v>
      </c>
      <c r="Z4" s="1316" t="s">
        <v>1790</v>
      </c>
      <c r="AA4" s="1298" t="s">
        <v>331</v>
      </c>
      <c r="AB4" s="1314" t="s">
        <v>1800</v>
      </c>
      <c r="AC4" s="1315"/>
      <c r="AD4" s="1315"/>
      <c r="AE4" s="1315"/>
      <c r="AF4" s="1315"/>
      <c r="AG4" s="1315"/>
      <c r="AH4" s="1315"/>
      <c r="AI4" s="1315"/>
      <c r="AJ4" s="1315"/>
      <c r="AK4" s="1315"/>
      <c r="AL4" s="1315"/>
      <c r="AM4" s="1315"/>
      <c r="AN4" s="1315"/>
      <c r="AO4" s="1315"/>
      <c r="AP4" s="1316"/>
      <c r="AQ4" s="1293" t="s">
        <v>1797</v>
      </c>
      <c r="AR4" s="1293" t="s">
        <v>1797</v>
      </c>
      <c r="AS4" s="1293" t="s">
        <v>1836</v>
      </c>
      <c r="AT4" s="1311" t="s">
        <v>1840</v>
      </c>
      <c r="AU4" s="1420" t="s">
        <v>3284</v>
      </c>
      <c r="AV4" s="1421" t="s">
        <v>3285</v>
      </c>
      <c r="AW4" s="1419" t="s">
        <v>3292</v>
      </c>
      <c r="AX4" s="1419" t="s">
        <v>3293</v>
      </c>
    </row>
    <row r="5" spans="1:50" ht="118.5" customHeight="1" x14ac:dyDescent="0.25">
      <c r="A5" s="1371"/>
      <c r="B5" s="1371"/>
      <c r="C5" s="1393"/>
      <c r="D5" s="1406" t="s">
        <v>1786</v>
      </c>
      <c r="E5" s="1407"/>
      <c r="F5" s="1407"/>
      <c r="G5" s="1407"/>
      <c r="H5" s="1402"/>
      <c r="I5" s="1414" t="s">
        <v>1786</v>
      </c>
      <c r="J5" s="1371" t="s">
        <v>1787</v>
      </c>
      <c r="K5" s="1371" t="s">
        <v>1785</v>
      </c>
      <c r="L5" s="1371"/>
      <c r="M5" s="1379" t="s">
        <v>333</v>
      </c>
      <c r="N5" s="1371" t="s">
        <v>1788</v>
      </c>
      <c r="O5" s="1376" t="s">
        <v>3084</v>
      </c>
      <c r="P5" s="1370" t="s">
        <v>336</v>
      </c>
      <c r="Q5" s="1371" t="s">
        <v>1802</v>
      </c>
      <c r="R5" s="1371"/>
      <c r="S5" s="1371"/>
      <c r="T5" s="1371"/>
      <c r="U5" s="1370"/>
      <c r="V5" s="1370"/>
      <c r="W5" s="1370"/>
      <c r="X5" s="939"/>
      <c r="Y5" s="1370"/>
      <c r="Z5" s="1316"/>
      <c r="AA5" s="1298"/>
      <c r="AB5" s="1341" t="s">
        <v>1786</v>
      </c>
      <c r="AC5" s="1336"/>
      <c r="AD5" s="1336"/>
      <c r="AE5" s="1336"/>
      <c r="AF5" s="1342"/>
      <c r="AG5" s="1298" t="s">
        <v>1795</v>
      </c>
      <c r="AH5" s="1339" t="s">
        <v>1796</v>
      </c>
      <c r="AI5" s="1339" t="s">
        <v>1799</v>
      </c>
      <c r="AJ5" s="1298" t="s">
        <v>1798</v>
      </c>
      <c r="AK5" s="1298"/>
      <c r="AL5" s="1298" t="s">
        <v>1793</v>
      </c>
      <c r="AM5" s="1298" t="s">
        <v>1788</v>
      </c>
      <c r="AN5" s="1342" t="s">
        <v>336</v>
      </c>
      <c r="AO5" s="1298" t="s">
        <v>1801</v>
      </c>
      <c r="AP5" s="1298"/>
      <c r="AQ5" s="1294"/>
      <c r="AR5" s="1294"/>
      <c r="AS5" s="1294"/>
      <c r="AT5" s="1312"/>
      <c r="AU5" s="1420"/>
      <c r="AV5" s="1421"/>
      <c r="AW5" s="1419"/>
      <c r="AX5" s="1419"/>
    </row>
    <row r="6" spans="1:50" ht="18.75" customHeight="1" x14ac:dyDescent="0.25">
      <c r="A6" s="1371"/>
      <c r="B6" s="1371"/>
      <c r="C6" s="1394"/>
      <c r="D6" s="1409"/>
      <c r="E6" s="1410"/>
      <c r="F6" s="1410"/>
      <c r="G6" s="1410"/>
      <c r="H6" s="1403"/>
      <c r="I6" s="1414"/>
      <c r="J6" s="1371"/>
      <c r="K6" s="213" t="s">
        <v>334</v>
      </c>
      <c r="L6" s="213" t="s">
        <v>1522</v>
      </c>
      <c r="M6" s="1379"/>
      <c r="N6" s="1371"/>
      <c r="O6" s="1394"/>
      <c r="P6" s="1370"/>
      <c r="Q6" s="1371"/>
      <c r="R6" s="1371"/>
      <c r="S6" s="1371"/>
      <c r="T6" s="1371"/>
      <c r="U6" s="1370"/>
      <c r="V6" s="1370"/>
      <c r="W6" s="1370"/>
      <c r="X6" s="939"/>
      <c r="Y6" s="1370"/>
      <c r="Z6" s="1316"/>
      <c r="AA6" s="1298"/>
      <c r="AB6" s="1343"/>
      <c r="AC6" s="1344"/>
      <c r="AD6" s="1344"/>
      <c r="AE6" s="1344"/>
      <c r="AF6" s="1345"/>
      <c r="AG6" s="1298"/>
      <c r="AH6" s="1339"/>
      <c r="AI6" s="1339"/>
      <c r="AJ6" s="1298" t="s">
        <v>334</v>
      </c>
      <c r="AK6" s="1298" t="s">
        <v>1522</v>
      </c>
      <c r="AL6" s="1298"/>
      <c r="AM6" s="1298"/>
      <c r="AN6" s="1345"/>
      <c r="AO6" s="1298"/>
      <c r="AP6" s="1298"/>
      <c r="AQ6" s="1295"/>
      <c r="AR6" s="1295"/>
      <c r="AS6" s="1295"/>
      <c r="AT6" s="1313"/>
      <c r="AU6" s="1420"/>
      <c r="AV6" s="1421"/>
      <c r="AW6" s="1419"/>
      <c r="AX6" s="1419"/>
    </row>
    <row r="7" spans="1:50" x14ac:dyDescent="0.25">
      <c r="A7" s="947">
        <v>1</v>
      </c>
      <c r="B7" s="213">
        <v>1</v>
      </c>
      <c r="C7" s="213">
        <v>2</v>
      </c>
      <c r="D7" s="1406">
        <v>3</v>
      </c>
      <c r="E7" s="1407"/>
      <c r="F7" s="1407"/>
      <c r="G7" s="1407"/>
      <c r="H7" s="1402"/>
      <c r="I7" s="214">
        <v>3</v>
      </c>
      <c r="J7" s="229">
        <v>4</v>
      </c>
      <c r="K7" s="213">
        <v>5</v>
      </c>
      <c r="L7" s="213">
        <v>6</v>
      </c>
      <c r="M7" s="948">
        <v>7</v>
      </c>
      <c r="N7" s="213">
        <v>8</v>
      </c>
      <c r="O7" s="228"/>
      <c r="P7" s="228">
        <v>9</v>
      </c>
      <c r="Q7" s="213">
        <v>10</v>
      </c>
      <c r="R7" s="213">
        <v>11</v>
      </c>
      <c r="S7" s="213">
        <v>12</v>
      </c>
      <c r="T7" s="213">
        <v>13</v>
      </c>
      <c r="U7" s="228">
        <v>13</v>
      </c>
      <c r="V7" s="213">
        <v>15</v>
      </c>
      <c r="W7" s="213">
        <v>16</v>
      </c>
      <c r="X7" s="939"/>
      <c r="Y7" s="949">
        <v>1</v>
      </c>
      <c r="Z7" s="1316">
        <v>1</v>
      </c>
      <c r="AA7" s="948">
        <v>2</v>
      </c>
      <c r="AB7" s="1341">
        <v>3</v>
      </c>
      <c r="AC7" s="1336"/>
      <c r="AD7" s="1336"/>
      <c r="AE7" s="1336"/>
      <c r="AF7" s="1342"/>
      <c r="AG7" s="948">
        <v>3</v>
      </c>
      <c r="AH7" s="948">
        <v>4</v>
      </c>
      <c r="AI7" s="948">
        <v>5</v>
      </c>
      <c r="AJ7" s="948">
        <v>6</v>
      </c>
      <c r="AK7" s="948">
        <v>7</v>
      </c>
      <c r="AL7" s="948">
        <v>8</v>
      </c>
      <c r="AM7" s="948">
        <v>9</v>
      </c>
      <c r="AN7" s="950">
        <v>10</v>
      </c>
      <c r="AO7" s="948">
        <v>11</v>
      </c>
      <c r="AP7" s="948">
        <v>12</v>
      </c>
      <c r="AQ7" s="948">
        <v>13</v>
      </c>
      <c r="AR7" s="948">
        <v>13</v>
      </c>
      <c r="AS7" s="951">
        <v>14</v>
      </c>
      <c r="AT7" s="1110">
        <v>15</v>
      </c>
      <c r="AU7" s="1113"/>
      <c r="AV7" s="1119"/>
      <c r="AW7" s="1120"/>
      <c r="AX7" s="1120"/>
    </row>
    <row r="8" spans="1:50" ht="20.100000000000001" customHeight="1" x14ac:dyDescent="0.25">
      <c r="A8" s="213">
        <v>1</v>
      </c>
      <c r="B8" s="213">
        <v>1</v>
      </c>
      <c r="C8" s="214" t="s">
        <v>901</v>
      </c>
      <c r="D8" s="230">
        <v>1.6</v>
      </c>
      <c r="E8" s="229"/>
      <c r="F8" s="229"/>
      <c r="G8" s="229"/>
      <c r="H8" s="228"/>
      <c r="I8" s="229" t="str">
        <f>CONCATENATE(D8,E8,F8,G8,H8)</f>
        <v>1,6</v>
      </c>
      <c r="J8" s="895">
        <v>0.65</v>
      </c>
      <c r="K8" s="172">
        <v>0.85</v>
      </c>
      <c r="L8" s="213" t="s">
        <v>335</v>
      </c>
      <c r="M8" s="172">
        <f>K8</f>
        <v>0.85</v>
      </c>
      <c r="N8" s="172">
        <v>0</v>
      </c>
      <c r="O8" s="893"/>
      <c r="P8" s="893">
        <f t="shared" ref="P8:P50" si="0">M8-N8</f>
        <v>0.85</v>
      </c>
      <c r="Q8" s="172">
        <f t="shared" ref="Q8:Q50" si="1">P8-J8</f>
        <v>0.19999999999999996</v>
      </c>
      <c r="R8" s="172">
        <f>Q8</f>
        <v>0.19999999999999996</v>
      </c>
      <c r="S8" s="242" t="str">
        <f t="shared" ref="S8:S71" si="2">T8</f>
        <v/>
      </c>
      <c r="T8" s="257" t="str">
        <f t="shared" ref="T8:T39" si="3">IF(R8&lt;0,"закрыт","")</f>
        <v/>
      </c>
      <c r="U8" s="768">
        <f t="shared" ref="U8:U39" si="4">(J8*100)/(I8*1.05)</f>
        <v>38.69047619047619</v>
      </c>
      <c r="V8" s="768">
        <v>0.55000000000000004</v>
      </c>
      <c r="W8" s="768" t="s">
        <v>3476</v>
      </c>
      <c r="X8" s="929"/>
      <c r="Y8" s="213">
        <v>1</v>
      </c>
      <c r="Z8" s="1316">
        <v>1</v>
      </c>
      <c r="AA8" s="1314" t="s">
        <v>901</v>
      </c>
      <c r="AB8" s="230">
        <f>D8</f>
        <v>1.6</v>
      </c>
      <c r="AC8" s="1315"/>
      <c r="AD8" s="1315"/>
      <c r="AE8" s="1315"/>
      <c r="AF8" s="1316"/>
      <c r="AG8" s="1298" t="str">
        <f>CONCATENATE(AB8,AC8,AD8,AE8,AF8)</f>
        <v>1,6</v>
      </c>
      <c r="AH8" s="1304">
        <f>'Зона БЭс'!L8</f>
        <v>0</v>
      </c>
      <c r="AI8" s="1304">
        <f t="shared" ref="AI8:AI71" si="5">AH8+J8</f>
        <v>0.65</v>
      </c>
      <c r="AJ8" s="1304">
        <f>K8</f>
        <v>0.85</v>
      </c>
      <c r="AK8" s="1298" t="str">
        <f>L8</f>
        <v>1 сутки</v>
      </c>
      <c r="AL8" s="1304">
        <f>AJ8</f>
        <v>0.85</v>
      </c>
      <c r="AM8" s="1298">
        <v>0</v>
      </c>
      <c r="AN8" s="893">
        <f>AL8-AM8</f>
        <v>0.85</v>
      </c>
      <c r="AO8" s="1304">
        <f>AN8-AI8</f>
        <v>0.19999999999999996</v>
      </c>
      <c r="AP8" s="1304">
        <f>AO8</f>
        <v>0.19999999999999996</v>
      </c>
      <c r="AQ8" s="1339" t="str">
        <f t="shared" ref="AQ8:AQ71" si="6">AR8</f>
        <v/>
      </c>
      <c r="AR8" s="1298" t="str">
        <f t="shared" ref="AR8:AR39" si="7">IF(AP8&lt;0,"закрыт","")</f>
        <v/>
      </c>
      <c r="AS8" s="952">
        <f>(AI8*100)/(AG8*1.05)</f>
        <v>38.69047619047619</v>
      </c>
      <c r="AT8" s="954" t="s">
        <v>754</v>
      </c>
      <c r="AU8" s="1113">
        <v>1989</v>
      </c>
      <c r="AV8" s="1119" t="s">
        <v>3286</v>
      </c>
      <c r="AW8" s="1121">
        <v>58.168580612302598</v>
      </c>
      <c r="AX8" s="1121">
        <v>35.465545045961903</v>
      </c>
    </row>
    <row r="9" spans="1:50" ht="20.100000000000001" customHeight="1" x14ac:dyDescent="0.25">
      <c r="A9" s="213">
        <v>2</v>
      </c>
      <c r="B9" s="213">
        <v>2</v>
      </c>
      <c r="C9" s="213" t="s">
        <v>902</v>
      </c>
      <c r="D9" s="230">
        <v>1.6</v>
      </c>
      <c r="E9" s="229"/>
      <c r="F9" s="229"/>
      <c r="G9" s="229"/>
      <c r="H9" s="228"/>
      <c r="I9" s="229" t="str">
        <f t="shared" ref="I9:I72" si="8">CONCATENATE(D9,E9,F9,G9,H9)</f>
        <v>1,6</v>
      </c>
      <c r="J9" s="895">
        <v>0.56999999999999995</v>
      </c>
      <c r="K9" s="172">
        <v>1.41</v>
      </c>
      <c r="L9" s="213" t="s">
        <v>335</v>
      </c>
      <c r="M9" s="172">
        <f>K9</f>
        <v>1.41</v>
      </c>
      <c r="N9" s="172">
        <v>0</v>
      </c>
      <c r="O9" s="893"/>
      <c r="P9" s="893">
        <f t="shared" si="0"/>
        <v>1.41</v>
      </c>
      <c r="Q9" s="172">
        <f t="shared" si="1"/>
        <v>0.84</v>
      </c>
      <c r="R9" s="172">
        <f>Q9</f>
        <v>0.84</v>
      </c>
      <c r="S9" s="213" t="str">
        <f t="shared" si="2"/>
        <v/>
      </c>
      <c r="T9" s="257" t="str">
        <f t="shared" si="3"/>
        <v/>
      </c>
      <c r="U9" s="768">
        <f t="shared" si="4"/>
        <v>33.928571428571423</v>
      </c>
      <c r="V9" s="768">
        <v>0.62</v>
      </c>
      <c r="W9" s="768" t="s">
        <v>3476</v>
      </c>
      <c r="X9" s="929"/>
      <c r="Y9" s="213">
        <v>2</v>
      </c>
      <c r="Z9" s="1316">
        <v>2</v>
      </c>
      <c r="AA9" s="1298" t="s">
        <v>902</v>
      </c>
      <c r="AB9" s="230">
        <f t="shared" ref="AB9:AB72" si="9">D9</f>
        <v>1.6</v>
      </c>
      <c r="AC9" s="1315"/>
      <c r="AD9" s="1315"/>
      <c r="AE9" s="1315"/>
      <c r="AF9" s="1316"/>
      <c r="AG9" s="1298" t="str">
        <f t="shared" ref="AG9:AG72" si="10">CONCATENATE(AB9,AC9,AD9,AE9,AF9)</f>
        <v>1,6</v>
      </c>
      <c r="AH9" s="1304">
        <f>'Зона БЭс'!L10</f>
        <v>0</v>
      </c>
      <c r="AI9" s="1304">
        <f t="shared" si="5"/>
        <v>0.56999999999999995</v>
      </c>
      <c r="AJ9" s="1304">
        <f>K9</f>
        <v>1.41</v>
      </c>
      <c r="AK9" s="1298" t="str">
        <f t="shared" ref="AK9:AK72" si="11">L9</f>
        <v>1 сутки</v>
      </c>
      <c r="AL9" s="1304">
        <f t="shared" ref="AL9:AL50" si="12">AJ9</f>
        <v>1.41</v>
      </c>
      <c r="AM9" s="1298">
        <v>0</v>
      </c>
      <c r="AN9" s="893">
        <f t="shared" ref="AN9:AN50" si="13">AL9-AM9</f>
        <v>1.41</v>
      </c>
      <c r="AO9" s="1304">
        <f t="shared" ref="AO9:AO50" si="14">AN9-AI9</f>
        <v>0.84</v>
      </c>
      <c r="AP9" s="1304">
        <f t="shared" ref="AP9:AP59" si="15">AO9</f>
        <v>0.84</v>
      </c>
      <c r="AQ9" s="1339" t="str">
        <f t="shared" si="6"/>
        <v/>
      </c>
      <c r="AR9" s="1298" t="str">
        <f t="shared" si="7"/>
        <v/>
      </c>
      <c r="AS9" s="952">
        <f t="shared" ref="AS9:AS38" si="16">(AI9*100)/(AG9*1.05)</f>
        <v>33.928571428571423</v>
      </c>
      <c r="AT9" s="954" t="s">
        <v>754</v>
      </c>
      <c r="AU9" s="1113">
        <v>1984</v>
      </c>
      <c r="AV9" s="1119">
        <v>2012</v>
      </c>
      <c r="AW9" s="1121">
        <v>57.6981012133975</v>
      </c>
      <c r="AX9" s="1121">
        <v>36.979231133964397</v>
      </c>
    </row>
    <row r="10" spans="1:50" ht="20.100000000000001" customHeight="1" x14ac:dyDescent="0.25">
      <c r="A10" s="213">
        <v>3</v>
      </c>
      <c r="B10" s="213">
        <v>3</v>
      </c>
      <c r="C10" s="213" t="s">
        <v>903</v>
      </c>
      <c r="D10" s="230">
        <v>1</v>
      </c>
      <c r="E10" s="229"/>
      <c r="F10" s="229"/>
      <c r="G10" s="229"/>
      <c r="H10" s="228"/>
      <c r="I10" s="229" t="str">
        <f t="shared" si="8"/>
        <v>1</v>
      </c>
      <c r="J10" s="895">
        <v>0.18</v>
      </c>
      <c r="K10" s="172">
        <v>0</v>
      </c>
      <c r="L10" s="213">
        <v>0</v>
      </c>
      <c r="M10" s="172">
        <f>K10</f>
        <v>0</v>
      </c>
      <c r="N10" s="172">
        <v>0</v>
      </c>
      <c r="O10" s="893"/>
      <c r="P10" s="893">
        <f t="shared" si="0"/>
        <v>0</v>
      </c>
      <c r="Q10" s="172">
        <f t="shared" si="1"/>
        <v>-0.18</v>
      </c>
      <c r="R10" s="172">
        <f t="shared" ref="R10:R38" si="17">Q10</f>
        <v>-0.18</v>
      </c>
      <c r="S10" s="213" t="str">
        <f>T10</f>
        <v>закрыт</v>
      </c>
      <c r="T10" s="257" t="str">
        <f t="shared" si="3"/>
        <v>закрыт</v>
      </c>
      <c r="U10" s="768">
        <f t="shared" si="4"/>
        <v>17.142857142857142</v>
      </c>
      <c r="V10" s="768"/>
      <c r="W10" s="768" t="s">
        <v>3087</v>
      </c>
      <c r="X10" s="929"/>
      <c r="Y10" s="213">
        <v>3</v>
      </c>
      <c r="Z10" s="1316">
        <v>3</v>
      </c>
      <c r="AA10" s="1298" t="s">
        <v>903</v>
      </c>
      <c r="AB10" s="230">
        <f t="shared" si="9"/>
        <v>1</v>
      </c>
      <c r="AC10" s="1315"/>
      <c r="AD10" s="1315"/>
      <c r="AE10" s="1315"/>
      <c r="AF10" s="1316"/>
      <c r="AG10" s="1298" t="str">
        <f t="shared" si="10"/>
        <v>1</v>
      </c>
      <c r="AH10" s="1304">
        <f>'Зона БЭс'!L12</f>
        <v>0</v>
      </c>
      <c r="AI10" s="1304">
        <f t="shared" si="5"/>
        <v>0.18</v>
      </c>
      <c r="AJ10" s="1304">
        <f t="shared" ref="AJ10:AJ72" si="18">K10</f>
        <v>0</v>
      </c>
      <c r="AK10" s="1298">
        <f t="shared" si="11"/>
        <v>0</v>
      </c>
      <c r="AL10" s="1304">
        <f t="shared" si="12"/>
        <v>0</v>
      </c>
      <c r="AM10" s="1298">
        <v>0</v>
      </c>
      <c r="AN10" s="893">
        <f t="shared" si="13"/>
        <v>0</v>
      </c>
      <c r="AO10" s="1304">
        <f t="shared" si="14"/>
        <v>-0.18</v>
      </c>
      <c r="AP10" s="1304">
        <f t="shared" si="15"/>
        <v>-0.18</v>
      </c>
      <c r="AQ10" s="1339" t="str">
        <f>AR10</f>
        <v>закрыт</v>
      </c>
      <c r="AR10" s="1298" t="str">
        <f t="shared" si="7"/>
        <v>закрыт</v>
      </c>
      <c r="AS10" s="952">
        <f t="shared" si="16"/>
        <v>17.142857142857142</v>
      </c>
      <c r="AT10" s="954" t="s">
        <v>754</v>
      </c>
      <c r="AU10" s="1113">
        <v>1985</v>
      </c>
      <c r="AV10" s="1119" t="s">
        <v>3286</v>
      </c>
      <c r="AW10" s="1121">
        <v>58.2387265109776</v>
      </c>
      <c r="AX10" s="1121">
        <v>35.952724157647097</v>
      </c>
    </row>
    <row r="11" spans="1:50" ht="20.100000000000001" customHeight="1" x14ac:dyDescent="0.25">
      <c r="A11" s="213">
        <v>4</v>
      </c>
      <c r="B11" s="213">
        <v>4</v>
      </c>
      <c r="C11" s="213" t="s">
        <v>904</v>
      </c>
      <c r="D11" s="230">
        <v>1.6</v>
      </c>
      <c r="E11" s="229"/>
      <c r="F11" s="229"/>
      <c r="G11" s="229"/>
      <c r="H11" s="228"/>
      <c r="I11" s="229" t="str">
        <f t="shared" si="8"/>
        <v>1,6</v>
      </c>
      <c r="J11" s="895">
        <v>0.03</v>
      </c>
      <c r="K11" s="172">
        <v>0.87</v>
      </c>
      <c r="L11" s="213" t="s">
        <v>335</v>
      </c>
      <c r="M11" s="172">
        <f t="shared" ref="M11:M50" si="19">K11</f>
        <v>0.87</v>
      </c>
      <c r="N11" s="172">
        <v>0</v>
      </c>
      <c r="O11" s="893"/>
      <c r="P11" s="893">
        <f t="shared" si="0"/>
        <v>0.87</v>
      </c>
      <c r="Q11" s="172">
        <f t="shared" si="1"/>
        <v>0.84</v>
      </c>
      <c r="R11" s="172">
        <f t="shared" si="17"/>
        <v>0.84</v>
      </c>
      <c r="S11" s="213" t="str">
        <f t="shared" si="2"/>
        <v/>
      </c>
      <c r="T11" s="257" t="str">
        <f t="shared" si="3"/>
        <v/>
      </c>
      <c r="U11" s="768">
        <f t="shared" si="4"/>
        <v>1.7857142857142856</v>
      </c>
      <c r="V11" s="768">
        <v>0.5</v>
      </c>
      <c r="W11" s="768" t="s">
        <v>3476</v>
      </c>
      <c r="X11" s="929"/>
      <c r="Y11" s="213">
        <v>4</v>
      </c>
      <c r="Z11" s="1316">
        <v>4</v>
      </c>
      <c r="AA11" s="1298" t="s">
        <v>904</v>
      </c>
      <c r="AB11" s="230">
        <f t="shared" si="9"/>
        <v>1.6</v>
      </c>
      <c r="AC11" s="1315"/>
      <c r="AD11" s="1315"/>
      <c r="AE11" s="1315"/>
      <c r="AF11" s="1316"/>
      <c r="AG11" s="1298" t="str">
        <f t="shared" si="10"/>
        <v>1,6</v>
      </c>
      <c r="AH11" s="1304">
        <f>'Зона БЭс'!L14</f>
        <v>0</v>
      </c>
      <c r="AI11" s="1304">
        <f t="shared" si="5"/>
        <v>0.03</v>
      </c>
      <c r="AJ11" s="1304">
        <f t="shared" si="18"/>
        <v>0.87</v>
      </c>
      <c r="AK11" s="1298" t="str">
        <f t="shared" si="11"/>
        <v>1 сутки</v>
      </c>
      <c r="AL11" s="1304">
        <f t="shared" si="12"/>
        <v>0.87</v>
      </c>
      <c r="AM11" s="1298">
        <v>0</v>
      </c>
      <c r="AN11" s="893">
        <f t="shared" si="13"/>
        <v>0.87</v>
      </c>
      <c r="AO11" s="1304">
        <f t="shared" si="14"/>
        <v>0.84</v>
      </c>
      <c r="AP11" s="1304">
        <f t="shared" si="15"/>
        <v>0.84</v>
      </c>
      <c r="AQ11" s="1339" t="str">
        <f t="shared" si="6"/>
        <v/>
      </c>
      <c r="AR11" s="1298" t="str">
        <f t="shared" si="7"/>
        <v/>
      </c>
      <c r="AS11" s="952">
        <f t="shared" si="16"/>
        <v>1.7857142857142856</v>
      </c>
      <c r="AT11" s="954" t="s">
        <v>754</v>
      </c>
      <c r="AU11" s="1113">
        <v>1982</v>
      </c>
      <c r="AV11" s="214">
        <v>2011</v>
      </c>
      <c r="AW11" s="1121">
        <v>58.029169559542403</v>
      </c>
      <c r="AX11" s="1121">
        <v>36.993628392820199</v>
      </c>
    </row>
    <row r="12" spans="1:50" ht="20.100000000000001" customHeight="1" x14ac:dyDescent="0.25">
      <c r="A12" s="213">
        <v>5</v>
      </c>
      <c r="B12" s="213">
        <v>5</v>
      </c>
      <c r="C12" s="213" t="s">
        <v>905</v>
      </c>
      <c r="D12" s="230">
        <v>1.6</v>
      </c>
      <c r="E12" s="229"/>
      <c r="F12" s="229"/>
      <c r="G12" s="229"/>
      <c r="H12" s="228"/>
      <c r="I12" s="229" t="str">
        <f t="shared" si="8"/>
        <v>1,6</v>
      </c>
      <c r="J12" s="895">
        <v>0.17</v>
      </c>
      <c r="K12" s="172">
        <v>0</v>
      </c>
      <c r="L12" s="213">
        <v>0</v>
      </c>
      <c r="M12" s="172">
        <f t="shared" si="19"/>
        <v>0</v>
      </c>
      <c r="N12" s="172">
        <v>0</v>
      </c>
      <c r="O12" s="893"/>
      <c r="P12" s="893">
        <f t="shared" si="0"/>
        <v>0</v>
      </c>
      <c r="Q12" s="172">
        <f t="shared" si="1"/>
        <v>-0.17</v>
      </c>
      <c r="R12" s="172">
        <f t="shared" si="17"/>
        <v>-0.17</v>
      </c>
      <c r="S12" s="213" t="str">
        <f t="shared" si="2"/>
        <v>закрыт</v>
      </c>
      <c r="T12" s="257" t="str">
        <f t="shared" si="3"/>
        <v>закрыт</v>
      </c>
      <c r="U12" s="768">
        <f t="shared" si="4"/>
        <v>10.119047619047619</v>
      </c>
      <c r="V12" s="768">
        <v>0.44</v>
      </c>
      <c r="W12" s="768" t="s">
        <v>3476</v>
      </c>
      <c r="X12" s="929"/>
      <c r="Y12" s="213">
        <v>5</v>
      </c>
      <c r="Z12" s="1316">
        <v>5</v>
      </c>
      <c r="AA12" s="1298" t="s">
        <v>905</v>
      </c>
      <c r="AB12" s="230">
        <f t="shared" si="9"/>
        <v>1.6</v>
      </c>
      <c r="AC12" s="1315"/>
      <c r="AD12" s="1315"/>
      <c r="AE12" s="1315"/>
      <c r="AF12" s="1316"/>
      <c r="AG12" s="1298" t="str">
        <f t="shared" si="10"/>
        <v>1,6</v>
      </c>
      <c r="AH12" s="1304">
        <f>'Зона БЭс'!L16</f>
        <v>0</v>
      </c>
      <c r="AI12" s="1304">
        <f t="shared" si="5"/>
        <v>0.17</v>
      </c>
      <c r="AJ12" s="1304">
        <f t="shared" si="18"/>
        <v>0</v>
      </c>
      <c r="AK12" s="1298">
        <f t="shared" si="11"/>
        <v>0</v>
      </c>
      <c r="AL12" s="1304">
        <f t="shared" si="12"/>
        <v>0</v>
      </c>
      <c r="AM12" s="1298">
        <v>0</v>
      </c>
      <c r="AN12" s="893">
        <f t="shared" si="13"/>
        <v>0</v>
      </c>
      <c r="AO12" s="1304">
        <f t="shared" si="14"/>
        <v>-0.17</v>
      </c>
      <c r="AP12" s="1304">
        <f t="shared" si="15"/>
        <v>-0.17</v>
      </c>
      <c r="AQ12" s="1339" t="str">
        <f t="shared" si="6"/>
        <v>закрыт</v>
      </c>
      <c r="AR12" s="1298" t="str">
        <f t="shared" si="7"/>
        <v>закрыт</v>
      </c>
      <c r="AS12" s="952">
        <f t="shared" si="16"/>
        <v>10.119047619047619</v>
      </c>
      <c r="AT12" s="954" t="s">
        <v>754</v>
      </c>
      <c r="AU12" s="1113">
        <v>1983</v>
      </c>
      <c r="AV12" s="1119" t="s">
        <v>3286</v>
      </c>
      <c r="AW12" s="1121">
        <v>58.048253501405398</v>
      </c>
      <c r="AX12" s="1121">
        <v>36.117193294308798</v>
      </c>
    </row>
    <row r="13" spans="1:50" ht="20.100000000000001" customHeight="1" x14ac:dyDescent="0.25">
      <c r="A13" s="213">
        <v>6</v>
      </c>
      <c r="B13" s="213">
        <v>6</v>
      </c>
      <c r="C13" s="213" t="s">
        <v>906</v>
      </c>
      <c r="D13" s="230">
        <v>2.5</v>
      </c>
      <c r="E13" s="229"/>
      <c r="F13" s="229"/>
      <c r="G13" s="229"/>
      <c r="H13" s="228"/>
      <c r="I13" s="229" t="str">
        <f t="shared" si="8"/>
        <v>2,5</v>
      </c>
      <c r="J13" s="895">
        <v>0.42</v>
      </c>
      <c r="K13" s="172">
        <v>0.78</v>
      </c>
      <c r="L13" s="213" t="s">
        <v>335</v>
      </c>
      <c r="M13" s="172">
        <f t="shared" si="19"/>
        <v>0.78</v>
      </c>
      <c r="N13" s="172">
        <v>0</v>
      </c>
      <c r="O13" s="893"/>
      <c r="P13" s="893">
        <f t="shared" si="0"/>
        <v>0.78</v>
      </c>
      <c r="Q13" s="172">
        <f t="shared" si="1"/>
        <v>0.36000000000000004</v>
      </c>
      <c r="R13" s="172">
        <f t="shared" si="17"/>
        <v>0.36000000000000004</v>
      </c>
      <c r="S13" s="213" t="str">
        <f t="shared" si="2"/>
        <v/>
      </c>
      <c r="T13" s="257" t="str">
        <f t="shared" si="3"/>
        <v/>
      </c>
      <c r="U13" s="768">
        <f t="shared" si="4"/>
        <v>16</v>
      </c>
      <c r="V13" s="768"/>
      <c r="W13" s="768" t="s">
        <v>3087</v>
      </c>
      <c r="X13" s="929"/>
      <c r="Y13" s="213">
        <v>6</v>
      </c>
      <c r="Z13" s="1316">
        <v>6</v>
      </c>
      <c r="AA13" s="1298" t="s">
        <v>906</v>
      </c>
      <c r="AB13" s="230">
        <f t="shared" si="9"/>
        <v>2.5</v>
      </c>
      <c r="AC13" s="1315"/>
      <c r="AD13" s="1315"/>
      <c r="AE13" s="1315"/>
      <c r="AF13" s="1316"/>
      <c r="AG13" s="1298" t="str">
        <f t="shared" si="10"/>
        <v>2,5</v>
      </c>
      <c r="AH13" s="1304">
        <f>'Зона БЭс'!L19</f>
        <v>1.8149999999999999</v>
      </c>
      <c r="AI13" s="1304">
        <f t="shared" si="5"/>
        <v>2.2349999999999999</v>
      </c>
      <c r="AJ13" s="1304">
        <f t="shared" si="18"/>
        <v>0.78</v>
      </c>
      <c r="AK13" s="1298" t="str">
        <f t="shared" si="11"/>
        <v>1 сутки</v>
      </c>
      <c r="AL13" s="1304">
        <f t="shared" si="12"/>
        <v>0.78</v>
      </c>
      <c r="AM13" s="1298">
        <v>0</v>
      </c>
      <c r="AN13" s="893">
        <f t="shared" si="13"/>
        <v>0.78</v>
      </c>
      <c r="AO13" s="1304">
        <f t="shared" si="14"/>
        <v>-1.4549999999999998</v>
      </c>
      <c r="AP13" s="1304">
        <f t="shared" si="15"/>
        <v>-1.4549999999999998</v>
      </c>
      <c r="AQ13" s="1339" t="str">
        <f t="shared" si="6"/>
        <v>закрыт</v>
      </c>
      <c r="AR13" s="1298" t="str">
        <f t="shared" si="7"/>
        <v>закрыт</v>
      </c>
      <c r="AS13" s="952">
        <f t="shared" si="16"/>
        <v>85.142857142857139</v>
      </c>
      <c r="AT13" s="954" t="s">
        <v>754</v>
      </c>
      <c r="AU13" s="1113">
        <v>1979</v>
      </c>
      <c r="AV13" s="1119" t="s">
        <v>3286</v>
      </c>
      <c r="AW13" s="1121">
        <v>58.694497246865701</v>
      </c>
      <c r="AX13" s="1121">
        <v>36.936407331081497</v>
      </c>
    </row>
    <row r="14" spans="1:50" ht="20.100000000000001" customHeight="1" x14ac:dyDescent="0.25">
      <c r="A14" s="213">
        <v>7</v>
      </c>
      <c r="B14" s="213">
        <v>7</v>
      </c>
      <c r="C14" s="213" t="s">
        <v>907</v>
      </c>
      <c r="D14" s="230">
        <v>4</v>
      </c>
      <c r="E14" s="229"/>
      <c r="F14" s="229"/>
      <c r="G14" s="229"/>
      <c r="H14" s="228"/>
      <c r="I14" s="229" t="str">
        <f t="shared" si="8"/>
        <v>4</v>
      </c>
      <c r="J14" s="895">
        <v>0.18</v>
      </c>
      <c r="K14" s="172">
        <v>0.71</v>
      </c>
      <c r="L14" s="213" t="s">
        <v>335</v>
      </c>
      <c r="M14" s="172">
        <f t="shared" si="19"/>
        <v>0.71</v>
      </c>
      <c r="N14" s="172">
        <v>0</v>
      </c>
      <c r="O14" s="893"/>
      <c r="P14" s="893">
        <f t="shared" si="0"/>
        <v>0.71</v>
      </c>
      <c r="Q14" s="172">
        <f t="shared" si="1"/>
        <v>0.53</v>
      </c>
      <c r="R14" s="172">
        <f t="shared" si="17"/>
        <v>0.53</v>
      </c>
      <c r="S14" s="213" t="str">
        <f t="shared" si="2"/>
        <v/>
      </c>
      <c r="T14" s="257" t="str">
        <f t="shared" si="3"/>
        <v/>
      </c>
      <c r="U14" s="768">
        <f t="shared" si="4"/>
        <v>4.2857142857142856</v>
      </c>
      <c r="V14" s="768">
        <v>0.5</v>
      </c>
      <c r="W14" s="768" t="s">
        <v>3476</v>
      </c>
      <c r="X14" s="929"/>
      <c r="Y14" s="213">
        <v>7</v>
      </c>
      <c r="Z14" s="1316">
        <v>7</v>
      </c>
      <c r="AA14" s="1298" t="s">
        <v>907</v>
      </c>
      <c r="AB14" s="230">
        <f t="shared" si="9"/>
        <v>4</v>
      </c>
      <c r="AC14" s="1315"/>
      <c r="AD14" s="1315"/>
      <c r="AE14" s="1315"/>
      <c r="AF14" s="1316"/>
      <c r="AG14" s="1298" t="str">
        <f t="shared" si="10"/>
        <v>4</v>
      </c>
      <c r="AH14" s="1304">
        <f>'Зона БЭс'!L21</f>
        <v>0</v>
      </c>
      <c r="AI14" s="1304">
        <f t="shared" si="5"/>
        <v>0.18</v>
      </c>
      <c r="AJ14" s="1304">
        <f t="shared" si="18"/>
        <v>0.71</v>
      </c>
      <c r="AK14" s="1298" t="str">
        <f t="shared" si="11"/>
        <v>1 сутки</v>
      </c>
      <c r="AL14" s="1304">
        <f t="shared" si="12"/>
        <v>0.71</v>
      </c>
      <c r="AM14" s="1298">
        <v>0</v>
      </c>
      <c r="AN14" s="893">
        <f t="shared" si="13"/>
        <v>0.71</v>
      </c>
      <c r="AO14" s="1304">
        <f t="shared" si="14"/>
        <v>0.53</v>
      </c>
      <c r="AP14" s="1304">
        <f t="shared" si="15"/>
        <v>0.53</v>
      </c>
      <c r="AQ14" s="1339" t="str">
        <f t="shared" si="6"/>
        <v/>
      </c>
      <c r="AR14" s="1298" t="str">
        <f t="shared" si="7"/>
        <v/>
      </c>
      <c r="AS14" s="952">
        <f t="shared" si="16"/>
        <v>4.2857142857142856</v>
      </c>
      <c r="AT14" s="954" t="s">
        <v>754</v>
      </c>
      <c r="AU14" s="1113">
        <v>1982</v>
      </c>
      <c r="AV14" s="1119" t="s">
        <v>3286</v>
      </c>
      <c r="AW14" s="1121">
        <v>58.233227061189901</v>
      </c>
      <c r="AX14" s="1121">
        <v>36.918343686706699</v>
      </c>
    </row>
    <row r="15" spans="1:50" ht="20.100000000000001" customHeight="1" x14ac:dyDescent="0.25">
      <c r="A15" s="213">
        <v>8</v>
      </c>
      <c r="B15" s="213">
        <v>8</v>
      </c>
      <c r="C15" s="213" t="s">
        <v>908</v>
      </c>
      <c r="D15" s="230">
        <v>1.6</v>
      </c>
      <c r="E15" s="229"/>
      <c r="F15" s="229"/>
      <c r="G15" s="229"/>
      <c r="H15" s="228"/>
      <c r="I15" s="229" t="str">
        <f t="shared" si="8"/>
        <v>1,6</v>
      </c>
      <c r="J15" s="895">
        <v>0.19</v>
      </c>
      <c r="K15" s="172">
        <v>0.98</v>
      </c>
      <c r="L15" s="213" t="s">
        <v>335</v>
      </c>
      <c r="M15" s="172">
        <f t="shared" si="19"/>
        <v>0.98</v>
      </c>
      <c r="N15" s="172">
        <v>0</v>
      </c>
      <c r="O15" s="893"/>
      <c r="P15" s="893">
        <f t="shared" si="0"/>
        <v>0.98</v>
      </c>
      <c r="Q15" s="172">
        <f t="shared" si="1"/>
        <v>0.79</v>
      </c>
      <c r="R15" s="172">
        <f t="shared" si="17"/>
        <v>0.79</v>
      </c>
      <c r="S15" s="213" t="str">
        <f t="shared" si="2"/>
        <v/>
      </c>
      <c r="T15" s="257" t="str">
        <f t="shared" si="3"/>
        <v/>
      </c>
      <c r="U15" s="768">
        <f t="shared" si="4"/>
        <v>11.309523809523808</v>
      </c>
      <c r="V15" s="768">
        <v>0.44</v>
      </c>
      <c r="W15" s="768" t="s">
        <v>3476</v>
      </c>
      <c r="X15" s="929"/>
      <c r="Y15" s="213">
        <v>8</v>
      </c>
      <c r="Z15" s="1316">
        <v>8</v>
      </c>
      <c r="AA15" s="1298" t="s">
        <v>908</v>
      </c>
      <c r="AB15" s="230">
        <f t="shared" si="9"/>
        <v>1.6</v>
      </c>
      <c r="AC15" s="1315"/>
      <c r="AD15" s="1315"/>
      <c r="AE15" s="1315"/>
      <c r="AF15" s="1316"/>
      <c r="AG15" s="1298" t="str">
        <f t="shared" si="10"/>
        <v>1,6</v>
      </c>
      <c r="AH15" s="1304">
        <f>'Зона БЭс'!L23</f>
        <v>0</v>
      </c>
      <c r="AI15" s="1304">
        <f t="shared" si="5"/>
        <v>0.19</v>
      </c>
      <c r="AJ15" s="1304">
        <f t="shared" si="18"/>
        <v>0.98</v>
      </c>
      <c r="AK15" s="1298" t="str">
        <f t="shared" si="11"/>
        <v>1 сутки</v>
      </c>
      <c r="AL15" s="1304">
        <f t="shared" si="12"/>
        <v>0.98</v>
      </c>
      <c r="AM15" s="1298">
        <v>0</v>
      </c>
      <c r="AN15" s="893">
        <f t="shared" si="13"/>
        <v>0.98</v>
      </c>
      <c r="AO15" s="1304">
        <f t="shared" si="14"/>
        <v>0.79</v>
      </c>
      <c r="AP15" s="1304">
        <f t="shared" si="15"/>
        <v>0.79</v>
      </c>
      <c r="AQ15" s="1339" t="str">
        <f t="shared" si="6"/>
        <v/>
      </c>
      <c r="AR15" s="1298" t="str">
        <f t="shared" si="7"/>
        <v/>
      </c>
      <c r="AS15" s="952">
        <f t="shared" si="16"/>
        <v>11.309523809523808</v>
      </c>
      <c r="AT15" s="954" t="s">
        <v>754</v>
      </c>
      <c r="AU15" s="1113">
        <v>1968</v>
      </c>
      <c r="AV15" s="1119" t="s">
        <v>3286</v>
      </c>
      <c r="AW15" s="1121">
        <v>58.013638700469102</v>
      </c>
      <c r="AX15" s="1121">
        <v>35.781832313946403</v>
      </c>
    </row>
    <row r="16" spans="1:50" ht="20.100000000000001" customHeight="1" x14ac:dyDescent="0.25">
      <c r="A16" s="213">
        <v>9</v>
      </c>
      <c r="B16" s="213">
        <v>9</v>
      </c>
      <c r="C16" s="213" t="s">
        <v>909</v>
      </c>
      <c r="D16" s="230">
        <v>4</v>
      </c>
      <c r="E16" s="229"/>
      <c r="F16" s="229"/>
      <c r="G16" s="229"/>
      <c r="H16" s="228"/>
      <c r="I16" s="229" t="str">
        <f t="shared" si="8"/>
        <v>4</v>
      </c>
      <c r="J16" s="895">
        <v>0.34</v>
      </c>
      <c r="K16" s="172">
        <v>2.99</v>
      </c>
      <c r="L16" s="213" t="s">
        <v>335</v>
      </c>
      <c r="M16" s="172">
        <f>K16</f>
        <v>2.99</v>
      </c>
      <c r="N16" s="172">
        <v>0</v>
      </c>
      <c r="O16" s="893"/>
      <c r="P16" s="893">
        <f t="shared" si="0"/>
        <v>2.99</v>
      </c>
      <c r="Q16" s="172">
        <f t="shared" si="1"/>
        <v>2.6500000000000004</v>
      </c>
      <c r="R16" s="172">
        <f t="shared" si="17"/>
        <v>2.6500000000000004</v>
      </c>
      <c r="S16" s="213" t="str">
        <f t="shared" si="2"/>
        <v/>
      </c>
      <c r="T16" s="257" t="str">
        <f t="shared" si="3"/>
        <v/>
      </c>
      <c r="U16" s="768">
        <f t="shared" si="4"/>
        <v>8.0952380952380949</v>
      </c>
      <c r="V16" s="768">
        <v>0.44</v>
      </c>
      <c r="W16" s="768" t="s">
        <v>3476</v>
      </c>
      <c r="X16" s="929"/>
      <c r="Y16" s="213">
        <v>9</v>
      </c>
      <c r="Z16" s="1316">
        <v>9</v>
      </c>
      <c r="AA16" s="1298" t="s">
        <v>909</v>
      </c>
      <c r="AB16" s="230">
        <f t="shared" si="9"/>
        <v>4</v>
      </c>
      <c r="AC16" s="1315"/>
      <c r="AD16" s="1315"/>
      <c r="AE16" s="1315"/>
      <c r="AF16" s="1316"/>
      <c r="AG16" s="1298" t="str">
        <f t="shared" si="10"/>
        <v>4</v>
      </c>
      <c r="AH16" s="1304">
        <f>'Зона БЭс'!L26</f>
        <v>0</v>
      </c>
      <c r="AI16" s="1304">
        <f t="shared" si="5"/>
        <v>0.34</v>
      </c>
      <c r="AJ16" s="1304">
        <f t="shared" si="18"/>
        <v>2.99</v>
      </c>
      <c r="AK16" s="1298" t="str">
        <f t="shared" si="11"/>
        <v>1 сутки</v>
      </c>
      <c r="AL16" s="1304">
        <f t="shared" si="12"/>
        <v>2.99</v>
      </c>
      <c r="AM16" s="1298">
        <v>0</v>
      </c>
      <c r="AN16" s="893">
        <f t="shared" si="13"/>
        <v>2.99</v>
      </c>
      <c r="AO16" s="1304">
        <f t="shared" si="14"/>
        <v>2.6500000000000004</v>
      </c>
      <c r="AP16" s="1304">
        <f t="shared" si="15"/>
        <v>2.6500000000000004</v>
      </c>
      <c r="AQ16" s="1339" t="str">
        <f t="shared" si="6"/>
        <v/>
      </c>
      <c r="AR16" s="1298" t="str">
        <f t="shared" si="7"/>
        <v/>
      </c>
      <c r="AS16" s="952">
        <f t="shared" si="16"/>
        <v>8.0952380952380949</v>
      </c>
      <c r="AT16" s="954" t="s">
        <v>754</v>
      </c>
      <c r="AU16" s="1113">
        <v>1981</v>
      </c>
      <c r="AV16" s="1119" t="s">
        <v>3286</v>
      </c>
      <c r="AW16" s="1121">
        <v>57.737635139484198</v>
      </c>
      <c r="AX16" s="1121">
        <v>36.7111620708</v>
      </c>
    </row>
    <row r="17" spans="1:50" ht="20.100000000000001" customHeight="1" x14ac:dyDescent="0.25">
      <c r="A17" s="213">
        <v>10</v>
      </c>
      <c r="B17" s="213">
        <v>10</v>
      </c>
      <c r="C17" s="213" t="s">
        <v>910</v>
      </c>
      <c r="D17" s="230">
        <v>1.8</v>
      </c>
      <c r="E17" s="229"/>
      <c r="F17" s="229"/>
      <c r="G17" s="229"/>
      <c r="H17" s="228"/>
      <c r="I17" s="229" t="str">
        <f t="shared" si="8"/>
        <v>1,8</v>
      </c>
      <c r="J17" s="895">
        <v>0.32</v>
      </c>
      <c r="K17" s="172">
        <v>0.71</v>
      </c>
      <c r="L17" s="213" t="s">
        <v>335</v>
      </c>
      <c r="M17" s="172">
        <f t="shared" si="19"/>
        <v>0.71</v>
      </c>
      <c r="N17" s="172">
        <v>0</v>
      </c>
      <c r="O17" s="893"/>
      <c r="P17" s="893">
        <f t="shared" si="0"/>
        <v>0.71</v>
      </c>
      <c r="Q17" s="172">
        <f t="shared" si="1"/>
        <v>0.38999999999999996</v>
      </c>
      <c r="R17" s="172">
        <f t="shared" si="17"/>
        <v>0.38999999999999996</v>
      </c>
      <c r="S17" s="213" t="str">
        <f t="shared" si="2"/>
        <v/>
      </c>
      <c r="T17" s="257" t="str">
        <f t="shared" si="3"/>
        <v/>
      </c>
      <c r="U17" s="768">
        <f t="shared" si="4"/>
        <v>16.93121693121693</v>
      </c>
      <c r="V17" s="768">
        <v>0.62</v>
      </c>
      <c r="W17" s="768" t="s">
        <v>3476</v>
      </c>
      <c r="X17" s="929"/>
      <c r="Y17" s="213">
        <v>10</v>
      </c>
      <c r="Z17" s="1316">
        <v>10</v>
      </c>
      <c r="AA17" s="1298" t="s">
        <v>910</v>
      </c>
      <c r="AB17" s="230">
        <f t="shared" si="9"/>
        <v>1.8</v>
      </c>
      <c r="AC17" s="1315"/>
      <c r="AD17" s="1315"/>
      <c r="AE17" s="1315"/>
      <c r="AF17" s="1316"/>
      <c r="AG17" s="1298" t="str">
        <f t="shared" si="10"/>
        <v>1,8</v>
      </c>
      <c r="AH17" s="1304">
        <f>'Зона БЭс'!L28</f>
        <v>0</v>
      </c>
      <c r="AI17" s="1304">
        <f t="shared" si="5"/>
        <v>0.32</v>
      </c>
      <c r="AJ17" s="1304">
        <f t="shared" si="18"/>
        <v>0.71</v>
      </c>
      <c r="AK17" s="1298" t="str">
        <f t="shared" si="11"/>
        <v>1 сутки</v>
      </c>
      <c r="AL17" s="1304">
        <f t="shared" si="12"/>
        <v>0.71</v>
      </c>
      <c r="AM17" s="1298">
        <v>0</v>
      </c>
      <c r="AN17" s="893">
        <f t="shared" si="13"/>
        <v>0.71</v>
      </c>
      <c r="AO17" s="1304">
        <f t="shared" si="14"/>
        <v>0.38999999999999996</v>
      </c>
      <c r="AP17" s="1304">
        <f t="shared" si="15"/>
        <v>0.38999999999999996</v>
      </c>
      <c r="AQ17" s="1339" t="str">
        <f t="shared" si="6"/>
        <v/>
      </c>
      <c r="AR17" s="1298" t="str">
        <f t="shared" si="7"/>
        <v/>
      </c>
      <c r="AS17" s="952">
        <f t="shared" si="16"/>
        <v>16.93121693121693</v>
      </c>
      <c r="AT17" s="954" t="s">
        <v>754</v>
      </c>
      <c r="AU17" s="1113">
        <v>1985</v>
      </c>
      <c r="AV17" s="1119">
        <v>2012</v>
      </c>
      <c r="AW17" s="1121">
        <v>57.7436647258845</v>
      </c>
      <c r="AX17" s="1121">
        <v>37.403150925236197</v>
      </c>
    </row>
    <row r="18" spans="1:50" ht="20.100000000000001" customHeight="1" x14ac:dyDescent="0.25">
      <c r="A18" s="213">
        <v>11</v>
      </c>
      <c r="B18" s="213">
        <v>11</v>
      </c>
      <c r="C18" s="213" t="s">
        <v>911</v>
      </c>
      <c r="D18" s="230">
        <v>1.6</v>
      </c>
      <c r="E18" s="229"/>
      <c r="F18" s="229"/>
      <c r="G18" s="229"/>
      <c r="H18" s="228"/>
      <c r="I18" s="229" t="str">
        <f t="shared" si="8"/>
        <v>1,6</v>
      </c>
      <c r="J18" s="895">
        <v>0.11</v>
      </c>
      <c r="K18" s="172">
        <v>1.34</v>
      </c>
      <c r="L18" s="213" t="s">
        <v>335</v>
      </c>
      <c r="M18" s="172">
        <f t="shared" si="19"/>
        <v>1.34</v>
      </c>
      <c r="N18" s="172">
        <v>0</v>
      </c>
      <c r="O18" s="893"/>
      <c r="P18" s="893">
        <f t="shared" si="0"/>
        <v>1.34</v>
      </c>
      <c r="Q18" s="172">
        <f t="shared" si="1"/>
        <v>1.23</v>
      </c>
      <c r="R18" s="172">
        <f t="shared" si="17"/>
        <v>1.23</v>
      </c>
      <c r="S18" s="213" t="str">
        <f t="shared" si="2"/>
        <v/>
      </c>
      <c r="T18" s="257" t="str">
        <f t="shared" si="3"/>
        <v/>
      </c>
      <c r="U18" s="768">
        <f t="shared" si="4"/>
        <v>6.5476190476190466</v>
      </c>
      <c r="V18" s="768">
        <v>0.5</v>
      </c>
      <c r="W18" s="768" t="s">
        <v>3476</v>
      </c>
      <c r="X18" s="929"/>
      <c r="Y18" s="213">
        <v>11</v>
      </c>
      <c r="Z18" s="1316">
        <v>11</v>
      </c>
      <c r="AA18" s="1298" t="s">
        <v>911</v>
      </c>
      <c r="AB18" s="230">
        <f t="shared" si="9"/>
        <v>1.6</v>
      </c>
      <c r="AC18" s="1315"/>
      <c r="AD18" s="1315"/>
      <c r="AE18" s="1315"/>
      <c r="AF18" s="1316"/>
      <c r="AG18" s="1298" t="str">
        <f t="shared" si="10"/>
        <v>1,6</v>
      </c>
      <c r="AH18" s="1304">
        <f>'Зона БЭс'!L31</f>
        <v>0</v>
      </c>
      <c r="AI18" s="1304">
        <f t="shared" si="5"/>
        <v>0.11</v>
      </c>
      <c r="AJ18" s="1304">
        <f t="shared" si="18"/>
        <v>1.34</v>
      </c>
      <c r="AK18" s="1298" t="str">
        <f t="shared" si="11"/>
        <v>1 сутки</v>
      </c>
      <c r="AL18" s="1304">
        <f t="shared" si="12"/>
        <v>1.34</v>
      </c>
      <c r="AM18" s="1298">
        <v>0</v>
      </c>
      <c r="AN18" s="893">
        <f t="shared" si="13"/>
        <v>1.34</v>
      </c>
      <c r="AO18" s="1304">
        <f t="shared" si="14"/>
        <v>1.23</v>
      </c>
      <c r="AP18" s="1304">
        <f t="shared" si="15"/>
        <v>1.23</v>
      </c>
      <c r="AQ18" s="1339" t="str">
        <f t="shared" si="6"/>
        <v/>
      </c>
      <c r="AR18" s="1298" t="str">
        <f t="shared" si="7"/>
        <v/>
      </c>
      <c r="AS18" s="952">
        <f t="shared" si="16"/>
        <v>6.5476190476190466</v>
      </c>
      <c r="AT18" s="954" t="s">
        <v>754</v>
      </c>
      <c r="AU18" s="1113">
        <v>1979</v>
      </c>
      <c r="AV18" s="1119" t="s">
        <v>3286</v>
      </c>
      <c r="AW18" s="1121">
        <v>58.428626165543903</v>
      </c>
      <c r="AX18" s="1121">
        <v>36.056499942833298</v>
      </c>
    </row>
    <row r="19" spans="1:50" ht="20.100000000000001" customHeight="1" x14ac:dyDescent="0.25">
      <c r="A19" s="213">
        <v>12</v>
      </c>
      <c r="B19" s="213">
        <v>12</v>
      </c>
      <c r="C19" s="213" t="s">
        <v>912</v>
      </c>
      <c r="D19" s="230">
        <v>4</v>
      </c>
      <c r="E19" s="229"/>
      <c r="F19" s="229"/>
      <c r="G19" s="229"/>
      <c r="H19" s="228"/>
      <c r="I19" s="229" t="str">
        <f t="shared" si="8"/>
        <v>4</v>
      </c>
      <c r="J19" s="895">
        <v>7.0000000000000007E-2</v>
      </c>
      <c r="K19" s="172">
        <v>0.92</v>
      </c>
      <c r="L19" s="213" t="s">
        <v>335</v>
      </c>
      <c r="M19" s="172">
        <f t="shared" si="19"/>
        <v>0.92</v>
      </c>
      <c r="N19" s="172">
        <v>0</v>
      </c>
      <c r="O19" s="893"/>
      <c r="P19" s="893">
        <f t="shared" si="0"/>
        <v>0.92</v>
      </c>
      <c r="Q19" s="172">
        <f t="shared" si="1"/>
        <v>0.85000000000000009</v>
      </c>
      <c r="R19" s="172">
        <f t="shared" si="17"/>
        <v>0.85000000000000009</v>
      </c>
      <c r="S19" s="213" t="str">
        <f t="shared" si="2"/>
        <v/>
      </c>
      <c r="T19" s="257" t="str">
        <f t="shared" si="3"/>
        <v/>
      </c>
      <c r="U19" s="768">
        <f t="shared" si="4"/>
        <v>1.6666666666666667</v>
      </c>
      <c r="V19" s="768">
        <v>0.49</v>
      </c>
      <c r="W19" s="768" t="s">
        <v>3476</v>
      </c>
      <c r="X19" s="929"/>
      <c r="Y19" s="213">
        <v>12</v>
      </c>
      <c r="Z19" s="1316">
        <v>12</v>
      </c>
      <c r="AA19" s="1298" t="s">
        <v>912</v>
      </c>
      <c r="AB19" s="230">
        <f t="shared" si="9"/>
        <v>4</v>
      </c>
      <c r="AC19" s="1315"/>
      <c r="AD19" s="1315"/>
      <c r="AE19" s="1315"/>
      <c r="AF19" s="1316"/>
      <c r="AG19" s="1298" t="str">
        <f t="shared" si="10"/>
        <v>4</v>
      </c>
      <c r="AH19" s="1304">
        <f>'Зона БЭс'!L33</f>
        <v>0</v>
      </c>
      <c r="AI19" s="1304">
        <f t="shared" si="5"/>
        <v>7.0000000000000007E-2</v>
      </c>
      <c r="AJ19" s="1304">
        <f t="shared" si="18"/>
        <v>0.92</v>
      </c>
      <c r="AK19" s="1298" t="str">
        <f t="shared" si="11"/>
        <v>1 сутки</v>
      </c>
      <c r="AL19" s="1304">
        <f t="shared" si="12"/>
        <v>0.92</v>
      </c>
      <c r="AM19" s="1298">
        <v>0</v>
      </c>
      <c r="AN19" s="893">
        <f t="shared" si="13"/>
        <v>0.92</v>
      </c>
      <c r="AO19" s="1304">
        <f t="shared" si="14"/>
        <v>0.85000000000000009</v>
      </c>
      <c r="AP19" s="1304">
        <f t="shared" si="15"/>
        <v>0.85000000000000009</v>
      </c>
      <c r="AQ19" s="1339" t="str">
        <f t="shared" si="6"/>
        <v/>
      </c>
      <c r="AR19" s="1298" t="str">
        <f t="shared" si="7"/>
        <v/>
      </c>
      <c r="AS19" s="952">
        <f t="shared" si="16"/>
        <v>1.6666666666666667</v>
      </c>
      <c r="AT19" s="954" t="s">
        <v>754</v>
      </c>
      <c r="AU19" s="1113">
        <v>1976</v>
      </c>
      <c r="AV19" s="1119" t="s">
        <v>3286</v>
      </c>
      <c r="AW19" s="1121">
        <v>58.073911711186597</v>
      </c>
      <c r="AX19" s="1121">
        <v>37.458219408843</v>
      </c>
    </row>
    <row r="20" spans="1:50" ht="20.100000000000001" customHeight="1" x14ac:dyDescent="0.25">
      <c r="A20" s="213">
        <v>13</v>
      </c>
      <c r="B20" s="213">
        <v>13</v>
      </c>
      <c r="C20" s="213" t="s">
        <v>913</v>
      </c>
      <c r="D20" s="230">
        <v>2.5</v>
      </c>
      <c r="E20" s="229"/>
      <c r="F20" s="229"/>
      <c r="G20" s="229"/>
      <c r="H20" s="228"/>
      <c r="I20" s="229" t="str">
        <f t="shared" si="8"/>
        <v>2,5</v>
      </c>
      <c r="J20" s="895">
        <v>0.32</v>
      </c>
      <c r="K20" s="172">
        <v>0.8</v>
      </c>
      <c r="L20" s="213" t="s">
        <v>335</v>
      </c>
      <c r="M20" s="172">
        <f t="shared" si="19"/>
        <v>0.8</v>
      </c>
      <c r="N20" s="172">
        <v>0</v>
      </c>
      <c r="O20" s="893"/>
      <c r="P20" s="893">
        <f t="shared" si="0"/>
        <v>0.8</v>
      </c>
      <c r="Q20" s="172">
        <f t="shared" si="1"/>
        <v>0.48000000000000004</v>
      </c>
      <c r="R20" s="172">
        <f t="shared" si="17"/>
        <v>0.48000000000000004</v>
      </c>
      <c r="S20" s="213" t="str">
        <f t="shared" si="2"/>
        <v/>
      </c>
      <c r="T20" s="257" t="str">
        <f t="shared" si="3"/>
        <v/>
      </c>
      <c r="U20" s="768">
        <f t="shared" si="4"/>
        <v>12.19047619047619</v>
      </c>
      <c r="V20" s="768">
        <v>0.44</v>
      </c>
      <c r="W20" s="768" t="s">
        <v>3476</v>
      </c>
      <c r="X20" s="929"/>
      <c r="Y20" s="213">
        <v>13</v>
      </c>
      <c r="Z20" s="1316">
        <v>13</v>
      </c>
      <c r="AA20" s="1298" t="s">
        <v>913</v>
      </c>
      <c r="AB20" s="230">
        <f t="shared" si="9"/>
        <v>2.5</v>
      </c>
      <c r="AC20" s="1315"/>
      <c r="AD20" s="1315"/>
      <c r="AE20" s="1315"/>
      <c r="AF20" s="1316"/>
      <c r="AG20" s="1298" t="str">
        <f t="shared" si="10"/>
        <v>2,5</v>
      </c>
      <c r="AH20" s="1304">
        <f>'Зона БЭс'!L35</f>
        <v>0</v>
      </c>
      <c r="AI20" s="1304">
        <f t="shared" si="5"/>
        <v>0.32</v>
      </c>
      <c r="AJ20" s="1304">
        <f t="shared" si="18"/>
        <v>0.8</v>
      </c>
      <c r="AK20" s="1298" t="str">
        <f t="shared" si="11"/>
        <v>1 сутки</v>
      </c>
      <c r="AL20" s="1304">
        <f t="shared" si="12"/>
        <v>0.8</v>
      </c>
      <c r="AM20" s="1298">
        <v>0</v>
      </c>
      <c r="AN20" s="893">
        <f t="shared" si="13"/>
        <v>0.8</v>
      </c>
      <c r="AO20" s="1304">
        <f t="shared" si="14"/>
        <v>0.48000000000000004</v>
      </c>
      <c r="AP20" s="1304">
        <f t="shared" si="15"/>
        <v>0.48000000000000004</v>
      </c>
      <c r="AQ20" s="1339" t="str">
        <f t="shared" si="6"/>
        <v/>
      </c>
      <c r="AR20" s="1298" t="str">
        <f t="shared" si="7"/>
        <v/>
      </c>
      <c r="AS20" s="952">
        <f t="shared" si="16"/>
        <v>12.19047619047619</v>
      </c>
      <c r="AT20" s="954" t="s">
        <v>754</v>
      </c>
      <c r="AU20" s="1113">
        <v>1976</v>
      </c>
      <c r="AV20" s="1119" t="s">
        <v>3286</v>
      </c>
      <c r="AW20" s="1121">
        <v>57.945378137461198</v>
      </c>
      <c r="AX20" s="1121">
        <v>35.612907709664398</v>
      </c>
    </row>
    <row r="21" spans="1:50" ht="20.100000000000001" customHeight="1" x14ac:dyDescent="0.25">
      <c r="A21" s="213">
        <v>14</v>
      </c>
      <c r="B21" s="213">
        <v>14</v>
      </c>
      <c r="C21" s="213" t="s">
        <v>914</v>
      </c>
      <c r="D21" s="230">
        <v>1.8</v>
      </c>
      <c r="E21" s="229"/>
      <c r="F21" s="229"/>
      <c r="G21" s="229"/>
      <c r="H21" s="228"/>
      <c r="I21" s="229" t="str">
        <f t="shared" si="8"/>
        <v>1,8</v>
      </c>
      <c r="J21" s="895">
        <v>0.33</v>
      </c>
      <c r="K21" s="172">
        <v>1.3</v>
      </c>
      <c r="L21" s="213" t="s">
        <v>335</v>
      </c>
      <c r="M21" s="172">
        <f t="shared" si="19"/>
        <v>1.3</v>
      </c>
      <c r="N21" s="172">
        <v>0</v>
      </c>
      <c r="O21" s="893"/>
      <c r="P21" s="893">
        <f t="shared" si="0"/>
        <v>1.3</v>
      </c>
      <c r="Q21" s="172">
        <f t="shared" si="1"/>
        <v>0.97</v>
      </c>
      <c r="R21" s="172">
        <f t="shared" si="17"/>
        <v>0.97</v>
      </c>
      <c r="S21" s="213" t="str">
        <f t="shared" si="2"/>
        <v/>
      </c>
      <c r="T21" s="257" t="str">
        <f t="shared" si="3"/>
        <v/>
      </c>
      <c r="U21" s="768">
        <f t="shared" si="4"/>
        <v>17.460317460317459</v>
      </c>
      <c r="V21" s="768">
        <v>0.43</v>
      </c>
      <c r="W21" s="768" t="s">
        <v>3476</v>
      </c>
      <c r="X21" s="929"/>
      <c r="Y21" s="213">
        <v>14</v>
      </c>
      <c r="Z21" s="1316">
        <v>14</v>
      </c>
      <c r="AA21" s="1298" t="s">
        <v>914</v>
      </c>
      <c r="AB21" s="230">
        <f t="shared" si="9"/>
        <v>1.8</v>
      </c>
      <c r="AC21" s="1315"/>
      <c r="AD21" s="1315"/>
      <c r="AE21" s="1315"/>
      <c r="AF21" s="1316"/>
      <c r="AG21" s="1298" t="str">
        <f t="shared" si="10"/>
        <v>1,8</v>
      </c>
      <c r="AH21" s="1304">
        <f>'Зона БЭс'!L37</f>
        <v>0</v>
      </c>
      <c r="AI21" s="1304">
        <f t="shared" si="5"/>
        <v>0.33</v>
      </c>
      <c r="AJ21" s="1304">
        <f t="shared" si="18"/>
        <v>1.3</v>
      </c>
      <c r="AK21" s="1298" t="str">
        <f t="shared" si="11"/>
        <v>1 сутки</v>
      </c>
      <c r="AL21" s="1304">
        <f t="shared" si="12"/>
        <v>1.3</v>
      </c>
      <c r="AM21" s="1298">
        <v>0</v>
      </c>
      <c r="AN21" s="893">
        <f t="shared" si="13"/>
        <v>1.3</v>
      </c>
      <c r="AO21" s="1304">
        <f t="shared" si="14"/>
        <v>0.97</v>
      </c>
      <c r="AP21" s="1304">
        <f t="shared" si="15"/>
        <v>0.97</v>
      </c>
      <c r="AQ21" s="1339" t="str">
        <f t="shared" si="6"/>
        <v/>
      </c>
      <c r="AR21" s="1298" t="str">
        <f t="shared" si="7"/>
        <v/>
      </c>
      <c r="AS21" s="952">
        <f>(AI21*100)/(AG21*1.05)</f>
        <v>17.460317460317459</v>
      </c>
      <c r="AT21" s="954" t="s">
        <v>754</v>
      </c>
      <c r="AU21" s="1113">
        <v>1964</v>
      </c>
      <c r="AV21" s="1119" t="s">
        <v>3286</v>
      </c>
      <c r="AW21" s="1121">
        <v>58.569690881537397</v>
      </c>
      <c r="AX21" s="1121">
        <v>36.8172060846967</v>
      </c>
    </row>
    <row r="22" spans="1:50" ht="20.100000000000001" customHeight="1" x14ac:dyDescent="0.25">
      <c r="A22" s="213">
        <v>15</v>
      </c>
      <c r="B22" s="213">
        <v>15</v>
      </c>
      <c r="C22" s="213" t="s">
        <v>915</v>
      </c>
      <c r="D22" s="230">
        <v>1.6</v>
      </c>
      <c r="E22" s="229"/>
      <c r="F22" s="229"/>
      <c r="G22" s="229"/>
      <c r="H22" s="228"/>
      <c r="I22" s="229" t="str">
        <f t="shared" si="8"/>
        <v>1,6</v>
      </c>
      <c r="J22" s="895">
        <v>0.03</v>
      </c>
      <c r="K22" s="172">
        <v>0.69</v>
      </c>
      <c r="L22" s="213" t="s">
        <v>335</v>
      </c>
      <c r="M22" s="172">
        <f t="shared" si="19"/>
        <v>0.69</v>
      </c>
      <c r="N22" s="172">
        <v>0</v>
      </c>
      <c r="O22" s="893"/>
      <c r="P22" s="893">
        <f t="shared" si="0"/>
        <v>0.69</v>
      </c>
      <c r="Q22" s="172">
        <f t="shared" si="1"/>
        <v>0.65999999999999992</v>
      </c>
      <c r="R22" s="172">
        <f t="shared" si="17"/>
        <v>0.65999999999999992</v>
      </c>
      <c r="S22" s="213" t="str">
        <f t="shared" si="2"/>
        <v/>
      </c>
      <c r="T22" s="257" t="str">
        <f t="shared" si="3"/>
        <v/>
      </c>
      <c r="U22" s="768">
        <f t="shared" si="4"/>
        <v>1.7857142857142856</v>
      </c>
      <c r="V22" s="768">
        <v>0.5</v>
      </c>
      <c r="W22" s="768" t="s">
        <v>3476</v>
      </c>
      <c r="X22" s="929"/>
      <c r="Y22" s="213">
        <v>15</v>
      </c>
      <c r="Z22" s="1316">
        <v>15</v>
      </c>
      <c r="AA22" s="1298" t="s">
        <v>915</v>
      </c>
      <c r="AB22" s="230">
        <f t="shared" si="9"/>
        <v>1.6</v>
      </c>
      <c r="AC22" s="1315"/>
      <c r="AD22" s="1315"/>
      <c r="AE22" s="1315"/>
      <c r="AF22" s="1316"/>
      <c r="AG22" s="1298" t="str">
        <f t="shared" si="10"/>
        <v>1,6</v>
      </c>
      <c r="AH22" s="1304">
        <f>'Зона БЭс'!L39</f>
        <v>0</v>
      </c>
      <c r="AI22" s="1304">
        <f t="shared" si="5"/>
        <v>0.03</v>
      </c>
      <c r="AJ22" s="1304">
        <f t="shared" si="18"/>
        <v>0.69</v>
      </c>
      <c r="AK22" s="1298" t="str">
        <f t="shared" si="11"/>
        <v>1 сутки</v>
      </c>
      <c r="AL22" s="1304">
        <f t="shared" si="12"/>
        <v>0.69</v>
      </c>
      <c r="AM22" s="1298">
        <v>0</v>
      </c>
      <c r="AN22" s="893">
        <f t="shared" si="13"/>
        <v>0.69</v>
      </c>
      <c r="AO22" s="1304">
        <f t="shared" si="14"/>
        <v>0.65999999999999992</v>
      </c>
      <c r="AP22" s="1304">
        <f t="shared" si="15"/>
        <v>0.65999999999999992</v>
      </c>
      <c r="AQ22" s="1339" t="str">
        <f t="shared" si="6"/>
        <v/>
      </c>
      <c r="AR22" s="1298" t="str">
        <f t="shared" si="7"/>
        <v/>
      </c>
      <c r="AS22" s="952">
        <f t="shared" si="16"/>
        <v>1.7857142857142856</v>
      </c>
      <c r="AT22" s="954" t="s">
        <v>754</v>
      </c>
      <c r="AU22" s="1113">
        <v>1980</v>
      </c>
      <c r="AV22" s="1119" t="s">
        <v>3286</v>
      </c>
      <c r="AW22" s="1121">
        <v>58.356999572089698</v>
      </c>
      <c r="AX22" s="1121">
        <v>37.282068566898502</v>
      </c>
    </row>
    <row r="23" spans="1:50" ht="20.100000000000001" customHeight="1" x14ac:dyDescent="0.25">
      <c r="A23" s="213">
        <v>16</v>
      </c>
      <c r="B23" s="213">
        <v>16</v>
      </c>
      <c r="C23" s="213" t="s">
        <v>916</v>
      </c>
      <c r="D23" s="230">
        <v>2.5</v>
      </c>
      <c r="E23" s="229"/>
      <c r="F23" s="229"/>
      <c r="G23" s="229"/>
      <c r="H23" s="228"/>
      <c r="I23" s="229" t="str">
        <f t="shared" si="8"/>
        <v>2,5</v>
      </c>
      <c r="J23" s="895">
        <v>0.28999999999999998</v>
      </c>
      <c r="K23" s="172">
        <v>1.1299999999999999</v>
      </c>
      <c r="L23" s="213" t="s">
        <v>335</v>
      </c>
      <c r="M23" s="172">
        <f t="shared" si="19"/>
        <v>1.1299999999999999</v>
      </c>
      <c r="N23" s="172">
        <v>0</v>
      </c>
      <c r="O23" s="893"/>
      <c r="P23" s="893">
        <f t="shared" si="0"/>
        <v>1.1299999999999999</v>
      </c>
      <c r="Q23" s="172">
        <f t="shared" si="1"/>
        <v>0.83999999999999986</v>
      </c>
      <c r="R23" s="172">
        <f t="shared" si="17"/>
        <v>0.83999999999999986</v>
      </c>
      <c r="S23" s="213" t="str">
        <f t="shared" si="2"/>
        <v/>
      </c>
      <c r="T23" s="257" t="str">
        <f t="shared" si="3"/>
        <v/>
      </c>
      <c r="U23" s="768">
        <f t="shared" si="4"/>
        <v>11.047619047619046</v>
      </c>
      <c r="V23" s="768"/>
      <c r="W23" s="768" t="s">
        <v>3087</v>
      </c>
      <c r="X23" s="929"/>
      <c r="Y23" s="213">
        <v>16</v>
      </c>
      <c r="Z23" s="1316">
        <v>16</v>
      </c>
      <c r="AA23" s="1298" t="s">
        <v>916</v>
      </c>
      <c r="AB23" s="230">
        <f t="shared" si="9"/>
        <v>2.5</v>
      </c>
      <c r="AC23" s="1315"/>
      <c r="AD23" s="1315"/>
      <c r="AE23" s="1315"/>
      <c r="AF23" s="1316"/>
      <c r="AG23" s="1298" t="str">
        <f t="shared" si="10"/>
        <v>2,5</v>
      </c>
      <c r="AH23" s="1304">
        <f>'Зона БЭс'!L41</f>
        <v>0</v>
      </c>
      <c r="AI23" s="1304">
        <f t="shared" si="5"/>
        <v>0.28999999999999998</v>
      </c>
      <c r="AJ23" s="1304">
        <f t="shared" si="18"/>
        <v>1.1299999999999999</v>
      </c>
      <c r="AK23" s="1298" t="str">
        <f t="shared" si="11"/>
        <v>1 сутки</v>
      </c>
      <c r="AL23" s="1304">
        <f t="shared" si="12"/>
        <v>1.1299999999999999</v>
      </c>
      <c r="AM23" s="1298">
        <v>0</v>
      </c>
      <c r="AN23" s="893">
        <f t="shared" si="13"/>
        <v>1.1299999999999999</v>
      </c>
      <c r="AO23" s="1304">
        <f t="shared" si="14"/>
        <v>0.83999999999999986</v>
      </c>
      <c r="AP23" s="1304">
        <f t="shared" si="15"/>
        <v>0.83999999999999986</v>
      </c>
      <c r="AQ23" s="1339" t="str">
        <f t="shared" si="6"/>
        <v/>
      </c>
      <c r="AR23" s="1298" t="str">
        <f t="shared" si="7"/>
        <v/>
      </c>
      <c r="AS23" s="952">
        <f t="shared" si="16"/>
        <v>11.047619047619046</v>
      </c>
      <c r="AT23" s="954" t="s">
        <v>754</v>
      </c>
      <c r="AU23" s="1113">
        <v>1980</v>
      </c>
      <c r="AV23" s="1119" t="s">
        <v>3286</v>
      </c>
      <c r="AW23" s="1121">
        <v>58.386669943226799</v>
      </c>
      <c r="AX23" s="1121">
        <v>35.505461550146997</v>
      </c>
    </row>
    <row r="24" spans="1:50" ht="20.100000000000001" customHeight="1" x14ac:dyDescent="0.25">
      <c r="A24" s="213">
        <v>17</v>
      </c>
      <c r="B24" s="213">
        <v>17</v>
      </c>
      <c r="C24" s="213" t="s">
        <v>917</v>
      </c>
      <c r="D24" s="230">
        <v>2.5</v>
      </c>
      <c r="E24" s="229"/>
      <c r="F24" s="229"/>
      <c r="G24" s="229"/>
      <c r="H24" s="228"/>
      <c r="I24" s="229" t="str">
        <f t="shared" si="8"/>
        <v>2,5</v>
      </c>
      <c r="J24" s="895">
        <v>0.14000000000000001</v>
      </c>
      <c r="K24" s="172">
        <v>0.87</v>
      </c>
      <c r="L24" s="213" t="s">
        <v>335</v>
      </c>
      <c r="M24" s="172">
        <f t="shared" si="19"/>
        <v>0.87</v>
      </c>
      <c r="N24" s="172">
        <v>0</v>
      </c>
      <c r="O24" s="893"/>
      <c r="P24" s="893">
        <f t="shared" si="0"/>
        <v>0.87</v>
      </c>
      <c r="Q24" s="172">
        <f t="shared" si="1"/>
        <v>0.73</v>
      </c>
      <c r="R24" s="172">
        <f t="shared" si="17"/>
        <v>0.73</v>
      </c>
      <c r="S24" s="213" t="str">
        <f t="shared" si="2"/>
        <v/>
      </c>
      <c r="T24" s="257" t="str">
        <f t="shared" si="3"/>
        <v/>
      </c>
      <c r="U24" s="768">
        <f t="shared" si="4"/>
        <v>5.3333333333333339</v>
      </c>
      <c r="V24" s="768">
        <v>0.44</v>
      </c>
      <c r="W24" s="768" t="s">
        <v>3476</v>
      </c>
      <c r="X24" s="929"/>
      <c r="Y24" s="213">
        <v>17</v>
      </c>
      <c r="Z24" s="1316">
        <v>17</v>
      </c>
      <c r="AA24" s="1298" t="s">
        <v>917</v>
      </c>
      <c r="AB24" s="230">
        <f t="shared" si="9"/>
        <v>2.5</v>
      </c>
      <c r="AC24" s="1315"/>
      <c r="AD24" s="1315"/>
      <c r="AE24" s="1315"/>
      <c r="AF24" s="1316"/>
      <c r="AG24" s="1298" t="str">
        <f t="shared" si="10"/>
        <v>2,5</v>
      </c>
      <c r="AH24" s="1304">
        <f>'Зона БЭс'!L43</f>
        <v>0</v>
      </c>
      <c r="AI24" s="1304">
        <f t="shared" si="5"/>
        <v>0.14000000000000001</v>
      </c>
      <c r="AJ24" s="1304">
        <f t="shared" si="18"/>
        <v>0.87</v>
      </c>
      <c r="AK24" s="1298" t="str">
        <f t="shared" si="11"/>
        <v>1 сутки</v>
      </c>
      <c r="AL24" s="1304">
        <f t="shared" si="12"/>
        <v>0.87</v>
      </c>
      <c r="AM24" s="1298">
        <v>0</v>
      </c>
      <c r="AN24" s="893">
        <f t="shared" si="13"/>
        <v>0.87</v>
      </c>
      <c r="AO24" s="1304">
        <f t="shared" si="14"/>
        <v>0.73</v>
      </c>
      <c r="AP24" s="1304">
        <f t="shared" si="15"/>
        <v>0.73</v>
      </c>
      <c r="AQ24" s="1339" t="str">
        <f t="shared" si="6"/>
        <v/>
      </c>
      <c r="AR24" s="1298" t="str">
        <f t="shared" si="7"/>
        <v/>
      </c>
      <c r="AS24" s="952">
        <f t="shared" si="16"/>
        <v>5.3333333333333339</v>
      </c>
      <c r="AT24" s="954" t="s">
        <v>754</v>
      </c>
      <c r="AU24" s="1113">
        <v>1991</v>
      </c>
      <c r="AV24" s="1119" t="s">
        <v>3286</v>
      </c>
      <c r="AW24" s="1121">
        <v>57.965807632511201</v>
      </c>
      <c r="AX24" s="1121">
        <v>36.7677248637033</v>
      </c>
    </row>
    <row r="25" spans="1:50" ht="20.100000000000001" customHeight="1" x14ac:dyDescent="0.25">
      <c r="A25" s="213">
        <v>18</v>
      </c>
      <c r="B25" s="213">
        <v>18</v>
      </c>
      <c r="C25" s="213" t="s">
        <v>918</v>
      </c>
      <c r="D25" s="230">
        <v>1.6</v>
      </c>
      <c r="E25" s="229"/>
      <c r="F25" s="229"/>
      <c r="G25" s="229"/>
      <c r="H25" s="228"/>
      <c r="I25" s="229" t="str">
        <f t="shared" si="8"/>
        <v>1,6</v>
      </c>
      <c r="J25" s="895">
        <v>0.02</v>
      </c>
      <c r="K25" s="172">
        <v>0.73</v>
      </c>
      <c r="L25" s="213" t="s">
        <v>335</v>
      </c>
      <c r="M25" s="172">
        <f t="shared" si="19"/>
        <v>0.73</v>
      </c>
      <c r="N25" s="172">
        <v>0</v>
      </c>
      <c r="O25" s="893"/>
      <c r="P25" s="893">
        <f t="shared" si="0"/>
        <v>0.73</v>
      </c>
      <c r="Q25" s="172">
        <f t="shared" si="1"/>
        <v>0.71</v>
      </c>
      <c r="R25" s="172">
        <f t="shared" si="17"/>
        <v>0.71</v>
      </c>
      <c r="S25" s="213" t="str">
        <f t="shared" si="2"/>
        <v/>
      </c>
      <c r="T25" s="257" t="str">
        <f t="shared" si="3"/>
        <v/>
      </c>
      <c r="U25" s="768">
        <f t="shared" si="4"/>
        <v>1.1904761904761905</v>
      </c>
      <c r="V25" s="768">
        <v>0.5</v>
      </c>
      <c r="W25" s="768" t="s">
        <v>3476</v>
      </c>
      <c r="X25" s="929"/>
      <c r="Y25" s="213">
        <v>18</v>
      </c>
      <c r="Z25" s="1316">
        <v>18</v>
      </c>
      <c r="AA25" s="1298" t="s">
        <v>918</v>
      </c>
      <c r="AB25" s="230">
        <f t="shared" si="9"/>
        <v>1.6</v>
      </c>
      <c r="AC25" s="1315"/>
      <c r="AD25" s="1315"/>
      <c r="AE25" s="1315"/>
      <c r="AF25" s="1316"/>
      <c r="AG25" s="1298" t="str">
        <f t="shared" si="10"/>
        <v>1,6</v>
      </c>
      <c r="AH25" s="1304">
        <f>'Зона БЭс'!L45</f>
        <v>0</v>
      </c>
      <c r="AI25" s="1304">
        <f t="shared" si="5"/>
        <v>0.02</v>
      </c>
      <c r="AJ25" s="1304">
        <f t="shared" si="18"/>
        <v>0.73</v>
      </c>
      <c r="AK25" s="1298" t="str">
        <f t="shared" si="11"/>
        <v>1 сутки</v>
      </c>
      <c r="AL25" s="1304">
        <f t="shared" si="12"/>
        <v>0.73</v>
      </c>
      <c r="AM25" s="1298">
        <v>0</v>
      </c>
      <c r="AN25" s="893">
        <f t="shared" si="13"/>
        <v>0.73</v>
      </c>
      <c r="AO25" s="1304">
        <f t="shared" si="14"/>
        <v>0.71</v>
      </c>
      <c r="AP25" s="1304">
        <f t="shared" si="15"/>
        <v>0.71</v>
      </c>
      <c r="AQ25" s="1339" t="str">
        <f t="shared" si="6"/>
        <v/>
      </c>
      <c r="AR25" s="1298" t="str">
        <f t="shared" si="7"/>
        <v/>
      </c>
      <c r="AS25" s="952">
        <f t="shared" si="16"/>
        <v>1.1904761904761905</v>
      </c>
      <c r="AT25" s="954" t="s">
        <v>754</v>
      </c>
      <c r="AU25" s="1113">
        <v>1980</v>
      </c>
      <c r="AV25" s="1119">
        <v>2012</v>
      </c>
      <c r="AW25" s="1121">
        <v>58.149171108863001</v>
      </c>
      <c r="AX25" s="1121">
        <v>37.274005809245502</v>
      </c>
    </row>
    <row r="26" spans="1:50" ht="20.100000000000001" customHeight="1" x14ac:dyDescent="0.25">
      <c r="A26" s="213">
        <v>19</v>
      </c>
      <c r="B26" s="213">
        <v>19</v>
      </c>
      <c r="C26" s="213" t="s">
        <v>919</v>
      </c>
      <c r="D26" s="230">
        <v>1.6</v>
      </c>
      <c r="E26" s="229"/>
      <c r="F26" s="229"/>
      <c r="G26" s="229"/>
      <c r="H26" s="228"/>
      <c r="I26" s="229" t="str">
        <f t="shared" si="8"/>
        <v>1,6</v>
      </c>
      <c r="J26" s="895">
        <v>0.11</v>
      </c>
      <c r="K26" s="172">
        <v>0.73</v>
      </c>
      <c r="L26" s="213" t="s">
        <v>335</v>
      </c>
      <c r="M26" s="172">
        <f t="shared" si="19"/>
        <v>0.73</v>
      </c>
      <c r="N26" s="172">
        <v>0</v>
      </c>
      <c r="O26" s="893"/>
      <c r="P26" s="893">
        <f t="shared" si="0"/>
        <v>0.73</v>
      </c>
      <c r="Q26" s="172">
        <f t="shared" si="1"/>
        <v>0.62</v>
      </c>
      <c r="R26" s="172">
        <f t="shared" si="17"/>
        <v>0.62</v>
      </c>
      <c r="S26" s="213" t="str">
        <f t="shared" si="2"/>
        <v/>
      </c>
      <c r="T26" s="257" t="str">
        <f t="shared" si="3"/>
        <v/>
      </c>
      <c r="U26" s="768">
        <f t="shared" si="4"/>
        <v>6.5476190476190466</v>
      </c>
      <c r="V26" s="768">
        <v>0.4</v>
      </c>
      <c r="W26" s="768" t="s">
        <v>3476</v>
      </c>
      <c r="X26" s="929"/>
      <c r="Y26" s="213">
        <v>19</v>
      </c>
      <c r="Z26" s="1316">
        <v>19</v>
      </c>
      <c r="AA26" s="1298" t="s">
        <v>919</v>
      </c>
      <c r="AB26" s="230">
        <f t="shared" si="9"/>
        <v>1.6</v>
      </c>
      <c r="AC26" s="1315"/>
      <c r="AD26" s="1315"/>
      <c r="AE26" s="1315"/>
      <c r="AF26" s="1316"/>
      <c r="AG26" s="1298" t="str">
        <f t="shared" si="10"/>
        <v>1,6</v>
      </c>
      <c r="AH26" s="1304">
        <f>'Зона БЭс'!L48</f>
        <v>0</v>
      </c>
      <c r="AI26" s="1304">
        <f t="shared" si="5"/>
        <v>0.11</v>
      </c>
      <c r="AJ26" s="1304">
        <f t="shared" si="18"/>
        <v>0.73</v>
      </c>
      <c r="AK26" s="1298" t="str">
        <f t="shared" si="11"/>
        <v>1 сутки</v>
      </c>
      <c r="AL26" s="1304">
        <f t="shared" si="12"/>
        <v>0.73</v>
      </c>
      <c r="AM26" s="1298">
        <v>0</v>
      </c>
      <c r="AN26" s="893">
        <f t="shared" si="13"/>
        <v>0.73</v>
      </c>
      <c r="AO26" s="1304">
        <f t="shared" si="14"/>
        <v>0.62</v>
      </c>
      <c r="AP26" s="1304">
        <f t="shared" si="15"/>
        <v>0.62</v>
      </c>
      <c r="AQ26" s="1339" t="str">
        <f t="shared" si="6"/>
        <v/>
      </c>
      <c r="AR26" s="1298" t="str">
        <f t="shared" si="7"/>
        <v/>
      </c>
      <c r="AS26" s="952">
        <f t="shared" si="16"/>
        <v>6.5476190476190466</v>
      </c>
      <c r="AT26" s="954" t="s">
        <v>754</v>
      </c>
      <c r="AU26" s="1113">
        <v>1969</v>
      </c>
      <c r="AV26" s="214">
        <v>2011</v>
      </c>
      <c r="AW26" s="1121">
        <v>57.5473308204175</v>
      </c>
      <c r="AX26" s="1121">
        <v>36.912513416981703</v>
      </c>
    </row>
    <row r="27" spans="1:50" ht="20.100000000000001" customHeight="1" x14ac:dyDescent="0.25">
      <c r="A27" s="213">
        <v>20</v>
      </c>
      <c r="B27" s="213">
        <v>20</v>
      </c>
      <c r="C27" s="213" t="s">
        <v>920</v>
      </c>
      <c r="D27" s="230">
        <v>2.5</v>
      </c>
      <c r="E27" s="229"/>
      <c r="F27" s="229"/>
      <c r="G27" s="229"/>
      <c r="H27" s="228"/>
      <c r="I27" s="229" t="str">
        <f t="shared" si="8"/>
        <v>2,5</v>
      </c>
      <c r="J27" s="895">
        <v>0.85</v>
      </c>
      <c r="K27" s="172">
        <v>0.68</v>
      </c>
      <c r="L27" s="213" t="s">
        <v>335</v>
      </c>
      <c r="M27" s="172">
        <f t="shared" si="19"/>
        <v>0.68</v>
      </c>
      <c r="N27" s="172">
        <v>0</v>
      </c>
      <c r="O27" s="893"/>
      <c r="P27" s="893">
        <f t="shared" si="0"/>
        <v>0.68</v>
      </c>
      <c r="Q27" s="172">
        <f t="shared" si="1"/>
        <v>-0.16999999999999993</v>
      </c>
      <c r="R27" s="172">
        <f t="shared" si="17"/>
        <v>-0.16999999999999993</v>
      </c>
      <c r="S27" s="213" t="str">
        <f t="shared" si="2"/>
        <v>закрыт</v>
      </c>
      <c r="T27" s="257" t="str">
        <f t="shared" si="3"/>
        <v>закрыт</v>
      </c>
      <c r="U27" s="768">
        <f t="shared" si="4"/>
        <v>32.38095238095238</v>
      </c>
      <c r="V27" s="768">
        <v>0.44</v>
      </c>
      <c r="W27" s="768" t="s">
        <v>3476</v>
      </c>
      <c r="X27" s="929"/>
      <c r="Y27" s="213">
        <v>20</v>
      </c>
      <c r="Z27" s="1316">
        <v>20</v>
      </c>
      <c r="AA27" s="1298" t="s">
        <v>920</v>
      </c>
      <c r="AB27" s="230">
        <f t="shared" si="9"/>
        <v>2.5</v>
      </c>
      <c r="AC27" s="1315"/>
      <c r="AD27" s="1315"/>
      <c r="AE27" s="1315"/>
      <c r="AF27" s="1316"/>
      <c r="AG27" s="1298" t="str">
        <f t="shared" si="10"/>
        <v>2,5</v>
      </c>
      <c r="AH27" s="1304">
        <f>'Зона БЭс'!L51</f>
        <v>3.7499999999999999E-2</v>
      </c>
      <c r="AI27" s="1304">
        <f t="shared" si="5"/>
        <v>0.88749999999999996</v>
      </c>
      <c r="AJ27" s="1304">
        <f t="shared" si="18"/>
        <v>0.68</v>
      </c>
      <c r="AK27" s="1298" t="str">
        <f t="shared" si="11"/>
        <v>1 сутки</v>
      </c>
      <c r="AL27" s="1304">
        <f t="shared" si="12"/>
        <v>0.68</v>
      </c>
      <c r="AM27" s="1298">
        <v>0</v>
      </c>
      <c r="AN27" s="893">
        <f t="shared" si="13"/>
        <v>0.68</v>
      </c>
      <c r="AO27" s="1304">
        <f t="shared" si="14"/>
        <v>-0.20749999999999991</v>
      </c>
      <c r="AP27" s="1304">
        <f t="shared" si="15"/>
        <v>-0.20749999999999991</v>
      </c>
      <c r="AQ27" s="1339" t="str">
        <f t="shared" si="6"/>
        <v>закрыт</v>
      </c>
      <c r="AR27" s="1298" t="str">
        <f t="shared" si="7"/>
        <v>закрыт</v>
      </c>
      <c r="AS27" s="952">
        <f t="shared" si="16"/>
        <v>33.80952380952381</v>
      </c>
      <c r="AT27" s="954" t="s">
        <v>754</v>
      </c>
      <c r="AU27" s="1113">
        <v>1976</v>
      </c>
      <c r="AV27" s="1119" t="s">
        <v>3286</v>
      </c>
      <c r="AW27" s="1121">
        <v>58.393354245935797</v>
      </c>
      <c r="AX27" s="1121">
        <v>36.6002455407138</v>
      </c>
    </row>
    <row r="28" spans="1:50" ht="20.100000000000001" customHeight="1" x14ac:dyDescent="0.25">
      <c r="A28" s="213">
        <v>21</v>
      </c>
      <c r="B28" s="213">
        <v>21</v>
      </c>
      <c r="C28" s="213" t="s">
        <v>921</v>
      </c>
      <c r="D28" s="230">
        <v>1.6</v>
      </c>
      <c r="E28" s="229"/>
      <c r="F28" s="229"/>
      <c r="G28" s="229"/>
      <c r="H28" s="228"/>
      <c r="I28" s="229" t="str">
        <f t="shared" si="8"/>
        <v>1,6</v>
      </c>
      <c r="J28" s="895">
        <v>0.72</v>
      </c>
      <c r="K28" s="172">
        <v>0.72</v>
      </c>
      <c r="L28" s="213" t="s">
        <v>335</v>
      </c>
      <c r="M28" s="172">
        <f t="shared" si="19"/>
        <v>0.72</v>
      </c>
      <c r="N28" s="172">
        <v>0</v>
      </c>
      <c r="O28" s="893"/>
      <c r="P28" s="893">
        <f t="shared" si="0"/>
        <v>0.72</v>
      </c>
      <c r="Q28" s="172">
        <f t="shared" si="1"/>
        <v>0</v>
      </c>
      <c r="R28" s="172">
        <f t="shared" si="17"/>
        <v>0</v>
      </c>
      <c r="S28" s="213" t="str">
        <f>T28</f>
        <v/>
      </c>
      <c r="T28" s="257" t="str">
        <f t="shared" si="3"/>
        <v/>
      </c>
      <c r="U28" s="768">
        <f t="shared" si="4"/>
        <v>42.857142857142854</v>
      </c>
      <c r="V28" s="768">
        <v>0.44</v>
      </c>
      <c r="W28" s="768" t="s">
        <v>3476</v>
      </c>
      <c r="X28" s="929"/>
      <c r="Y28" s="213">
        <v>21</v>
      </c>
      <c r="Z28" s="1316">
        <v>21</v>
      </c>
      <c r="AA28" s="1298" t="s">
        <v>921</v>
      </c>
      <c r="AB28" s="230">
        <f t="shared" si="9"/>
        <v>1.6</v>
      </c>
      <c r="AC28" s="1315"/>
      <c r="AD28" s="1315"/>
      <c r="AE28" s="1315"/>
      <c r="AF28" s="1316"/>
      <c r="AG28" s="1298" t="str">
        <f t="shared" si="10"/>
        <v>1,6</v>
      </c>
      <c r="AH28" s="1304">
        <f>'Зона БЭс'!L53</f>
        <v>0</v>
      </c>
      <c r="AI28" s="1304">
        <f t="shared" si="5"/>
        <v>0.72</v>
      </c>
      <c r="AJ28" s="1304">
        <f t="shared" si="18"/>
        <v>0.72</v>
      </c>
      <c r="AK28" s="1298" t="str">
        <f t="shared" si="11"/>
        <v>1 сутки</v>
      </c>
      <c r="AL28" s="1304">
        <f t="shared" si="12"/>
        <v>0.72</v>
      </c>
      <c r="AM28" s="1298">
        <v>0</v>
      </c>
      <c r="AN28" s="893">
        <f t="shared" si="13"/>
        <v>0.72</v>
      </c>
      <c r="AO28" s="1304">
        <f t="shared" si="14"/>
        <v>0</v>
      </c>
      <c r="AP28" s="1304">
        <f t="shared" si="15"/>
        <v>0</v>
      </c>
      <c r="AQ28" s="1339" t="str">
        <f t="shared" si="6"/>
        <v/>
      </c>
      <c r="AR28" s="1298" t="str">
        <f t="shared" si="7"/>
        <v/>
      </c>
      <c r="AS28" s="952">
        <f t="shared" si="16"/>
        <v>42.857142857142854</v>
      </c>
      <c r="AT28" s="954" t="s">
        <v>754</v>
      </c>
      <c r="AU28" s="1113">
        <v>1976</v>
      </c>
      <c r="AV28" s="1119" t="s">
        <v>3286</v>
      </c>
      <c r="AW28" s="1121">
        <v>57.677359611616701</v>
      </c>
      <c r="AX28" s="1121">
        <v>36.803990047399999</v>
      </c>
    </row>
    <row r="29" spans="1:50" ht="20.100000000000001" customHeight="1" x14ac:dyDescent="0.25">
      <c r="A29" s="213">
        <v>22</v>
      </c>
      <c r="B29" s="213">
        <v>22</v>
      </c>
      <c r="C29" s="213" t="s">
        <v>922</v>
      </c>
      <c r="D29" s="230">
        <v>2.5</v>
      </c>
      <c r="E29" s="229"/>
      <c r="F29" s="229"/>
      <c r="G29" s="229"/>
      <c r="H29" s="228"/>
      <c r="I29" s="229" t="str">
        <f t="shared" si="8"/>
        <v>2,5</v>
      </c>
      <c r="J29" s="895">
        <v>0.11</v>
      </c>
      <c r="K29" s="172">
        <v>1.26</v>
      </c>
      <c r="L29" s="213" t="s">
        <v>335</v>
      </c>
      <c r="M29" s="172">
        <f>K29</f>
        <v>1.26</v>
      </c>
      <c r="N29" s="172">
        <v>0</v>
      </c>
      <c r="O29" s="893"/>
      <c r="P29" s="893">
        <f t="shared" si="0"/>
        <v>1.26</v>
      </c>
      <c r="Q29" s="172">
        <f t="shared" si="1"/>
        <v>1.1499999999999999</v>
      </c>
      <c r="R29" s="172">
        <f t="shared" si="17"/>
        <v>1.1499999999999999</v>
      </c>
      <c r="S29" s="213" t="str">
        <f t="shared" si="2"/>
        <v/>
      </c>
      <c r="T29" s="257" t="str">
        <f t="shared" si="3"/>
        <v/>
      </c>
      <c r="U29" s="768">
        <f t="shared" si="4"/>
        <v>4.1904761904761907</v>
      </c>
      <c r="V29" s="768">
        <v>0.44</v>
      </c>
      <c r="W29" s="768" t="s">
        <v>3476</v>
      </c>
      <c r="X29" s="929"/>
      <c r="Y29" s="213">
        <v>22</v>
      </c>
      <c r="Z29" s="1316">
        <v>22</v>
      </c>
      <c r="AA29" s="1298" t="s">
        <v>922</v>
      </c>
      <c r="AB29" s="230">
        <f t="shared" si="9"/>
        <v>2.5</v>
      </c>
      <c r="AC29" s="1315"/>
      <c r="AD29" s="1315"/>
      <c r="AE29" s="1315"/>
      <c r="AF29" s="1316"/>
      <c r="AG29" s="1298" t="str">
        <f t="shared" si="10"/>
        <v>2,5</v>
      </c>
      <c r="AH29" s="1304">
        <f>'Зона БЭс'!L55</f>
        <v>0</v>
      </c>
      <c r="AI29" s="1304">
        <f t="shared" si="5"/>
        <v>0.11</v>
      </c>
      <c r="AJ29" s="1304">
        <f t="shared" si="18"/>
        <v>1.26</v>
      </c>
      <c r="AK29" s="1298" t="str">
        <f t="shared" si="11"/>
        <v>1 сутки</v>
      </c>
      <c r="AL29" s="1304">
        <f t="shared" si="12"/>
        <v>1.26</v>
      </c>
      <c r="AM29" s="1298">
        <v>0</v>
      </c>
      <c r="AN29" s="893">
        <f t="shared" si="13"/>
        <v>1.26</v>
      </c>
      <c r="AO29" s="1304">
        <f t="shared" si="14"/>
        <v>1.1499999999999999</v>
      </c>
      <c r="AP29" s="1304">
        <f t="shared" si="15"/>
        <v>1.1499999999999999</v>
      </c>
      <c r="AQ29" s="1339" t="str">
        <f t="shared" si="6"/>
        <v/>
      </c>
      <c r="AR29" s="1298" t="str">
        <f t="shared" si="7"/>
        <v/>
      </c>
      <c r="AS29" s="952">
        <f t="shared" si="16"/>
        <v>4.1904761904761907</v>
      </c>
      <c r="AT29" s="954" t="s">
        <v>754</v>
      </c>
      <c r="AU29" s="1113">
        <v>1980</v>
      </c>
      <c r="AV29" s="1119" t="s">
        <v>3286</v>
      </c>
      <c r="AW29" s="1121">
        <v>57.4776533741978</v>
      </c>
      <c r="AX29" s="1121">
        <v>36.6106506997791</v>
      </c>
    </row>
    <row r="30" spans="1:50" ht="20.100000000000001" customHeight="1" x14ac:dyDescent="0.25">
      <c r="A30" s="213">
        <v>23</v>
      </c>
      <c r="B30" s="213">
        <v>23</v>
      </c>
      <c r="C30" s="213" t="s">
        <v>923</v>
      </c>
      <c r="D30" s="230">
        <v>2.5</v>
      </c>
      <c r="E30" s="229"/>
      <c r="F30" s="229"/>
      <c r="G30" s="229"/>
      <c r="H30" s="228"/>
      <c r="I30" s="229" t="str">
        <f t="shared" si="8"/>
        <v>2,5</v>
      </c>
      <c r="J30" s="895">
        <v>0.15</v>
      </c>
      <c r="K30" s="882">
        <v>1.39</v>
      </c>
      <c r="L30" s="213" t="s">
        <v>335</v>
      </c>
      <c r="M30" s="172">
        <f t="shared" si="19"/>
        <v>1.39</v>
      </c>
      <c r="N30" s="172">
        <v>0</v>
      </c>
      <c r="O30" s="893"/>
      <c r="P30" s="893">
        <f t="shared" si="0"/>
        <v>1.39</v>
      </c>
      <c r="Q30" s="172">
        <f t="shared" si="1"/>
        <v>1.24</v>
      </c>
      <c r="R30" s="172">
        <f t="shared" si="17"/>
        <v>1.24</v>
      </c>
      <c r="S30" s="213" t="str">
        <f t="shared" si="2"/>
        <v/>
      </c>
      <c r="T30" s="257" t="str">
        <f t="shared" si="3"/>
        <v/>
      </c>
      <c r="U30" s="768">
        <f t="shared" si="4"/>
        <v>5.7142857142857144</v>
      </c>
      <c r="V30" s="768">
        <v>0.44</v>
      </c>
      <c r="W30" s="768" t="s">
        <v>3476</v>
      </c>
      <c r="X30" s="929"/>
      <c r="Y30" s="213">
        <v>23</v>
      </c>
      <c r="Z30" s="1316">
        <v>23</v>
      </c>
      <c r="AA30" s="1298" t="s">
        <v>923</v>
      </c>
      <c r="AB30" s="230">
        <f t="shared" si="9"/>
        <v>2.5</v>
      </c>
      <c r="AC30" s="1315"/>
      <c r="AD30" s="1315"/>
      <c r="AE30" s="1315"/>
      <c r="AF30" s="1316"/>
      <c r="AG30" s="1298" t="str">
        <f t="shared" si="10"/>
        <v>2,5</v>
      </c>
      <c r="AH30" s="1304">
        <f>'Зона БЭс'!L57</f>
        <v>0</v>
      </c>
      <c r="AI30" s="1304">
        <f t="shared" si="5"/>
        <v>0.15</v>
      </c>
      <c r="AJ30" s="1304">
        <f t="shared" si="18"/>
        <v>1.39</v>
      </c>
      <c r="AK30" s="1298" t="str">
        <f t="shared" si="11"/>
        <v>1 сутки</v>
      </c>
      <c r="AL30" s="1304">
        <f t="shared" si="12"/>
        <v>1.39</v>
      </c>
      <c r="AM30" s="1298">
        <v>0</v>
      </c>
      <c r="AN30" s="893">
        <f t="shared" si="13"/>
        <v>1.39</v>
      </c>
      <c r="AO30" s="1304">
        <f t="shared" si="14"/>
        <v>1.24</v>
      </c>
      <c r="AP30" s="1304">
        <f t="shared" si="15"/>
        <v>1.24</v>
      </c>
      <c r="AQ30" s="1339" t="str">
        <f t="shared" si="6"/>
        <v/>
      </c>
      <c r="AR30" s="1298" t="str">
        <f t="shared" si="7"/>
        <v/>
      </c>
      <c r="AS30" s="952">
        <f t="shared" si="16"/>
        <v>5.7142857142857144</v>
      </c>
      <c r="AT30" s="954" t="s">
        <v>754</v>
      </c>
      <c r="AU30" s="1113">
        <v>1979</v>
      </c>
      <c r="AV30" s="1119" t="s">
        <v>3286</v>
      </c>
      <c r="AW30" s="1121">
        <v>57.538188854814599</v>
      </c>
      <c r="AX30" s="1121">
        <v>35.975925033216697</v>
      </c>
    </row>
    <row r="31" spans="1:50" ht="20.100000000000001" customHeight="1" x14ac:dyDescent="0.25">
      <c r="A31" s="213">
        <v>24</v>
      </c>
      <c r="B31" s="213">
        <v>24</v>
      </c>
      <c r="C31" s="213" t="s">
        <v>924</v>
      </c>
      <c r="D31" s="230">
        <v>4</v>
      </c>
      <c r="E31" s="229"/>
      <c r="F31" s="229"/>
      <c r="G31" s="229"/>
      <c r="H31" s="228"/>
      <c r="I31" s="229" t="str">
        <f t="shared" si="8"/>
        <v>4</v>
      </c>
      <c r="J31" s="895">
        <v>1.1299999999999999</v>
      </c>
      <c r="K31" s="172">
        <v>1.61</v>
      </c>
      <c r="L31" s="213" t="s">
        <v>335</v>
      </c>
      <c r="M31" s="172">
        <f t="shared" si="19"/>
        <v>1.61</v>
      </c>
      <c r="N31" s="172">
        <v>0</v>
      </c>
      <c r="O31" s="893"/>
      <c r="P31" s="893">
        <f t="shared" si="0"/>
        <v>1.61</v>
      </c>
      <c r="Q31" s="172">
        <f t="shared" si="1"/>
        <v>0.4800000000000002</v>
      </c>
      <c r="R31" s="172">
        <f t="shared" si="17"/>
        <v>0.4800000000000002</v>
      </c>
      <c r="S31" s="213" t="str">
        <f t="shared" si="2"/>
        <v/>
      </c>
      <c r="T31" s="257" t="str">
        <f t="shared" si="3"/>
        <v/>
      </c>
      <c r="U31" s="768">
        <f t="shared" si="4"/>
        <v>26.904761904761902</v>
      </c>
      <c r="V31" s="768">
        <v>0.44</v>
      </c>
      <c r="W31" s="768" t="s">
        <v>3476</v>
      </c>
      <c r="X31" s="929"/>
      <c r="Y31" s="213">
        <v>24</v>
      </c>
      <c r="Z31" s="1316">
        <v>24</v>
      </c>
      <c r="AA31" s="1298" t="s">
        <v>924</v>
      </c>
      <c r="AB31" s="230">
        <f t="shared" si="9"/>
        <v>4</v>
      </c>
      <c r="AC31" s="1315"/>
      <c r="AD31" s="1315"/>
      <c r="AE31" s="1315"/>
      <c r="AF31" s="1316"/>
      <c r="AG31" s="1298" t="str">
        <f t="shared" si="10"/>
        <v>4</v>
      </c>
      <c r="AH31" s="1304">
        <f>'Зона БЭс'!L59</f>
        <v>0</v>
      </c>
      <c r="AI31" s="1304">
        <f t="shared" si="5"/>
        <v>1.1299999999999999</v>
      </c>
      <c r="AJ31" s="1304">
        <f t="shared" si="18"/>
        <v>1.61</v>
      </c>
      <c r="AK31" s="1298" t="str">
        <f t="shared" si="11"/>
        <v>1 сутки</v>
      </c>
      <c r="AL31" s="1304">
        <f t="shared" si="12"/>
        <v>1.61</v>
      </c>
      <c r="AM31" s="1298">
        <v>0</v>
      </c>
      <c r="AN31" s="893">
        <f t="shared" si="13"/>
        <v>1.61</v>
      </c>
      <c r="AO31" s="1304">
        <f t="shared" si="14"/>
        <v>0.4800000000000002</v>
      </c>
      <c r="AP31" s="1304">
        <f t="shared" si="15"/>
        <v>0.4800000000000002</v>
      </c>
      <c r="AQ31" s="1339" t="str">
        <f t="shared" si="6"/>
        <v/>
      </c>
      <c r="AR31" s="1298" t="str">
        <f t="shared" si="7"/>
        <v/>
      </c>
      <c r="AS31" s="952">
        <f t="shared" si="16"/>
        <v>26.904761904761902</v>
      </c>
      <c r="AT31" s="954" t="s">
        <v>754</v>
      </c>
      <c r="AU31" s="1113">
        <v>1994</v>
      </c>
      <c r="AV31" s="1119" t="s">
        <v>3286</v>
      </c>
      <c r="AW31" s="1121">
        <v>57.812227650658102</v>
      </c>
      <c r="AX31" s="1121">
        <v>36.689438107678001</v>
      </c>
    </row>
    <row r="32" spans="1:50" ht="20.100000000000001" customHeight="1" x14ac:dyDescent="0.25">
      <c r="A32" s="213">
        <v>25</v>
      </c>
      <c r="B32" s="213">
        <v>25</v>
      </c>
      <c r="C32" s="213" t="s">
        <v>925</v>
      </c>
      <c r="D32" s="230">
        <v>1.8</v>
      </c>
      <c r="E32" s="229"/>
      <c r="F32" s="229"/>
      <c r="G32" s="229"/>
      <c r="H32" s="228"/>
      <c r="I32" s="229" t="str">
        <f t="shared" si="8"/>
        <v>1,8</v>
      </c>
      <c r="J32" s="895">
        <v>0.9</v>
      </c>
      <c r="K32" s="172">
        <v>0.73</v>
      </c>
      <c r="L32" s="213" t="s">
        <v>335</v>
      </c>
      <c r="M32" s="172">
        <f t="shared" si="19"/>
        <v>0.73</v>
      </c>
      <c r="N32" s="172">
        <v>0</v>
      </c>
      <c r="O32" s="893"/>
      <c r="P32" s="893">
        <f t="shared" si="0"/>
        <v>0.73</v>
      </c>
      <c r="Q32" s="172">
        <f t="shared" si="1"/>
        <v>-0.17000000000000004</v>
      </c>
      <c r="R32" s="172">
        <f t="shared" si="17"/>
        <v>-0.17000000000000004</v>
      </c>
      <c r="S32" s="213" t="str">
        <f t="shared" si="2"/>
        <v>закрыт</v>
      </c>
      <c r="T32" s="257" t="str">
        <f t="shared" si="3"/>
        <v>закрыт</v>
      </c>
      <c r="U32" s="768">
        <f t="shared" si="4"/>
        <v>47.619047619047613</v>
      </c>
      <c r="V32" s="768">
        <v>0.5</v>
      </c>
      <c r="W32" s="768" t="s">
        <v>3476</v>
      </c>
      <c r="X32" s="929"/>
      <c r="Y32" s="213">
        <v>25</v>
      </c>
      <c r="Z32" s="1316">
        <v>25</v>
      </c>
      <c r="AA32" s="1298" t="s">
        <v>925</v>
      </c>
      <c r="AB32" s="230">
        <f t="shared" si="9"/>
        <v>1.8</v>
      </c>
      <c r="AC32" s="1315"/>
      <c r="AD32" s="1315"/>
      <c r="AE32" s="1315"/>
      <c r="AF32" s="1316"/>
      <c r="AG32" s="1298" t="str">
        <f t="shared" si="10"/>
        <v>1,8</v>
      </c>
      <c r="AH32" s="1304">
        <f>'Зона БЭс'!L64</f>
        <v>0</v>
      </c>
      <c r="AI32" s="1304">
        <f t="shared" si="5"/>
        <v>0.9</v>
      </c>
      <c r="AJ32" s="1304">
        <f t="shared" si="18"/>
        <v>0.73</v>
      </c>
      <c r="AK32" s="1298" t="str">
        <f t="shared" si="11"/>
        <v>1 сутки</v>
      </c>
      <c r="AL32" s="1304">
        <f t="shared" si="12"/>
        <v>0.73</v>
      </c>
      <c r="AM32" s="1298">
        <v>0</v>
      </c>
      <c r="AN32" s="893">
        <f t="shared" si="13"/>
        <v>0.73</v>
      </c>
      <c r="AO32" s="1304">
        <f t="shared" si="14"/>
        <v>-0.17000000000000004</v>
      </c>
      <c r="AP32" s="1304">
        <f t="shared" si="15"/>
        <v>-0.17000000000000004</v>
      </c>
      <c r="AQ32" s="1339" t="str">
        <f t="shared" si="6"/>
        <v>закрыт</v>
      </c>
      <c r="AR32" s="1298" t="str">
        <f t="shared" si="7"/>
        <v>закрыт</v>
      </c>
      <c r="AS32" s="952">
        <f t="shared" si="16"/>
        <v>47.619047619047613</v>
      </c>
      <c r="AT32" s="954" t="s">
        <v>754</v>
      </c>
      <c r="AU32" s="1113">
        <v>1981</v>
      </c>
      <c r="AV32" s="1119" t="s">
        <v>3286</v>
      </c>
      <c r="AW32" s="1121">
        <v>58.464285994179797</v>
      </c>
      <c r="AX32" s="1121">
        <v>37.371467100750998</v>
      </c>
    </row>
    <row r="33" spans="1:50" ht="20.100000000000001" customHeight="1" x14ac:dyDescent="0.25">
      <c r="A33" s="213">
        <v>26</v>
      </c>
      <c r="B33" s="213">
        <v>26</v>
      </c>
      <c r="C33" s="213" t="s">
        <v>926</v>
      </c>
      <c r="D33" s="1198">
        <v>2.5</v>
      </c>
      <c r="E33" s="229"/>
      <c r="F33" s="229"/>
      <c r="G33" s="229"/>
      <c r="H33" s="228"/>
      <c r="I33" s="229" t="str">
        <f t="shared" si="8"/>
        <v>2,5</v>
      </c>
      <c r="J33" s="895">
        <v>0.25</v>
      </c>
      <c r="K33" s="172">
        <v>0.71</v>
      </c>
      <c r="L33" s="213" t="s">
        <v>335</v>
      </c>
      <c r="M33" s="172">
        <f t="shared" si="19"/>
        <v>0.71</v>
      </c>
      <c r="N33" s="172">
        <v>0</v>
      </c>
      <c r="O33" s="893"/>
      <c r="P33" s="893">
        <f t="shared" si="0"/>
        <v>0.71</v>
      </c>
      <c r="Q33" s="172">
        <f t="shared" si="1"/>
        <v>0.45999999999999996</v>
      </c>
      <c r="R33" s="172">
        <f t="shared" si="17"/>
        <v>0.45999999999999996</v>
      </c>
      <c r="S33" s="213" t="str">
        <f t="shared" si="2"/>
        <v/>
      </c>
      <c r="T33" s="257" t="str">
        <f t="shared" si="3"/>
        <v/>
      </c>
      <c r="U33" s="768">
        <f t="shared" si="4"/>
        <v>9.5238095238095237</v>
      </c>
      <c r="V33" s="768">
        <v>0.75</v>
      </c>
      <c r="W33" s="768" t="s">
        <v>3476</v>
      </c>
      <c r="X33" s="929"/>
      <c r="Y33" s="213">
        <v>26</v>
      </c>
      <c r="Z33" s="1316">
        <v>26</v>
      </c>
      <c r="AA33" s="1298" t="s">
        <v>926</v>
      </c>
      <c r="AB33" s="1198">
        <f t="shared" si="9"/>
        <v>2.5</v>
      </c>
      <c r="AC33" s="1315"/>
      <c r="AD33" s="1315"/>
      <c r="AE33" s="1315"/>
      <c r="AF33" s="1316"/>
      <c r="AG33" s="1298" t="str">
        <f t="shared" si="10"/>
        <v>2,5</v>
      </c>
      <c r="AH33" s="1304">
        <f>'Зона БЭс'!L66</f>
        <v>0</v>
      </c>
      <c r="AI33" s="1304">
        <f t="shared" si="5"/>
        <v>0.25</v>
      </c>
      <c r="AJ33" s="1304">
        <f t="shared" si="18"/>
        <v>0.71</v>
      </c>
      <c r="AK33" s="1298" t="str">
        <f t="shared" si="11"/>
        <v>1 сутки</v>
      </c>
      <c r="AL33" s="1304">
        <f t="shared" si="12"/>
        <v>0.71</v>
      </c>
      <c r="AM33" s="1298">
        <v>0</v>
      </c>
      <c r="AN33" s="893">
        <f t="shared" si="13"/>
        <v>0.71</v>
      </c>
      <c r="AO33" s="1304">
        <f t="shared" si="14"/>
        <v>0.45999999999999996</v>
      </c>
      <c r="AP33" s="1304">
        <f t="shared" si="15"/>
        <v>0.45999999999999996</v>
      </c>
      <c r="AQ33" s="1339" t="str">
        <f t="shared" si="6"/>
        <v/>
      </c>
      <c r="AR33" s="1298" t="str">
        <f t="shared" si="7"/>
        <v/>
      </c>
      <c r="AS33" s="952">
        <f t="shared" si="16"/>
        <v>9.5238095238095237</v>
      </c>
      <c r="AT33" s="954" t="s">
        <v>754</v>
      </c>
      <c r="AU33" s="1113">
        <v>1979</v>
      </c>
      <c r="AV33" s="1119">
        <v>2012</v>
      </c>
      <c r="AW33" s="1121">
        <v>58.205023586651599</v>
      </c>
      <c r="AX33" s="1121">
        <v>36.486957046222798</v>
      </c>
    </row>
    <row r="34" spans="1:50" ht="20.100000000000001" customHeight="1" x14ac:dyDescent="0.25">
      <c r="A34" s="213">
        <v>27</v>
      </c>
      <c r="B34" s="213">
        <v>27</v>
      </c>
      <c r="C34" s="213" t="s">
        <v>927</v>
      </c>
      <c r="D34" s="230">
        <v>6.3</v>
      </c>
      <c r="E34" s="229"/>
      <c r="F34" s="229"/>
      <c r="G34" s="229"/>
      <c r="H34" s="228"/>
      <c r="I34" s="229" t="str">
        <f t="shared" si="8"/>
        <v>6,3</v>
      </c>
      <c r="J34" s="895">
        <v>0.55000000000000004</v>
      </c>
      <c r="K34" s="172">
        <v>1.59</v>
      </c>
      <c r="L34" s="213" t="s">
        <v>335</v>
      </c>
      <c r="M34" s="172">
        <f t="shared" si="19"/>
        <v>1.59</v>
      </c>
      <c r="N34" s="172">
        <v>0</v>
      </c>
      <c r="O34" s="893"/>
      <c r="P34" s="893">
        <f t="shared" si="0"/>
        <v>1.59</v>
      </c>
      <c r="Q34" s="172">
        <f t="shared" si="1"/>
        <v>1.04</v>
      </c>
      <c r="R34" s="172">
        <f t="shared" si="17"/>
        <v>1.04</v>
      </c>
      <c r="S34" s="213" t="str">
        <f t="shared" si="2"/>
        <v/>
      </c>
      <c r="T34" s="257" t="str">
        <f t="shared" si="3"/>
        <v/>
      </c>
      <c r="U34" s="768">
        <f t="shared" si="4"/>
        <v>8.314436885865458</v>
      </c>
      <c r="V34" s="768">
        <v>0.44</v>
      </c>
      <c r="W34" s="768" t="s">
        <v>3476</v>
      </c>
      <c r="X34" s="929"/>
      <c r="Y34" s="213">
        <v>27</v>
      </c>
      <c r="Z34" s="1316">
        <v>27</v>
      </c>
      <c r="AA34" s="1298" t="s">
        <v>927</v>
      </c>
      <c r="AB34" s="230">
        <f t="shared" si="9"/>
        <v>6.3</v>
      </c>
      <c r="AC34" s="1315"/>
      <c r="AD34" s="1315"/>
      <c r="AE34" s="1315"/>
      <c r="AF34" s="1316"/>
      <c r="AG34" s="1298" t="str">
        <f t="shared" si="10"/>
        <v>6,3</v>
      </c>
      <c r="AH34" s="1304">
        <f>'Зона БЭс'!L68</f>
        <v>0</v>
      </c>
      <c r="AI34" s="1304">
        <f t="shared" si="5"/>
        <v>0.55000000000000004</v>
      </c>
      <c r="AJ34" s="1304">
        <f t="shared" si="18"/>
        <v>1.59</v>
      </c>
      <c r="AK34" s="1298" t="str">
        <f t="shared" si="11"/>
        <v>1 сутки</v>
      </c>
      <c r="AL34" s="1304">
        <f t="shared" si="12"/>
        <v>1.59</v>
      </c>
      <c r="AM34" s="1298">
        <v>0</v>
      </c>
      <c r="AN34" s="893">
        <f t="shared" si="13"/>
        <v>1.59</v>
      </c>
      <c r="AO34" s="1304">
        <f t="shared" si="14"/>
        <v>1.04</v>
      </c>
      <c r="AP34" s="1304">
        <f t="shared" si="15"/>
        <v>1.04</v>
      </c>
      <c r="AQ34" s="1339" t="str">
        <f t="shared" si="6"/>
        <v/>
      </c>
      <c r="AR34" s="1298" t="str">
        <f t="shared" si="7"/>
        <v/>
      </c>
      <c r="AS34" s="952">
        <f t="shared" si="16"/>
        <v>8.314436885865458</v>
      </c>
      <c r="AT34" s="954" t="s">
        <v>754</v>
      </c>
      <c r="AU34" s="1113">
        <v>1982</v>
      </c>
      <c r="AV34" s="1119" t="s">
        <v>3286</v>
      </c>
      <c r="AW34" s="1121">
        <v>57.782564746760997</v>
      </c>
      <c r="AX34" s="1121">
        <v>36.630738308910203</v>
      </c>
    </row>
    <row r="35" spans="1:50" ht="20.100000000000001" customHeight="1" x14ac:dyDescent="0.25">
      <c r="A35" s="213">
        <v>28</v>
      </c>
      <c r="B35" s="213">
        <v>28</v>
      </c>
      <c r="C35" s="213" t="s">
        <v>928</v>
      </c>
      <c r="D35" s="230">
        <v>2.5</v>
      </c>
      <c r="E35" s="229"/>
      <c r="F35" s="229"/>
      <c r="G35" s="229"/>
      <c r="H35" s="228"/>
      <c r="I35" s="229" t="str">
        <f t="shared" si="8"/>
        <v>2,5</v>
      </c>
      <c r="J35" s="895">
        <v>0.22</v>
      </c>
      <c r="K35" s="172">
        <v>0.89</v>
      </c>
      <c r="L35" s="213" t="s">
        <v>335</v>
      </c>
      <c r="M35" s="172">
        <f t="shared" si="19"/>
        <v>0.89</v>
      </c>
      <c r="N35" s="172">
        <v>0</v>
      </c>
      <c r="O35" s="893"/>
      <c r="P35" s="893">
        <f t="shared" si="0"/>
        <v>0.89</v>
      </c>
      <c r="Q35" s="172">
        <f t="shared" si="1"/>
        <v>0.67</v>
      </c>
      <c r="R35" s="172">
        <f t="shared" si="17"/>
        <v>0.67</v>
      </c>
      <c r="S35" s="213" t="str">
        <f t="shared" si="2"/>
        <v/>
      </c>
      <c r="T35" s="257" t="str">
        <f t="shared" si="3"/>
        <v/>
      </c>
      <c r="U35" s="768">
        <f t="shared" si="4"/>
        <v>8.3809523809523814</v>
      </c>
      <c r="V35" s="768">
        <v>0.44</v>
      </c>
      <c r="W35" s="768" t="s">
        <v>3476</v>
      </c>
      <c r="X35" s="929"/>
      <c r="Y35" s="213">
        <v>28</v>
      </c>
      <c r="Z35" s="1316">
        <v>28</v>
      </c>
      <c r="AA35" s="1298" t="s">
        <v>928</v>
      </c>
      <c r="AB35" s="230">
        <f t="shared" si="9"/>
        <v>2.5</v>
      </c>
      <c r="AC35" s="1315"/>
      <c r="AD35" s="1315"/>
      <c r="AE35" s="1315"/>
      <c r="AF35" s="1316"/>
      <c r="AG35" s="1298" t="str">
        <f t="shared" si="10"/>
        <v>2,5</v>
      </c>
      <c r="AH35" s="1304">
        <f>'Зона БЭс'!L70</f>
        <v>0</v>
      </c>
      <c r="AI35" s="1304">
        <f t="shared" si="5"/>
        <v>0.22</v>
      </c>
      <c r="AJ35" s="1304">
        <f t="shared" si="18"/>
        <v>0.89</v>
      </c>
      <c r="AK35" s="1298" t="str">
        <f t="shared" si="11"/>
        <v>1 сутки</v>
      </c>
      <c r="AL35" s="1304">
        <f t="shared" si="12"/>
        <v>0.89</v>
      </c>
      <c r="AM35" s="1298">
        <v>0</v>
      </c>
      <c r="AN35" s="893">
        <f t="shared" si="13"/>
        <v>0.89</v>
      </c>
      <c r="AO35" s="1304">
        <f t="shared" si="14"/>
        <v>0.67</v>
      </c>
      <c r="AP35" s="1304">
        <f t="shared" si="15"/>
        <v>0.67</v>
      </c>
      <c r="AQ35" s="1339" t="str">
        <f t="shared" si="6"/>
        <v/>
      </c>
      <c r="AR35" s="1298" t="str">
        <f t="shared" si="7"/>
        <v/>
      </c>
      <c r="AS35" s="952">
        <f t="shared" si="16"/>
        <v>8.3809523809523814</v>
      </c>
      <c r="AT35" s="954" t="s">
        <v>754</v>
      </c>
      <c r="AU35" s="1113">
        <v>1983</v>
      </c>
      <c r="AV35" s="1119" t="s">
        <v>3286</v>
      </c>
      <c r="AW35" s="1121">
        <v>57.708587303994101</v>
      </c>
      <c r="AX35" s="1121">
        <v>36.505252512965001</v>
      </c>
    </row>
    <row r="36" spans="1:50" ht="20.100000000000001" customHeight="1" x14ac:dyDescent="0.25">
      <c r="A36" s="213">
        <v>29</v>
      </c>
      <c r="B36" s="213">
        <v>29</v>
      </c>
      <c r="C36" s="213" t="s">
        <v>929</v>
      </c>
      <c r="D36" s="230">
        <v>2.5</v>
      </c>
      <c r="E36" s="229"/>
      <c r="F36" s="229"/>
      <c r="G36" s="229"/>
      <c r="H36" s="228"/>
      <c r="I36" s="229" t="str">
        <f t="shared" si="8"/>
        <v>2,5</v>
      </c>
      <c r="J36" s="895">
        <v>0.82</v>
      </c>
      <c r="K36" s="172">
        <v>0.85</v>
      </c>
      <c r="L36" s="213" t="s">
        <v>335</v>
      </c>
      <c r="M36" s="172">
        <f t="shared" si="19"/>
        <v>0.85</v>
      </c>
      <c r="N36" s="172">
        <v>0</v>
      </c>
      <c r="O36" s="893"/>
      <c r="P36" s="893">
        <f t="shared" si="0"/>
        <v>0.85</v>
      </c>
      <c r="Q36" s="172">
        <f t="shared" si="1"/>
        <v>3.0000000000000027E-2</v>
      </c>
      <c r="R36" s="172">
        <f t="shared" si="17"/>
        <v>3.0000000000000027E-2</v>
      </c>
      <c r="S36" s="213" t="str">
        <f t="shared" si="2"/>
        <v/>
      </c>
      <c r="T36" s="257" t="str">
        <f t="shared" si="3"/>
        <v/>
      </c>
      <c r="U36" s="768">
        <f t="shared" si="4"/>
        <v>31.238095238095237</v>
      </c>
      <c r="V36" s="768"/>
      <c r="W36" s="768" t="s">
        <v>3087</v>
      </c>
      <c r="X36" s="929"/>
      <c r="Y36" s="213">
        <v>29</v>
      </c>
      <c r="Z36" s="1316">
        <v>29</v>
      </c>
      <c r="AA36" s="1298" t="s">
        <v>929</v>
      </c>
      <c r="AB36" s="230">
        <f t="shared" si="9"/>
        <v>2.5</v>
      </c>
      <c r="AC36" s="1315"/>
      <c r="AD36" s="1315"/>
      <c r="AE36" s="1315"/>
      <c r="AF36" s="1316"/>
      <c r="AG36" s="1298" t="str">
        <f t="shared" si="10"/>
        <v>2,5</v>
      </c>
      <c r="AH36" s="1304">
        <f>'Зона БЭс'!L73</f>
        <v>0</v>
      </c>
      <c r="AI36" s="1304">
        <f t="shared" si="5"/>
        <v>0.82</v>
      </c>
      <c r="AJ36" s="1304">
        <f t="shared" si="18"/>
        <v>0.85</v>
      </c>
      <c r="AK36" s="1298" t="str">
        <f t="shared" si="11"/>
        <v>1 сутки</v>
      </c>
      <c r="AL36" s="1304">
        <f t="shared" si="12"/>
        <v>0.85</v>
      </c>
      <c r="AM36" s="1298">
        <v>0</v>
      </c>
      <c r="AN36" s="893">
        <f t="shared" si="13"/>
        <v>0.85</v>
      </c>
      <c r="AO36" s="1304">
        <f t="shared" si="14"/>
        <v>3.0000000000000027E-2</v>
      </c>
      <c r="AP36" s="1304">
        <f t="shared" si="15"/>
        <v>3.0000000000000027E-2</v>
      </c>
      <c r="AQ36" s="1339" t="str">
        <f t="shared" si="6"/>
        <v/>
      </c>
      <c r="AR36" s="1298" t="str">
        <f t="shared" si="7"/>
        <v/>
      </c>
      <c r="AS36" s="952">
        <f t="shared" si="16"/>
        <v>31.238095238095237</v>
      </c>
      <c r="AT36" s="954" t="s">
        <v>754</v>
      </c>
      <c r="AU36" s="1113">
        <v>1978</v>
      </c>
      <c r="AV36" s="1119" t="s">
        <v>3286</v>
      </c>
      <c r="AW36" s="1121">
        <v>57.830694932763102</v>
      </c>
      <c r="AX36" s="1121">
        <v>35.631129064387302</v>
      </c>
    </row>
    <row r="37" spans="1:50" ht="20.100000000000001" customHeight="1" x14ac:dyDescent="0.25">
      <c r="A37" s="213">
        <v>30</v>
      </c>
      <c r="B37" s="213">
        <v>30</v>
      </c>
      <c r="C37" s="213" t="s">
        <v>930</v>
      </c>
      <c r="D37" s="230">
        <v>16</v>
      </c>
      <c r="E37" s="229"/>
      <c r="F37" s="229"/>
      <c r="G37" s="229"/>
      <c r="H37" s="228"/>
      <c r="I37" s="229" t="str">
        <f t="shared" si="8"/>
        <v>16</v>
      </c>
      <c r="J37" s="895">
        <v>1.97</v>
      </c>
      <c r="K37" s="172">
        <v>2.97</v>
      </c>
      <c r="L37" s="213" t="s">
        <v>335</v>
      </c>
      <c r="M37" s="172">
        <f t="shared" si="19"/>
        <v>2.97</v>
      </c>
      <c r="N37" s="172">
        <v>0</v>
      </c>
      <c r="O37" s="893"/>
      <c r="P37" s="893">
        <f t="shared" si="0"/>
        <v>2.97</v>
      </c>
      <c r="Q37" s="172">
        <f t="shared" si="1"/>
        <v>1.0000000000000002</v>
      </c>
      <c r="R37" s="172">
        <f t="shared" si="17"/>
        <v>1.0000000000000002</v>
      </c>
      <c r="S37" s="213" t="str">
        <f t="shared" si="2"/>
        <v/>
      </c>
      <c r="T37" s="257" t="str">
        <f t="shared" si="3"/>
        <v/>
      </c>
      <c r="U37" s="768">
        <f t="shared" si="4"/>
        <v>11.726190476190476</v>
      </c>
      <c r="V37" s="768">
        <v>0.44</v>
      </c>
      <c r="W37" s="768" t="s">
        <v>3476</v>
      </c>
      <c r="X37" s="929"/>
      <c r="Y37" s="213">
        <v>30</v>
      </c>
      <c r="Z37" s="1316">
        <v>30</v>
      </c>
      <c r="AA37" s="1298" t="s">
        <v>930</v>
      </c>
      <c r="AB37" s="230">
        <f t="shared" si="9"/>
        <v>16</v>
      </c>
      <c r="AC37" s="1315"/>
      <c r="AD37" s="1315"/>
      <c r="AE37" s="1315"/>
      <c r="AF37" s="1316"/>
      <c r="AG37" s="1298" t="str">
        <f t="shared" si="10"/>
        <v>16</v>
      </c>
      <c r="AH37" s="1304">
        <f>'Зона БЭс'!L76</f>
        <v>0</v>
      </c>
      <c r="AI37" s="1304">
        <f t="shared" si="5"/>
        <v>1.97</v>
      </c>
      <c r="AJ37" s="1304">
        <f t="shared" si="18"/>
        <v>2.97</v>
      </c>
      <c r="AK37" s="1298" t="str">
        <f t="shared" si="11"/>
        <v>1 сутки</v>
      </c>
      <c r="AL37" s="1304">
        <f t="shared" si="12"/>
        <v>2.97</v>
      </c>
      <c r="AM37" s="1298">
        <v>0</v>
      </c>
      <c r="AN37" s="893">
        <f t="shared" si="13"/>
        <v>2.97</v>
      </c>
      <c r="AO37" s="1304">
        <f t="shared" si="14"/>
        <v>1.0000000000000002</v>
      </c>
      <c r="AP37" s="1304">
        <f t="shared" si="15"/>
        <v>1.0000000000000002</v>
      </c>
      <c r="AQ37" s="1339" t="str">
        <f t="shared" si="6"/>
        <v/>
      </c>
      <c r="AR37" s="1298" t="str">
        <f t="shared" si="7"/>
        <v/>
      </c>
      <c r="AS37" s="952">
        <f t="shared" si="16"/>
        <v>11.726190476190476</v>
      </c>
      <c r="AT37" s="954" t="s">
        <v>754</v>
      </c>
      <c r="AU37" s="1113">
        <v>1998</v>
      </c>
      <c r="AV37" s="1119" t="s">
        <v>3286</v>
      </c>
      <c r="AW37" s="1121">
        <v>57.776523504667999</v>
      </c>
      <c r="AX37" s="1121">
        <v>36.718058575477002</v>
      </c>
    </row>
    <row r="38" spans="1:50" ht="20.100000000000001" customHeight="1" x14ac:dyDescent="0.25">
      <c r="A38" s="213">
        <v>31</v>
      </c>
      <c r="B38" s="213">
        <v>31</v>
      </c>
      <c r="C38" s="213" t="s">
        <v>931</v>
      </c>
      <c r="D38" s="230">
        <v>10</v>
      </c>
      <c r="E38" s="229"/>
      <c r="F38" s="229"/>
      <c r="G38" s="229"/>
      <c r="H38" s="228"/>
      <c r="I38" s="229" t="str">
        <f t="shared" si="8"/>
        <v>10</v>
      </c>
      <c r="J38" s="895">
        <v>5.76</v>
      </c>
      <c r="K38" s="172">
        <v>5</v>
      </c>
      <c r="L38" s="213" t="s">
        <v>335</v>
      </c>
      <c r="M38" s="172">
        <f t="shared" si="19"/>
        <v>5</v>
      </c>
      <c r="N38" s="172">
        <v>0</v>
      </c>
      <c r="O38" s="893"/>
      <c r="P38" s="893">
        <f t="shared" si="0"/>
        <v>5</v>
      </c>
      <c r="Q38" s="172">
        <f t="shared" si="1"/>
        <v>-0.75999999999999979</v>
      </c>
      <c r="R38" s="172">
        <f t="shared" si="17"/>
        <v>-0.75999999999999979</v>
      </c>
      <c r="S38" s="213" t="str">
        <f t="shared" si="2"/>
        <v>закрыт</v>
      </c>
      <c r="T38" s="257" t="str">
        <f t="shared" si="3"/>
        <v>закрыт</v>
      </c>
      <c r="U38" s="768">
        <f t="shared" si="4"/>
        <v>54.857142857142854</v>
      </c>
      <c r="V38" s="768">
        <v>0.44</v>
      </c>
      <c r="W38" s="768" t="s">
        <v>3476</v>
      </c>
      <c r="X38" s="929"/>
      <c r="Y38" s="213">
        <v>31</v>
      </c>
      <c r="Z38" s="1316">
        <v>31</v>
      </c>
      <c r="AA38" s="1298" t="s">
        <v>931</v>
      </c>
      <c r="AB38" s="230">
        <f t="shared" si="9"/>
        <v>10</v>
      </c>
      <c r="AC38" s="1315"/>
      <c r="AD38" s="1315"/>
      <c r="AE38" s="1315"/>
      <c r="AF38" s="1316"/>
      <c r="AG38" s="1298" t="str">
        <f t="shared" si="10"/>
        <v>10</v>
      </c>
      <c r="AH38" s="1304">
        <f>SUM(AH17+AH9+AH57+'Зона БЭс'!L78)</f>
        <v>6.25E-2</v>
      </c>
      <c r="AI38" s="1304">
        <f t="shared" si="5"/>
        <v>5.8224999999999998</v>
      </c>
      <c r="AJ38" s="1304">
        <f t="shared" si="18"/>
        <v>5</v>
      </c>
      <c r="AK38" s="1298" t="str">
        <f t="shared" si="11"/>
        <v>1 сутки</v>
      </c>
      <c r="AL38" s="1304">
        <f t="shared" si="12"/>
        <v>5</v>
      </c>
      <c r="AM38" s="1298">
        <v>0</v>
      </c>
      <c r="AN38" s="893">
        <f t="shared" si="13"/>
        <v>5</v>
      </c>
      <c r="AO38" s="1304">
        <f t="shared" si="14"/>
        <v>-0.82249999999999979</v>
      </c>
      <c r="AP38" s="1304">
        <f t="shared" si="15"/>
        <v>-0.82249999999999979</v>
      </c>
      <c r="AQ38" s="1339" t="str">
        <f t="shared" si="6"/>
        <v>закрыт</v>
      </c>
      <c r="AR38" s="1298" t="str">
        <f t="shared" si="7"/>
        <v>закрыт</v>
      </c>
      <c r="AS38" s="952">
        <f t="shared" si="16"/>
        <v>55.452380952380949</v>
      </c>
      <c r="AT38" s="954" t="s">
        <v>754</v>
      </c>
      <c r="AU38" s="1113">
        <v>1981</v>
      </c>
      <c r="AV38" s="1119" t="s">
        <v>3286</v>
      </c>
      <c r="AW38" s="1121">
        <v>57.780753789986697</v>
      </c>
      <c r="AX38" s="1121">
        <v>37.171410467278399</v>
      </c>
    </row>
    <row r="39" spans="1:50" ht="20.100000000000001" customHeight="1" x14ac:dyDescent="0.25">
      <c r="A39" s="1371">
        <v>32</v>
      </c>
      <c r="B39" s="1371">
        <v>32</v>
      </c>
      <c r="C39" s="213" t="s">
        <v>932</v>
      </c>
      <c r="D39" s="230">
        <v>6.3</v>
      </c>
      <c r="E39" s="229"/>
      <c r="F39" s="229"/>
      <c r="G39" s="229"/>
      <c r="H39" s="228"/>
      <c r="I39" s="229" t="str">
        <f t="shared" si="8"/>
        <v>6,3</v>
      </c>
      <c r="J39" s="895">
        <v>1.1200000000000001</v>
      </c>
      <c r="K39" s="172">
        <v>1.37</v>
      </c>
      <c r="L39" s="213" t="s">
        <v>335</v>
      </c>
      <c r="M39" s="172">
        <f t="shared" si="19"/>
        <v>1.37</v>
      </c>
      <c r="N39" s="172">
        <v>0</v>
      </c>
      <c r="O39" s="893"/>
      <c r="P39" s="893">
        <f t="shared" si="0"/>
        <v>1.37</v>
      </c>
      <c r="Q39" s="172">
        <f t="shared" si="1"/>
        <v>0.25</v>
      </c>
      <c r="R39" s="1364">
        <f>MIN(Q39:Q41)</f>
        <v>-0.94</v>
      </c>
      <c r="S39" s="1376" t="str">
        <f>T39</f>
        <v>закрыт</v>
      </c>
      <c r="T39" s="257" t="str">
        <f t="shared" si="3"/>
        <v>закрыт</v>
      </c>
      <c r="U39" s="1362">
        <f t="shared" si="4"/>
        <v>16.931216931216934</v>
      </c>
      <c r="V39" s="1362">
        <v>0.44</v>
      </c>
      <c r="W39" s="1381" t="s">
        <v>3476</v>
      </c>
      <c r="X39" s="929"/>
      <c r="Y39" s="1371">
        <v>32</v>
      </c>
      <c r="Z39" s="1316">
        <v>32</v>
      </c>
      <c r="AA39" s="1298" t="s">
        <v>932</v>
      </c>
      <c r="AB39" s="230">
        <f t="shared" si="9"/>
        <v>6.3</v>
      </c>
      <c r="AC39" s="1315"/>
      <c r="AD39" s="1315"/>
      <c r="AE39" s="1315"/>
      <c r="AF39" s="1316"/>
      <c r="AG39" s="1298" t="str">
        <f t="shared" si="10"/>
        <v>6,3</v>
      </c>
      <c r="AH39" s="1304">
        <f>SUM(AH40:AH41)</f>
        <v>0</v>
      </c>
      <c r="AI39" s="1304">
        <f t="shared" si="5"/>
        <v>1.1200000000000001</v>
      </c>
      <c r="AJ39" s="1304">
        <f t="shared" si="18"/>
        <v>1.37</v>
      </c>
      <c r="AK39" s="1298" t="str">
        <f t="shared" si="11"/>
        <v>1 сутки</v>
      </c>
      <c r="AL39" s="1304">
        <f t="shared" si="12"/>
        <v>1.37</v>
      </c>
      <c r="AM39" s="1298">
        <v>0</v>
      </c>
      <c r="AN39" s="893">
        <f t="shared" si="13"/>
        <v>1.37</v>
      </c>
      <c r="AO39" s="1304">
        <f t="shared" si="14"/>
        <v>0.25</v>
      </c>
      <c r="AP39" s="1308">
        <f>MIN(AO39:AO41)</f>
        <v>-0.94</v>
      </c>
      <c r="AQ39" s="1317" t="str">
        <f>AR39</f>
        <v>закрыт</v>
      </c>
      <c r="AR39" s="1298" t="str">
        <f t="shared" si="7"/>
        <v>закрыт</v>
      </c>
      <c r="AS39" s="1305">
        <f>(AI39*100)/(AG39*1.05)</f>
        <v>16.931216931216934</v>
      </c>
      <c r="AT39" s="954" t="s">
        <v>754</v>
      </c>
      <c r="AU39" s="1113">
        <v>1979</v>
      </c>
      <c r="AV39" s="1119" t="s">
        <v>3286</v>
      </c>
      <c r="AW39" s="1121">
        <v>58.547368724877003</v>
      </c>
      <c r="AX39" s="1121">
        <v>37.081294891711501</v>
      </c>
    </row>
    <row r="40" spans="1:50" ht="20.100000000000001" customHeight="1" x14ac:dyDescent="0.25">
      <c r="A40" s="1371"/>
      <c r="B40" s="1371"/>
      <c r="C40" s="213" t="s">
        <v>1792</v>
      </c>
      <c r="D40" s="230">
        <v>6.3</v>
      </c>
      <c r="E40" s="229"/>
      <c r="F40" s="229"/>
      <c r="G40" s="229"/>
      <c r="H40" s="228"/>
      <c r="I40" s="229" t="str">
        <f t="shared" si="8"/>
        <v>6,3</v>
      </c>
      <c r="J40" s="895">
        <v>0.94</v>
      </c>
      <c r="K40" s="172">
        <v>0</v>
      </c>
      <c r="L40" s="213">
        <v>0</v>
      </c>
      <c r="M40" s="172">
        <f>K40</f>
        <v>0</v>
      </c>
      <c r="N40" s="172">
        <v>0</v>
      </c>
      <c r="O40" s="893"/>
      <c r="P40" s="893">
        <f t="shared" si="0"/>
        <v>0</v>
      </c>
      <c r="Q40" s="172">
        <f t="shared" si="1"/>
        <v>-0.94</v>
      </c>
      <c r="R40" s="1365"/>
      <c r="S40" s="1393"/>
      <c r="T40" s="257" t="str">
        <f>IF(R39&lt;0,"закрыт","")</f>
        <v>закрыт</v>
      </c>
      <c r="U40" s="1362"/>
      <c r="V40" s="1362"/>
      <c r="W40" s="1382"/>
      <c r="X40" s="929"/>
      <c r="Y40" s="1371"/>
      <c r="Z40" s="1316"/>
      <c r="AA40" s="1298" t="s">
        <v>1792</v>
      </c>
      <c r="AB40" s="230">
        <f t="shared" si="9"/>
        <v>6.3</v>
      </c>
      <c r="AC40" s="1315"/>
      <c r="AD40" s="1315"/>
      <c r="AE40" s="1315"/>
      <c r="AF40" s="1316"/>
      <c r="AG40" s="1298" t="str">
        <f t="shared" si="10"/>
        <v>6,3</v>
      </c>
      <c r="AH40" s="1304">
        <f>AH32</f>
        <v>0</v>
      </c>
      <c r="AI40" s="1304">
        <f t="shared" si="5"/>
        <v>0.94</v>
      </c>
      <c r="AJ40" s="1304">
        <f t="shared" si="18"/>
        <v>0</v>
      </c>
      <c r="AK40" s="1298">
        <f t="shared" si="11"/>
        <v>0</v>
      </c>
      <c r="AL40" s="1304">
        <f t="shared" si="12"/>
        <v>0</v>
      </c>
      <c r="AM40" s="1298">
        <v>0</v>
      </c>
      <c r="AN40" s="893">
        <f t="shared" si="13"/>
        <v>0</v>
      </c>
      <c r="AO40" s="1304">
        <f t="shared" si="14"/>
        <v>-0.94</v>
      </c>
      <c r="AP40" s="1309"/>
      <c r="AQ40" s="1318"/>
      <c r="AR40" s="1298" t="str">
        <f>IF(AP39&lt;0,"закрыт","")</f>
        <v>закрыт</v>
      </c>
      <c r="AS40" s="1306"/>
      <c r="AT40" s="954" t="s">
        <v>754</v>
      </c>
      <c r="AU40" s="1113">
        <v>1979</v>
      </c>
      <c r="AV40" s="1119" t="s">
        <v>3286</v>
      </c>
      <c r="AW40" s="1121">
        <v>58.547368724877003</v>
      </c>
      <c r="AX40" s="1121">
        <v>37.081294891711501</v>
      </c>
    </row>
    <row r="41" spans="1:50" ht="20.100000000000001" customHeight="1" x14ac:dyDescent="0.25">
      <c r="A41" s="1371"/>
      <c r="B41" s="1371"/>
      <c r="C41" s="213" t="s">
        <v>1791</v>
      </c>
      <c r="D41" s="230">
        <v>6.3</v>
      </c>
      <c r="E41" s="229"/>
      <c r="F41" s="229"/>
      <c r="G41" s="229"/>
      <c r="H41" s="228"/>
      <c r="I41" s="229" t="str">
        <f t="shared" si="8"/>
        <v>6,3</v>
      </c>
      <c r="J41" s="895">
        <v>0.18</v>
      </c>
      <c r="K41" s="172">
        <v>1.37</v>
      </c>
      <c r="L41" s="213" t="s">
        <v>335</v>
      </c>
      <c r="M41" s="172">
        <f t="shared" si="19"/>
        <v>1.37</v>
      </c>
      <c r="N41" s="172">
        <v>0</v>
      </c>
      <c r="O41" s="893"/>
      <c r="P41" s="893">
        <f t="shared" si="0"/>
        <v>1.37</v>
      </c>
      <c r="Q41" s="172">
        <f t="shared" si="1"/>
        <v>1.1900000000000002</v>
      </c>
      <c r="R41" s="1366"/>
      <c r="S41" s="1394"/>
      <c r="T41" s="257" t="str">
        <f>IF(R39&lt;0,"закрыт","")</f>
        <v>закрыт</v>
      </c>
      <c r="U41" s="1362"/>
      <c r="V41" s="1362"/>
      <c r="W41" s="1383"/>
      <c r="X41" s="929"/>
      <c r="Y41" s="1371"/>
      <c r="Z41" s="1316"/>
      <c r="AA41" s="1298" t="s">
        <v>1791</v>
      </c>
      <c r="AB41" s="230">
        <f t="shared" si="9"/>
        <v>6.3</v>
      </c>
      <c r="AC41" s="1315"/>
      <c r="AD41" s="1315"/>
      <c r="AE41" s="1315"/>
      <c r="AF41" s="1316"/>
      <c r="AG41" s="1298" t="str">
        <f t="shared" si="10"/>
        <v>6,3</v>
      </c>
      <c r="AH41" s="1304">
        <f>'Зона БЭс'!L80</f>
        <v>0</v>
      </c>
      <c r="AI41" s="1304">
        <f t="shared" si="5"/>
        <v>0.18</v>
      </c>
      <c r="AJ41" s="1304">
        <f t="shared" si="18"/>
        <v>1.37</v>
      </c>
      <c r="AK41" s="1298" t="str">
        <f t="shared" si="11"/>
        <v>1 сутки</v>
      </c>
      <c r="AL41" s="1304">
        <f t="shared" si="12"/>
        <v>1.37</v>
      </c>
      <c r="AM41" s="1298">
        <v>0</v>
      </c>
      <c r="AN41" s="893">
        <f t="shared" si="13"/>
        <v>1.37</v>
      </c>
      <c r="AO41" s="1304">
        <f t="shared" si="14"/>
        <v>1.1900000000000002</v>
      </c>
      <c r="AP41" s="1310"/>
      <c r="AQ41" s="1319"/>
      <c r="AR41" s="1298" t="str">
        <f>IF(AP39&lt;0,"закрыт","")</f>
        <v>закрыт</v>
      </c>
      <c r="AS41" s="1307"/>
      <c r="AT41" s="954" t="s">
        <v>754</v>
      </c>
      <c r="AU41" s="1113">
        <v>1979</v>
      </c>
      <c r="AV41" s="1119" t="s">
        <v>3286</v>
      </c>
      <c r="AW41" s="1121">
        <v>58.547368724877003</v>
      </c>
      <c r="AX41" s="1121">
        <v>37.081294891711501</v>
      </c>
    </row>
    <row r="42" spans="1:50" ht="20.100000000000001" customHeight="1" x14ac:dyDescent="0.25">
      <c r="A42" s="1371">
        <v>33</v>
      </c>
      <c r="B42" s="1371">
        <v>33</v>
      </c>
      <c r="C42" s="213" t="s">
        <v>933</v>
      </c>
      <c r="D42" s="230">
        <v>6.3</v>
      </c>
      <c r="E42" s="229"/>
      <c r="F42" s="229"/>
      <c r="G42" s="229"/>
      <c r="H42" s="228"/>
      <c r="I42" s="229" t="str">
        <f t="shared" si="8"/>
        <v>6,3</v>
      </c>
      <c r="J42" s="895">
        <v>0.79</v>
      </c>
      <c r="K42" s="172">
        <v>1.47</v>
      </c>
      <c r="L42" s="213" t="s">
        <v>335</v>
      </c>
      <c r="M42" s="172">
        <f t="shared" si="19"/>
        <v>1.47</v>
      </c>
      <c r="N42" s="172">
        <v>0</v>
      </c>
      <c r="O42" s="893"/>
      <c r="P42" s="893">
        <f t="shared" si="0"/>
        <v>1.47</v>
      </c>
      <c r="Q42" s="172">
        <f t="shared" si="1"/>
        <v>0.67999999999999994</v>
      </c>
      <c r="R42" s="1379">
        <f>MIN(Q42:Q44)</f>
        <v>-0.06</v>
      </c>
      <c r="S42" s="1376" t="str">
        <f>T42</f>
        <v>закрыт</v>
      </c>
      <c r="T42" s="257" t="str">
        <f>IF(R42&lt;0,"закрыт","")</f>
        <v>закрыт</v>
      </c>
      <c r="U42" s="1362">
        <f>(J42*100)/(I42*1.05)</f>
        <v>11.942554799697657</v>
      </c>
      <c r="V42" s="1362">
        <v>0.75</v>
      </c>
      <c r="W42" s="1381" t="s">
        <v>3476</v>
      </c>
      <c r="X42" s="929"/>
      <c r="Y42" s="1371">
        <v>33</v>
      </c>
      <c r="Z42" s="1316">
        <v>33</v>
      </c>
      <c r="AA42" s="1298" t="s">
        <v>933</v>
      </c>
      <c r="AB42" s="230">
        <f t="shared" si="9"/>
        <v>6.3</v>
      </c>
      <c r="AC42" s="1315"/>
      <c r="AD42" s="1315"/>
      <c r="AE42" s="1315"/>
      <c r="AF42" s="1316"/>
      <c r="AG42" s="1298" t="str">
        <f t="shared" si="10"/>
        <v>6,3</v>
      </c>
      <c r="AH42" s="1304">
        <f>SUM(AH43:AH44)</f>
        <v>0</v>
      </c>
      <c r="AI42" s="1304">
        <f t="shared" si="5"/>
        <v>0.79</v>
      </c>
      <c r="AJ42" s="1304">
        <f t="shared" si="18"/>
        <v>1.47</v>
      </c>
      <c r="AK42" s="1298" t="str">
        <f t="shared" si="11"/>
        <v>1 сутки</v>
      </c>
      <c r="AL42" s="1304">
        <f t="shared" si="12"/>
        <v>1.47</v>
      </c>
      <c r="AM42" s="1298">
        <v>0</v>
      </c>
      <c r="AN42" s="893">
        <f t="shared" si="13"/>
        <v>1.47</v>
      </c>
      <c r="AO42" s="1304">
        <f t="shared" si="14"/>
        <v>0.67999999999999994</v>
      </c>
      <c r="AP42" s="1308">
        <f>MIN(AO42:AO44)</f>
        <v>-0.06</v>
      </c>
      <c r="AQ42" s="1317" t="str">
        <f t="shared" si="6"/>
        <v>закрыт</v>
      </c>
      <c r="AR42" s="1298" t="str">
        <f>IF(AP42&lt;0,"закрыт","")</f>
        <v>закрыт</v>
      </c>
      <c r="AS42" s="1305">
        <f>(AI42*100)/(AG42*1.05)</f>
        <v>11.942554799697657</v>
      </c>
      <c r="AT42" s="954" t="s">
        <v>754</v>
      </c>
      <c r="AU42" s="1113">
        <v>1980</v>
      </c>
      <c r="AV42" s="1119" t="s">
        <v>3286</v>
      </c>
      <c r="AW42" s="1121">
        <v>58.413755079792601</v>
      </c>
      <c r="AX42" s="1121">
        <v>37.073295478038403</v>
      </c>
    </row>
    <row r="43" spans="1:50" ht="20.100000000000001" customHeight="1" x14ac:dyDescent="0.25">
      <c r="A43" s="1371"/>
      <c r="B43" s="1371"/>
      <c r="C43" s="213" t="s">
        <v>1792</v>
      </c>
      <c r="D43" s="230">
        <v>6.3</v>
      </c>
      <c r="E43" s="229"/>
      <c r="F43" s="229"/>
      <c r="G43" s="229"/>
      <c r="H43" s="228"/>
      <c r="I43" s="229" t="str">
        <f t="shared" si="8"/>
        <v>6,3</v>
      </c>
      <c r="J43" s="895">
        <v>0.06</v>
      </c>
      <c r="K43" s="172">
        <v>0</v>
      </c>
      <c r="L43" s="213">
        <v>0</v>
      </c>
      <c r="M43" s="172">
        <f>K43</f>
        <v>0</v>
      </c>
      <c r="N43" s="172">
        <v>0</v>
      </c>
      <c r="O43" s="893"/>
      <c r="P43" s="893">
        <f t="shared" si="0"/>
        <v>0</v>
      </c>
      <c r="Q43" s="172">
        <f t="shared" si="1"/>
        <v>-0.06</v>
      </c>
      <c r="R43" s="1379"/>
      <c r="S43" s="1393"/>
      <c r="T43" s="257" t="str">
        <f>IF(R42&lt;0,"закрыт","")</f>
        <v>закрыт</v>
      </c>
      <c r="U43" s="1362"/>
      <c r="V43" s="1362"/>
      <c r="W43" s="1382"/>
      <c r="X43" s="929"/>
      <c r="Y43" s="1371"/>
      <c r="Z43" s="1316"/>
      <c r="AA43" s="1298" t="s">
        <v>1792</v>
      </c>
      <c r="AB43" s="230">
        <f t="shared" si="9"/>
        <v>6.3</v>
      </c>
      <c r="AC43" s="1315"/>
      <c r="AD43" s="1315"/>
      <c r="AE43" s="1315"/>
      <c r="AF43" s="1316"/>
      <c r="AG43" s="1298" t="str">
        <f t="shared" si="10"/>
        <v>6,3</v>
      </c>
      <c r="AH43" s="1304">
        <f>AH22</f>
        <v>0</v>
      </c>
      <c r="AI43" s="1304">
        <f t="shared" si="5"/>
        <v>0.06</v>
      </c>
      <c r="AJ43" s="1304">
        <f t="shared" si="18"/>
        <v>0</v>
      </c>
      <c r="AK43" s="1298">
        <f t="shared" si="11"/>
        <v>0</v>
      </c>
      <c r="AL43" s="1304">
        <f t="shared" si="12"/>
        <v>0</v>
      </c>
      <c r="AM43" s="1298">
        <v>0</v>
      </c>
      <c r="AN43" s="893">
        <f t="shared" si="13"/>
        <v>0</v>
      </c>
      <c r="AO43" s="1304">
        <f t="shared" si="14"/>
        <v>-0.06</v>
      </c>
      <c r="AP43" s="1309"/>
      <c r="AQ43" s="1318"/>
      <c r="AR43" s="1298" t="str">
        <f>IF(AP42&lt;0,"закрыт","")</f>
        <v>закрыт</v>
      </c>
      <c r="AS43" s="1306"/>
      <c r="AT43" s="954" t="s">
        <v>754</v>
      </c>
      <c r="AU43" s="1113">
        <v>1980</v>
      </c>
      <c r="AV43" s="1119" t="s">
        <v>3286</v>
      </c>
      <c r="AW43" s="1121">
        <v>58.413755079792601</v>
      </c>
      <c r="AX43" s="1121">
        <v>37.073295478038403</v>
      </c>
    </row>
    <row r="44" spans="1:50" ht="20.100000000000001" customHeight="1" x14ac:dyDescent="0.25">
      <c r="A44" s="1371"/>
      <c r="B44" s="1371"/>
      <c r="C44" s="213" t="s">
        <v>1791</v>
      </c>
      <c r="D44" s="230">
        <v>6.3</v>
      </c>
      <c r="E44" s="229"/>
      <c r="F44" s="229"/>
      <c r="G44" s="229"/>
      <c r="H44" s="228"/>
      <c r="I44" s="229" t="str">
        <f t="shared" si="8"/>
        <v>6,3</v>
      </c>
      <c r="J44" s="895">
        <v>0.73</v>
      </c>
      <c r="K44" s="172">
        <v>1.47</v>
      </c>
      <c r="L44" s="213" t="s">
        <v>335</v>
      </c>
      <c r="M44" s="172">
        <f t="shared" si="19"/>
        <v>1.47</v>
      </c>
      <c r="N44" s="172">
        <v>0</v>
      </c>
      <c r="O44" s="893"/>
      <c r="P44" s="893">
        <f t="shared" si="0"/>
        <v>1.47</v>
      </c>
      <c r="Q44" s="172">
        <f t="shared" si="1"/>
        <v>0.74</v>
      </c>
      <c r="R44" s="1379"/>
      <c r="S44" s="1394"/>
      <c r="T44" s="257" t="str">
        <f>IF(R42&lt;0,"закрыт","")</f>
        <v>закрыт</v>
      </c>
      <c r="U44" s="1362"/>
      <c r="V44" s="1362"/>
      <c r="W44" s="1383"/>
      <c r="X44" s="929"/>
      <c r="Y44" s="1371"/>
      <c r="Z44" s="1316"/>
      <c r="AA44" s="1298" t="s">
        <v>1791</v>
      </c>
      <c r="AB44" s="230">
        <f t="shared" si="9"/>
        <v>6.3</v>
      </c>
      <c r="AC44" s="1315"/>
      <c r="AD44" s="1315"/>
      <c r="AE44" s="1315"/>
      <c r="AF44" s="1316"/>
      <c r="AG44" s="1298" t="str">
        <f t="shared" si="10"/>
        <v>6,3</v>
      </c>
      <c r="AH44" s="1304">
        <f>'Зона БЭс'!L82</f>
        <v>0</v>
      </c>
      <c r="AI44" s="1304">
        <f t="shared" si="5"/>
        <v>0.73</v>
      </c>
      <c r="AJ44" s="1304">
        <f t="shared" si="18"/>
        <v>1.47</v>
      </c>
      <c r="AK44" s="1298" t="str">
        <f t="shared" si="11"/>
        <v>1 сутки</v>
      </c>
      <c r="AL44" s="1304">
        <f t="shared" si="12"/>
        <v>1.47</v>
      </c>
      <c r="AM44" s="1298">
        <v>0</v>
      </c>
      <c r="AN44" s="893">
        <f t="shared" si="13"/>
        <v>1.47</v>
      </c>
      <c r="AO44" s="1304">
        <f t="shared" si="14"/>
        <v>0.74</v>
      </c>
      <c r="AP44" s="1310"/>
      <c r="AQ44" s="1319"/>
      <c r="AR44" s="1298" t="str">
        <f>IF(AP42&lt;0,"закрыт","")</f>
        <v>закрыт</v>
      </c>
      <c r="AS44" s="1307"/>
      <c r="AT44" s="954" t="s">
        <v>754</v>
      </c>
      <c r="AU44" s="1113">
        <v>1980</v>
      </c>
      <c r="AV44" s="1119" t="s">
        <v>3286</v>
      </c>
      <c r="AW44" s="1121">
        <v>58.413755079792601</v>
      </c>
      <c r="AX44" s="1121">
        <v>37.073295478038403</v>
      </c>
    </row>
    <row r="45" spans="1:50" ht="20.100000000000001" customHeight="1" x14ac:dyDescent="0.25">
      <c r="A45" s="1376">
        <v>34</v>
      </c>
      <c r="B45" s="213">
        <v>34</v>
      </c>
      <c r="C45" s="213" t="s">
        <v>934</v>
      </c>
      <c r="D45" s="230">
        <v>5.6</v>
      </c>
      <c r="E45" s="229"/>
      <c r="F45" s="229"/>
      <c r="G45" s="229"/>
      <c r="H45" s="228"/>
      <c r="I45" s="229" t="str">
        <f t="shared" si="8"/>
        <v>5,6</v>
      </c>
      <c r="J45" s="895">
        <v>0.68</v>
      </c>
      <c r="K45" s="172">
        <v>1.42</v>
      </c>
      <c r="L45" s="213" t="s">
        <v>335</v>
      </c>
      <c r="M45" s="172">
        <f t="shared" si="19"/>
        <v>1.42</v>
      </c>
      <c r="N45" s="172">
        <v>0</v>
      </c>
      <c r="O45" s="893"/>
      <c r="P45" s="893">
        <f t="shared" si="0"/>
        <v>1.42</v>
      </c>
      <c r="Q45" s="172">
        <f t="shared" si="1"/>
        <v>0.73999999999999988</v>
      </c>
      <c r="R45" s="1364">
        <f>MIN(Q45:Q47)</f>
        <v>-0.22</v>
      </c>
      <c r="S45" s="1376" t="str">
        <f>T45</f>
        <v>закрыт</v>
      </c>
      <c r="T45" s="257" t="str">
        <f>IF(R45&lt;0,"закрыт","")</f>
        <v>закрыт</v>
      </c>
      <c r="U45" s="1381">
        <f>(J45*100)/(I45*1.05)</f>
        <v>11.564625850340136</v>
      </c>
      <c r="V45" s="1381">
        <v>0.43</v>
      </c>
      <c r="W45" s="1381" t="s">
        <v>3476</v>
      </c>
      <c r="X45" s="929"/>
      <c r="Y45" s="1376">
        <v>34</v>
      </c>
      <c r="Z45" s="1316">
        <v>34</v>
      </c>
      <c r="AA45" s="1298" t="s">
        <v>934</v>
      </c>
      <c r="AB45" s="230">
        <f t="shared" si="9"/>
        <v>5.6</v>
      </c>
      <c r="AC45" s="1315"/>
      <c r="AD45" s="1315"/>
      <c r="AE45" s="1315"/>
      <c r="AF45" s="1316"/>
      <c r="AG45" s="1298" t="str">
        <f t="shared" si="10"/>
        <v>5,6</v>
      </c>
      <c r="AH45" s="1304">
        <f>AH29</f>
        <v>0</v>
      </c>
      <c r="AI45" s="1304">
        <f t="shared" si="5"/>
        <v>0.68</v>
      </c>
      <c r="AJ45" s="1304">
        <f t="shared" si="18"/>
        <v>1.42</v>
      </c>
      <c r="AK45" s="1298" t="str">
        <f t="shared" si="11"/>
        <v>1 сутки</v>
      </c>
      <c r="AL45" s="1304">
        <f t="shared" si="12"/>
        <v>1.42</v>
      </c>
      <c r="AM45" s="1298">
        <v>0</v>
      </c>
      <c r="AN45" s="893">
        <f t="shared" si="13"/>
        <v>1.42</v>
      </c>
      <c r="AO45" s="1304">
        <f t="shared" si="14"/>
        <v>0.73999999999999988</v>
      </c>
      <c r="AP45" s="1308">
        <f>MIN(AO45:AO47)</f>
        <v>-0.22</v>
      </c>
      <c r="AQ45" s="1317" t="str">
        <f>AR45</f>
        <v>закрыт</v>
      </c>
      <c r="AR45" s="1298" t="str">
        <f>IF(AP45&lt;0,"закрыт","")</f>
        <v>закрыт</v>
      </c>
      <c r="AS45" s="1305">
        <f>(AI45*100)/(AG45*1.05)</f>
        <v>11.564625850340136</v>
      </c>
      <c r="AT45" s="954" t="s">
        <v>754</v>
      </c>
      <c r="AU45" s="1113">
        <v>1966</v>
      </c>
      <c r="AV45" s="1119" t="s">
        <v>3286</v>
      </c>
      <c r="AW45" s="1121">
        <v>57.564684502073497</v>
      </c>
      <c r="AX45" s="1121">
        <v>36.316230032992799</v>
      </c>
    </row>
    <row r="46" spans="1:50" ht="20.100000000000001" customHeight="1" x14ac:dyDescent="0.25">
      <c r="A46" s="1393"/>
      <c r="B46" s="213"/>
      <c r="C46" s="213" t="s">
        <v>1792</v>
      </c>
      <c r="D46" s="230">
        <v>5.6</v>
      </c>
      <c r="E46" s="229"/>
      <c r="F46" s="229"/>
      <c r="G46" s="229"/>
      <c r="H46" s="228"/>
      <c r="I46" s="229" t="str">
        <f t="shared" si="8"/>
        <v>5,6</v>
      </c>
      <c r="J46" s="895">
        <v>0.22</v>
      </c>
      <c r="K46" s="172">
        <v>0</v>
      </c>
      <c r="L46" s="213">
        <v>0</v>
      </c>
      <c r="M46" s="172">
        <f t="shared" si="19"/>
        <v>0</v>
      </c>
      <c r="N46" s="172">
        <v>0</v>
      </c>
      <c r="O46" s="893"/>
      <c r="P46" s="893">
        <f t="shared" si="0"/>
        <v>0</v>
      </c>
      <c r="Q46" s="172">
        <f t="shared" si="1"/>
        <v>-0.22</v>
      </c>
      <c r="R46" s="1365"/>
      <c r="S46" s="1393"/>
      <c r="T46" s="257" t="str">
        <f>IF(R45&lt;0,"закрыт","")</f>
        <v>закрыт</v>
      </c>
      <c r="U46" s="1382"/>
      <c r="V46" s="1382"/>
      <c r="W46" s="1382"/>
      <c r="X46" s="929"/>
      <c r="Y46" s="1393"/>
      <c r="Z46" s="1316"/>
      <c r="AA46" s="1298" t="s">
        <v>1792</v>
      </c>
      <c r="AB46" s="230">
        <f t="shared" si="9"/>
        <v>5.6</v>
      </c>
      <c r="AC46" s="1315"/>
      <c r="AD46" s="1315"/>
      <c r="AE46" s="1315"/>
      <c r="AF46" s="1316"/>
      <c r="AG46" s="1298" t="str">
        <f t="shared" si="10"/>
        <v>5,6</v>
      </c>
      <c r="AH46" s="1304">
        <v>0</v>
      </c>
      <c r="AI46" s="1304">
        <f t="shared" si="5"/>
        <v>0.22</v>
      </c>
      <c r="AJ46" s="1304">
        <f t="shared" si="18"/>
        <v>0</v>
      </c>
      <c r="AK46" s="1298">
        <f t="shared" si="11"/>
        <v>0</v>
      </c>
      <c r="AL46" s="1304">
        <f t="shared" si="12"/>
        <v>0</v>
      </c>
      <c r="AM46" s="1298">
        <v>0</v>
      </c>
      <c r="AN46" s="893">
        <f t="shared" si="13"/>
        <v>0</v>
      </c>
      <c r="AO46" s="1304">
        <f t="shared" si="14"/>
        <v>-0.22</v>
      </c>
      <c r="AP46" s="1309"/>
      <c r="AQ46" s="1318"/>
      <c r="AR46" s="1298" t="str">
        <f>IF(AP45&lt;0,"закрыт","")</f>
        <v>закрыт</v>
      </c>
      <c r="AS46" s="1306"/>
      <c r="AT46" s="954" t="s">
        <v>754</v>
      </c>
      <c r="AU46" s="1113">
        <v>1966</v>
      </c>
      <c r="AV46" s="1119" t="s">
        <v>3286</v>
      </c>
      <c r="AW46" s="1121">
        <v>57.564684502073497</v>
      </c>
      <c r="AX46" s="1121">
        <v>36.316230032992799</v>
      </c>
    </row>
    <row r="47" spans="1:50" ht="20.100000000000001" customHeight="1" x14ac:dyDescent="0.25">
      <c r="A47" s="1394"/>
      <c r="B47" s="213"/>
      <c r="C47" s="213" t="s">
        <v>1791</v>
      </c>
      <c r="D47" s="230">
        <v>5.6</v>
      </c>
      <c r="E47" s="229"/>
      <c r="F47" s="229"/>
      <c r="G47" s="229"/>
      <c r="H47" s="228"/>
      <c r="I47" s="229" t="str">
        <f t="shared" si="8"/>
        <v>5,6</v>
      </c>
      <c r="J47" s="895">
        <v>0.46</v>
      </c>
      <c r="K47" s="172">
        <v>1.42</v>
      </c>
      <c r="L47" s="213" t="s">
        <v>335</v>
      </c>
      <c r="M47" s="172">
        <f t="shared" si="19"/>
        <v>1.42</v>
      </c>
      <c r="N47" s="172">
        <v>0</v>
      </c>
      <c r="O47" s="893"/>
      <c r="P47" s="893">
        <f t="shared" si="0"/>
        <v>1.42</v>
      </c>
      <c r="Q47" s="172">
        <f t="shared" si="1"/>
        <v>0.96</v>
      </c>
      <c r="R47" s="1366"/>
      <c r="S47" s="1394"/>
      <c r="T47" s="257" t="str">
        <f>IF(R45&lt;0,"закрыт","")</f>
        <v>закрыт</v>
      </c>
      <c r="U47" s="1383"/>
      <c r="V47" s="1383"/>
      <c r="W47" s="1383"/>
      <c r="X47" s="929"/>
      <c r="Y47" s="1394"/>
      <c r="Z47" s="1316"/>
      <c r="AA47" s="1298" t="s">
        <v>1791</v>
      </c>
      <c r="AB47" s="230">
        <f t="shared" si="9"/>
        <v>5.6</v>
      </c>
      <c r="AC47" s="1315"/>
      <c r="AD47" s="1315"/>
      <c r="AE47" s="1315"/>
      <c r="AF47" s="1316"/>
      <c r="AG47" s="1298" t="str">
        <f t="shared" si="10"/>
        <v>5,6</v>
      </c>
      <c r="AH47" s="1304">
        <f>'Зона БЭс'!L84</f>
        <v>0</v>
      </c>
      <c r="AI47" s="1304">
        <f t="shared" si="5"/>
        <v>0.46</v>
      </c>
      <c r="AJ47" s="1304">
        <f t="shared" si="18"/>
        <v>1.42</v>
      </c>
      <c r="AK47" s="1298" t="str">
        <f t="shared" si="11"/>
        <v>1 сутки</v>
      </c>
      <c r="AL47" s="1304">
        <f t="shared" si="12"/>
        <v>1.42</v>
      </c>
      <c r="AM47" s="1298">
        <v>0</v>
      </c>
      <c r="AN47" s="893">
        <f t="shared" si="13"/>
        <v>1.42</v>
      </c>
      <c r="AO47" s="1304">
        <f t="shared" si="14"/>
        <v>0.96</v>
      </c>
      <c r="AP47" s="1310"/>
      <c r="AQ47" s="1319"/>
      <c r="AR47" s="1298" t="str">
        <f>IF(AP45&lt;0,"закрыт","")</f>
        <v>закрыт</v>
      </c>
      <c r="AS47" s="1307"/>
      <c r="AT47" s="954" t="s">
        <v>754</v>
      </c>
      <c r="AU47" s="1113">
        <v>1966</v>
      </c>
      <c r="AV47" s="1119" t="s">
        <v>3286</v>
      </c>
      <c r="AW47" s="1121">
        <v>57.564684502073497</v>
      </c>
      <c r="AX47" s="1121">
        <v>36.316230032992799</v>
      </c>
    </row>
    <row r="48" spans="1:50" ht="20.100000000000001" customHeight="1" x14ac:dyDescent="0.25">
      <c r="A48" s="213">
        <v>35</v>
      </c>
      <c r="B48" s="213">
        <v>35</v>
      </c>
      <c r="C48" s="213" t="s">
        <v>935</v>
      </c>
      <c r="D48" s="230">
        <v>6.3</v>
      </c>
      <c r="E48" s="229"/>
      <c r="F48" s="229"/>
      <c r="G48" s="229"/>
      <c r="H48" s="228"/>
      <c r="I48" s="229" t="str">
        <f t="shared" si="8"/>
        <v>6,3</v>
      </c>
      <c r="J48" s="895">
        <v>2.3199999999999998</v>
      </c>
      <c r="K48" s="172">
        <v>6.14</v>
      </c>
      <c r="L48" s="213" t="s">
        <v>335</v>
      </c>
      <c r="M48" s="172">
        <f>K48</f>
        <v>6.14</v>
      </c>
      <c r="N48" s="172">
        <v>0</v>
      </c>
      <c r="O48" s="893"/>
      <c r="P48" s="893">
        <f t="shared" si="0"/>
        <v>6.14</v>
      </c>
      <c r="Q48" s="172">
        <f t="shared" si="1"/>
        <v>3.82</v>
      </c>
      <c r="R48" s="172">
        <f>MIN(Q48:Q50)</f>
        <v>0.7</v>
      </c>
      <c r="S48" s="768" t="str">
        <f t="shared" si="2"/>
        <v/>
      </c>
      <c r="T48" s="257" t="str">
        <f>IF(R48&lt;0,"закрыт","")</f>
        <v/>
      </c>
      <c r="U48" s="768">
        <f>(J48*100)/(I48*1.05)</f>
        <v>35.071806500377924</v>
      </c>
      <c r="V48" s="1381">
        <v>0.5</v>
      </c>
      <c r="W48" s="1381" t="s">
        <v>3476</v>
      </c>
      <c r="X48" s="929"/>
      <c r="Y48" s="213">
        <v>35</v>
      </c>
      <c r="Z48" s="1316">
        <v>35</v>
      </c>
      <c r="AA48" s="1298" t="s">
        <v>935</v>
      </c>
      <c r="AB48" s="230">
        <f t="shared" si="9"/>
        <v>6.3</v>
      </c>
      <c r="AC48" s="1315"/>
      <c r="AD48" s="1315"/>
      <c r="AE48" s="1315"/>
      <c r="AF48" s="1316"/>
      <c r="AG48" s="1298" t="str">
        <f t="shared" si="10"/>
        <v>6,3</v>
      </c>
      <c r="AH48" s="1304">
        <f>SUM(AH49:AH50)</f>
        <v>0.36162499999999997</v>
      </c>
      <c r="AI48" s="1304">
        <f t="shared" si="5"/>
        <v>2.6816249999999999</v>
      </c>
      <c r="AJ48" s="1304">
        <f t="shared" si="18"/>
        <v>6.14</v>
      </c>
      <c r="AK48" s="1298" t="str">
        <f t="shared" si="11"/>
        <v>1 сутки</v>
      </c>
      <c r="AL48" s="1304">
        <f t="shared" si="12"/>
        <v>6.14</v>
      </c>
      <c r="AM48" s="1298">
        <v>0</v>
      </c>
      <c r="AN48" s="893">
        <f t="shared" si="13"/>
        <v>6.14</v>
      </c>
      <c r="AO48" s="1304">
        <f t="shared" si="14"/>
        <v>3.4583749999999998</v>
      </c>
      <c r="AP48" s="1304">
        <f>MIN(AO48:AO50)</f>
        <v>0.7</v>
      </c>
      <c r="AQ48" s="1296" t="str">
        <f t="shared" si="6"/>
        <v/>
      </c>
      <c r="AR48" s="1298" t="str">
        <f>IF(AP48&lt;0,"закрыт","")</f>
        <v/>
      </c>
      <c r="AS48" s="1305">
        <f>(AI48*100)/(AG48*1.05)</f>
        <v>40.538548752834458</v>
      </c>
      <c r="AT48" s="954" t="s">
        <v>754</v>
      </c>
      <c r="AU48" s="1113">
        <v>1967</v>
      </c>
      <c r="AV48" s="1119" t="s">
        <v>3286</v>
      </c>
      <c r="AW48" s="1121">
        <v>58.2898085836852</v>
      </c>
      <c r="AX48" s="1121">
        <v>36.138191362349801</v>
      </c>
    </row>
    <row r="49" spans="1:50" ht="20.100000000000001" customHeight="1" x14ac:dyDescent="0.25">
      <c r="A49" s="213"/>
      <c r="B49" s="213"/>
      <c r="C49" s="213" t="s">
        <v>1792</v>
      </c>
      <c r="D49" s="230">
        <v>6.3</v>
      </c>
      <c r="E49" s="229"/>
      <c r="F49" s="229"/>
      <c r="G49" s="229"/>
      <c r="H49" s="228"/>
      <c r="I49" s="229" t="str">
        <f t="shared" si="8"/>
        <v>6,3</v>
      </c>
      <c r="J49" s="895">
        <v>2.12</v>
      </c>
      <c r="K49" s="172">
        <v>5.24</v>
      </c>
      <c r="L49" s="213" t="s">
        <v>335</v>
      </c>
      <c r="M49" s="172">
        <f t="shared" si="19"/>
        <v>5.24</v>
      </c>
      <c r="N49" s="172">
        <v>0</v>
      </c>
      <c r="O49" s="893"/>
      <c r="P49" s="893">
        <f t="shared" si="0"/>
        <v>5.24</v>
      </c>
      <c r="Q49" s="172">
        <f t="shared" si="1"/>
        <v>3.12</v>
      </c>
      <c r="R49" s="172"/>
      <c r="S49" s="768" t="str">
        <f t="shared" si="2"/>
        <v/>
      </c>
      <c r="T49" s="257" t="str">
        <f>IF(R48&lt;0,"закрыт","")</f>
        <v/>
      </c>
      <c r="U49" s="768"/>
      <c r="V49" s="1382"/>
      <c r="W49" s="1382"/>
      <c r="X49" s="929"/>
      <c r="Y49" s="213"/>
      <c r="Z49" s="1316"/>
      <c r="AA49" s="1298" t="s">
        <v>1792</v>
      </c>
      <c r="AB49" s="230">
        <f t="shared" si="9"/>
        <v>6.3</v>
      </c>
      <c r="AC49" s="1315"/>
      <c r="AD49" s="1315"/>
      <c r="AE49" s="1315"/>
      <c r="AF49" s="1316"/>
      <c r="AG49" s="1298" t="str">
        <f t="shared" si="10"/>
        <v>6,3</v>
      </c>
      <c r="AH49" s="1304">
        <f>SUM(AH23+AH10+AH52)</f>
        <v>0.36162499999999997</v>
      </c>
      <c r="AI49" s="1304">
        <f t="shared" si="5"/>
        <v>2.4816250000000002</v>
      </c>
      <c r="AJ49" s="1304">
        <f t="shared" si="18"/>
        <v>5.24</v>
      </c>
      <c r="AK49" s="1298" t="str">
        <f t="shared" si="11"/>
        <v>1 сутки</v>
      </c>
      <c r="AL49" s="1304">
        <f t="shared" si="12"/>
        <v>5.24</v>
      </c>
      <c r="AM49" s="1298">
        <v>0</v>
      </c>
      <c r="AN49" s="893">
        <f t="shared" si="13"/>
        <v>5.24</v>
      </c>
      <c r="AO49" s="1304">
        <f t="shared" si="14"/>
        <v>2.758375</v>
      </c>
      <c r="AP49" s="1304"/>
      <c r="AQ49" s="1296" t="str">
        <f t="shared" si="6"/>
        <v/>
      </c>
      <c r="AR49" s="1298" t="str">
        <f>IF(AP48&lt;0,"закрыт","")</f>
        <v/>
      </c>
      <c r="AS49" s="1306"/>
      <c r="AT49" s="954" t="s">
        <v>754</v>
      </c>
      <c r="AU49" s="1113">
        <v>1967</v>
      </c>
      <c r="AV49" s="1119" t="s">
        <v>3286</v>
      </c>
      <c r="AW49" s="1121">
        <v>58.2898085836852</v>
      </c>
      <c r="AX49" s="1121">
        <v>36.138191362349801</v>
      </c>
    </row>
    <row r="50" spans="1:50" ht="20.100000000000001" customHeight="1" x14ac:dyDescent="0.25">
      <c r="A50" s="213"/>
      <c r="B50" s="213"/>
      <c r="C50" s="213" t="s">
        <v>1791</v>
      </c>
      <c r="D50" s="230">
        <v>6.3</v>
      </c>
      <c r="E50" s="229"/>
      <c r="F50" s="229"/>
      <c r="G50" s="229"/>
      <c r="H50" s="228"/>
      <c r="I50" s="229" t="str">
        <f t="shared" si="8"/>
        <v>6,3</v>
      </c>
      <c r="J50" s="895">
        <v>0.2</v>
      </c>
      <c r="K50" s="172">
        <v>0.9</v>
      </c>
      <c r="L50" s="213" t="s">
        <v>335</v>
      </c>
      <c r="M50" s="172">
        <f t="shared" si="19"/>
        <v>0.9</v>
      </c>
      <c r="N50" s="172">
        <v>0</v>
      </c>
      <c r="O50" s="893"/>
      <c r="P50" s="893">
        <f t="shared" si="0"/>
        <v>0.9</v>
      </c>
      <c r="Q50" s="172">
        <f t="shared" si="1"/>
        <v>0.7</v>
      </c>
      <c r="R50" s="172"/>
      <c r="S50" s="768" t="str">
        <f t="shared" si="2"/>
        <v/>
      </c>
      <c r="T50" s="257" t="str">
        <f>IF(R48&lt;0,"закрыт","")</f>
        <v/>
      </c>
      <c r="U50" s="768"/>
      <c r="V50" s="1383"/>
      <c r="W50" s="1383"/>
      <c r="X50" s="929"/>
      <c r="Y50" s="213"/>
      <c r="Z50" s="1316"/>
      <c r="AA50" s="1298" t="s">
        <v>1791</v>
      </c>
      <c r="AB50" s="230">
        <f t="shared" si="9"/>
        <v>6.3</v>
      </c>
      <c r="AC50" s="1315"/>
      <c r="AD50" s="1315"/>
      <c r="AE50" s="1315"/>
      <c r="AF50" s="1316"/>
      <c r="AG50" s="1298" t="str">
        <f t="shared" si="10"/>
        <v>6,3</v>
      </c>
      <c r="AH50" s="1304">
        <f>'Зона БЭс'!L86</f>
        <v>0</v>
      </c>
      <c r="AI50" s="1304">
        <f t="shared" si="5"/>
        <v>0.2</v>
      </c>
      <c r="AJ50" s="1304">
        <f t="shared" si="18"/>
        <v>0.9</v>
      </c>
      <c r="AK50" s="1298" t="str">
        <f t="shared" si="11"/>
        <v>1 сутки</v>
      </c>
      <c r="AL50" s="1304">
        <f t="shared" si="12"/>
        <v>0.9</v>
      </c>
      <c r="AM50" s="1298">
        <v>0</v>
      </c>
      <c r="AN50" s="893">
        <f t="shared" si="13"/>
        <v>0.9</v>
      </c>
      <c r="AO50" s="1304">
        <f t="shared" si="14"/>
        <v>0.7</v>
      </c>
      <c r="AP50" s="1304"/>
      <c r="AQ50" s="1296" t="str">
        <f t="shared" si="6"/>
        <v/>
      </c>
      <c r="AR50" s="1298" t="str">
        <f>IF(AP48&lt;0,"закрыт","")</f>
        <v/>
      </c>
      <c r="AS50" s="1307"/>
      <c r="AT50" s="954" t="s">
        <v>754</v>
      </c>
      <c r="AU50" s="1113">
        <v>1967</v>
      </c>
      <c r="AV50" s="1119" t="s">
        <v>3286</v>
      </c>
      <c r="AW50" s="1121">
        <v>58.2898085836852</v>
      </c>
      <c r="AX50" s="1121">
        <v>36.138191362349801</v>
      </c>
    </row>
    <row r="51" spans="1:50" ht="20.100000000000001" customHeight="1" x14ac:dyDescent="0.25">
      <c r="A51" s="213">
        <v>36</v>
      </c>
      <c r="B51" s="213">
        <v>36</v>
      </c>
      <c r="C51" s="213" t="s">
        <v>936</v>
      </c>
      <c r="D51" s="230">
        <v>1</v>
      </c>
      <c r="E51" s="229" t="s">
        <v>785</v>
      </c>
      <c r="F51" s="229">
        <v>1</v>
      </c>
      <c r="G51" s="229"/>
      <c r="H51" s="228"/>
      <c r="I51" s="229" t="str">
        <f t="shared" si="8"/>
        <v>1+1</v>
      </c>
      <c r="J51" s="895">
        <v>0.1</v>
      </c>
      <c r="K51" s="172">
        <v>0.69</v>
      </c>
      <c r="L51" s="213" t="s">
        <v>335</v>
      </c>
      <c r="M51" s="172">
        <f t="shared" ref="M51:M77" si="20">J51-K51</f>
        <v>-0.59</v>
      </c>
      <c r="N51" s="172">
        <v>0</v>
      </c>
      <c r="O51" s="893"/>
      <c r="P51" s="893">
        <f t="shared" ref="P51:P77" si="21">MIN(D51:F51)*1.05</f>
        <v>1.05</v>
      </c>
      <c r="Q51" s="172">
        <f t="shared" ref="Q51:Q58" si="22">P51-N51-M51</f>
        <v>1.6400000000000001</v>
      </c>
      <c r="R51" s="172">
        <f>Q51</f>
        <v>1.6400000000000001</v>
      </c>
      <c r="S51" s="768" t="str">
        <f t="shared" si="2"/>
        <v/>
      </c>
      <c r="T51" s="257" t="str">
        <f t="shared" ref="T51:T60" si="23">IF(R51&lt;0,"закрыт","")</f>
        <v/>
      </c>
      <c r="U51" s="768">
        <f t="shared" ref="U51:U60" si="24">(J51*100)/P51</f>
        <v>9.5238095238095237</v>
      </c>
      <c r="V51" s="768">
        <v>0.5</v>
      </c>
      <c r="W51" s="768" t="s">
        <v>3476</v>
      </c>
      <c r="X51" s="929"/>
      <c r="Y51" s="213">
        <v>36</v>
      </c>
      <c r="Z51" s="1316">
        <v>36</v>
      </c>
      <c r="AA51" s="1298" t="s">
        <v>936</v>
      </c>
      <c r="AB51" s="230">
        <f t="shared" si="9"/>
        <v>1</v>
      </c>
      <c r="AC51" s="1315" t="str">
        <f t="shared" ref="AC51:AC72" si="25">E51</f>
        <v>+</v>
      </c>
      <c r="AD51" s="1315">
        <f t="shared" ref="AD51:AD72" si="26">F51</f>
        <v>1</v>
      </c>
      <c r="AE51" s="1315"/>
      <c r="AF51" s="1316"/>
      <c r="AG51" s="1298" t="str">
        <f t="shared" si="10"/>
        <v>1+1</v>
      </c>
      <c r="AH51" s="1304">
        <f>'Зона БЭс'!L88</f>
        <v>0</v>
      </c>
      <c r="AI51" s="1304">
        <f t="shared" si="5"/>
        <v>0.1</v>
      </c>
      <c r="AJ51" s="1304">
        <f t="shared" si="18"/>
        <v>0.69</v>
      </c>
      <c r="AK51" s="1298" t="str">
        <f t="shared" si="11"/>
        <v>1 сутки</v>
      </c>
      <c r="AL51" s="1304">
        <f t="shared" ref="AL51:AL77" si="27">AI51-AJ51</f>
        <v>-0.59</v>
      </c>
      <c r="AM51" s="1298">
        <v>0</v>
      </c>
      <c r="AN51" s="893">
        <f t="shared" ref="AN51:AN77" si="28">MIN(AB51:AF51)*1.05</f>
        <v>1.05</v>
      </c>
      <c r="AO51" s="1304">
        <f t="shared" ref="AO51:AO77" si="29">AN51-AL51-AM51</f>
        <v>1.6400000000000001</v>
      </c>
      <c r="AP51" s="1304">
        <f t="shared" si="15"/>
        <v>1.6400000000000001</v>
      </c>
      <c r="AQ51" s="1296" t="str">
        <f t="shared" si="6"/>
        <v/>
      </c>
      <c r="AR51" s="1298" t="str">
        <f t="shared" ref="AR51:AR60" si="30">IF(AP51&lt;0,"закрыт","")</f>
        <v/>
      </c>
      <c r="AS51" s="952">
        <f t="shared" ref="AS51:AS60" si="31">(AI51*100)/AN51</f>
        <v>9.5238095238095237</v>
      </c>
      <c r="AT51" s="954" t="s">
        <v>754</v>
      </c>
      <c r="AU51" s="1113">
        <v>1990</v>
      </c>
      <c r="AV51" s="1119" t="s">
        <v>3286</v>
      </c>
      <c r="AW51" s="1121">
        <v>58.285012691051499</v>
      </c>
      <c r="AX51" s="1121">
        <v>36.678206871206797</v>
      </c>
    </row>
    <row r="52" spans="1:50" ht="20.100000000000001" customHeight="1" x14ac:dyDescent="0.25">
      <c r="A52" s="213">
        <v>37</v>
      </c>
      <c r="B52" s="213">
        <v>37</v>
      </c>
      <c r="C52" s="213" t="s">
        <v>937</v>
      </c>
      <c r="D52" s="230">
        <v>2.5</v>
      </c>
      <c r="E52" s="229" t="s">
        <v>785</v>
      </c>
      <c r="F52" s="229">
        <v>4</v>
      </c>
      <c r="G52" s="229"/>
      <c r="H52" s="228"/>
      <c r="I52" s="229" t="str">
        <f t="shared" si="8"/>
        <v>2,5+4</v>
      </c>
      <c r="J52" s="895">
        <v>2.23</v>
      </c>
      <c r="K52" s="172">
        <v>1.36</v>
      </c>
      <c r="L52" s="213" t="s">
        <v>335</v>
      </c>
      <c r="M52" s="172">
        <f t="shared" si="20"/>
        <v>0.86999999999999988</v>
      </c>
      <c r="N52" s="172">
        <v>0</v>
      </c>
      <c r="O52" s="893"/>
      <c r="P52" s="893">
        <f>MIN(D52:F52)*1.05</f>
        <v>2.625</v>
      </c>
      <c r="Q52" s="172">
        <f t="shared" si="22"/>
        <v>1.7550000000000001</v>
      </c>
      <c r="R52" s="172">
        <f t="shared" ref="R52:R59" si="32">Q52</f>
        <v>1.7550000000000001</v>
      </c>
      <c r="S52" s="768" t="str">
        <f t="shared" si="2"/>
        <v/>
      </c>
      <c r="T52" s="257" t="str">
        <f t="shared" si="23"/>
        <v/>
      </c>
      <c r="U52" s="768">
        <f t="shared" si="24"/>
        <v>84.952380952380949</v>
      </c>
      <c r="V52" s="768">
        <v>0.44</v>
      </c>
      <c r="W52" s="768" t="s">
        <v>3476</v>
      </c>
      <c r="X52" s="929"/>
      <c r="Y52" s="213">
        <v>37</v>
      </c>
      <c r="Z52" s="1316">
        <v>37</v>
      </c>
      <c r="AA52" s="1298" t="s">
        <v>937</v>
      </c>
      <c r="AB52" s="230">
        <f t="shared" si="9"/>
        <v>2.5</v>
      </c>
      <c r="AC52" s="1315" t="str">
        <f t="shared" si="25"/>
        <v>+</v>
      </c>
      <c r="AD52" s="1315">
        <f t="shared" si="26"/>
        <v>4</v>
      </c>
      <c r="AE52" s="1315"/>
      <c r="AF52" s="1316"/>
      <c r="AG52" s="1298" t="str">
        <f t="shared" si="10"/>
        <v>2,5+4</v>
      </c>
      <c r="AH52" s="1304">
        <f>'Зона БЭс'!L95</f>
        <v>0.36162499999999997</v>
      </c>
      <c r="AI52" s="1304">
        <f t="shared" si="5"/>
        <v>2.5916250000000001</v>
      </c>
      <c r="AJ52" s="1304">
        <f t="shared" si="18"/>
        <v>1.36</v>
      </c>
      <c r="AK52" s="1298" t="str">
        <f t="shared" si="11"/>
        <v>1 сутки</v>
      </c>
      <c r="AL52" s="1304">
        <f t="shared" si="27"/>
        <v>1.231625</v>
      </c>
      <c r="AM52" s="1298">
        <v>0</v>
      </c>
      <c r="AN52" s="893">
        <f t="shared" si="28"/>
        <v>2.625</v>
      </c>
      <c r="AO52" s="1304">
        <f t="shared" si="29"/>
        <v>1.393375</v>
      </c>
      <c r="AP52" s="1304">
        <f t="shared" si="15"/>
        <v>1.393375</v>
      </c>
      <c r="AQ52" s="1296" t="str">
        <f t="shared" si="6"/>
        <v/>
      </c>
      <c r="AR52" s="1298" t="str">
        <f t="shared" si="30"/>
        <v/>
      </c>
      <c r="AS52" s="952">
        <f t="shared" si="31"/>
        <v>98.728571428571442</v>
      </c>
      <c r="AT52" s="954" t="s">
        <v>754</v>
      </c>
      <c r="AU52" s="1113">
        <v>1967</v>
      </c>
      <c r="AV52" s="214">
        <v>2011</v>
      </c>
      <c r="AW52" s="1121">
        <v>58.2957611052909</v>
      </c>
      <c r="AX52" s="1121">
        <v>35.522793476085099</v>
      </c>
    </row>
    <row r="53" spans="1:50" ht="20.100000000000001" customHeight="1" x14ac:dyDescent="0.25">
      <c r="A53" s="213">
        <v>38</v>
      </c>
      <c r="B53" s="213">
        <v>38</v>
      </c>
      <c r="C53" s="213" t="s">
        <v>938</v>
      </c>
      <c r="D53" s="230">
        <v>6.3</v>
      </c>
      <c r="E53" s="229" t="s">
        <v>785</v>
      </c>
      <c r="F53" s="229">
        <v>4</v>
      </c>
      <c r="G53" s="229"/>
      <c r="H53" s="228"/>
      <c r="I53" s="229" t="str">
        <f t="shared" si="8"/>
        <v>6,3+4</v>
      </c>
      <c r="J53" s="895">
        <v>5.56</v>
      </c>
      <c r="K53" s="882">
        <v>1.64</v>
      </c>
      <c r="L53" s="213" t="s">
        <v>335</v>
      </c>
      <c r="M53" s="172">
        <f t="shared" si="20"/>
        <v>3.92</v>
      </c>
      <c r="N53" s="172">
        <v>0</v>
      </c>
      <c r="O53" s="893"/>
      <c r="P53" s="893">
        <f>MIN(D53:F53)*1.05</f>
        <v>4.2</v>
      </c>
      <c r="Q53" s="172">
        <f t="shared" si="22"/>
        <v>0.28000000000000025</v>
      </c>
      <c r="R53" s="172">
        <f t="shared" si="32"/>
        <v>0.28000000000000025</v>
      </c>
      <c r="S53" s="768" t="str">
        <f t="shared" si="2"/>
        <v/>
      </c>
      <c r="T53" s="257" t="str">
        <f t="shared" si="23"/>
        <v/>
      </c>
      <c r="U53" s="768">
        <f t="shared" si="24"/>
        <v>132.38095238095238</v>
      </c>
      <c r="V53" s="768">
        <v>0.4</v>
      </c>
      <c r="W53" s="768" t="s">
        <v>3476</v>
      </c>
      <c r="X53" s="929"/>
      <c r="Y53" s="213">
        <v>38</v>
      </c>
      <c r="Z53" s="1316">
        <v>38</v>
      </c>
      <c r="AA53" s="1298" t="s">
        <v>938</v>
      </c>
      <c r="AB53" s="230">
        <f t="shared" si="9"/>
        <v>6.3</v>
      </c>
      <c r="AC53" s="1315" t="str">
        <f t="shared" si="25"/>
        <v>+</v>
      </c>
      <c r="AD53" s="1315">
        <f t="shared" si="26"/>
        <v>4</v>
      </c>
      <c r="AE53" s="1315"/>
      <c r="AF53" s="1316"/>
      <c r="AG53" s="1298" t="str">
        <f t="shared" si="10"/>
        <v>6,3+4</v>
      </c>
      <c r="AH53" s="1304">
        <f>'Зона БЭс'!L105</f>
        <v>0.29374999999999996</v>
      </c>
      <c r="AI53" s="1304">
        <f t="shared" si="5"/>
        <v>5.8537499999999998</v>
      </c>
      <c r="AJ53" s="1304">
        <f t="shared" si="18"/>
        <v>1.64</v>
      </c>
      <c r="AK53" s="1298" t="str">
        <f t="shared" si="11"/>
        <v>1 сутки</v>
      </c>
      <c r="AL53" s="1304">
        <f t="shared" si="27"/>
        <v>4.2137500000000001</v>
      </c>
      <c r="AM53" s="1298">
        <v>0</v>
      </c>
      <c r="AN53" s="893">
        <f t="shared" si="28"/>
        <v>4.2</v>
      </c>
      <c r="AO53" s="1304">
        <f t="shared" si="29"/>
        <v>-1.3749999999999929E-2</v>
      </c>
      <c r="AP53" s="1304">
        <f t="shared" si="15"/>
        <v>-1.3749999999999929E-2</v>
      </c>
      <c r="AQ53" s="1296" t="str">
        <f t="shared" si="6"/>
        <v>закрыт</v>
      </c>
      <c r="AR53" s="1298" t="str">
        <f t="shared" si="30"/>
        <v>закрыт</v>
      </c>
      <c r="AS53" s="952">
        <f t="shared" si="31"/>
        <v>139.375</v>
      </c>
      <c r="AT53" s="954" t="s">
        <v>754</v>
      </c>
      <c r="AU53" s="1113">
        <v>1964</v>
      </c>
      <c r="AV53" s="214">
        <v>2011</v>
      </c>
      <c r="AW53" s="1121">
        <v>57.775240333090302</v>
      </c>
      <c r="AX53" s="1121">
        <v>35.932209388654101</v>
      </c>
    </row>
    <row r="54" spans="1:50" ht="20.100000000000001" customHeight="1" x14ac:dyDescent="0.25">
      <c r="A54" s="213">
        <v>39</v>
      </c>
      <c r="B54" s="213">
        <v>39</v>
      </c>
      <c r="C54" s="213" t="s">
        <v>939</v>
      </c>
      <c r="D54" s="230">
        <v>2.5</v>
      </c>
      <c r="E54" s="229" t="s">
        <v>785</v>
      </c>
      <c r="F54" s="229">
        <v>4</v>
      </c>
      <c r="G54" s="229"/>
      <c r="H54" s="228"/>
      <c r="I54" s="229" t="str">
        <f t="shared" si="8"/>
        <v>2,5+4</v>
      </c>
      <c r="J54" s="895">
        <v>1.93</v>
      </c>
      <c r="K54" s="172">
        <v>1.75</v>
      </c>
      <c r="L54" s="213" t="s">
        <v>335</v>
      </c>
      <c r="M54" s="172">
        <f t="shared" si="20"/>
        <v>0.17999999999999994</v>
      </c>
      <c r="N54" s="172">
        <v>0</v>
      </c>
      <c r="O54" s="893"/>
      <c r="P54" s="893">
        <f t="shared" si="21"/>
        <v>2.625</v>
      </c>
      <c r="Q54" s="172">
        <f t="shared" si="22"/>
        <v>2.4450000000000003</v>
      </c>
      <c r="R54" s="172">
        <f t="shared" si="32"/>
        <v>2.4450000000000003</v>
      </c>
      <c r="S54" s="768" t="str">
        <f t="shared" si="2"/>
        <v/>
      </c>
      <c r="T54" s="257" t="str">
        <f t="shared" si="23"/>
        <v/>
      </c>
      <c r="U54" s="768">
        <f t="shared" si="24"/>
        <v>73.523809523809518</v>
      </c>
      <c r="V54" s="768">
        <v>0.44</v>
      </c>
      <c r="W54" s="768" t="s">
        <v>3476</v>
      </c>
      <c r="X54" s="929"/>
      <c r="Y54" s="213">
        <v>39</v>
      </c>
      <c r="Z54" s="1316">
        <v>39</v>
      </c>
      <c r="AA54" s="1298" t="s">
        <v>939</v>
      </c>
      <c r="AB54" s="230">
        <f t="shared" si="9"/>
        <v>2.5</v>
      </c>
      <c r="AC54" s="1315" t="str">
        <f t="shared" si="25"/>
        <v>+</v>
      </c>
      <c r="AD54" s="1315">
        <f t="shared" si="26"/>
        <v>4</v>
      </c>
      <c r="AE54" s="1315"/>
      <c r="AF54" s="1316"/>
      <c r="AG54" s="1298" t="str">
        <f t="shared" si="10"/>
        <v>2,5+4</v>
      </c>
      <c r="AH54" s="1304">
        <f>'Зона БЭс'!L111</f>
        <v>2.5000000000000005E-2</v>
      </c>
      <c r="AI54" s="1304">
        <f t="shared" si="5"/>
        <v>1.9549999999999998</v>
      </c>
      <c r="AJ54" s="1304">
        <f t="shared" si="18"/>
        <v>1.75</v>
      </c>
      <c r="AK54" s="1298" t="str">
        <f t="shared" si="11"/>
        <v>1 сутки</v>
      </c>
      <c r="AL54" s="1304">
        <f t="shared" si="27"/>
        <v>0.20499999999999985</v>
      </c>
      <c r="AM54" s="1298">
        <v>0</v>
      </c>
      <c r="AN54" s="893">
        <f t="shared" si="28"/>
        <v>2.625</v>
      </c>
      <c r="AO54" s="1304">
        <f t="shared" si="29"/>
        <v>2.42</v>
      </c>
      <c r="AP54" s="1304">
        <f t="shared" si="15"/>
        <v>2.42</v>
      </c>
      <c r="AQ54" s="1296" t="str">
        <f t="shared" si="6"/>
        <v/>
      </c>
      <c r="AR54" s="1298" t="str">
        <f t="shared" si="30"/>
        <v/>
      </c>
      <c r="AS54" s="952">
        <f t="shared" si="31"/>
        <v>74.476190476190467</v>
      </c>
      <c r="AT54" s="954" t="s">
        <v>754</v>
      </c>
      <c r="AU54" s="1113">
        <v>1961</v>
      </c>
      <c r="AV54" s="1119" t="s">
        <v>3286</v>
      </c>
      <c r="AW54" s="1121">
        <v>58.149503084579898</v>
      </c>
      <c r="AX54" s="1121">
        <v>36.754327949918697</v>
      </c>
    </row>
    <row r="55" spans="1:50" ht="20.100000000000001" customHeight="1" x14ac:dyDescent="0.25">
      <c r="A55" s="213">
        <v>40</v>
      </c>
      <c r="B55" s="213">
        <v>40</v>
      </c>
      <c r="C55" s="213" t="s">
        <v>940</v>
      </c>
      <c r="D55" s="230">
        <v>2.5</v>
      </c>
      <c r="E55" s="229" t="s">
        <v>785</v>
      </c>
      <c r="F55" s="229">
        <v>2.5</v>
      </c>
      <c r="G55" s="229"/>
      <c r="H55" s="228"/>
      <c r="I55" s="229" t="str">
        <f t="shared" si="8"/>
        <v>2,5+2,5</v>
      </c>
      <c r="J55" s="895">
        <v>0.14000000000000001</v>
      </c>
      <c r="K55" s="172">
        <v>0</v>
      </c>
      <c r="L55" s="213">
        <v>0</v>
      </c>
      <c r="M55" s="172">
        <f t="shared" si="20"/>
        <v>0.14000000000000001</v>
      </c>
      <c r="N55" s="172">
        <v>0</v>
      </c>
      <c r="O55" s="893"/>
      <c r="P55" s="893">
        <f t="shared" si="21"/>
        <v>2.625</v>
      </c>
      <c r="Q55" s="172">
        <f t="shared" si="22"/>
        <v>2.4849999999999999</v>
      </c>
      <c r="R55" s="172">
        <f t="shared" si="32"/>
        <v>2.4849999999999999</v>
      </c>
      <c r="S55" s="768" t="str">
        <f t="shared" si="2"/>
        <v/>
      </c>
      <c r="T55" s="257" t="str">
        <f t="shared" si="23"/>
        <v/>
      </c>
      <c r="U55" s="768">
        <f t="shared" si="24"/>
        <v>5.3333333333333339</v>
      </c>
      <c r="V55" s="768">
        <v>0.5</v>
      </c>
      <c r="W55" s="768" t="s">
        <v>3476</v>
      </c>
      <c r="X55" s="929"/>
      <c r="Y55" s="213">
        <v>40</v>
      </c>
      <c r="Z55" s="1316">
        <v>40</v>
      </c>
      <c r="AA55" s="1298" t="s">
        <v>940</v>
      </c>
      <c r="AB55" s="230">
        <f t="shared" si="9"/>
        <v>2.5</v>
      </c>
      <c r="AC55" s="1315" t="str">
        <f t="shared" si="25"/>
        <v>+</v>
      </c>
      <c r="AD55" s="1315">
        <f t="shared" si="26"/>
        <v>2.5</v>
      </c>
      <c r="AE55" s="1315"/>
      <c r="AF55" s="1316"/>
      <c r="AG55" s="1298" t="str">
        <f t="shared" si="10"/>
        <v>2,5+2,5</v>
      </c>
      <c r="AH55" s="1304">
        <f>'Зона БЭс'!L113</f>
        <v>0</v>
      </c>
      <c r="AI55" s="1304">
        <f t="shared" si="5"/>
        <v>0.14000000000000001</v>
      </c>
      <c r="AJ55" s="1304">
        <f t="shared" si="18"/>
        <v>0</v>
      </c>
      <c r="AK55" s="1298">
        <f t="shared" si="11"/>
        <v>0</v>
      </c>
      <c r="AL55" s="1304">
        <f t="shared" si="27"/>
        <v>0.14000000000000001</v>
      </c>
      <c r="AM55" s="1298">
        <v>0</v>
      </c>
      <c r="AN55" s="893">
        <f t="shared" si="28"/>
        <v>2.625</v>
      </c>
      <c r="AO55" s="1304">
        <f t="shared" si="29"/>
        <v>2.4849999999999999</v>
      </c>
      <c r="AP55" s="1304">
        <f t="shared" si="15"/>
        <v>2.4849999999999999</v>
      </c>
      <c r="AQ55" s="1296" t="str">
        <f t="shared" si="6"/>
        <v/>
      </c>
      <c r="AR55" s="1298" t="str">
        <f t="shared" si="30"/>
        <v/>
      </c>
      <c r="AS55" s="952">
        <f t="shared" si="31"/>
        <v>5.3333333333333339</v>
      </c>
      <c r="AT55" s="954" t="s">
        <v>754</v>
      </c>
      <c r="AU55" s="1113">
        <v>1978</v>
      </c>
      <c r="AV55" s="1119" t="s">
        <v>3286</v>
      </c>
      <c r="AW55" s="1121">
        <v>58.064675135796001</v>
      </c>
      <c r="AX55" s="1121">
        <v>36.619704493160597</v>
      </c>
    </row>
    <row r="56" spans="1:50" ht="20.100000000000001" customHeight="1" x14ac:dyDescent="0.25">
      <c r="A56" s="213">
        <v>41</v>
      </c>
      <c r="B56" s="213">
        <v>41</v>
      </c>
      <c r="C56" s="213" t="s">
        <v>941</v>
      </c>
      <c r="D56" s="230">
        <v>1.6</v>
      </c>
      <c r="E56" s="229" t="s">
        <v>785</v>
      </c>
      <c r="F56" s="229">
        <v>2.5</v>
      </c>
      <c r="G56" s="229"/>
      <c r="H56" s="228"/>
      <c r="I56" s="229" t="str">
        <f t="shared" si="8"/>
        <v>1,6+2,5</v>
      </c>
      <c r="J56" s="895">
        <v>1.1499999999999999</v>
      </c>
      <c r="K56" s="172">
        <v>1.43</v>
      </c>
      <c r="L56" s="213" t="s">
        <v>335</v>
      </c>
      <c r="M56" s="172">
        <f t="shared" si="20"/>
        <v>-0.28000000000000003</v>
      </c>
      <c r="N56" s="172">
        <v>0</v>
      </c>
      <c r="O56" s="893"/>
      <c r="P56" s="893">
        <f t="shared" si="21"/>
        <v>1.6800000000000002</v>
      </c>
      <c r="Q56" s="172">
        <f t="shared" si="22"/>
        <v>1.9600000000000002</v>
      </c>
      <c r="R56" s="172">
        <f t="shared" si="32"/>
        <v>1.9600000000000002</v>
      </c>
      <c r="S56" s="768" t="str">
        <f t="shared" si="2"/>
        <v/>
      </c>
      <c r="T56" s="257" t="str">
        <f t="shared" si="23"/>
        <v/>
      </c>
      <c r="U56" s="768">
        <f t="shared" si="24"/>
        <v>68.452380952380935</v>
      </c>
      <c r="V56" s="768">
        <v>0.44</v>
      </c>
      <c r="W56" s="768" t="s">
        <v>3476</v>
      </c>
      <c r="X56" s="929"/>
      <c r="Y56" s="213">
        <v>41</v>
      </c>
      <c r="Z56" s="1316">
        <v>41</v>
      </c>
      <c r="AA56" s="1298" t="s">
        <v>941</v>
      </c>
      <c r="AB56" s="230">
        <f t="shared" si="9"/>
        <v>1.6</v>
      </c>
      <c r="AC56" s="1315" t="str">
        <f t="shared" si="25"/>
        <v>+</v>
      </c>
      <c r="AD56" s="1315">
        <f t="shared" si="26"/>
        <v>2.5</v>
      </c>
      <c r="AE56" s="1315"/>
      <c r="AF56" s="1316"/>
      <c r="AG56" s="1298" t="str">
        <f t="shared" si="10"/>
        <v>1,6+2,5</v>
      </c>
      <c r="AH56" s="1304">
        <f>'Зона БЭс'!L115</f>
        <v>0</v>
      </c>
      <c r="AI56" s="1304">
        <f t="shared" si="5"/>
        <v>1.1499999999999999</v>
      </c>
      <c r="AJ56" s="1304">
        <f t="shared" si="18"/>
        <v>1.43</v>
      </c>
      <c r="AK56" s="1298" t="str">
        <f t="shared" si="11"/>
        <v>1 сутки</v>
      </c>
      <c r="AL56" s="1304">
        <f t="shared" si="27"/>
        <v>-0.28000000000000003</v>
      </c>
      <c r="AM56" s="1298">
        <v>0</v>
      </c>
      <c r="AN56" s="893">
        <f t="shared" si="28"/>
        <v>1.6800000000000002</v>
      </c>
      <c r="AO56" s="1304">
        <f t="shared" si="29"/>
        <v>1.9600000000000002</v>
      </c>
      <c r="AP56" s="1304">
        <f t="shared" si="15"/>
        <v>1.9600000000000002</v>
      </c>
      <c r="AQ56" s="1296" t="str">
        <f t="shared" si="6"/>
        <v/>
      </c>
      <c r="AR56" s="1298" t="str">
        <f t="shared" si="30"/>
        <v/>
      </c>
      <c r="AS56" s="952">
        <f t="shared" si="31"/>
        <v>68.452380952380935</v>
      </c>
      <c r="AT56" s="954" t="s">
        <v>754</v>
      </c>
      <c r="AU56" s="1113">
        <v>1975</v>
      </c>
      <c r="AV56" s="1119" t="s">
        <v>3286</v>
      </c>
      <c r="AW56" s="1121">
        <v>57.632090002592399</v>
      </c>
      <c r="AX56" s="1121">
        <v>35.908846469797197</v>
      </c>
    </row>
    <row r="57" spans="1:50" ht="20.100000000000001" customHeight="1" x14ac:dyDescent="0.25">
      <c r="A57" s="213">
        <v>42</v>
      </c>
      <c r="B57" s="213">
        <v>42</v>
      </c>
      <c r="C57" s="213" t="s">
        <v>942</v>
      </c>
      <c r="D57" s="230">
        <v>4</v>
      </c>
      <c r="E57" s="229" t="s">
        <v>785</v>
      </c>
      <c r="F57" s="229">
        <v>3.2</v>
      </c>
      <c r="G57" s="229"/>
      <c r="H57" s="228"/>
      <c r="I57" s="229" t="str">
        <f t="shared" si="8"/>
        <v>4+3,2</v>
      </c>
      <c r="J57" s="895">
        <v>4.63</v>
      </c>
      <c r="K57" s="172">
        <v>1.79</v>
      </c>
      <c r="L57" s="213" t="s">
        <v>335</v>
      </c>
      <c r="M57" s="172">
        <f t="shared" si="20"/>
        <v>2.84</v>
      </c>
      <c r="N57" s="172">
        <v>0</v>
      </c>
      <c r="O57" s="893"/>
      <c r="P57" s="893">
        <f t="shared" si="21"/>
        <v>3.3600000000000003</v>
      </c>
      <c r="Q57" s="172">
        <f t="shared" si="22"/>
        <v>0.52000000000000046</v>
      </c>
      <c r="R57" s="172">
        <f t="shared" si="32"/>
        <v>0.52000000000000046</v>
      </c>
      <c r="S57" s="768" t="str">
        <f t="shared" si="2"/>
        <v/>
      </c>
      <c r="T57" s="257" t="str">
        <f t="shared" si="23"/>
        <v/>
      </c>
      <c r="U57" s="768">
        <f t="shared" si="24"/>
        <v>137.79761904761904</v>
      </c>
      <c r="V57" s="768">
        <v>0.44</v>
      </c>
      <c r="W57" s="768" t="s">
        <v>3476</v>
      </c>
      <c r="X57" s="929"/>
      <c r="Y57" s="213">
        <v>42</v>
      </c>
      <c r="Z57" s="1316">
        <v>42</v>
      </c>
      <c r="AA57" s="1298" t="s">
        <v>942</v>
      </c>
      <c r="AB57" s="230">
        <f t="shared" si="9"/>
        <v>4</v>
      </c>
      <c r="AC57" s="1315" t="str">
        <f t="shared" si="25"/>
        <v>+</v>
      </c>
      <c r="AD57" s="1315">
        <f t="shared" si="26"/>
        <v>3.2</v>
      </c>
      <c r="AE57" s="1315"/>
      <c r="AF57" s="1316"/>
      <c r="AG57" s="1298" t="str">
        <f t="shared" si="10"/>
        <v>4+3,2</v>
      </c>
      <c r="AH57" s="1304">
        <f>'Зона БЭс'!L120</f>
        <v>6.25E-2</v>
      </c>
      <c r="AI57" s="1304">
        <f t="shared" si="5"/>
        <v>4.6924999999999999</v>
      </c>
      <c r="AJ57" s="1304">
        <f t="shared" si="18"/>
        <v>1.79</v>
      </c>
      <c r="AK57" s="1298" t="str">
        <f t="shared" si="11"/>
        <v>1 сутки</v>
      </c>
      <c r="AL57" s="1304">
        <f t="shared" si="27"/>
        <v>2.9024999999999999</v>
      </c>
      <c r="AM57" s="1298">
        <v>0</v>
      </c>
      <c r="AN57" s="893">
        <f t="shared" si="28"/>
        <v>3.3600000000000003</v>
      </c>
      <c r="AO57" s="1304">
        <f t="shared" si="29"/>
        <v>0.45750000000000046</v>
      </c>
      <c r="AP57" s="1304">
        <f t="shared" si="15"/>
        <v>0.45750000000000046</v>
      </c>
      <c r="AQ57" s="1296" t="str">
        <f t="shared" si="6"/>
        <v/>
      </c>
      <c r="AR57" s="1298" t="str">
        <f t="shared" si="30"/>
        <v/>
      </c>
      <c r="AS57" s="952">
        <f t="shared" si="31"/>
        <v>139.65773809523807</v>
      </c>
      <c r="AT57" s="954" t="s">
        <v>754</v>
      </c>
      <c r="AU57" s="1113">
        <v>1961</v>
      </c>
      <c r="AV57" s="1119" t="s">
        <v>3286</v>
      </c>
      <c r="AW57" s="1121">
        <v>57.781191947557701</v>
      </c>
      <c r="AX57" s="1121">
        <v>37.158502657856097</v>
      </c>
    </row>
    <row r="58" spans="1:50" ht="20.100000000000001" customHeight="1" x14ac:dyDescent="0.25">
      <c r="A58" s="213">
        <v>43</v>
      </c>
      <c r="B58" s="213">
        <v>43</v>
      </c>
      <c r="C58" s="213" t="s">
        <v>943</v>
      </c>
      <c r="D58" s="230">
        <v>1.6</v>
      </c>
      <c r="E58" s="229" t="s">
        <v>785</v>
      </c>
      <c r="F58" s="229">
        <v>2.5</v>
      </c>
      <c r="G58" s="229"/>
      <c r="H58" s="228"/>
      <c r="I58" s="229" t="str">
        <f t="shared" si="8"/>
        <v>1,6+2,5</v>
      </c>
      <c r="J58" s="895">
        <v>0.56999999999999995</v>
      </c>
      <c r="K58" s="172">
        <v>0.69</v>
      </c>
      <c r="L58" s="213" t="s">
        <v>335</v>
      </c>
      <c r="M58" s="172">
        <f t="shared" si="20"/>
        <v>-0.12</v>
      </c>
      <c r="N58" s="172">
        <v>0</v>
      </c>
      <c r="O58" s="893"/>
      <c r="P58" s="893">
        <f t="shared" si="21"/>
        <v>1.6800000000000002</v>
      </c>
      <c r="Q58" s="172">
        <f t="shared" si="22"/>
        <v>1.8000000000000003</v>
      </c>
      <c r="R58" s="172">
        <f t="shared" si="32"/>
        <v>1.8000000000000003</v>
      </c>
      <c r="S58" s="768" t="str">
        <f>T58</f>
        <v/>
      </c>
      <c r="T58" s="257" t="str">
        <f t="shared" si="23"/>
        <v/>
      </c>
      <c r="U58" s="768">
        <f t="shared" si="24"/>
        <v>33.928571428571423</v>
      </c>
      <c r="V58" s="768">
        <v>0.44</v>
      </c>
      <c r="W58" s="768" t="s">
        <v>3476</v>
      </c>
      <c r="X58" s="929"/>
      <c r="Y58" s="213">
        <v>43</v>
      </c>
      <c r="Z58" s="1316">
        <v>43</v>
      </c>
      <c r="AA58" s="1298" t="s">
        <v>943</v>
      </c>
      <c r="AB58" s="230">
        <f t="shared" si="9"/>
        <v>1.6</v>
      </c>
      <c r="AC58" s="1315" t="str">
        <f t="shared" si="25"/>
        <v>+</v>
      </c>
      <c r="AD58" s="1315">
        <f t="shared" si="26"/>
        <v>2.5</v>
      </c>
      <c r="AE58" s="1315"/>
      <c r="AF58" s="1316"/>
      <c r="AG58" s="1298" t="str">
        <f t="shared" si="10"/>
        <v>1,6+2,5</v>
      </c>
      <c r="AH58" s="1304">
        <f>'Зона БЭс'!L122</f>
        <v>0</v>
      </c>
      <c r="AI58" s="1304">
        <f t="shared" si="5"/>
        <v>0.56999999999999995</v>
      </c>
      <c r="AJ58" s="1304">
        <f t="shared" si="18"/>
        <v>0.69</v>
      </c>
      <c r="AK58" s="1298" t="str">
        <f t="shared" si="11"/>
        <v>1 сутки</v>
      </c>
      <c r="AL58" s="1304">
        <f t="shared" si="27"/>
        <v>-0.12</v>
      </c>
      <c r="AM58" s="1298">
        <v>0</v>
      </c>
      <c r="AN58" s="893">
        <f t="shared" si="28"/>
        <v>1.6800000000000002</v>
      </c>
      <c r="AO58" s="1304">
        <f t="shared" si="29"/>
        <v>1.8000000000000003</v>
      </c>
      <c r="AP58" s="1304">
        <f t="shared" si="15"/>
        <v>1.8000000000000003</v>
      </c>
      <c r="AQ58" s="1296" t="str">
        <f t="shared" si="6"/>
        <v/>
      </c>
      <c r="AR58" s="1298" t="str">
        <f t="shared" si="30"/>
        <v/>
      </c>
      <c r="AS58" s="952">
        <f t="shared" si="31"/>
        <v>33.928571428571423</v>
      </c>
      <c r="AT58" s="954" t="s">
        <v>754</v>
      </c>
      <c r="AU58" s="1113">
        <v>1983</v>
      </c>
      <c r="AV58" s="1119" t="s">
        <v>3286</v>
      </c>
      <c r="AW58" s="1121">
        <v>57.966819952449299</v>
      </c>
      <c r="AX58" s="1121">
        <v>36.8193100945184</v>
      </c>
    </row>
    <row r="59" spans="1:50" ht="20.100000000000001" customHeight="1" x14ac:dyDescent="0.25">
      <c r="A59" s="213">
        <v>44</v>
      </c>
      <c r="B59" s="213">
        <v>44</v>
      </c>
      <c r="C59" s="213" t="s">
        <v>944</v>
      </c>
      <c r="D59" s="230">
        <v>6.3</v>
      </c>
      <c r="E59" s="229" t="s">
        <v>785</v>
      </c>
      <c r="F59" s="229">
        <v>6.3</v>
      </c>
      <c r="G59" s="229"/>
      <c r="H59" s="228"/>
      <c r="I59" s="229" t="str">
        <f t="shared" si="8"/>
        <v>6,3+6,3</v>
      </c>
      <c r="J59" s="895">
        <v>0.68</v>
      </c>
      <c r="K59" s="172">
        <v>0.94</v>
      </c>
      <c r="L59" s="213" t="s">
        <v>335</v>
      </c>
      <c r="M59" s="172">
        <f t="shared" si="20"/>
        <v>-0.2599999999999999</v>
      </c>
      <c r="N59" s="172">
        <v>0</v>
      </c>
      <c r="O59" s="893"/>
      <c r="P59" s="893">
        <f t="shared" si="21"/>
        <v>6.6150000000000002</v>
      </c>
      <c r="Q59" s="172">
        <f t="shared" ref="Q59:Q77" si="33">P59-M59-N59</f>
        <v>6.875</v>
      </c>
      <c r="R59" s="172">
        <f t="shared" si="32"/>
        <v>6.875</v>
      </c>
      <c r="S59" s="768" t="str">
        <f t="shared" si="2"/>
        <v/>
      </c>
      <c r="T59" s="257" t="str">
        <f t="shared" si="23"/>
        <v/>
      </c>
      <c r="U59" s="768">
        <f t="shared" si="24"/>
        <v>10.279667422524565</v>
      </c>
      <c r="V59" s="768">
        <v>0.44</v>
      </c>
      <c r="W59" s="768" t="s">
        <v>3476</v>
      </c>
      <c r="X59" s="929"/>
      <c r="Y59" s="213">
        <v>44</v>
      </c>
      <c r="Z59" s="1316">
        <v>44</v>
      </c>
      <c r="AA59" s="1298" t="s">
        <v>944</v>
      </c>
      <c r="AB59" s="230">
        <f t="shared" si="9"/>
        <v>6.3</v>
      </c>
      <c r="AC59" s="1315" t="str">
        <f t="shared" si="25"/>
        <v>+</v>
      </c>
      <c r="AD59" s="1315">
        <f t="shared" si="26"/>
        <v>6.3</v>
      </c>
      <c r="AE59" s="1315"/>
      <c r="AF59" s="1316"/>
      <c r="AG59" s="1298" t="str">
        <f t="shared" si="10"/>
        <v>6,3+6,3</v>
      </c>
      <c r="AH59" s="1304">
        <f>'Зона БЭс'!L125</f>
        <v>3.6312499999999996</v>
      </c>
      <c r="AI59" s="1304">
        <f t="shared" si="5"/>
        <v>4.3112499999999994</v>
      </c>
      <c r="AJ59" s="1304">
        <f t="shared" si="18"/>
        <v>0.94</v>
      </c>
      <c r="AK59" s="1298" t="str">
        <f t="shared" si="11"/>
        <v>1 сутки</v>
      </c>
      <c r="AL59" s="1304">
        <f t="shared" si="27"/>
        <v>3.3712499999999994</v>
      </c>
      <c r="AM59" s="1298">
        <v>0</v>
      </c>
      <c r="AN59" s="893">
        <f t="shared" si="28"/>
        <v>6.6150000000000002</v>
      </c>
      <c r="AO59" s="1304">
        <f t="shared" si="29"/>
        <v>3.2437500000000008</v>
      </c>
      <c r="AP59" s="1304">
        <f t="shared" si="15"/>
        <v>3.2437500000000008</v>
      </c>
      <c r="AQ59" s="1296" t="str">
        <f t="shared" si="6"/>
        <v/>
      </c>
      <c r="AR59" s="1298" t="str">
        <f t="shared" si="30"/>
        <v/>
      </c>
      <c r="AS59" s="952">
        <f t="shared" si="31"/>
        <v>65.173847316704453</v>
      </c>
      <c r="AT59" s="954" t="s">
        <v>754</v>
      </c>
      <c r="AU59" s="1113">
        <v>1975</v>
      </c>
      <c r="AV59" s="1119" t="s">
        <v>3286</v>
      </c>
      <c r="AW59" s="1121">
        <v>57.793758057565199</v>
      </c>
      <c r="AX59" s="1121">
        <v>36.461193560361203</v>
      </c>
    </row>
    <row r="60" spans="1:50" ht="20.100000000000001" customHeight="1" x14ac:dyDescent="0.25">
      <c r="A60" s="1371">
        <v>45</v>
      </c>
      <c r="B60" s="1371">
        <v>45</v>
      </c>
      <c r="C60" s="213" t="s">
        <v>945</v>
      </c>
      <c r="D60" s="230">
        <v>6.3</v>
      </c>
      <c r="E60" s="229" t="s">
        <v>785</v>
      </c>
      <c r="F60" s="229">
        <v>6.3</v>
      </c>
      <c r="G60" s="229"/>
      <c r="H60" s="228"/>
      <c r="I60" s="229" t="str">
        <f t="shared" si="8"/>
        <v>6,3+6,3</v>
      </c>
      <c r="J60" s="895">
        <v>4.79</v>
      </c>
      <c r="K60" s="172">
        <v>0.42</v>
      </c>
      <c r="L60" s="213" t="s">
        <v>335</v>
      </c>
      <c r="M60" s="172">
        <f t="shared" si="20"/>
        <v>4.37</v>
      </c>
      <c r="N60" s="172">
        <v>0</v>
      </c>
      <c r="O60" s="893"/>
      <c r="P60" s="893">
        <f t="shared" si="21"/>
        <v>6.6150000000000002</v>
      </c>
      <c r="Q60" s="172">
        <f t="shared" si="33"/>
        <v>2.2450000000000001</v>
      </c>
      <c r="R60" s="1379">
        <f>MIN(Q60:Q62)</f>
        <v>1.8250000000000002</v>
      </c>
      <c r="S60" s="1381" t="str">
        <f t="shared" si="2"/>
        <v/>
      </c>
      <c r="T60" s="257" t="str">
        <f t="shared" si="23"/>
        <v/>
      </c>
      <c r="U60" s="1381">
        <f t="shared" si="24"/>
        <v>72.411186696900984</v>
      </c>
      <c r="V60" s="1381">
        <v>0.44</v>
      </c>
      <c r="W60" s="1381" t="s">
        <v>3476</v>
      </c>
      <c r="X60" s="929"/>
      <c r="Y60" s="1371">
        <v>45</v>
      </c>
      <c r="Z60" s="1316">
        <v>45</v>
      </c>
      <c r="AA60" s="1298" t="s">
        <v>945</v>
      </c>
      <c r="AB60" s="230">
        <f t="shared" si="9"/>
        <v>6.3</v>
      </c>
      <c r="AC60" s="1315" t="str">
        <f t="shared" si="25"/>
        <v>+</v>
      </c>
      <c r="AD60" s="1315">
        <f t="shared" si="26"/>
        <v>6.3</v>
      </c>
      <c r="AE60" s="1315"/>
      <c r="AF60" s="1316"/>
      <c r="AG60" s="1298" t="str">
        <f t="shared" si="10"/>
        <v>6,3+6,3</v>
      </c>
      <c r="AH60" s="1304">
        <f>SUM(AH61:AH62)</f>
        <v>2.0175000000000001</v>
      </c>
      <c r="AI60" s="1304">
        <f t="shared" si="5"/>
        <v>6.8075000000000001</v>
      </c>
      <c r="AJ60" s="1304">
        <f t="shared" si="18"/>
        <v>0.42</v>
      </c>
      <c r="AK60" s="1298" t="str">
        <f t="shared" si="11"/>
        <v>1 сутки</v>
      </c>
      <c r="AL60" s="1304">
        <f t="shared" si="27"/>
        <v>6.3875000000000002</v>
      </c>
      <c r="AM60" s="1298">
        <v>0</v>
      </c>
      <c r="AN60" s="893">
        <f t="shared" si="28"/>
        <v>6.6150000000000002</v>
      </c>
      <c r="AO60" s="1304">
        <f t="shared" si="29"/>
        <v>0.22750000000000004</v>
      </c>
      <c r="AP60" s="1308">
        <f>MIN(AO60:AO62)</f>
        <v>0.22750000000000004</v>
      </c>
      <c r="AQ60" s="1299" t="str">
        <f t="shared" si="6"/>
        <v/>
      </c>
      <c r="AR60" s="1298" t="str">
        <f t="shared" si="30"/>
        <v/>
      </c>
      <c r="AS60" s="1305">
        <f t="shared" si="31"/>
        <v>102.91005291005291</v>
      </c>
      <c r="AT60" s="954" t="s">
        <v>754</v>
      </c>
      <c r="AU60" s="1113">
        <v>1978</v>
      </c>
      <c r="AV60" s="1119" t="s">
        <v>3286</v>
      </c>
      <c r="AW60" s="1121">
        <v>58.650946279156003</v>
      </c>
      <c r="AX60" s="1121">
        <v>37.250127302002099</v>
      </c>
    </row>
    <row r="61" spans="1:50" ht="20.100000000000001" customHeight="1" x14ac:dyDescent="0.25">
      <c r="A61" s="1371"/>
      <c r="B61" s="1371"/>
      <c r="C61" s="213" t="s">
        <v>1792</v>
      </c>
      <c r="D61" s="230">
        <v>6.3</v>
      </c>
      <c r="E61" s="229" t="s">
        <v>785</v>
      </c>
      <c r="F61" s="229">
        <v>6.3</v>
      </c>
      <c r="G61" s="229"/>
      <c r="H61" s="228"/>
      <c r="I61" s="229" t="str">
        <f t="shared" si="8"/>
        <v>6,3+6,3</v>
      </c>
      <c r="J61" s="895">
        <v>0</v>
      </c>
      <c r="K61" s="172">
        <v>0.42</v>
      </c>
      <c r="L61" s="213" t="s">
        <v>335</v>
      </c>
      <c r="M61" s="172">
        <f t="shared" si="20"/>
        <v>-0.42</v>
      </c>
      <c r="N61" s="172">
        <v>0</v>
      </c>
      <c r="O61" s="893"/>
      <c r="P61" s="893">
        <f t="shared" si="21"/>
        <v>6.6150000000000002</v>
      </c>
      <c r="Q61" s="172">
        <f t="shared" si="33"/>
        <v>7.0350000000000001</v>
      </c>
      <c r="R61" s="1379"/>
      <c r="S61" s="1404" t="str">
        <f t="shared" si="2"/>
        <v/>
      </c>
      <c r="T61" s="257" t="str">
        <f>IF(R60&lt;0,"закрыт","")</f>
        <v/>
      </c>
      <c r="U61" s="1404"/>
      <c r="V61" s="1404"/>
      <c r="W61" s="1382"/>
      <c r="X61" s="930"/>
      <c r="Y61" s="1371"/>
      <c r="Z61" s="1316"/>
      <c r="AA61" s="1298" t="s">
        <v>1792</v>
      </c>
      <c r="AB61" s="230">
        <f t="shared" si="9"/>
        <v>6.3</v>
      </c>
      <c r="AC61" s="1315" t="str">
        <f t="shared" si="25"/>
        <v>+</v>
      </c>
      <c r="AD61" s="1315">
        <f t="shared" si="26"/>
        <v>6.3</v>
      </c>
      <c r="AE61" s="1315"/>
      <c r="AF61" s="1316"/>
      <c r="AG61" s="1298" t="str">
        <f t="shared" si="10"/>
        <v>6,3+6,3</v>
      </c>
      <c r="AH61" s="1304">
        <f>AH13</f>
        <v>1.8149999999999999</v>
      </c>
      <c r="AI61" s="1304">
        <f t="shared" si="5"/>
        <v>1.8149999999999999</v>
      </c>
      <c r="AJ61" s="1304">
        <f t="shared" si="18"/>
        <v>0.42</v>
      </c>
      <c r="AK61" s="1298" t="str">
        <f t="shared" si="11"/>
        <v>1 сутки</v>
      </c>
      <c r="AL61" s="1304">
        <f t="shared" si="27"/>
        <v>1.395</v>
      </c>
      <c r="AM61" s="1298">
        <v>0</v>
      </c>
      <c r="AN61" s="893">
        <f t="shared" si="28"/>
        <v>6.6150000000000002</v>
      </c>
      <c r="AO61" s="1304">
        <f t="shared" si="29"/>
        <v>5.2200000000000006</v>
      </c>
      <c r="AP61" s="1309"/>
      <c r="AQ61" s="1300" t="str">
        <f t="shared" si="6"/>
        <v/>
      </c>
      <c r="AR61" s="1298" t="str">
        <f>IF(AP60&lt;0,"закрыт","")</f>
        <v/>
      </c>
      <c r="AS61" s="1306"/>
      <c r="AT61" s="954" t="s">
        <v>754</v>
      </c>
      <c r="AU61" s="1113">
        <v>1978</v>
      </c>
      <c r="AV61" s="1119" t="s">
        <v>3286</v>
      </c>
      <c r="AW61" s="1121">
        <v>58.650946279156003</v>
      </c>
      <c r="AX61" s="1121">
        <v>37.250127302002099</v>
      </c>
    </row>
    <row r="62" spans="1:50" ht="20.100000000000001" customHeight="1" x14ac:dyDescent="0.25">
      <c r="A62" s="1371"/>
      <c r="B62" s="1371"/>
      <c r="C62" s="213" t="s">
        <v>1791</v>
      </c>
      <c r="D62" s="230">
        <v>6.3</v>
      </c>
      <c r="E62" s="229" t="s">
        <v>785</v>
      </c>
      <c r="F62" s="229">
        <v>6.3</v>
      </c>
      <c r="G62" s="229"/>
      <c r="H62" s="228"/>
      <c r="I62" s="229" t="str">
        <f t="shared" si="8"/>
        <v>6,3+6,3</v>
      </c>
      <c r="J62" s="895">
        <v>4.79</v>
      </c>
      <c r="K62" s="172">
        <v>0</v>
      </c>
      <c r="L62" s="213">
        <v>0</v>
      </c>
      <c r="M62" s="172">
        <f t="shared" si="20"/>
        <v>4.79</v>
      </c>
      <c r="N62" s="172">
        <v>0</v>
      </c>
      <c r="O62" s="893"/>
      <c r="P62" s="893">
        <f t="shared" si="21"/>
        <v>6.6150000000000002</v>
      </c>
      <c r="Q62" s="172">
        <f t="shared" si="33"/>
        <v>1.8250000000000002</v>
      </c>
      <c r="R62" s="1379"/>
      <c r="S62" s="1405" t="str">
        <f t="shared" si="2"/>
        <v/>
      </c>
      <c r="T62" s="257" t="str">
        <f>IF(R60&lt;0,"закрыт","")</f>
        <v/>
      </c>
      <c r="U62" s="1405"/>
      <c r="V62" s="1405"/>
      <c r="W62" s="1383"/>
      <c r="X62" s="931"/>
      <c r="Y62" s="1371"/>
      <c r="Z62" s="1316"/>
      <c r="AA62" s="1298" t="s">
        <v>1791</v>
      </c>
      <c r="AB62" s="230">
        <f t="shared" si="9"/>
        <v>6.3</v>
      </c>
      <c r="AC62" s="1315" t="str">
        <f t="shared" si="25"/>
        <v>+</v>
      </c>
      <c r="AD62" s="1315">
        <f t="shared" si="26"/>
        <v>6.3</v>
      </c>
      <c r="AE62" s="1315"/>
      <c r="AF62" s="1316"/>
      <c r="AG62" s="1298" t="str">
        <f t="shared" si="10"/>
        <v>6,3+6,3</v>
      </c>
      <c r="AH62" s="1304">
        <f>'Зона БЭс'!L130</f>
        <v>0.20249999999999999</v>
      </c>
      <c r="AI62" s="1304">
        <f t="shared" si="5"/>
        <v>4.9924999999999997</v>
      </c>
      <c r="AJ62" s="1304">
        <f t="shared" si="18"/>
        <v>0</v>
      </c>
      <c r="AK62" s="1298">
        <f t="shared" si="11"/>
        <v>0</v>
      </c>
      <c r="AL62" s="1304">
        <f t="shared" si="27"/>
        <v>4.9924999999999997</v>
      </c>
      <c r="AM62" s="1298">
        <v>0</v>
      </c>
      <c r="AN62" s="893">
        <f t="shared" si="28"/>
        <v>6.6150000000000002</v>
      </c>
      <c r="AO62" s="1304">
        <f t="shared" si="29"/>
        <v>1.6225000000000005</v>
      </c>
      <c r="AP62" s="1310"/>
      <c r="AQ62" s="1301" t="str">
        <f t="shared" si="6"/>
        <v/>
      </c>
      <c r="AR62" s="1298" t="str">
        <f>IF(AP60&lt;0,"закрыт","")</f>
        <v/>
      </c>
      <c r="AS62" s="1307"/>
      <c r="AT62" s="954" t="s">
        <v>754</v>
      </c>
      <c r="AU62" s="1113">
        <v>1978</v>
      </c>
      <c r="AV62" s="1119" t="s">
        <v>3286</v>
      </c>
      <c r="AW62" s="1121">
        <v>58.650946279156003</v>
      </c>
      <c r="AX62" s="1121">
        <v>37.250127302002099</v>
      </c>
    </row>
    <row r="63" spans="1:50" ht="20.100000000000001" customHeight="1" x14ac:dyDescent="0.25">
      <c r="A63" s="1371">
        <v>46</v>
      </c>
      <c r="B63" s="1371">
        <v>46</v>
      </c>
      <c r="C63" s="213" t="s">
        <v>946</v>
      </c>
      <c r="D63" s="230">
        <v>25</v>
      </c>
      <c r="E63" s="229" t="s">
        <v>785</v>
      </c>
      <c r="F63" s="229">
        <v>25</v>
      </c>
      <c r="G63" s="229"/>
      <c r="H63" s="228"/>
      <c r="I63" s="229" t="str">
        <f t="shared" si="8"/>
        <v>25+25</v>
      </c>
      <c r="J63" s="895">
        <v>9.75</v>
      </c>
      <c r="K63" s="172">
        <v>2.5</v>
      </c>
      <c r="L63" s="213" t="s">
        <v>335</v>
      </c>
      <c r="M63" s="172">
        <f t="shared" si="20"/>
        <v>7.25</v>
      </c>
      <c r="N63" s="172">
        <v>0</v>
      </c>
      <c r="O63" s="893"/>
      <c r="P63" s="893">
        <f t="shared" si="21"/>
        <v>26.25</v>
      </c>
      <c r="Q63" s="172">
        <f t="shared" si="33"/>
        <v>19</v>
      </c>
      <c r="R63" s="1379">
        <f>MIN(Q63:Q65)</f>
        <v>19</v>
      </c>
      <c r="S63" s="1381" t="str">
        <f t="shared" si="2"/>
        <v/>
      </c>
      <c r="T63" s="257" t="str">
        <f>IF(R63&lt;0,"закрыт","")</f>
        <v/>
      </c>
      <c r="U63" s="1381">
        <f>(J63*100)/P63</f>
        <v>37.142857142857146</v>
      </c>
      <c r="V63" s="1381">
        <v>0.51</v>
      </c>
      <c r="W63" s="1381" t="s">
        <v>3476</v>
      </c>
      <c r="X63" s="932"/>
      <c r="Y63" s="1371">
        <v>46</v>
      </c>
      <c r="Z63" s="1316">
        <v>46</v>
      </c>
      <c r="AA63" s="1298" t="s">
        <v>946</v>
      </c>
      <c r="AB63" s="230">
        <f t="shared" si="9"/>
        <v>25</v>
      </c>
      <c r="AC63" s="1315" t="str">
        <f t="shared" si="25"/>
        <v>+</v>
      </c>
      <c r="AD63" s="1315">
        <f t="shared" si="26"/>
        <v>25</v>
      </c>
      <c r="AE63" s="1315"/>
      <c r="AF63" s="1316"/>
      <c r="AG63" s="1298" t="str">
        <f t="shared" si="10"/>
        <v>25+25</v>
      </c>
      <c r="AH63" s="1304">
        <f>SUM(AH64:AH65)</f>
        <v>0</v>
      </c>
      <c r="AI63" s="1304">
        <f t="shared" si="5"/>
        <v>9.75</v>
      </c>
      <c r="AJ63" s="1304">
        <f t="shared" si="18"/>
        <v>2.5</v>
      </c>
      <c r="AK63" s="1298" t="str">
        <f t="shared" si="11"/>
        <v>1 сутки</v>
      </c>
      <c r="AL63" s="1304">
        <f t="shared" si="27"/>
        <v>7.25</v>
      </c>
      <c r="AM63" s="1298">
        <v>0</v>
      </c>
      <c r="AN63" s="893">
        <f t="shared" si="28"/>
        <v>26.25</v>
      </c>
      <c r="AO63" s="1304">
        <f t="shared" si="29"/>
        <v>19</v>
      </c>
      <c r="AP63" s="1308">
        <f>MIN(AO63:AO65)</f>
        <v>19</v>
      </c>
      <c r="AQ63" s="1299" t="str">
        <f t="shared" si="6"/>
        <v/>
      </c>
      <c r="AR63" s="1298" t="str">
        <f>IF(AP63&lt;0,"закрыт","")</f>
        <v/>
      </c>
      <c r="AS63" s="1305">
        <f>(AI63*100)/AN63</f>
        <v>37.142857142857146</v>
      </c>
      <c r="AT63" s="954" t="s">
        <v>754</v>
      </c>
      <c r="AU63" s="1113">
        <v>1990</v>
      </c>
      <c r="AV63" s="1119" t="s">
        <v>3286</v>
      </c>
      <c r="AW63" s="1121">
        <v>57.8020291616387</v>
      </c>
      <c r="AX63" s="1121">
        <v>35.903628854152899</v>
      </c>
    </row>
    <row r="64" spans="1:50" ht="20.100000000000001" customHeight="1" x14ac:dyDescent="0.25">
      <c r="A64" s="1371"/>
      <c r="B64" s="1371"/>
      <c r="C64" s="213" t="s">
        <v>1792</v>
      </c>
      <c r="D64" s="230">
        <v>25</v>
      </c>
      <c r="E64" s="229" t="s">
        <v>785</v>
      </c>
      <c r="F64" s="229">
        <v>25</v>
      </c>
      <c r="G64" s="229"/>
      <c r="H64" s="228"/>
      <c r="I64" s="229" t="str">
        <f t="shared" si="8"/>
        <v>25+25</v>
      </c>
      <c r="J64" s="895">
        <v>5.14</v>
      </c>
      <c r="K64" s="172">
        <v>2.5</v>
      </c>
      <c r="L64" s="213" t="s">
        <v>335</v>
      </c>
      <c r="M64" s="172">
        <f t="shared" si="20"/>
        <v>2.6399999999999997</v>
      </c>
      <c r="N64" s="172">
        <v>0</v>
      </c>
      <c r="O64" s="893"/>
      <c r="P64" s="893">
        <f t="shared" si="21"/>
        <v>26.25</v>
      </c>
      <c r="Q64" s="172">
        <f t="shared" si="33"/>
        <v>23.61</v>
      </c>
      <c r="R64" s="1379"/>
      <c r="S64" s="1404" t="str">
        <f t="shared" si="2"/>
        <v/>
      </c>
      <c r="T64" s="257" t="str">
        <f>IF(R63&lt;0,"закрыт","")</f>
        <v/>
      </c>
      <c r="U64" s="1404"/>
      <c r="V64" s="1404"/>
      <c r="W64" s="1382"/>
      <c r="X64" s="929"/>
      <c r="Y64" s="1371"/>
      <c r="Z64" s="1316"/>
      <c r="AA64" s="1298" t="s">
        <v>1792</v>
      </c>
      <c r="AB64" s="230">
        <f t="shared" si="9"/>
        <v>25</v>
      </c>
      <c r="AC64" s="1315" t="str">
        <f t="shared" si="25"/>
        <v>+</v>
      </c>
      <c r="AD64" s="1315">
        <f t="shared" si="26"/>
        <v>25</v>
      </c>
      <c r="AE64" s="1315"/>
      <c r="AF64" s="1316"/>
      <c r="AG64" s="1298" t="str">
        <f t="shared" si="10"/>
        <v>25+25</v>
      </c>
      <c r="AH64" s="1304">
        <v>0</v>
      </c>
      <c r="AI64" s="1304">
        <f t="shared" si="5"/>
        <v>5.14</v>
      </c>
      <c r="AJ64" s="1304">
        <f t="shared" si="18"/>
        <v>2.5</v>
      </c>
      <c r="AK64" s="1298" t="str">
        <f t="shared" si="11"/>
        <v>1 сутки</v>
      </c>
      <c r="AL64" s="1304">
        <f t="shared" si="27"/>
        <v>2.6399999999999997</v>
      </c>
      <c r="AM64" s="1298">
        <v>0</v>
      </c>
      <c r="AN64" s="893">
        <f t="shared" si="28"/>
        <v>26.25</v>
      </c>
      <c r="AO64" s="1304">
        <f t="shared" si="29"/>
        <v>23.61</v>
      </c>
      <c r="AP64" s="1309"/>
      <c r="AQ64" s="1300" t="str">
        <f t="shared" si="6"/>
        <v/>
      </c>
      <c r="AR64" s="1298" t="str">
        <f>IF(AP63&lt;0,"закрыт","")</f>
        <v/>
      </c>
      <c r="AS64" s="1306"/>
      <c r="AT64" s="954" t="s">
        <v>754</v>
      </c>
      <c r="AU64" s="1113">
        <v>1990</v>
      </c>
      <c r="AV64" s="1119" t="s">
        <v>3286</v>
      </c>
      <c r="AW64" s="1121">
        <v>57.8020291616387</v>
      </c>
      <c r="AX64" s="1121">
        <v>35.903628854152899</v>
      </c>
    </row>
    <row r="65" spans="1:50" ht="20.100000000000001" customHeight="1" x14ac:dyDescent="0.25">
      <c r="A65" s="1371"/>
      <c r="B65" s="1371"/>
      <c r="C65" s="213" t="s">
        <v>1791</v>
      </c>
      <c r="D65" s="230">
        <v>25</v>
      </c>
      <c r="E65" s="229" t="s">
        <v>785</v>
      </c>
      <c r="F65" s="229">
        <v>25</v>
      </c>
      <c r="G65" s="229"/>
      <c r="H65" s="228"/>
      <c r="I65" s="229" t="str">
        <f t="shared" si="8"/>
        <v>25+25</v>
      </c>
      <c r="J65" s="895">
        <v>4.6100000000000003</v>
      </c>
      <c r="K65" s="172">
        <v>0</v>
      </c>
      <c r="L65" s="213">
        <v>0</v>
      </c>
      <c r="M65" s="172">
        <f t="shared" si="20"/>
        <v>4.6100000000000003</v>
      </c>
      <c r="N65" s="172">
        <v>0</v>
      </c>
      <c r="O65" s="893"/>
      <c r="P65" s="893">
        <f t="shared" si="21"/>
        <v>26.25</v>
      </c>
      <c r="Q65" s="172">
        <f t="shared" si="33"/>
        <v>21.64</v>
      </c>
      <c r="R65" s="1379"/>
      <c r="S65" s="1405" t="str">
        <f t="shared" si="2"/>
        <v/>
      </c>
      <c r="T65" s="257" t="str">
        <f>IF(R63&lt;0,"закрыт","")</f>
        <v/>
      </c>
      <c r="U65" s="1405"/>
      <c r="V65" s="1405"/>
      <c r="W65" s="1383"/>
      <c r="X65" s="929"/>
      <c r="Y65" s="1371"/>
      <c r="Z65" s="1316"/>
      <c r="AA65" s="1298" t="s">
        <v>1791</v>
      </c>
      <c r="AB65" s="230">
        <f t="shared" si="9"/>
        <v>25</v>
      </c>
      <c r="AC65" s="1315" t="str">
        <f t="shared" si="25"/>
        <v>+</v>
      </c>
      <c r="AD65" s="1315">
        <f t="shared" si="26"/>
        <v>25</v>
      </c>
      <c r="AE65" s="1315"/>
      <c r="AF65" s="1316"/>
      <c r="AG65" s="1298" t="str">
        <f t="shared" si="10"/>
        <v>25+25</v>
      </c>
      <c r="AH65" s="1304">
        <f>'Зона БЭс'!L134</f>
        <v>0</v>
      </c>
      <c r="AI65" s="1304">
        <f t="shared" si="5"/>
        <v>4.6100000000000003</v>
      </c>
      <c r="AJ65" s="1304">
        <f t="shared" si="18"/>
        <v>0</v>
      </c>
      <c r="AK65" s="1298">
        <f t="shared" si="11"/>
        <v>0</v>
      </c>
      <c r="AL65" s="1304">
        <f t="shared" si="27"/>
        <v>4.6100000000000003</v>
      </c>
      <c r="AM65" s="1298">
        <v>0</v>
      </c>
      <c r="AN65" s="893">
        <f t="shared" si="28"/>
        <v>26.25</v>
      </c>
      <c r="AO65" s="1304">
        <f t="shared" si="29"/>
        <v>21.64</v>
      </c>
      <c r="AP65" s="1310"/>
      <c r="AQ65" s="1301" t="str">
        <f t="shared" si="6"/>
        <v/>
      </c>
      <c r="AR65" s="1298" t="str">
        <f>IF(AP63&lt;0,"закрыт","")</f>
        <v/>
      </c>
      <c r="AS65" s="1307"/>
      <c r="AT65" s="954" t="s">
        <v>754</v>
      </c>
      <c r="AU65" s="1113">
        <v>1990</v>
      </c>
      <c r="AV65" s="1119" t="s">
        <v>3286</v>
      </c>
      <c r="AW65" s="1121">
        <v>57.8020291616387</v>
      </c>
      <c r="AX65" s="1121">
        <v>35.903628854152899</v>
      </c>
    </row>
    <row r="66" spans="1:50" ht="20.100000000000001" customHeight="1" x14ac:dyDescent="0.25">
      <c r="A66" s="1371">
        <v>47</v>
      </c>
      <c r="B66" s="1371">
        <v>47</v>
      </c>
      <c r="C66" s="213" t="s">
        <v>947</v>
      </c>
      <c r="D66" s="230">
        <v>10</v>
      </c>
      <c r="E66" s="229" t="s">
        <v>785</v>
      </c>
      <c r="F66" s="229">
        <v>10</v>
      </c>
      <c r="G66" s="229"/>
      <c r="H66" s="228"/>
      <c r="I66" s="229" t="str">
        <f t="shared" si="8"/>
        <v>10+10</v>
      </c>
      <c r="J66" s="895">
        <v>5.7</v>
      </c>
      <c r="K66" s="172">
        <v>5.65</v>
      </c>
      <c r="L66" s="213" t="s">
        <v>335</v>
      </c>
      <c r="M66" s="172">
        <f t="shared" si="20"/>
        <v>4.9999999999999822E-2</v>
      </c>
      <c r="N66" s="172">
        <v>0</v>
      </c>
      <c r="O66" s="893"/>
      <c r="P66" s="893">
        <f t="shared" si="21"/>
        <v>10.5</v>
      </c>
      <c r="Q66" s="172">
        <f t="shared" si="33"/>
        <v>10.45</v>
      </c>
      <c r="R66" s="1379">
        <f>MIN(Q66:Q68)</f>
        <v>4.32</v>
      </c>
      <c r="S66" s="1381" t="str">
        <f t="shared" si="2"/>
        <v/>
      </c>
      <c r="T66" s="257" t="str">
        <f>IF(R66&lt;0,"закрыт","")</f>
        <v/>
      </c>
      <c r="U66" s="1381">
        <f>(J66*100)/P66</f>
        <v>54.285714285714285</v>
      </c>
      <c r="V66" s="1381">
        <v>0.49</v>
      </c>
      <c r="W66" s="1381" t="s">
        <v>3476</v>
      </c>
      <c r="X66" s="929"/>
      <c r="Y66" s="1371">
        <v>47</v>
      </c>
      <c r="Z66" s="1316">
        <v>47</v>
      </c>
      <c r="AA66" s="1298" t="s">
        <v>947</v>
      </c>
      <c r="AB66" s="230">
        <f t="shared" si="9"/>
        <v>10</v>
      </c>
      <c r="AC66" s="1315" t="str">
        <f t="shared" si="25"/>
        <v>+</v>
      </c>
      <c r="AD66" s="1315">
        <f t="shared" si="26"/>
        <v>10</v>
      </c>
      <c r="AE66" s="1315"/>
      <c r="AF66" s="1316"/>
      <c r="AG66" s="1298" t="str">
        <f t="shared" si="10"/>
        <v>10+10</v>
      </c>
      <c r="AH66" s="1304">
        <f>SUM(AH67:AH68)</f>
        <v>0.20374999999999999</v>
      </c>
      <c r="AI66" s="1304">
        <f t="shared" si="5"/>
        <v>5.9037500000000005</v>
      </c>
      <c r="AJ66" s="1304">
        <f t="shared" si="18"/>
        <v>5.65</v>
      </c>
      <c r="AK66" s="1298" t="str">
        <f t="shared" si="11"/>
        <v>1 сутки</v>
      </c>
      <c r="AL66" s="1304">
        <f t="shared" si="27"/>
        <v>0.25375000000000014</v>
      </c>
      <c r="AM66" s="1298">
        <v>0</v>
      </c>
      <c r="AN66" s="893">
        <f t="shared" si="28"/>
        <v>10.5</v>
      </c>
      <c r="AO66" s="1304">
        <f t="shared" si="29"/>
        <v>10.24625</v>
      </c>
      <c r="AP66" s="1308">
        <f>MIN(AO66:AO68)</f>
        <v>4.11625</v>
      </c>
      <c r="AQ66" s="1299" t="str">
        <f t="shared" si="6"/>
        <v/>
      </c>
      <c r="AR66" s="1298" t="str">
        <f>IF(AP66&lt;0,"закрыт","")</f>
        <v/>
      </c>
      <c r="AS66" s="1305">
        <f>(AI66*100)/AN66</f>
        <v>56.226190476190474</v>
      </c>
      <c r="AT66" s="954" t="s">
        <v>754</v>
      </c>
      <c r="AU66" s="1113">
        <v>1984</v>
      </c>
      <c r="AV66" s="1119" t="s">
        <v>3286</v>
      </c>
      <c r="AW66" s="1121">
        <v>58.075610974762903</v>
      </c>
      <c r="AX66" s="1121">
        <v>37.131743667775297</v>
      </c>
    </row>
    <row r="67" spans="1:50" ht="20.100000000000001" customHeight="1" x14ac:dyDescent="0.25">
      <c r="A67" s="1371"/>
      <c r="B67" s="1371"/>
      <c r="C67" s="213" t="s">
        <v>1792</v>
      </c>
      <c r="D67" s="230">
        <v>10</v>
      </c>
      <c r="E67" s="229" t="s">
        <v>785</v>
      </c>
      <c r="F67" s="229">
        <v>10</v>
      </c>
      <c r="G67" s="229"/>
      <c r="H67" s="228"/>
      <c r="I67" s="229" t="str">
        <f t="shared" si="8"/>
        <v>10+10</v>
      </c>
      <c r="J67" s="895">
        <v>0.13</v>
      </c>
      <c r="K67" s="172">
        <v>5.65</v>
      </c>
      <c r="L67" s="213" t="s">
        <v>335</v>
      </c>
      <c r="M67" s="172">
        <f t="shared" si="20"/>
        <v>-5.5200000000000005</v>
      </c>
      <c r="N67" s="172">
        <v>0</v>
      </c>
      <c r="O67" s="893"/>
      <c r="P67" s="893">
        <f t="shared" si="21"/>
        <v>10.5</v>
      </c>
      <c r="Q67" s="172">
        <f t="shared" si="33"/>
        <v>16.02</v>
      </c>
      <c r="R67" s="1379"/>
      <c r="S67" s="1404" t="str">
        <f t="shared" si="2"/>
        <v/>
      </c>
      <c r="T67" s="257" t="str">
        <f>IF(R66&lt;0,"закрыт","")</f>
        <v/>
      </c>
      <c r="U67" s="1404"/>
      <c r="V67" s="1404"/>
      <c r="W67" s="1382"/>
      <c r="X67" s="929"/>
      <c r="Y67" s="1371"/>
      <c r="Z67" s="1316"/>
      <c r="AA67" s="1298" t="s">
        <v>1792</v>
      </c>
      <c r="AB67" s="230">
        <f t="shared" si="9"/>
        <v>10</v>
      </c>
      <c r="AC67" s="1315" t="str">
        <f t="shared" si="25"/>
        <v>+</v>
      </c>
      <c r="AD67" s="1315">
        <f t="shared" si="26"/>
        <v>10</v>
      </c>
      <c r="AE67" s="1315"/>
      <c r="AF67" s="1316"/>
      <c r="AG67" s="1298" t="str">
        <f t="shared" si="10"/>
        <v>10+10</v>
      </c>
      <c r="AH67" s="1304">
        <f>SUM(AH25+AH19)</f>
        <v>0</v>
      </c>
      <c r="AI67" s="1304">
        <f t="shared" si="5"/>
        <v>0.13</v>
      </c>
      <c r="AJ67" s="1304">
        <f t="shared" si="18"/>
        <v>5.65</v>
      </c>
      <c r="AK67" s="1298" t="str">
        <f t="shared" si="11"/>
        <v>1 сутки</v>
      </c>
      <c r="AL67" s="1304">
        <f t="shared" si="27"/>
        <v>-5.5200000000000005</v>
      </c>
      <c r="AM67" s="1298">
        <v>0</v>
      </c>
      <c r="AN67" s="893">
        <f t="shared" si="28"/>
        <v>10.5</v>
      </c>
      <c r="AO67" s="1304">
        <f t="shared" si="29"/>
        <v>16.02</v>
      </c>
      <c r="AP67" s="1309"/>
      <c r="AQ67" s="1300" t="str">
        <f t="shared" si="6"/>
        <v/>
      </c>
      <c r="AR67" s="1298" t="str">
        <f>IF(AP66&lt;0,"закрыт","")</f>
        <v/>
      </c>
      <c r="AS67" s="1306"/>
      <c r="AT67" s="954" t="s">
        <v>754</v>
      </c>
      <c r="AU67" s="1113">
        <v>1984</v>
      </c>
      <c r="AV67" s="1119" t="s">
        <v>3286</v>
      </c>
      <c r="AW67" s="1121">
        <v>58.075610974762903</v>
      </c>
      <c r="AX67" s="1121">
        <v>37.131743667775297</v>
      </c>
    </row>
    <row r="68" spans="1:50" ht="20.100000000000001" customHeight="1" x14ac:dyDescent="0.25">
      <c r="A68" s="1371"/>
      <c r="B68" s="1371"/>
      <c r="C68" s="213" t="s">
        <v>1791</v>
      </c>
      <c r="D68" s="230">
        <v>10</v>
      </c>
      <c r="E68" s="229" t="s">
        <v>785</v>
      </c>
      <c r="F68" s="229">
        <v>10</v>
      </c>
      <c r="G68" s="229"/>
      <c r="H68" s="228"/>
      <c r="I68" s="229" t="str">
        <f t="shared" si="8"/>
        <v>10+10</v>
      </c>
      <c r="J68" s="895">
        <v>6.18</v>
      </c>
      <c r="K68" s="172">
        <v>0</v>
      </c>
      <c r="L68" s="213">
        <v>0</v>
      </c>
      <c r="M68" s="172">
        <f t="shared" si="20"/>
        <v>6.18</v>
      </c>
      <c r="N68" s="172">
        <v>0</v>
      </c>
      <c r="O68" s="893"/>
      <c r="P68" s="893">
        <f t="shared" si="21"/>
        <v>10.5</v>
      </c>
      <c r="Q68" s="172">
        <f t="shared" si="33"/>
        <v>4.32</v>
      </c>
      <c r="R68" s="1379"/>
      <c r="S68" s="1405" t="str">
        <f t="shared" si="2"/>
        <v/>
      </c>
      <c r="T68" s="257" t="str">
        <f>IF(R66&lt;0,"закрыт","")</f>
        <v/>
      </c>
      <c r="U68" s="1405"/>
      <c r="V68" s="1405"/>
      <c r="W68" s="1383"/>
      <c r="X68" s="929"/>
      <c r="Y68" s="1371"/>
      <c r="Z68" s="1316"/>
      <c r="AA68" s="1298" t="s">
        <v>1791</v>
      </c>
      <c r="AB68" s="230">
        <f t="shared" si="9"/>
        <v>10</v>
      </c>
      <c r="AC68" s="1315" t="str">
        <f t="shared" si="25"/>
        <v>+</v>
      </c>
      <c r="AD68" s="1315">
        <f t="shared" si="26"/>
        <v>10</v>
      </c>
      <c r="AE68" s="1315"/>
      <c r="AF68" s="1316"/>
      <c r="AG68" s="1298" t="str">
        <f t="shared" si="10"/>
        <v>10+10</v>
      </c>
      <c r="AH68" s="1304">
        <f>'Зона БЭс'!L143</f>
        <v>0.20374999999999999</v>
      </c>
      <c r="AI68" s="1304">
        <f t="shared" si="5"/>
        <v>6.38375</v>
      </c>
      <c r="AJ68" s="1304">
        <f t="shared" si="18"/>
        <v>0</v>
      </c>
      <c r="AK68" s="1298">
        <f t="shared" si="11"/>
        <v>0</v>
      </c>
      <c r="AL68" s="1304">
        <f t="shared" si="27"/>
        <v>6.38375</v>
      </c>
      <c r="AM68" s="1298">
        <v>0</v>
      </c>
      <c r="AN68" s="893">
        <f t="shared" si="28"/>
        <v>10.5</v>
      </c>
      <c r="AO68" s="1304">
        <f t="shared" si="29"/>
        <v>4.11625</v>
      </c>
      <c r="AP68" s="1310"/>
      <c r="AQ68" s="1301" t="str">
        <f t="shared" si="6"/>
        <v/>
      </c>
      <c r="AR68" s="1298" t="str">
        <f>IF(AP66&lt;0,"закрыт","")</f>
        <v/>
      </c>
      <c r="AS68" s="1307"/>
      <c r="AT68" s="954" t="s">
        <v>754</v>
      </c>
      <c r="AU68" s="1113">
        <v>1984</v>
      </c>
      <c r="AV68" s="1119" t="s">
        <v>3286</v>
      </c>
      <c r="AW68" s="1121">
        <v>58.075610974762903</v>
      </c>
      <c r="AX68" s="1121">
        <v>37.131743667775297</v>
      </c>
    </row>
    <row r="69" spans="1:50" ht="20.100000000000001" customHeight="1" x14ac:dyDescent="0.25">
      <c r="A69" s="1371">
        <v>48</v>
      </c>
      <c r="B69" s="1371">
        <v>48</v>
      </c>
      <c r="C69" s="213" t="s">
        <v>948</v>
      </c>
      <c r="D69" s="230">
        <v>6.3</v>
      </c>
      <c r="E69" s="229" t="s">
        <v>785</v>
      </c>
      <c r="F69" s="229">
        <v>6.3</v>
      </c>
      <c r="G69" s="229"/>
      <c r="H69" s="228"/>
      <c r="I69" s="229" t="str">
        <f t="shared" si="8"/>
        <v>6,3+6,3</v>
      </c>
      <c r="J69" s="895">
        <v>2.97</v>
      </c>
      <c r="K69" s="172">
        <v>5.65</v>
      </c>
      <c r="L69" s="213" t="s">
        <v>335</v>
      </c>
      <c r="M69" s="172">
        <f t="shared" si="20"/>
        <v>-2.68</v>
      </c>
      <c r="N69" s="172">
        <v>0</v>
      </c>
      <c r="O69" s="893"/>
      <c r="P69" s="893">
        <f t="shared" si="21"/>
        <v>6.6150000000000002</v>
      </c>
      <c r="Q69" s="172">
        <f t="shared" si="33"/>
        <v>9.2949999999999999</v>
      </c>
      <c r="R69" s="1379">
        <f>MIN(Q69:Q71)</f>
        <v>6.415</v>
      </c>
      <c r="S69" s="1381" t="str">
        <f t="shared" si="2"/>
        <v/>
      </c>
      <c r="T69" s="257" t="str">
        <f>IF(R69&lt;0,"закрыт","")</f>
        <v/>
      </c>
      <c r="U69" s="1381">
        <f>(J69*100)/P69</f>
        <v>44.897959183673471</v>
      </c>
      <c r="V69" s="1381">
        <v>0.44</v>
      </c>
      <c r="W69" s="1381" t="s">
        <v>3476</v>
      </c>
      <c r="X69" s="929"/>
      <c r="Y69" s="1371">
        <v>48</v>
      </c>
      <c r="Z69" s="1316">
        <v>48</v>
      </c>
      <c r="AA69" s="1298" t="s">
        <v>948</v>
      </c>
      <c r="AB69" s="230">
        <f t="shared" si="9"/>
        <v>6.3</v>
      </c>
      <c r="AC69" s="1315" t="str">
        <f t="shared" si="25"/>
        <v>+</v>
      </c>
      <c r="AD69" s="1315">
        <f t="shared" si="26"/>
        <v>6.3</v>
      </c>
      <c r="AE69" s="1315"/>
      <c r="AF69" s="1316"/>
      <c r="AG69" s="1298" t="str">
        <f t="shared" si="10"/>
        <v>6,3+6,3</v>
      </c>
      <c r="AH69" s="1304">
        <f>SUM(AH70:AH71)</f>
        <v>2.5000000000000005E-2</v>
      </c>
      <c r="AI69" s="1304">
        <f t="shared" si="5"/>
        <v>2.9950000000000001</v>
      </c>
      <c r="AJ69" s="1304">
        <f t="shared" si="18"/>
        <v>5.65</v>
      </c>
      <c r="AK69" s="1298" t="str">
        <f t="shared" si="11"/>
        <v>1 сутки</v>
      </c>
      <c r="AL69" s="1304">
        <f t="shared" si="27"/>
        <v>-2.6550000000000002</v>
      </c>
      <c r="AM69" s="1298">
        <v>0</v>
      </c>
      <c r="AN69" s="893">
        <f t="shared" si="28"/>
        <v>6.6150000000000002</v>
      </c>
      <c r="AO69" s="1304">
        <f t="shared" si="29"/>
        <v>9.27</v>
      </c>
      <c r="AP69" s="1308">
        <f>MIN(AO69:AO71)</f>
        <v>6.415</v>
      </c>
      <c r="AQ69" s="1299" t="str">
        <f t="shared" si="6"/>
        <v/>
      </c>
      <c r="AR69" s="1298" t="str">
        <f>IF(AP69&lt;0,"закрыт","")</f>
        <v/>
      </c>
      <c r="AS69" s="1305">
        <f>(AI69*100)/AN69</f>
        <v>45.275888133030989</v>
      </c>
      <c r="AT69" s="954" t="s">
        <v>754</v>
      </c>
      <c r="AU69" s="1113">
        <v>1960</v>
      </c>
      <c r="AV69" s="1119" t="s">
        <v>3286</v>
      </c>
      <c r="AW69" s="1121">
        <v>58.030151237087701</v>
      </c>
      <c r="AX69" s="1121">
        <v>36.425569565154298</v>
      </c>
    </row>
    <row r="70" spans="1:50" ht="20.100000000000001" customHeight="1" x14ac:dyDescent="0.25">
      <c r="A70" s="1371"/>
      <c r="B70" s="1371"/>
      <c r="C70" s="213" t="s">
        <v>1792</v>
      </c>
      <c r="D70" s="230">
        <v>6.3</v>
      </c>
      <c r="E70" s="229" t="s">
        <v>785</v>
      </c>
      <c r="F70" s="229">
        <v>6.3</v>
      </c>
      <c r="G70" s="229"/>
      <c r="H70" s="228"/>
      <c r="I70" s="229" t="str">
        <f t="shared" si="8"/>
        <v>6,3+6,3</v>
      </c>
      <c r="J70" s="895">
        <v>2.77</v>
      </c>
      <c r="K70" s="172">
        <v>5.65</v>
      </c>
      <c r="L70" s="213" t="s">
        <v>335</v>
      </c>
      <c r="M70" s="172">
        <f t="shared" si="20"/>
        <v>-2.8800000000000003</v>
      </c>
      <c r="N70" s="172">
        <v>0</v>
      </c>
      <c r="O70" s="893"/>
      <c r="P70" s="893">
        <f t="shared" si="21"/>
        <v>6.6150000000000002</v>
      </c>
      <c r="Q70" s="172">
        <f t="shared" si="33"/>
        <v>9.495000000000001</v>
      </c>
      <c r="R70" s="1379"/>
      <c r="S70" s="1404" t="str">
        <f t="shared" si="2"/>
        <v/>
      </c>
      <c r="T70" s="257" t="str">
        <f>IF(R69&lt;0,"закрыт","")</f>
        <v/>
      </c>
      <c r="U70" s="1404"/>
      <c r="V70" s="1404"/>
      <c r="W70" s="1382"/>
      <c r="X70" s="929"/>
      <c r="Y70" s="1371"/>
      <c r="Z70" s="1316"/>
      <c r="AA70" s="1298" t="s">
        <v>1792</v>
      </c>
      <c r="AB70" s="230">
        <f t="shared" si="9"/>
        <v>6.3</v>
      </c>
      <c r="AC70" s="1315" t="str">
        <f t="shared" si="25"/>
        <v>+</v>
      </c>
      <c r="AD70" s="1315">
        <f t="shared" si="26"/>
        <v>6.3</v>
      </c>
      <c r="AE70" s="1315"/>
      <c r="AF70" s="1316"/>
      <c r="AG70" s="1298" t="str">
        <f t="shared" si="10"/>
        <v>6,3+6,3</v>
      </c>
      <c r="AH70" s="1304">
        <f>SUM(AH14+AH54+AH55+AH51)</f>
        <v>2.5000000000000005E-2</v>
      </c>
      <c r="AI70" s="1304">
        <f t="shared" si="5"/>
        <v>2.7949999999999999</v>
      </c>
      <c r="AJ70" s="1304">
        <f t="shared" si="18"/>
        <v>5.65</v>
      </c>
      <c r="AK70" s="1298" t="str">
        <f t="shared" si="11"/>
        <v>1 сутки</v>
      </c>
      <c r="AL70" s="1304">
        <f t="shared" si="27"/>
        <v>-2.8550000000000004</v>
      </c>
      <c r="AM70" s="1298">
        <v>0</v>
      </c>
      <c r="AN70" s="893">
        <f t="shared" si="28"/>
        <v>6.6150000000000002</v>
      </c>
      <c r="AO70" s="1304">
        <f t="shared" si="29"/>
        <v>9.4700000000000006</v>
      </c>
      <c r="AP70" s="1309"/>
      <c r="AQ70" s="1300" t="str">
        <f t="shared" si="6"/>
        <v/>
      </c>
      <c r="AR70" s="1298" t="str">
        <f>IF(AP69&lt;0,"закрыт","")</f>
        <v/>
      </c>
      <c r="AS70" s="1306"/>
      <c r="AT70" s="954" t="s">
        <v>754</v>
      </c>
      <c r="AU70" s="1113">
        <v>1960</v>
      </c>
      <c r="AV70" s="1119" t="s">
        <v>3286</v>
      </c>
      <c r="AW70" s="1121">
        <v>58.030151237087701</v>
      </c>
      <c r="AX70" s="1121">
        <v>36.425569565154298</v>
      </c>
    </row>
    <row r="71" spans="1:50" ht="20.100000000000001" customHeight="1" x14ac:dyDescent="0.25">
      <c r="A71" s="1371"/>
      <c r="B71" s="1371"/>
      <c r="C71" s="213" t="s">
        <v>1791</v>
      </c>
      <c r="D71" s="230">
        <v>6.3</v>
      </c>
      <c r="E71" s="229" t="s">
        <v>785</v>
      </c>
      <c r="F71" s="229">
        <v>6.3</v>
      </c>
      <c r="G71" s="229"/>
      <c r="H71" s="228"/>
      <c r="I71" s="229" t="str">
        <f t="shared" si="8"/>
        <v>6,3+6,3</v>
      </c>
      <c r="J71" s="895">
        <v>0.2</v>
      </c>
      <c r="K71" s="172">
        <v>0</v>
      </c>
      <c r="L71" s="213">
        <v>0</v>
      </c>
      <c r="M71" s="172">
        <f t="shared" si="20"/>
        <v>0.2</v>
      </c>
      <c r="N71" s="172">
        <v>0</v>
      </c>
      <c r="O71" s="893"/>
      <c r="P71" s="893">
        <f t="shared" si="21"/>
        <v>6.6150000000000002</v>
      </c>
      <c r="Q71" s="172">
        <f t="shared" si="33"/>
        <v>6.415</v>
      </c>
      <c r="R71" s="1379"/>
      <c r="S71" s="1405" t="str">
        <f t="shared" si="2"/>
        <v/>
      </c>
      <c r="T71" s="257" t="str">
        <f>IF(R69&lt;0,"закрыт","")</f>
        <v/>
      </c>
      <c r="U71" s="1405"/>
      <c r="V71" s="1405"/>
      <c r="W71" s="1383"/>
      <c r="X71" s="929"/>
      <c r="Y71" s="1371"/>
      <c r="Z71" s="1316"/>
      <c r="AA71" s="1298" t="s">
        <v>1791</v>
      </c>
      <c r="AB71" s="230">
        <f t="shared" si="9"/>
        <v>6.3</v>
      </c>
      <c r="AC71" s="1315" t="str">
        <f t="shared" si="25"/>
        <v>+</v>
      </c>
      <c r="AD71" s="1315">
        <f t="shared" si="26"/>
        <v>6.3</v>
      </c>
      <c r="AE71" s="1315"/>
      <c r="AF71" s="1316"/>
      <c r="AG71" s="1298" t="str">
        <f t="shared" si="10"/>
        <v>6,3+6,3</v>
      </c>
      <c r="AH71" s="1304">
        <f>'Зона БЭс'!L145</f>
        <v>0</v>
      </c>
      <c r="AI71" s="1304">
        <f t="shared" si="5"/>
        <v>0.2</v>
      </c>
      <c r="AJ71" s="1304">
        <f t="shared" si="18"/>
        <v>0</v>
      </c>
      <c r="AK71" s="1298">
        <f t="shared" si="11"/>
        <v>0</v>
      </c>
      <c r="AL71" s="1304">
        <f t="shared" si="27"/>
        <v>0.2</v>
      </c>
      <c r="AM71" s="1298">
        <v>0</v>
      </c>
      <c r="AN71" s="893">
        <f t="shared" si="28"/>
        <v>6.6150000000000002</v>
      </c>
      <c r="AO71" s="1304">
        <f t="shared" si="29"/>
        <v>6.415</v>
      </c>
      <c r="AP71" s="1310"/>
      <c r="AQ71" s="1301" t="str">
        <f t="shared" si="6"/>
        <v/>
      </c>
      <c r="AR71" s="1298" t="str">
        <f>IF(AP69&lt;0,"закрыт","")</f>
        <v/>
      </c>
      <c r="AS71" s="1307"/>
      <c r="AT71" s="954" t="s">
        <v>754</v>
      </c>
      <c r="AU71" s="1113">
        <v>1960</v>
      </c>
      <c r="AV71" s="1119" t="s">
        <v>3286</v>
      </c>
      <c r="AW71" s="1121">
        <v>58.030151237087701</v>
      </c>
      <c r="AX71" s="1121">
        <v>36.425569565154298</v>
      </c>
    </row>
    <row r="72" spans="1:50" ht="20.100000000000001" customHeight="1" x14ac:dyDescent="0.25">
      <c r="A72" s="1371">
        <v>49</v>
      </c>
      <c r="B72" s="1371">
        <v>49</v>
      </c>
      <c r="C72" s="213" t="s">
        <v>949</v>
      </c>
      <c r="D72" s="230">
        <v>10</v>
      </c>
      <c r="E72" s="229" t="s">
        <v>785</v>
      </c>
      <c r="F72" s="229">
        <v>10</v>
      </c>
      <c r="G72" s="229"/>
      <c r="H72" s="228"/>
      <c r="I72" s="229" t="str">
        <f t="shared" si="8"/>
        <v>10+10</v>
      </c>
      <c r="J72" s="895">
        <v>6.6</v>
      </c>
      <c r="K72" s="172">
        <v>3.82</v>
      </c>
      <c r="L72" s="213" t="s">
        <v>335</v>
      </c>
      <c r="M72" s="172">
        <f t="shared" si="20"/>
        <v>2.78</v>
      </c>
      <c r="N72" s="172">
        <v>0</v>
      </c>
      <c r="O72" s="893"/>
      <c r="P72" s="893">
        <f t="shared" si="21"/>
        <v>10.5</v>
      </c>
      <c r="Q72" s="172">
        <f t="shared" si="33"/>
        <v>7.7200000000000006</v>
      </c>
      <c r="R72" s="1379">
        <f>MIN(Q72:Q74)</f>
        <v>7.7200000000000006</v>
      </c>
      <c r="S72" s="1381" t="str">
        <f t="shared" ref="S72:S135" si="34">T72</f>
        <v/>
      </c>
      <c r="T72" s="257" t="str">
        <f>IF(R72&lt;0,"закрыт","")</f>
        <v/>
      </c>
      <c r="U72" s="1381">
        <f>(J72*100)/P72</f>
        <v>62.857142857142854</v>
      </c>
      <c r="V72" s="1381">
        <v>0.57999999999999996</v>
      </c>
      <c r="W72" s="1381" t="s">
        <v>3476</v>
      </c>
      <c r="X72" s="929"/>
      <c r="Y72" s="1371">
        <v>49</v>
      </c>
      <c r="Z72" s="1316">
        <v>49</v>
      </c>
      <c r="AA72" s="1298" t="s">
        <v>949</v>
      </c>
      <c r="AB72" s="230">
        <f t="shared" si="9"/>
        <v>10</v>
      </c>
      <c r="AC72" s="1315" t="str">
        <f t="shared" si="25"/>
        <v>+</v>
      </c>
      <c r="AD72" s="1315">
        <f t="shared" si="26"/>
        <v>10</v>
      </c>
      <c r="AE72" s="1315"/>
      <c r="AF72" s="1316"/>
      <c r="AG72" s="1298" t="str">
        <f t="shared" si="10"/>
        <v>10+10</v>
      </c>
      <c r="AH72" s="1304">
        <f>SUM(AH73:AH74)</f>
        <v>3.7499999999999999E-2</v>
      </c>
      <c r="AI72" s="1304">
        <f t="shared" ref="AI72:AI135" si="35">AH72+J72</f>
        <v>6.6374999999999993</v>
      </c>
      <c r="AJ72" s="1304">
        <f t="shared" si="18"/>
        <v>3.82</v>
      </c>
      <c r="AK72" s="1298" t="str">
        <f t="shared" si="11"/>
        <v>1 сутки</v>
      </c>
      <c r="AL72" s="1304">
        <f t="shared" si="27"/>
        <v>2.8174999999999994</v>
      </c>
      <c r="AM72" s="1298">
        <v>0</v>
      </c>
      <c r="AN72" s="893">
        <f t="shared" si="28"/>
        <v>10.5</v>
      </c>
      <c r="AO72" s="1304">
        <f t="shared" si="29"/>
        <v>7.682500000000001</v>
      </c>
      <c r="AP72" s="1308">
        <f>MIN(AO72:AO74)</f>
        <v>7.682500000000001</v>
      </c>
      <c r="AQ72" s="1299" t="str">
        <f t="shared" ref="AQ72:AQ134" si="36">AR72</f>
        <v/>
      </c>
      <c r="AR72" s="1298" t="str">
        <f>IF(AP72&lt;0,"закрыт","")</f>
        <v/>
      </c>
      <c r="AS72" s="1305">
        <f>(AI72*100)/AN72</f>
        <v>63.214285714285701</v>
      </c>
      <c r="AT72" s="954" t="s">
        <v>754</v>
      </c>
      <c r="AU72" s="1113">
        <v>1964</v>
      </c>
      <c r="AV72" s="1119" t="s">
        <v>3286</v>
      </c>
      <c r="AW72" s="1121">
        <v>58.448470562256297</v>
      </c>
      <c r="AX72" s="1121">
        <v>36.413952207882701</v>
      </c>
    </row>
    <row r="73" spans="1:50" ht="20.100000000000001" customHeight="1" x14ac:dyDescent="0.25">
      <c r="A73" s="1371"/>
      <c r="B73" s="1371"/>
      <c r="C73" s="213" t="s">
        <v>1792</v>
      </c>
      <c r="D73" s="230">
        <v>10</v>
      </c>
      <c r="E73" s="229" t="s">
        <v>785</v>
      </c>
      <c r="F73" s="229">
        <v>10</v>
      </c>
      <c r="G73" s="229"/>
      <c r="H73" s="228"/>
      <c r="I73" s="229" t="str">
        <f t="shared" ref="I73:I136" si="37">CONCATENATE(D73,E73,F73,G73,H73)</f>
        <v>10+10</v>
      </c>
      <c r="J73" s="895">
        <v>3.96</v>
      </c>
      <c r="K73" s="172">
        <v>2.7</v>
      </c>
      <c r="L73" s="213" t="s">
        <v>335</v>
      </c>
      <c r="M73" s="172">
        <f t="shared" si="20"/>
        <v>1.2599999999999998</v>
      </c>
      <c r="N73" s="172">
        <v>0</v>
      </c>
      <c r="O73" s="893"/>
      <c r="P73" s="893">
        <f t="shared" si="21"/>
        <v>10.5</v>
      </c>
      <c r="Q73" s="172">
        <f t="shared" si="33"/>
        <v>9.24</v>
      </c>
      <c r="R73" s="1379"/>
      <c r="S73" s="1404" t="str">
        <f t="shared" si="34"/>
        <v/>
      </c>
      <c r="T73" s="257" t="str">
        <f>IF(R72&lt;0,"закрыт","")</f>
        <v/>
      </c>
      <c r="U73" s="1404"/>
      <c r="V73" s="1404"/>
      <c r="W73" s="1382"/>
      <c r="X73" s="929"/>
      <c r="Y73" s="1371"/>
      <c r="Z73" s="1316"/>
      <c r="AA73" s="1298" t="s">
        <v>1792</v>
      </c>
      <c r="AB73" s="230">
        <f t="shared" ref="AB73:AB136" si="38">D73</f>
        <v>10</v>
      </c>
      <c r="AC73" s="1315" t="str">
        <f t="shared" ref="AC73:AC136" si="39">E73</f>
        <v>+</v>
      </c>
      <c r="AD73" s="1315">
        <f t="shared" ref="AD73:AD136" si="40">F73</f>
        <v>10</v>
      </c>
      <c r="AE73" s="1315"/>
      <c r="AF73" s="1316"/>
      <c r="AG73" s="1298" t="str">
        <f t="shared" ref="AG73:AG136" si="41">CONCATENATE(AB73,AC73,AD73,AE73,AF73)</f>
        <v>10+10</v>
      </c>
      <c r="AH73" s="1304">
        <f>SUM(AH18+AH27+AH21)</f>
        <v>3.7499999999999999E-2</v>
      </c>
      <c r="AI73" s="1304">
        <f t="shared" si="35"/>
        <v>3.9975000000000001</v>
      </c>
      <c r="AJ73" s="1304">
        <f t="shared" ref="AJ73:AJ136" si="42">K73</f>
        <v>2.7</v>
      </c>
      <c r="AK73" s="1298" t="str">
        <f t="shared" ref="AK73:AK136" si="43">L73</f>
        <v>1 сутки</v>
      </c>
      <c r="AL73" s="1304">
        <f t="shared" si="27"/>
        <v>1.2974999999999999</v>
      </c>
      <c r="AM73" s="1298">
        <v>0</v>
      </c>
      <c r="AN73" s="893">
        <f t="shared" si="28"/>
        <v>10.5</v>
      </c>
      <c r="AO73" s="1304">
        <f t="shared" si="29"/>
        <v>9.2025000000000006</v>
      </c>
      <c r="AP73" s="1309"/>
      <c r="AQ73" s="1300" t="str">
        <f t="shared" si="36"/>
        <v/>
      </c>
      <c r="AR73" s="1298" t="str">
        <f>IF(AP72&lt;0,"закрыт","")</f>
        <v/>
      </c>
      <c r="AS73" s="1306"/>
      <c r="AT73" s="954" t="s">
        <v>754</v>
      </c>
      <c r="AU73" s="1113">
        <v>1964</v>
      </c>
      <c r="AV73" s="1119" t="s">
        <v>3286</v>
      </c>
      <c r="AW73" s="1121">
        <v>58.448470562256297</v>
      </c>
      <c r="AX73" s="1121">
        <v>36.413952207882701</v>
      </c>
    </row>
    <row r="74" spans="1:50" ht="20.100000000000001" customHeight="1" x14ac:dyDescent="0.25">
      <c r="A74" s="1371"/>
      <c r="B74" s="1371"/>
      <c r="C74" s="213" t="s">
        <v>1791</v>
      </c>
      <c r="D74" s="230">
        <v>10</v>
      </c>
      <c r="E74" s="229" t="s">
        <v>785</v>
      </c>
      <c r="F74" s="229">
        <v>10</v>
      </c>
      <c r="G74" s="229"/>
      <c r="H74" s="228"/>
      <c r="I74" s="229" t="str">
        <f t="shared" si="37"/>
        <v>10+10</v>
      </c>
      <c r="J74" s="895">
        <v>2.64</v>
      </c>
      <c r="K74" s="172">
        <v>1.1200000000000001</v>
      </c>
      <c r="L74" s="213" t="s">
        <v>335</v>
      </c>
      <c r="M74" s="172">
        <f t="shared" si="20"/>
        <v>1.52</v>
      </c>
      <c r="N74" s="172">
        <v>0</v>
      </c>
      <c r="O74" s="893"/>
      <c r="P74" s="893">
        <f t="shared" si="21"/>
        <v>10.5</v>
      </c>
      <c r="Q74" s="172">
        <f t="shared" si="33"/>
        <v>8.98</v>
      </c>
      <c r="R74" s="1379"/>
      <c r="S74" s="1405" t="str">
        <f t="shared" si="34"/>
        <v/>
      </c>
      <c r="T74" s="257" t="str">
        <f>IF(R72&lt;0,"закрыт","")</f>
        <v/>
      </c>
      <c r="U74" s="1405"/>
      <c r="V74" s="1405"/>
      <c r="W74" s="1383"/>
      <c r="X74" s="929"/>
      <c r="Y74" s="1371"/>
      <c r="Z74" s="1316"/>
      <c r="AA74" s="1298" t="s">
        <v>1791</v>
      </c>
      <c r="AB74" s="230">
        <f t="shared" si="38"/>
        <v>10</v>
      </c>
      <c r="AC74" s="1315" t="str">
        <f t="shared" si="39"/>
        <v>+</v>
      </c>
      <c r="AD74" s="1315">
        <f t="shared" si="40"/>
        <v>10</v>
      </c>
      <c r="AE74" s="1315"/>
      <c r="AF74" s="1316"/>
      <c r="AG74" s="1298" t="str">
        <f t="shared" si="41"/>
        <v>10+10</v>
      </c>
      <c r="AH74" s="1304">
        <f>'Зона БЭс'!L147</f>
        <v>0</v>
      </c>
      <c r="AI74" s="1304">
        <f t="shared" si="35"/>
        <v>2.64</v>
      </c>
      <c r="AJ74" s="1304">
        <f t="shared" si="42"/>
        <v>1.1200000000000001</v>
      </c>
      <c r="AK74" s="1298" t="str">
        <f t="shared" si="43"/>
        <v>1 сутки</v>
      </c>
      <c r="AL74" s="1304">
        <f t="shared" si="27"/>
        <v>1.52</v>
      </c>
      <c r="AM74" s="1298">
        <v>0</v>
      </c>
      <c r="AN74" s="893">
        <f t="shared" si="28"/>
        <v>10.5</v>
      </c>
      <c r="AO74" s="1304">
        <f t="shared" si="29"/>
        <v>8.98</v>
      </c>
      <c r="AP74" s="1310"/>
      <c r="AQ74" s="1301" t="str">
        <f t="shared" si="36"/>
        <v/>
      </c>
      <c r="AR74" s="1298" t="str">
        <f>IF(AP72&lt;0,"закрыт","")</f>
        <v/>
      </c>
      <c r="AS74" s="1307"/>
      <c r="AT74" s="954" t="s">
        <v>754</v>
      </c>
      <c r="AU74" s="1113">
        <v>1964</v>
      </c>
      <c r="AV74" s="1119" t="s">
        <v>3286</v>
      </c>
      <c r="AW74" s="1121">
        <v>58.448470562256297</v>
      </c>
      <c r="AX74" s="1121">
        <v>36.413952207882701</v>
      </c>
    </row>
    <row r="75" spans="1:50" ht="20.100000000000001" customHeight="1" x14ac:dyDescent="0.25">
      <c r="A75" s="1371">
        <v>50</v>
      </c>
      <c r="B75" s="1371">
        <v>50</v>
      </c>
      <c r="C75" s="213" t="s">
        <v>950</v>
      </c>
      <c r="D75" s="230">
        <v>25</v>
      </c>
      <c r="E75" s="229" t="s">
        <v>785</v>
      </c>
      <c r="F75" s="229">
        <v>25</v>
      </c>
      <c r="G75" s="229"/>
      <c r="H75" s="228"/>
      <c r="I75" s="229" t="str">
        <f t="shared" si="37"/>
        <v>25+25</v>
      </c>
      <c r="J75" s="895">
        <v>15.09</v>
      </c>
      <c r="K75" s="172">
        <v>4.5</v>
      </c>
      <c r="L75" s="213" t="s">
        <v>335</v>
      </c>
      <c r="M75" s="172">
        <f t="shared" si="20"/>
        <v>10.59</v>
      </c>
      <c r="N75" s="172">
        <v>0</v>
      </c>
      <c r="O75" s="893"/>
      <c r="P75" s="893">
        <f t="shared" si="21"/>
        <v>26.25</v>
      </c>
      <c r="Q75" s="172">
        <f t="shared" si="33"/>
        <v>15.66</v>
      </c>
      <c r="R75" s="1379">
        <f>MIN(Q75:Q77)</f>
        <v>15.66</v>
      </c>
      <c r="S75" s="1381" t="str">
        <f>T75</f>
        <v/>
      </c>
      <c r="T75" s="257" t="str">
        <f>IF(R75&lt;0,"закрыт","")</f>
        <v/>
      </c>
      <c r="U75" s="1381">
        <f>(J75*100)/P75</f>
        <v>57.485714285714288</v>
      </c>
      <c r="V75" s="1381">
        <v>0.44</v>
      </c>
      <c r="W75" s="1381" t="s">
        <v>3476</v>
      </c>
      <c r="X75" s="929"/>
      <c r="Y75" s="1371">
        <v>50</v>
      </c>
      <c r="Z75" s="1316">
        <v>50</v>
      </c>
      <c r="AA75" s="1298" t="s">
        <v>950</v>
      </c>
      <c r="AB75" s="230">
        <f t="shared" si="38"/>
        <v>25</v>
      </c>
      <c r="AC75" s="1315" t="str">
        <f t="shared" si="39"/>
        <v>+</v>
      </c>
      <c r="AD75" s="1315">
        <f t="shared" si="40"/>
        <v>25</v>
      </c>
      <c r="AE75" s="1315"/>
      <c r="AF75" s="1316"/>
      <c r="AG75" s="1298" t="str">
        <f t="shared" si="41"/>
        <v>25+25</v>
      </c>
      <c r="AH75" s="1304">
        <f>SUM(AH76:AH77)</f>
        <v>0</v>
      </c>
      <c r="AI75" s="1304">
        <f t="shared" si="35"/>
        <v>15.09</v>
      </c>
      <c r="AJ75" s="1304">
        <f t="shared" si="42"/>
        <v>4.5</v>
      </c>
      <c r="AK75" s="1298" t="str">
        <f t="shared" si="43"/>
        <v>1 сутки</v>
      </c>
      <c r="AL75" s="1304">
        <f t="shared" si="27"/>
        <v>10.59</v>
      </c>
      <c r="AM75" s="1298">
        <v>0</v>
      </c>
      <c r="AN75" s="893">
        <f t="shared" si="28"/>
        <v>26.25</v>
      </c>
      <c r="AO75" s="1304">
        <f t="shared" si="29"/>
        <v>15.66</v>
      </c>
      <c r="AP75" s="1308">
        <f>MIN(AO75:AO77)</f>
        <v>15.66</v>
      </c>
      <c r="AQ75" s="1299" t="str">
        <f t="shared" si="36"/>
        <v/>
      </c>
      <c r="AR75" s="1298" t="str">
        <f>IF(AP75&lt;0,"закрыт","")</f>
        <v/>
      </c>
      <c r="AS75" s="1305">
        <f>(AI75*100)/AN75</f>
        <v>57.485714285714288</v>
      </c>
      <c r="AT75" s="954" t="s">
        <v>754</v>
      </c>
      <c r="AU75" s="1113">
        <v>1960</v>
      </c>
      <c r="AV75" s="1119" t="s">
        <v>3286</v>
      </c>
      <c r="AW75" s="1121">
        <v>57.810277826926203</v>
      </c>
      <c r="AX75" s="1121">
        <v>36.710883336967399</v>
      </c>
    </row>
    <row r="76" spans="1:50" ht="20.100000000000001" customHeight="1" x14ac:dyDescent="0.25">
      <c r="A76" s="1371"/>
      <c r="B76" s="1371"/>
      <c r="C76" s="213" t="s">
        <v>1792</v>
      </c>
      <c r="D76" s="230">
        <v>25</v>
      </c>
      <c r="E76" s="229" t="s">
        <v>785</v>
      </c>
      <c r="F76" s="229">
        <v>25</v>
      </c>
      <c r="G76" s="229"/>
      <c r="H76" s="228"/>
      <c r="I76" s="229" t="str">
        <f t="shared" si="37"/>
        <v>25+25</v>
      </c>
      <c r="J76" s="895">
        <v>6.41</v>
      </c>
      <c r="K76" s="172">
        <v>4.5</v>
      </c>
      <c r="L76" s="213" t="s">
        <v>335</v>
      </c>
      <c r="M76" s="172">
        <f t="shared" si="20"/>
        <v>1.9100000000000001</v>
      </c>
      <c r="N76" s="172">
        <v>0</v>
      </c>
      <c r="O76" s="893"/>
      <c r="P76" s="893">
        <f t="shared" si="21"/>
        <v>26.25</v>
      </c>
      <c r="Q76" s="172">
        <f t="shared" si="33"/>
        <v>24.34</v>
      </c>
      <c r="R76" s="1379"/>
      <c r="S76" s="1404" t="str">
        <f t="shared" si="34"/>
        <v/>
      </c>
      <c r="T76" s="257" t="str">
        <f>IF(R75&lt;0,"закрыт","")</f>
        <v/>
      </c>
      <c r="U76" s="1404"/>
      <c r="V76" s="1404"/>
      <c r="W76" s="1382"/>
      <c r="X76" s="929"/>
      <c r="Y76" s="1371"/>
      <c r="Z76" s="1316"/>
      <c r="AA76" s="1298" t="s">
        <v>1792</v>
      </c>
      <c r="AB76" s="230">
        <f t="shared" si="38"/>
        <v>25</v>
      </c>
      <c r="AC76" s="1315" t="str">
        <f t="shared" si="39"/>
        <v>+</v>
      </c>
      <c r="AD76" s="1315">
        <f t="shared" si="40"/>
        <v>25</v>
      </c>
      <c r="AE76" s="1315"/>
      <c r="AF76" s="1316"/>
      <c r="AG76" s="1298" t="str">
        <f>CONCATENATE(AB76,AC76,AD76,AE76,AF76)</f>
        <v>25+25</v>
      </c>
      <c r="AH76" s="1304">
        <f>AH26+AH28+AH16+AH24+AH31+AH58+AH11</f>
        <v>0</v>
      </c>
      <c r="AI76" s="1304">
        <f t="shared" si="35"/>
        <v>6.41</v>
      </c>
      <c r="AJ76" s="1304">
        <f t="shared" si="42"/>
        <v>4.5</v>
      </c>
      <c r="AK76" s="1298" t="str">
        <f t="shared" si="43"/>
        <v>1 сутки</v>
      </c>
      <c r="AL76" s="1304">
        <f t="shared" si="27"/>
        <v>1.9100000000000001</v>
      </c>
      <c r="AM76" s="1298">
        <v>0</v>
      </c>
      <c r="AN76" s="893">
        <f t="shared" si="28"/>
        <v>26.25</v>
      </c>
      <c r="AO76" s="1304">
        <f t="shared" si="29"/>
        <v>24.34</v>
      </c>
      <c r="AP76" s="1309"/>
      <c r="AQ76" s="1300" t="str">
        <f t="shared" si="36"/>
        <v/>
      </c>
      <c r="AR76" s="1298" t="str">
        <f>IF(AP75&lt;0,"закрыт","")</f>
        <v/>
      </c>
      <c r="AS76" s="1306"/>
      <c r="AT76" s="954" t="s">
        <v>754</v>
      </c>
      <c r="AU76" s="1113">
        <v>1960</v>
      </c>
      <c r="AV76" s="1119" t="s">
        <v>3286</v>
      </c>
      <c r="AW76" s="1121">
        <v>57.810277826926203</v>
      </c>
      <c r="AX76" s="1121">
        <v>36.710883336967399</v>
      </c>
    </row>
    <row r="77" spans="1:50" ht="20.100000000000001" customHeight="1" x14ac:dyDescent="0.25">
      <c r="A77" s="1371"/>
      <c r="B77" s="1371"/>
      <c r="C77" s="213" t="s">
        <v>1791</v>
      </c>
      <c r="D77" s="230">
        <v>25</v>
      </c>
      <c r="E77" s="229" t="s">
        <v>785</v>
      </c>
      <c r="F77" s="229">
        <v>25</v>
      </c>
      <c r="G77" s="229"/>
      <c r="H77" s="228"/>
      <c r="I77" s="229" t="str">
        <f t="shared" si="37"/>
        <v>25+25</v>
      </c>
      <c r="J77" s="895">
        <v>8.68</v>
      </c>
      <c r="K77" s="172">
        <v>0</v>
      </c>
      <c r="L77" s="213">
        <v>0</v>
      </c>
      <c r="M77" s="172">
        <f t="shared" si="20"/>
        <v>8.68</v>
      </c>
      <c r="N77" s="172">
        <v>0</v>
      </c>
      <c r="O77" s="893"/>
      <c r="P77" s="893">
        <f t="shared" si="21"/>
        <v>26.25</v>
      </c>
      <c r="Q77" s="172">
        <f t="shared" si="33"/>
        <v>17.57</v>
      </c>
      <c r="R77" s="1379"/>
      <c r="S77" s="1405" t="str">
        <f t="shared" si="34"/>
        <v/>
      </c>
      <c r="T77" s="257" t="str">
        <f>IF(R75&lt;0,"закрыт","")</f>
        <v/>
      </c>
      <c r="U77" s="1405"/>
      <c r="V77" s="1405"/>
      <c r="W77" s="1383"/>
      <c r="X77" s="929"/>
      <c r="Y77" s="1371"/>
      <c r="Z77" s="1316"/>
      <c r="AA77" s="1298" t="s">
        <v>1791</v>
      </c>
      <c r="AB77" s="230">
        <f t="shared" si="38"/>
        <v>25</v>
      </c>
      <c r="AC77" s="1315" t="str">
        <f t="shared" si="39"/>
        <v>+</v>
      </c>
      <c r="AD77" s="1315">
        <f t="shared" si="40"/>
        <v>25</v>
      </c>
      <c r="AE77" s="1315"/>
      <c r="AF77" s="1316"/>
      <c r="AG77" s="1298" t="str">
        <f t="shared" si="41"/>
        <v>25+25</v>
      </c>
      <c r="AH77" s="1304">
        <f>'Зона БЭс'!L150</f>
        <v>0</v>
      </c>
      <c r="AI77" s="1304">
        <f t="shared" si="35"/>
        <v>8.68</v>
      </c>
      <c r="AJ77" s="1304">
        <f t="shared" si="42"/>
        <v>0</v>
      </c>
      <c r="AK77" s="1298">
        <f t="shared" si="43"/>
        <v>0</v>
      </c>
      <c r="AL77" s="1304">
        <f t="shared" si="27"/>
        <v>8.68</v>
      </c>
      <c r="AM77" s="1298">
        <v>0</v>
      </c>
      <c r="AN77" s="893">
        <f t="shared" si="28"/>
        <v>26.25</v>
      </c>
      <c r="AO77" s="1304">
        <f t="shared" si="29"/>
        <v>17.57</v>
      </c>
      <c r="AP77" s="1310"/>
      <c r="AQ77" s="1301" t="str">
        <f t="shared" si="36"/>
        <v/>
      </c>
      <c r="AR77" s="1298" t="str">
        <f>IF(AP75&lt;0,"закрыт","")</f>
        <v/>
      </c>
      <c r="AS77" s="1307"/>
      <c r="AT77" s="954" t="s">
        <v>754</v>
      </c>
      <c r="AU77" s="1113">
        <v>1960</v>
      </c>
      <c r="AV77" s="1119" t="s">
        <v>3286</v>
      </c>
      <c r="AW77" s="1121">
        <v>57.810277826926203</v>
      </c>
      <c r="AX77" s="1121">
        <v>36.710883336967399</v>
      </c>
    </row>
    <row r="78" spans="1:50" ht="18" customHeight="1" x14ac:dyDescent="0.25">
      <c r="A78" s="213">
        <v>51</v>
      </c>
      <c r="B78" s="213">
        <v>1</v>
      </c>
      <c r="C78" s="213" t="s">
        <v>951</v>
      </c>
      <c r="D78" s="230">
        <v>4</v>
      </c>
      <c r="E78" s="229"/>
      <c r="F78" s="229"/>
      <c r="G78" s="229"/>
      <c r="H78" s="228"/>
      <c r="I78" s="229" t="str">
        <f t="shared" si="37"/>
        <v>4</v>
      </c>
      <c r="J78" s="895">
        <v>0.23</v>
      </c>
      <c r="K78" s="172">
        <v>0.01</v>
      </c>
      <c r="L78" s="213" t="s">
        <v>335</v>
      </c>
      <c r="M78" s="172">
        <f>K78</f>
        <v>0.01</v>
      </c>
      <c r="N78" s="172">
        <v>0</v>
      </c>
      <c r="O78" s="893"/>
      <c r="P78" s="893">
        <f t="shared" ref="P78:P87" si="44">M78-N78</f>
        <v>0.01</v>
      </c>
      <c r="Q78" s="172">
        <f t="shared" ref="Q78:Q87" si="45">P78-J78</f>
        <v>-0.22</v>
      </c>
      <c r="R78" s="172">
        <f>Q78</f>
        <v>-0.22</v>
      </c>
      <c r="S78" s="213" t="str">
        <f t="shared" si="34"/>
        <v>закрыт</v>
      </c>
      <c r="T78" s="257" t="str">
        <f t="shared" ref="T78:T109" si="46">IF(R78&lt;0,"закрыт","")</f>
        <v>закрыт</v>
      </c>
      <c r="U78" s="768">
        <f t="shared" ref="U78:U87" si="47">(J78*100)/(I78*1.05)</f>
        <v>5.4761904761904763</v>
      </c>
      <c r="V78" s="768">
        <v>0.49</v>
      </c>
      <c r="W78" s="768" t="s">
        <v>3088</v>
      </c>
      <c r="X78" s="929"/>
      <c r="Y78" s="213">
        <v>51</v>
      </c>
      <c r="Z78" s="1316">
        <v>1</v>
      </c>
      <c r="AA78" s="1298" t="s">
        <v>951</v>
      </c>
      <c r="AB78" s="230">
        <f t="shared" si="38"/>
        <v>4</v>
      </c>
      <c r="AC78" s="1315"/>
      <c r="AD78" s="1315"/>
      <c r="AE78" s="1315"/>
      <c r="AF78" s="1316"/>
      <c r="AG78" s="1298" t="str">
        <f t="shared" si="41"/>
        <v>4</v>
      </c>
      <c r="AH78" s="1304">
        <f>'Зона ВЭс'!L8</f>
        <v>0</v>
      </c>
      <c r="AI78" s="1304">
        <f t="shared" si="35"/>
        <v>0.23</v>
      </c>
      <c r="AJ78" s="1304">
        <f t="shared" si="42"/>
        <v>0.01</v>
      </c>
      <c r="AK78" s="1298" t="str">
        <f t="shared" si="43"/>
        <v>1 сутки</v>
      </c>
      <c r="AL78" s="1304">
        <f t="shared" ref="AL78:AL87" si="48">AJ78</f>
        <v>0.01</v>
      </c>
      <c r="AM78" s="1298">
        <v>0</v>
      </c>
      <c r="AN78" s="893">
        <f t="shared" ref="AN78:AN87" si="49">AL78-AM78</f>
        <v>0.01</v>
      </c>
      <c r="AO78" s="1304">
        <f t="shared" ref="AO78:AO87" si="50">AN78-AI78</f>
        <v>-0.22</v>
      </c>
      <c r="AP78" s="1304">
        <f>AO78</f>
        <v>-0.22</v>
      </c>
      <c r="AQ78" s="1339" t="str">
        <f>AR78</f>
        <v>закрыт</v>
      </c>
      <c r="AR78" s="1298" t="str">
        <f t="shared" ref="AR78:AR109" si="51">IF(AP78&lt;0,"закрыт","")</f>
        <v>закрыт</v>
      </c>
      <c r="AS78" s="952">
        <f>(AI78*100)/(AG78*1.05)</f>
        <v>5.4761904761904763</v>
      </c>
      <c r="AT78" s="954" t="s">
        <v>755</v>
      </c>
      <c r="AU78" s="1113">
        <v>1979</v>
      </c>
      <c r="AV78" s="1119" t="s">
        <v>3286</v>
      </c>
      <c r="AW78" s="1121">
        <v>57.734708803120498</v>
      </c>
      <c r="AX78" s="1121">
        <v>34.251455634969801</v>
      </c>
    </row>
    <row r="79" spans="1:50" ht="20.100000000000001" customHeight="1" x14ac:dyDescent="0.25">
      <c r="A79" s="213">
        <v>52</v>
      </c>
      <c r="B79" s="213">
        <v>2</v>
      </c>
      <c r="C79" s="213" t="s">
        <v>952</v>
      </c>
      <c r="D79" s="230">
        <v>1.6</v>
      </c>
      <c r="E79" s="229"/>
      <c r="F79" s="229"/>
      <c r="G79" s="229"/>
      <c r="H79" s="228"/>
      <c r="I79" s="229" t="str">
        <f t="shared" si="37"/>
        <v>1,6</v>
      </c>
      <c r="J79" s="895">
        <v>0.23</v>
      </c>
      <c r="K79" s="172">
        <v>0.25</v>
      </c>
      <c r="L79" s="213" t="s">
        <v>335</v>
      </c>
      <c r="M79" s="172">
        <f t="shared" ref="M79:M87" si="52">K79</f>
        <v>0.25</v>
      </c>
      <c r="N79" s="172">
        <v>0</v>
      </c>
      <c r="O79" s="893"/>
      <c r="P79" s="893">
        <f t="shared" si="44"/>
        <v>0.25</v>
      </c>
      <c r="Q79" s="172">
        <f t="shared" si="45"/>
        <v>1.999999999999999E-2</v>
      </c>
      <c r="R79" s="172">
        <f t="shared" ref="R79:R128" si="53">Q79</f>
        <v>1.999999999999999E-2</v>
      </c>
      <c r="S79" s="213" t="str">
        <f t="shared" si="34"/>
        <v/>
      </c>
      <c r="T79" s="257" t="str">
        <f t="shared" si="46"/>
        <v/>
      </c>
      <c r="U79" s="768">
        <f t="shared" si="47"/>
        <v>13.69047619047619</v>
      </c>
      <c r="V79" s="768">
        <v>0.4</v>
      </c>
      <c r="W79" s="768" t="s">
        <v>3088</v>
      </c>
      <c r="X79" s="929"/>
      <c r="Y79" s="213">
        <v>52</v>
      </c>
      <c r="Z79" s="1316">
        <v>2</v>
      </c>
      <c r="AA79" s="1298" t="s">
        <v>952</v>
      </c>
      <c r="AB79" s="230">
        <f t="shared" si="38"/>
        <v>1.6</v>
      </c>
      <c r="AC79" s="1315"/>
      <c r="AD79" s="1315"/>
      <c r="AE79" s="1315"/>
      <c r="AF79" s="1316"/>
      <c r="AG79" s="1298" t="str">
        <f t="shared" si="41"/>
        <v>1,6</v>
      </c>
      <c r="AH79" s="1304">
        <f>'Зона ВЭс'!L10</f>
        <v>0</v>
      </c>
      <c r="AI79" s="1304">
        <f t="shared" si="35"/>
        <v>0.23</v>
      </c>
      <c r="AJ79" s="1304">
        <f t="shared" si="42"/>
        <v>0.25</v>
      </c>
      <c r="AK79" s="1298" t="str">
        <f t="shared" si="43"/>
        <v>1 сутки</v>
      </c>
      <c r="AL79" s="1304">
        <f t="shared" si="48"/>
        <v>0.25</v>
      </c>
      <c r="AM79" s="1298">
        <v>0</v>
      </c>
      <c r="AN79" s="893">
        <f t="shared" si="49"/>
        <v>0.25</v>
      </c>
      <c r="AO79" s="1304">
        <f t="shared" si="50"/>
        <v>1.999999999999999E-2</v>
      </c>
      <c r="AP79" s="1304">
        <f>AO79</f>
        <v>1.999999999999999E-2</v>
      </c>
      <c r="AQ79" s="1339" t="str">
        <f t="shared" si="36"/>
        <v/>
      </c>
      <c r="AR79" s="1298" t="str">
        <f t="shared" si="51"/>
        <v/>
      </c>
      <c r="AS79" s="952">
        <f t="shared" ref="AS79:AS86" si="54">(AI79*100)/(AG79*1.05)</f>
        <v>13.69047619047619</v>
      </c>
      <c r="AT79" s="954" t="s">
        <v>755</v>
      </c>
      <c r="AU79" s="1113">
        <v>1984</v>
      </c>
      <c r="AV79" s="1119" t="s">
        <v>3286</v>
      </c>
      <c r="AW79" s="1121">
        <v>57.337287818827299</v>
      </c>
      <c r="AX79" s="1121">
        <v>33.695109920522803</v>
      </c>
    </row>
    <row r="80" spans="1:50" ht="20.100000000000001" customHeight="1" x14ac:dyDescent="0.25">
      <c r="A80" s="213">
        <v>53</v>
      </c>
      <c r="B80" s="213">
        <v>3</v>
      </c>
      <c r="C80" s="213" t="s">
        <v>953</v>
      </c>
      <c r="D80" s="230">
        <v>1.8</v>
      </c>
      <c r="E80" s="229"/>
      <c r="F80" s="229"/>
      <c r="G80" s="229"/>
      <c r="H80" s="228"/>
      <c r="I80" s="229" t="str">
        <f t="shared" si="37"/>
        <v>1,8</v>
      </c>
      <c r="J80" s="895">
        <v>0.22</v>
      </c>
      <c r="K80" s="172">
        <v>0</v>
      </c>
      <c r="L80" s="213">
        <v>0</v>
      </c>
      <c r="M80" s="172">
        <f t="shared" si="52"/>
        <v>0</v>
      </c>
      <c r="N80" s="172">
        <v>0</v>
      </c>
      <c r="O80" s="893"/>
      <c r="P80" s="893">
        <f t="shared" si="44"/>
        <v>0</v>
      </c>
      <c r="Q80" s="172">
        <f t="shared" si="45"/>
        <v>-0.22</v>
      </c>
      <c r="R80" s="172">
        <f t="shared" si="53"/>
        <v>-0.22</v>
      </c>
      <c r="S80" s="213" t="str">
        <f t="shared" si="34"/>
        <v>закрыт</v>
      </c>
      <c r="T80" s="257" t="str">
        <f t="shared" si="46"/>
        <v>закрыт</v>
      </c>
      <c r="U80" s="768">
        <f t="shared" si="47"/>
        <v>11.640211640211639</v>
      </c>
      <c r="V80" s="768">
        <v>0.44</v>
      </c>
      <c r="W80" s="768" t="s">
        <v>3088</v>
      </c>
      <c r="X80" s="929"/>
      <c r="Y80" s="213">
        <v>53</v>
      </c>
      <c r="Z80" s="1316">
        <v>3</v>
      </c>
      <c r="AA80" s="1298" t="s">
        <v>953</v>
      </c>
      <c r="AB80" s="230">
        <f t="shared" si="38"/>
        <v>1.8</v>
      </c>
      <c r="AC80" s="1315"/>
      <c r="AD80" s="1315"/>
      <c r="AE80" s="1315"/>
      <c r="AF80" s="1316"/>
      <c r="AG80" s="1298" t="str">
        <f t="shared" si="41"/>
        <v>1,8</v>
      </c>
      <c r="AH80" s="1304">
        <f>'Зона ВЭс'!L13</f>
        <v>0.3125</v>
      </c>
      <c r="AI80" s="1304">
        <f t="shared" si="35"/>
        <v>0.53249999999999997</v>
      </c>
      <c r="AJ80" s="1304">
        <f t="shared" si="42"/>
        <v>0</v>
      </c>
      <c r="AK80" s="1298">
        <f t="shared" si="43"/>
        <v>0</v>
      </c>
      <c r="AL80" s="1304">
        <f t="shared" si="48"/>
        <v>0</v>
      </c>
      <c r="AM80" s="1298">
        <v>0</v>
      </c>
      <c r="AN80" s="893">
        <f t="shared" si="49"/>
        <v>0</v>
      </c>
      <c r="AO80" s="1304">
        <f t="shared" si="50"/>
        <v>-0.53249999999999997</v>
      </c>
      <c r="AP80" s="1304">
        <f>AO80</f>
        <v>-0.53249999999999997</v>
      </c>
      <c r="AQ80" s="1339" t="str">
        <f t="shared" si="36"/>
        <v>закрыт</v>
      </c>
      <c r="AR80" s="1298" t="str">
        <f t="shared" si="51"/>
        <v>закрыт</v>
      </c>
      <c r="AS80" s="952">
        <f t="shared" si="54"/>
        <v>28.174603174603174</v>
      </c>
      <c r="AT80" s="954" t="s">
        <v>755</v>
      </c>
      <c r="AU80" s="1113">
        <v>1980</v>
      </c>
      <c r="AV80" s="1119" t="s">
        <v>3286</v>
      </c>
      <c r="AW80" s="1121">
        <v>57.543570844495598</v>
      </c>
      <c r="AX80" s="1121">
        <v>34.200940354594699</v>
      </c>
    </row>
    <row r="81" spans="1:50" ht="20.100000000000001" customHeight="1" x14ac:dyDescent="0.25">
      <c r="A81" s="213">
        <v>54</v>
      </c>
      <c r="B81" s="213">
        <v>4</v>
      </c>
      <c r="C81" s="213" t="s">
        <v>954</v>
      </c>
      <c r="D81" s="230">
        <v>1.6</v>
      </c>
      <c r="E81" s="229"/>
      <c r="F81" s="229"/>
      <c r="G81" s="229"/>
      <c r="H81" s="228"/>
      <c r="I81" s="229" t="str">
        <f t="shared" si="37"/>
        <v>1,6</v>
      </c>
      <c r="J81" s="895">
        <v>0.42</v>
      </c>
      <c r="K81" s="172">
        <v>0.42</v>
      </c>
      <c r="L81" s="213" t="s">
        <v>335</v>
      </c>
      <c r="M81" s="172">
        <f t="shared" si="52"/>
        <v>0.42</v>
      </c>
      <c r="N81" s="172">
        <v>0</v>
      </c>
      <c r="O81" s="893"/>
      <c r="P81" s="893">
        <f t="shared" si="44"/>
        <v>0.42</v>
      </c>
      <c r="Q81" s="172">
        <f t="shared" si="45"/>
        <v>0</v>
      </c>
      <c r="R81" s="172">
        <f t="shared" si="53"/>
        <v>0</v>
      </c>
      <c r="S81" s="213" t="str">
        <f t="shared" si="34"/>
        <v/>
      </c>
      <c r="T81" s="257" t="str">
        <f t="shared" si="46"/>
        <v/>
      </c>
      <c r="U81" s="768">
        <f t="shared" si="47"/>
        <v>24.999999999999996</v>
      </c>
      <c r="V81" s="768">
        <v>0.9</v>
      </c>
      <c r="W81" s="768" t="s">
        <v>3088</v>
      </c>
      <c r="X81" s="929"/>
      <c r="Y81" s="213">
        <v>54</v>
      </c>
      <c r="Z81" s="1316">
        <v>4</v>
      </c>
      <c r="AA81" s="1298" t="s">
        <v>954</v>
      </c>
      <c r="AB81" s="230">
        <f t="shared" si="38"/>
        <v>1.6</v>
      </c>
      <c r="AC81" s="1315"/>
      <c r="AD81" s="1315"/>
      <c r="AE81" s="1315"/>
      <c r="AF81" s="1316"/>
      <c r="AG81" s="1298" t="str">
        <f t="shared" si="41"/>
        <v>1,6</v>
      </c>
      <c r="AH81" s="1304">
        <f>'Зона ВЭс'!L15</f>
        <v>0</v>
      </c>
      <c r="AI81" s="1304">
        <f t="shared" si="35"/>
        <v>0.42</v>
      </c>
      <c r="AJ81" s="1304">
        <f t="shared" si="42"/>
        <v>0.42</v>
      </c>
      <c r="AK81" s="1298" t="str">
        <f t="shared" si="43"/>
        <v>1 сутки</v>
      </c>
      <c r="AL81" s="1304">
        <f t="shared" si="48"/>
        <v>0.42</v>
      </c>
      <c r="AM81" s="1298">
        <v>0</v>
      </c>
      <c r="AN81" s="893">
        <f t="shared" si="49"/>
        <v>0.42</v>
      </c>
      <c r="AO81" s="1304">
        <f t="shared" si="50"/>
        <v>0</v>
      </c>
      <c r="AP81" s="1304">
        <f>AO81</f>
        <v>0</v>
      </c>
      <c r="AQ81" s="1339" t="str">
        <f t="shared" si="36"/>
        <v/>
      </c>
      <c r="AR81" s="1298" t="str">
        <f t="shared" si="51"/>
        <v/>
      </c>
      <c r="AS81" s="952">
        <f t="shared" si="54"/>
        <v>24.999999999999996</v>
      </c>
      <c r="AT81" s="954" t="s">
        <v>755</v>
      </c>
      <c r="AU81" s="1113">
        <v>1980</v>
      </c>
      <c r="AV81" s="1119" t="s">
        <v>3286</v>
      </c>
      <c r="AW81" s="1121">
        <v>57.903337170375103</v>
      </c>
      <c r="AX81" s="1121">
        <v>34.781156242278399</v>
      </c>
    </row>
    <row r="82" spans="1:50" ht="20.100000000000001" customHeight="1" x14ac:dyDescent="0.25">
      <c r="A82" s="213">
        <v>55</v>
      </c>
      <c r="B82" s="213">
        <v>5</v>
      </c>
      <c r="C82" s="213" t="s">
        <v>955</v>
      </c>
      <c r="D82" s="230">
        <v>1.6</v>
      </c>
      <c r="E82" s="229"/>
      <c r="F82" s="229"/>
      <c r="G82" s="229"/>
      <c r="H82" s="228"/>
      <c r="I82" s="229" t="str">
        <f t="shared" si="37"/>
        <v>1,6</v>
      </c>
      <c r="J82" s="895">
        <v>0.66</v>
      </c>
      <c r="K82" s="172">
        <v>0.66</v>
      </c>
      <c r="L82" s="213" t="s">
        <v>335</v>
      </c>
      <c r="M82" s="172">
        <f t="shared" si="52"/>
        <v>0.66</v>
      </c>
      <c r="N82" s="172">
        <v>0</v>
      </c>
      <c r="O82" s="893"/>
      <c r="P82" s="893">
        <f t="shared" si="44"/>
        <v>0.66</v>
      </c>
      <c r="Q82" s="172">
        <f t="shared" si="45"/>
        <v>0</v>
      </c>
      <c r="R82" s="172">
        <f t="shared" si="53"/>
        <v>0</v>
      </c>
      <c r="S82" s="213" t="str">
        <f t="shared" si="34"/>
        <v/>
      </c>
      <c r="T82" s="257" t="str">
        <f t="shared" si="46"/>
        <v/>
      </c>
      <c r="U82" s="768">
        <f t="shared" si="47"/>
        <v>39.285714285714285</v>
      </c>
      <c r="V82" s="768">
        <v>0.7</v>
      </c>
      <c r="W82" s="768" t="s">
        <v>3088</v>
      </c>
      <c r="X82" s="929"/>
      <c r="Y82" s="213">
        <v>55</v>
      </c>
      <c r="Z82" s="1316">
        <v>5</v>
      </c>
      <c r="AA82" s="1298" t="s">
        <v>955</v>
      </c>
      <c r="AB82" s="230">
        <f t="shared" si="38"/>
        <v>1.6</v>
      </c>
      <c r="AC82" s="1315"/>
      <c r="AD82" s="1315"/>
      <c r="AE82" s="1315"/>
      <c r="AF82" s="1316"/>
      <c r="AG82" s="1298" t="str">
        <f t="shared" si="41"/>
        <v>1,6</v>
      </c>
      <c r="AH82" s="1304">
        <f>'Зона ВЭс'!L18</f>
        <v>6.25E-2</v>
      </c>
      <c r="AI82" s="1304">
        <f t="shared" si="35"/>
        <v>0.72250000000000003</v>
      </c>
      <c r="AJ82" s="1304">
        <f t="shared" si="42"/>
        <v>0.66</v>
      </c>
      <c r="AK82" s="1298" t="str">
        <f t="shared" si="43"/>
        <v>1 сутки</v>
      </c>
      <c r="AL82" s="1304">
        <f t="shared" si="48"/>
        <v>0.66</v>
      </c>
      <c r="AM82" s="1298">
        <v>0</v>
      </c>
      <c r="AN82" s="893">
        <f t="shared" si="49"/>
        <v>0.66</v>
      </c>
      <c r="AO82" s="1304">
        <f t="shared" si="50"/>
        <v>-6.25E-2</v>
      </c>
      <c r="AP82" s="1304">
        <f>AO82</f>
        <v>-6.25E-2</v>
      </c>
      <c r="AQ82" s="1339" t="str">
        <f t="shared" si="36"/>
        <v>закрыт</v>
      </c>
      <c r="AR82" s="1298" t="str">
        <f t="shared" si="51"/>
        <v>закрыт</v>
      </c>
      <c r="AS82" s="952">
        <f t="shared" si="54"/>
        <v>43.00595238095238</v>
      </c>
      <c r="AT82" s="954" t="s">
        <v>755</v>
      </c>
      <c r="AU82" s="1113">
        <v>1983</v>
      </c>
      <c r="AV82" s="1119" t="s">
        <v>3286</v>
      </c>
      <c r="AW82" s="1121">
        <v>57.681961743865799</v>
      </c>
      <c r="AX82" s="1121">
        <v>35.215466072650798</v>
      </c>
    </row>
    <row r="83" spans="1:50" ht="20.100000000000001" customHeight="1" x14ac:dyDescent="0.25">
      <c r="A83" s="213">
        <v>56</v>
      </c>
      <c r="B83" s="213">
        <v>6</v>
      </c>
      <c r="C83" s="213" t="s">
        <v>956</v>
      </c>
      <c r="D83" s="230">
        <v>2.5</v>
      </c>
      <c r="E83" s="229"/>
      <c r="F83" s="229"/>
      <c r="G83" s="229"/>
      <c r="H83" s="228"/>
      <c r="I83" s="229" t="str">
        <f t="shared" si="37"/>
        <v>2,5</v>
      </c>
      <c r="J83" s="895">
        <v>0.21</v>
      </c>
      <c r="K83" s="172">
        <v>0.21</v>
      </c>
      <c r="L83" s="213" t="s">
        <v>335</v>
      </c>
      <c r="M83" s="172">
        <f t="shared" si="52"/>
        <v>0.21</v>
      </c>
      <c r="N83" s="172">
        <v>0</v>
      </c>
      <c r="O83" s="893"/>
      <c r="P83" s="893">
        <f t="shared" si="44"/>
        <v>0.21</v>
      </c>
      <c r="Q83" s="172">
        <f t="shared" si="45"/>
        <v>0</v>
      </c>
      <c r="R83" s="172">
        <f t="shared" si="53"/>
        <v>0</v>
      </c>
      <c r="S83" s="213" t="str">
        <f t="shared" si="34"/>
        <v/>
      </c>
      <c r="T83" s="257" t="str">
        <f t="shared" si="46"/>
        <v/>
      </c>
      <c r="U83" s="768">
        <f t="shared" si="47"/>
        <v>8</v>
      </c>
      <c r="V83" s="1193"/>
      <c r="W83" s="768"/>
      <c r="X83" s="929"/>
      <c r="Y83" s="213">
        <v>56</v>
      </c>
      <c r="Z83" s="1316">
        <v>6</v>
      </c>
      <c r="AA83" s="1298" t="s">
        <v>956</v>
      </c>
      <c r="AB83" s="230">
        <f t="shared" si="38"/>
        <v>2.5</v>
      </c>
      <c r="AC83" s="1315"/>
      <c r="AD83" s="1315"/>
      <c r="AE83" s="1315"/>
      <c r="AF83" s="1316"/>
      <c r="AG83" s="1298" t="str">
        <f t="shared" si="41"/>
        <v>2,5</v>
      </c>
      <c r="AH83" s="1304">
        <f>'Зона ВЭс'!L20</f>
        <v>0</v>
      </c>
      <c r="AI83" s="1304">
        <f t="shared" si="35"/>
        <v>0.21</v>
      </c>
      <c r="AJ83" s="1304">
        <f t="shared" si="42"/>
        <v>0.21</v>
      </c>
      <c r="AK83" s="1298" t="str">
        <f t="shared" si="43"/>
        <v>1 сутки</v>
      </c>
      <c r="AL83" s="1304">
        <f t="shared" si="48"/>
        <v>0.21</v>
      </c>
      <c r="AM83" s="1298">
        <v>0</v>
      </c>
      <c r="AN83" s="893">
        <f t="shared" si="49"/>
        <v>0.21</v>
      </c>
      <c r="AO83" s="1304">
        <f t="shared" si="50"/>
        <v>0</v>
      </c>
      <c r="AP83" s="1304">
        <f t="shared" ref="AP83:AP128" si="55">AO83</f>
        <v>0</v>
      </c>
      <c r="AQ83" s="1339" t="str">
        <f t="shared" si="36"/>
        <v/>
      </c>
      <c r="AR83" s="1298" t="str">
        <f t="shared" si="51"/>
        <v/>
      </c>
      <c r="AS83" s="952">
        <f t="shared" si="54"/>
        <v>8</v>
      </c>
      <c r="AT83" s="954" t="s">
        <v>755</v>
      </c>
      <c r="AU83" s="1113">
        <v>1984</v>
      </c>
      <c r="AV83" s="1119" t="s">
        <v>3286</v>
      </c>
      <c r="AW83" s="1121">
        <v>57.3974539559403</v>
      </c>
      <c r="AX83" s="1121">
        <v>34.1217816220665</v>
      </c>
    </row>
    <row r="84" spans="1:50" ht="20.100000000000001" customHeight="1" x14ac:dyDescent="0.25">
      <c r="A84" s="213">
        <v>57</v>
      </c>
      <c r="B84" s="213">
        <v>7</v>
      </c>
      <c r="C84" s="213" t="s">
        <v>957</v>
      </c>
      <c r="D84" s="230">
        <v>2.5</v>
      </c>
      <c r="E84" s="229"/>
      <c r="F84" s="229"/>
      <c r="G84" s="229"/>
      <c r="H84" s="228"/>
      <c r="I84" s="229" t="str">
        <f t="shared" si="37"/>
        <v>2,5</v>
      </c>
      <c r="J84" s="895">
        <v>0.08</v>
      </c>
      <c r="K84" s="172">
        <v>0.08</v>
      </c>
      <c r="L84" s="213">
        <v>0</v>
      </c>
      <c r="M84" s="172">
        <f t="shared" si="52"/>
        <v>0.08</v>
      </c>
      <c r="N84" s="172">
        <v>0</v>
      </c>
      <c r="O84" s="893"/>
      <c r="P84" s="893">
        <f t="shared" si="44"/>
        <v>0.08</v>
      </c>
      <c r="Q84" s="172">
        <f t="shared" si="45"/>
        <v>0</v>
      </c>
      <c r="R84" s="172">
        <f t="shared" si="53"/>
        <v>0</v>
      </c>
      <c r="S84" s="213" t="str">
        <f t="shared" si="34"/>
        <v/>
      </c>
      <c r="T84" s="257" t="str">
        <f t="shared" si="46"/>
        <v/>
      </c>
      <c r="U84" s="768">
        <f t="shared" si="47"/>
        <v>3.0476190476190474</v>
      </c>
      <c r="V84" s="768">
        <v>0.5</v>
      </c>
      <c r="W84" s="768" t="s">
        <v>3088</v>
      </c>
      <c r="X84" s="929"/>
      <c r="Y84" s="213">
        <v>57</v>
      </c>
      <c r="Z84" s="1316">
        <v>7</v>
      </c>
      <c r="AA84" s="1298" t="s">
        <v>957</v>
      </c>
      <c r="AB84" s="230">
        <f t="shared" si="38"/>
        <v>2.5</v>
      </c>
      <c r="AC84" s="1315"/>
      <c r="AD84" s="1315"/>
      <c r="AE84" s="1315"/>
      <c r="AF84" s="1316"/>
      <c r="AG84" s="1298" t="str">
        <f t="shared" si="41"/>
        <v>2,5</v>
      </c>
      <c r="AH84" s="1304">
        <f>'Зона ВЭс'!L22</f>
        <v>0</v>
      </c>
      <c r="AI84" s="1304">
        <f t="shared" si="35"/>
        <v>0.08</v>
      </c>
      <c r="AJ84" s="1304">
        <f t="shared" si="42"/>
        <v>0.08</v>
      </c>
      <c r="AK84" s="1298">
        <f t="shared" si="43"/>
        <v>0</v>
      </c>
      <c r="AL84" s="1304">
        <f t="shared" si="48"/>
        <v>0.08</v>
      </c>
      <c r="AM84" s="1298">
        <v>0</v>
      </c>
      <c r="AN84" s="893">
        <f t="shared" si="49"/>
        <v>0.08</v>
      </c>
      <c r="AO84" s="1304">
        <f t="shared" si="50"/>
        <v>0</v>
      </c>
      <c r="AP84" s="1304">
        <f t="shared" si="55"/>
        <v>0</v>
      </c>
      <c r="AQ84" s="1339" t="str">
        <f t="shared" si="36"/>
        <v/>
      </c>
      <c r="AR84" s="1298" t="str">
        <f t="shared" si="51"/>
        <v/>
      </c>
      <c r="AS84" s="952">
        <f t="shared" si="54"/>
        <v>3.0476190476190474</v>
      </c>
      <c r="AT84" s="954" t="s">
        <v>755</v>
      </c>
      <c r="AU84" s="1113">
        <v>1978</v>
      </c>
      <c r="AV84" s="214">
        <v>2011</v>
      </c>
      <c r="AW84" s="1121">
        <v>57.979977683273901</v>
      </c>
      <c r="AX84" s="1121">
        <v>33.650923326913897</v>
      </c>
    </row>
    <row r="85" spans="1:50" ht="20.100000000000001" customHeight="1" x14ac:dyDescent="0.25">
      <c r="A85" s="213">
        <v>58</v>
      </c>
      <c r="B85" s="213">
        <v>8</v>
      </c>
      <c r="C85" s="213" t="s">
        <v>958</v>
      </c>
      <c r="D85" s="230">
        <v>25</v>
      </c>
      <c r="E85" s="229"/>
      <c r="F85" s="229"/>
      <c r="G85" s="229"/>
      <c r="H85" s="228"/>
      <c r="I85" s="229" t="str">
        <f t="shared" si="37"/>
        <v>25</v>
      </c>
      <c r="J85" s="895">
        <v>0.72</v>
      </c>
      <c r="K85" s="172">
        <v>0.72</v>
      </c>
      <c r="L85" s="213" t="s">
        <v>335</v>
      </c>
      <c r="M85" s="172">
        <f t="shared" si="52"/>
        <v>0.72</v>
      </c>
      <c r="N85" s="172">
        <v>0</v>
      </c>
      <c r="O85" s="893"/>
      <c r="P85" s="893">
        <f t="shared" si="44"/>
        <v>0.72</v>
      </c>
      <c r="Q85" s="172">
        <f t="shared" si="45"/>
        <v>0</v>
      </c>
      <c r="R85" s="172">
        <f t="shared" si="53"/>
        <v>0</v>
      </c>
      <c r="S85" s="213" t="str">
        <f t="shared" si="34"/>
        <v/>
      </c>
      <c r="T85" s="257" t="str">
        <f t="shared" si="46"/>
        <v/>
      </c>
      <c r="U85" s="768">
        <f t="shared" si="47"/>
        <v>2.7428571428571429</v>
      </c>
      <c r="V85" s="1193"/>
      <c r="W85" s="768"/>
      <c r="X85" s="929"/>
      <c r="Y85" s="213">
        <v>58</v>
      </c>
      <c r="Z85" s="1316">
        <v>8</v>
      </c>
      <c r="AA85" s="1298" t="s">
        <v>958</v>
      </c>
      <c r="AB85" s="230">
        <f t="shared" si="38"/>
        <v>25</v>
      </c>
      <c r="AC85" s="1315"/>
      <c r="AD85" s="1315"/>
      <c r="AE85" s="1315"/>
      <c r="AF85" s="1316"/>
      <c r="AG85" s="1298" t="str">
        <f t="shared" si="41"/>
        <v>25</v>
      </c>
      <c r="AH85" s="1304">
        <f>AH102+'Зона ВЭс'!L24</f>
        <v>0</v>
      </c>
      <c r="AI85" s="1304">
        <f t="shared" si="35"/>
        <v>0.72</v>
      </c>
      <c r="AJ85" s="1304">
        <f t="shared" si="42"/>
        <v>0.72</v>
      </c>
      <c r="AK85" s="1298" t="str">
        <f t="shared" si="43"/>
        <v>1 сутки</v>
      </c>
      <c r="AL85" s="1304">
        <f t="shared" si="48"/>
        <v>0.72</v>
      </c>
      <c r="AM85" s="1298">
        <v>0</v>
      </c>
      <c r="AN85" s="893">
        <f t="shared" si="49"/>
        <v>0.72</v>
      </c>
      <c r="AO85" s="1304">
        <f t="shared" si="50"/>
        <v>0</v>
      </c>
      <c r="AP85" s="1304">
        <f t="shared" si="55"/>
        <v>0</v>
      </c>
      <c r="AQ85" s="1339" t="str">
        <f t="shared" si="36"/>
        <v/>
      </c>
      <c r="AR85" s="1298" t="str">
        <f t="shared" si="51"/>
        <v/>
      </c>
      <c r="AS85" s="952">
        <f t="shared" si="54"/>
        <v>2.7428571428571429</v>
      </c>
      <c r="AT85" s="954" t="s">
        <v>755</v>
      </c>
      <c r="AU85" s="1113">
        <v>1989</v>
      </c>
      <c r="AV85" s="1119" t="s">
        <v>3286</v>
      </c>
      <c r="AW85" s="1121">
        <v>57.280755054760697</v>
      </c>
      <c r="AX85" s="1121">
        <v>34.229776902529103</v>
      </c>
    </row>
    <row r="86" spans="1:50" ht="20.100000000000001" customHeight="1" x14ac:dyDescent="0.25">
      <c r="A86" s="213">
        <v>59</v>
      </c>
      <c r="B86" s="213">
        <v>9</v>
      </c>
      <c r="C86" s="213" t="s">
        <v>959</v>
      </c>
      <c r="D86" s="230">
        <v>1</v>
      </c>
      <c r="E86" s="229"/>
      <c r="F86" s="229"/>
      <c r="G86" s="229"/>
      <c r="H86" s="228"/>
      <c r="I86" s="229" t="str">
        <f t="shared" si="37"/>
        <v>1</v>
      </c>
      <c r="J86" s="895">
        <v>0.28999999999999998</v>
      </c>
      <c r="K86" s="172">
        <v>0.28999999999999998</v>
      </c>
      <c r="L86" s="213" t="s">
        <v>335</v>
      </c>
      <c r="M86" s="172">
        <f t="shared" si="52"/>
        <v>0.28999999999999998</v>
      </c>
      <c r="N86" s="172">
        <v>0</v>
      </c>
      <c r="O86" s="893"/>
      <c r="P86" s="893">
        <f t="shared" si="44"/>
        <v>0.28999999999999998</v>
      </c>
      <c r="Q86" s="172">
        <f t="shared" si="45"/>
        <v>0</v>
      </c>
      <c r="R86" s="172">
        <f t="shared" si="53"/>
        <v>0</v>
      </c>
      <c r="S86" s="213" t="str">
        <f t="shared" si="34"/>
        <v/>
      </c>
      <c r="T86" s="257" t="str">
        <f t="shared" si="46"/>
        <v/>
      </c>
      <c r="U86" s="768">
        <f t="shared" si="47"/>
        <v>27.619047619047613</v>
      </c>
      <c r="V86" s="1193"/>
      <c r="W86" s="768"/>
      <c r="X86" s="929"/>
      <c r="Y86" s="213">
        <v>59</v>
      </c>
      <c r="Z86" s="1316">
        <v>9</v>
      </c>
      <c r="AA86" s="1298" t="s">
        <v>959</v>
      </c>
      <c r="AB86" s="230">
        <f t="shared" si="38"/>
        <v>1</v>
      </c>
      <c r="AC86" s="1315"/>
      <c r="AD86" s="1315"/>
      <c r="AE86" s="1315"/>
      <c r="AF86" s="1316"/>
      <c r="AG86" s="1298" t="str">
        <f t="shared" si="41"/>
        <v>1</v>
      </c>
      <c r="AH86" s="1304">
        <f>'Зона ВЭс'!L27</f>
        <v>0</v>
      </c>
      <c r="AI86" s="1304">
        <f t="shared" si="35"/>
        <v>0.28999999999999998</v>
      </c>
      <c r="AJ86" s="1304">
        <f t="shared" si="42"/>
        <v>0.28999999999999998</v>
      </c>
      <c r="AK86" s="1298" t="str">
        <f t="shared" si="43"/>
        <v>1 сутки</v>
      </c>
      <c r="AL86" s="1304">
        <f t="shared" si="48"/>
        <v>0.28999999999999998</v>
      </c>
      <c r="AM86" s="1298">
        <v>0</v>
      </c>
      <c r="AN86" s="893">
        <f t="shared" si="49"/>
        <v>0.28999999999999998</v>
      </c>
      <c r="AO86" s="1304">
        <f t="shared" si="50"/>
        <v>0</v>
      </c>
      <c r="AP86" s="1304">
        <f t="shared" si="55"/>
        <v>0</v>
      </c>
      <c r="AQ86" s="1339" t="str">
        <f t="shared" si="36"/>
        <v/>
      </c>
      <c r="AR86" s="1298" t="str">
        <f t="shared" si="51"/>
        <v/>
      </c>
      <c r="AS86" s="952">
        <f t="shared" si="54"/>
        <v>27.619047619047613</v>
      </c>
      <c r="AT86" s="954" t="s">
        <v>755</v>
      </c>
      <c r="AU86" s="1113">
        <v>1962</v>
      </c>
      <c r="AV86" s="1119" t="s">
        <v>3286</v>
      </c>
      <c r="AW86" s="1121">
        <v>57.950902775863199</v>
      </c>
      <c r="AX86" s="1121">
        <v>35.015180866362698</v>
      </c>
    </row>
    <row r="87" spans="1:50" ht="20.100000000000001" customHeight="1" x14ac:dyDescent="0.25">
      <c r="A87" s="213">
        <v>60</v>
      </c>
      <c r="B87" s="213">
        <v>10</v>
      </c>
      <c r="C87" s="213" t="s">
        <v>960</v>
      </c>
      <c r="D87" s="230">
        <v>4</v>
      </c>
      <c r="E87" s="229"/>
      <c r="F87" s="229"/>
      <c r="G87" s="229"/>
      <c r="H87" s="228"/>
      <c r="I87" s="229" t="str">
        <f t="shared" si="37"/>
        <v>4</v>
      </c>
      <c r="J87" s="895">
        <v>2.56</v>
      </c>
      <c r="K87" s="172">
        <v>0.9</v>
      </c>
      <c r="L87" s="213" t="s">
        <v>335</v>
      </c>
      <c r="M87" s="172">
        <f t="shared" si="52"/>
        <v>0.9</v>
      </c>
      <c r="N87" s="172">
        <v>0</v>
      </c>
      <c r="O87" s="893"/>
      <c r="P87" s="893">
        <f t="shared" si="44"/>
        <v>0.9</v>
      </c>
      <c r="Q87" s="172">
        <f t="shared" si="45"/>
        <v>-1.6600000000000001</v>
      </c>
      <c r="R87" s="172">
        <f t="shared" si="53"/>
        <v>-1.6600000000000001</v>
      </c>
      <c r="S87" s="213" t="str">
        <f t="shared" si="34"/>
        <v>закрыт</v>
      </c>
      <c r="T87" s="257" t="str">
        <f t="shared" si="46"/>
        <v>закрыт</v>
      </c>
      <c r="U87" s="768">
        <f t="shared" si="47"/>
        <v>60.952380952380949</v>
      </c>
      <c r="V87" s="768">
        <v>0.46</v>
      </c>
      <c r="W87" s="768" t="s">
        <v>3088</v>
      </c>
      <c r="X87" s="929"/>
      <c r="Y87" s="213">
        <v>60</v>
      </c>
      <c r="Z87" s="1316">
        <v>10</v>
      </c>
      <c r="AA87" s="1298" t="s">
        <v>960</v>
      </c>
      <c r="AB87" s="230">
        <f t="shared" si="38"/>
        <v>4</v>
      </c>
      <c r="AC87" s="1315"/>
      <c r="AD87" s="1315"/>
      <c r="AE87" s="1315"/>
      <c r="AF87" s="1316"/>
      <c r="AG87" s="1298" t="str">
        <f t="shared" si="41"/>
        <v>4</v>
      </c>
      <c r="AH87" s="1304">
        <f>'Зона ВЭс'!L32</f>
        <v>0</v>
      </c>
      <c r="AI87" s="1304">
        <f t="shared" si="35"/>
        <v>2.56</v>
      </c>
      <c r="AJ87" s="1304">
        <f t="shared" si="42"/>
        <v>0.9</v>
      </c>
      <c r="AK87" s="1298" t="str">
        <f t="shared" si="43"/>
        <v>1 сутки</v>
      </c>
      <c r="AL87" s="1304">
        <f t="shared" si="48"/>
        <v>0.9</v>
      </c>
      <c r="AM87" s="1298">
        <v>0</v>
      </c>
      <c r="AN87" s="893">
        <f t="shared" si="49"/>
        <v>0.9</v>
      </c>
      <c r="AO87" s="1304">
        <f t="shared" si="50"/>
        <v>-1.6600000000000001</v>
      </c>
      <c r="AP87" s="1304">
        <f t="shared" si="55"/>
        <v>-1.6600000000000001</v>
      </c>
      <c r="AQ87" s="1339" t="str">
        <f t="shared" si="36"/>
        <v>закрыт</v>
      </c>
      <c r="AR87" s="1298" t="str">
        <f t="shared" si="51"/>
        <v>закрыт</v>
      </c>
      <c r="AS87" s="952">
        <f>(AI87*100)/(AG87*1.05)</f>
        <v>60.952380952380949</v>
      </c>
      <c r="AT87" s="954" t="s">
        <v>755</v>
      </c>
      <c r="AU87" s="1113">
        <v>1970</v>
      </c>
      <c r="AV87" s="1119" t="s">
        <v>3286</v>
      </c>
      <c r="AW87" s="1121">
        <v>57.604268408936399</v>
      </c>
      <c r="AX87" s="1121">
        <v>34.597035020600103</v>
      </c>
    </row>
    <row r="88" spans="1:50" ht="20.100000000000001" customHeight="1" x14ac:dyDescent="0.25">
      <c r="A88" s="213">
        <v>61</v>
      </c>
      <c r="B88" s="213">
        <v>11</v>
      </c>
      <c r="C88" s="213" t="s">
        <v>961</v>
      </c>
      <c r="D88" s="230">
        <v>1</v>
      </c>
      <c r="E88" s="229" t="s">
        <v>785</v>
      </c>
      <c r="F88" s="229">
        <v>1.6</v>
      </c>
      <c r="G88" s="229"/>
      <c r="H88" s="228"/>
      <c r="I88" s="229" t="str">
        <f t="shared" si="37"/>
        <v>1+1,6</v>
      </c>
      <c r="J88" s="895">
        <v>0.62</v>
      </c>
      <c r="K88" s="172">
        <v>0</v>
      </c>
      <c r="L88" s="213">
        <v>0</v>
      </c>
      <c r="M88" s="172">
        <f t="shared" ref="M88:M119" si="56">J88-K88</f>
        <v>0.62</v>
      </c>
      <c r="N88" s="172">
        <v>0</v>
      </c>
      <c r="O88" s="893"/>
      <c r="P88" s="893">
        <f t="shared" ref="P88:P119" si="57">MIN(D88:F88)*1.05</f>
        <v>1.05</v>
      </c>
      <c r="Q88" s="172">
        <f t="shared" ref="Q88:Q128" si="58">P88-N88-M88</f>
        <v>0.43000000000000005</v>
      </c>
      <c r="R88" s="172">
        <f>Q88</f>
        <v>0.43000000000000005</v>
      </c>
      <c r="S88" s="213" t="str">
        <f t="shared" si="34"/>
        <v/>
      </c>
      <c r="T88" s="257" t="str">
        <f t="shared" si="46"/>
        <v/>
      </c>
      <c r="U88" s="768">
        <f t="shared" ref="U88:U129" si="59">(J88*100)/P88</f>
        <v>59.047619047619044</v>
      </c>
      <c r="V88" s="1193"/>
      <c r="W88" s="768"/>
      <c r="X88" s="929"/>
      <c r="Y88" s="213">
        <v>61</v>
      </c>
      <c r="Z88" s="1316">
        <v>11</v>
      </c>
      <c r="AA88" s="1298" t="s">
        <v>961</v>
      </c>
      <c r="AB88" s="230">
        <f t="shared" si="38"/>
        <v>1</v>
      </c>
      <c r="AC88" s="1315" t="str">
        <f t="shared" si="39"/>
        <v>+</v>
      </c>
      <c r="AD88" s="1315">
        <f t="shared" si="40"/>
        <v>1.6</v>
      </c>
      <c r="AE88" s="1315"/>
      <c r="AF88" s="1316"/>
      <c r="AG88" s="1298" t="str">
        <f t="shared" si="41"/>
        <v>1+1,6</v>
      </c>
      <c r="AH88" s="1304">
        <f>'Зона ВЭс'!L34</f>
        <v>0</v>
      </c>
      <c r="AI88" s="1304">
        <f t="shared" si="35"/>
        <v>0.62</v>
      </c>
      <c r="AJ88" s="1304">
        <f t="shared" si="42"/>
        <v>0</v>
      </c>
      <c r="AK88" s="1298">
        <f t="shared" si="43"/>
        <v>0</v>
      </c>
      <c r="AL88" s="1304">
        <f t="shared" ref="AL88:AL119" si="60">AI88-AJ88</f>
        <v>0.62</v>
      </c>
      <c r="AM88" s="1298">
        <v>0</v>
      </c>
      <c r="AN88" s="893">
        <f t="shared" ref="AN88:AN119" si="61">MIN(AB88:AF88)*1.05</f>
        <v>1.05</v>
      </c>
      <c r="AO88" s="1304">
        <f>AN88-AL88-AM88</f>
        <v>0.43000000000000005</v>
      </c>
      <c r="AP88" s="1304">
        <f>AO88</f>
        <v>0.43000000000000005</v>
      </c>
      <c r="AQ88" s="1339" t="str">
        <f t="shared" si="36"/>
        <v/>
      </c>
      <c r="AR88" s="1298" t="str">
        <f t="shared" si="51"/>
        <v/>
      </c>
      <c r="AS88" s="952">
        <f t="shared" ref="AS88:AS129" si="62">(AI88*100)/AN88</f>
        <v>59.047619047619044</v>
      </c>
      <c r="AT88" s="954" t="s">
        <v>755</v>
      </c>
      <c r="AU88" s="1113">
        <v>1972</v>
      </c>
      <c r="AV88" s="1119" t="s">
        <v>3286</v>
      </c>
      <c r="AW88" s="1121">
        <v>57.872847658966101</v>
      </c>
      <c r="AX88" s="1121">
        <v>33.584345984605797</v>
      </c>
    </row>
    <row r="89" spans="1:50" ht="20.100000000000001" customHeight="1" x14ac:dyDescent="0.25">
      <c r="A89" s="213">
        <v>62</v>
      </c>
      <c r="B89" s="213">
        <v>12</v>
      </c>
      <c r="C89" s="213" t="s">
        <v>962</v>
      </c>
      <c r="D89" s="230">
        <v>6.3</v>
      </c>
      <c r="E89" s="229" t="s">
        <v>785</v>
      </c>
      <c r="F89" s="229">
        <v>10</v>
      </c>
      <c r="G89" s="229"/>
      <c r="H89" s="228"/>
      <c r="I89" s="229" t="str">
        <f t="shared" si="37"/>
        <v>6,3+10</v>
      </c>
      <c r="J89" s="895">
        <v>4.5</v>
      </c>
      <c r="K89" s="172">
        <v>0</v>
      </c>
      <c r="L89" s="213">
        <v>0</v>
      </c>
      <c r="M89" s="172">
        <f t="shared" si="56"/>
        <v>4.5</v>
      </c>
      <c r="N89" s="172">
        <v>0</v>
      </c>
      <c r="O89" s="893"/>
      <c r="P89" s="893">
        <f t="shared" si="57"/>
        <v>6.6150000000000002</v>
      </c>
      <c r="Q89" s="172">
        <f t="shared" si="58"/>
        <v>2.1150000000000002</v>
      </c>
      <c r="R89" s="172">
        <f>Q89</f>
        <v>2.1150000000000002</v>
      </c>
      <c r="S89" s="213" t="str">
        <f t="shared" si="34"/>
        <v/>
      </c>
      <c r="T89" s="257" t="str">
        <f t="shared" si="46"/>
        <v/>
      </c>
      <c r="U89" s="768">
        <f t="shared" si="59"/>
        <v>68.027210884353735</v>
      </c>
      <c r="V89" s="1193"/>
      <c r="W89" s="768"/>
      <c r="X89" s="929"/>
      <c r="Y89" s="213">
        <v>62</v>
      </c>
      <c r="Z89" s="1316">
        <v>12</v>
      </c>
      <c r="AA89" s="1298" t="s">
        <v>962</v>
      </c>
      <c r="AB89" s="230">
        <f t="shared" si="38"/>
        <v>6.3</v>
      </c>
      <c r="AC89" s="1315" t="str">
        <f t="shared" si="39"/>
        <v>+</v>
      </c>
      <c r="AD89" s="1315">
        <f t="shared" si="40"/>
        <v>10</v>
      </c>
      <c r="AE89" s="1315"/>
      <c r="AF89" s="1316"/>
      <c r="AG89" s="1298" t="str">
        <f t="shared" si="41"/>
        <v>6,3+10</v>
      </c>
      <c r="AH89" s="1304">
        <f>'Зона ВЭс'!L36</f>
        <v>0</v>
      </c>
      <c r="AI89" s="1304">
        <f t="shared" si="35"/>
        <v>4.5</v>
      </c>
      <c r="AJ89" s="1304">
        <f t="shared" si="42"/>
        <v>0</v>
      </c>
      <c r="AK89" s="1298">
        <f t="shared" si="43"/>
        <v>0</v>
      </c>
      <c r="AL89" s="1304">
        <f t="shared" si="60"/>
        <v>4.5</v>
      </c>
      <c r="AM89" s="1298">
        <v>0</v>
      </c>
      <c r="AN89" s="893">
        <f t="shared" si="61"/>
        <v>6.6150000000000002</v>
      </c>
      <c r="AO89" s="1304">
        <f>AN89-AI89</f>
        <v>2.1150000000000002</v>
      </c>
      <c r="AP89" s="1304">
        <f>AO89</f>
        <v>2.1150000000000002</v>
      </c>
      <c r="AQ89" s="1339" t="str">
        <f t="shared" si="36"/>
        <v/>
      </c>
      <c r="AR89" s="1298" t="str">
        <f t="shared" si="51"/>
        <v/>
      </c>
      <c r="AS89" s="952">
        <f t="shared" si="62"/>
        <v>68.027210884353735</v>
      </c>
      <c r="AT89" s="954" t="s">
        <v>755</v>
      </c>
      <c r="AU89" s="1113">
        <v>1985</v>
      </c>
      <c r="AV89" s="1119" t="s">
        <v>3286</v>
      </c>
      <c r="AW89" s="1121">
        <v>57.583092008346497</v>
      </c>
      <c r="AX89" s="1121">
        <v>34.519063126938597</v>
      </c>
    </row>
    <row r="90" spans="1:50" ht="20.100000000000001" customHeight="1" x14ac:dyDescent="0.25">
      <c r="A90" s="213">
        <v>63</v>
      </c>
      <c r="B90" s="213">
        <v>13</v>
      </c>
      <c r="C90" s="213" t="s">
        <v>963</v>
      </c>
      <c r="D90" s="230">
        <v>3.2</v>
      </c>
      <c r="E90" s="229" t="s">
        <v>785</v>
      </c>
      <c r="F90" s="229">
        <v>4</v>
      </c>
      <c r="G90" s="229"/>
      <c r="H90" s="228"/>
      <c r="I90" s="229" t="str">
        <f t="shared" si="37"/>
        <v>3,2+4</v>
      </c>
      <c r="J90" s="895">
        <v>1.26</v>
      </c>
      <c r="K90" s="172">
        <v>0.2</v>
      </c>
      <c r="L90" s="213">
        <v>120</v>
      </c>
      <c r="M90" s="172">
        <f t="shared" si="56"/>
        <v>1.06</v>
      </c>
      <c r="N90" s="172">
        <v>0</v>
      </c>
      <c r="O90" s="893"/>
      <c r="P90" s="893">
        <f t="shared" si="57"/>
        <v>3.3600000000000003</v>
      </c>
      <c r="Q90" s="172">
        <f t="shared" si="58"/>
        <v>2.3000000000000003</v>
      </c>
      <c r="R90" s="172">
        <f>Q90</f>
        <v>2.3000000000000003</v>
      </c>
      <c r="S90" s="213" t="str">
        <f t="shared" si="34"/>
        <v/>
      </c>
      <c r="T90" s="257" t="str">
        <f t="shared" si="46"/>
        <v/>
      </c>
      <c r="U90" s="768">
        <f t="shared" si="59"/>
        <v>37.499999999999993</v>
      </c>
      <c r="V90" s="768">
        <v>0.5</v>
      </c>
      <c r="W90" s="768" t="s">
        <v>3088</v>
      </c>
      <c r="X90" s="929"/>
      <c r="Y90" s="213">
        <v>63</v>
      </c>
      <c r="Z90" s="1316">
        <v>13</v>
      </c>
      <c r="AA90" s="1298" t="s">
        <v>963</v>
      </c>
      <c r="AB90" s="230">
        <f t="shared" si="38"/>
        <v>3.2</v>
      </c>
      <c r="AC90" s="1315" t="str">
        <f t="shared" si="39"/>
        <v>+</v>
      </c>
      <c r="AD90" s="1315">
        <f t="shared" si="40"/>
        <v>4</v>
      </c>
      <c r="AE90" s="1315"/>
      <c r="AF90" s="1316"/>
      <c r="AG90" s="1298" t="str">
        <f t="shared" si="41"/>
        <v>3,2+4</v>
      </c>
      <c r="AH90" s="1304">
        <f>'Зона ВЭс'!L40</f>
        <v>0</v>
      </c>
      <c r="AI90" s="1304">
        <f t="shared" si="35"/>
        <v>1.26</v>
      </c>
      <c r="AJ90" s="1304">
        <f t="shared" si="42"/>
        <v>0.2</v>
      </c>
      <c r="AK90" s="1298">
        <f t="shared" si="43"/>
        <v>120</v>
      </c>
      <c r="AL90" s="1304">
        <f t="shared" si="60"/>
        <v>1.06</v>
      </c>
      <c r="AM90" s="1298">
        <v>0</v>
      </c>
      <c r="AN90" s="893">
        <f t="shared" si="61"/>
        <v>3.3600000000000003</v>
      </c>
      <c r="AO90" s="1304">
        <f>AN90-AI90</f>
        <v>2.1000000000000005</v>
      </c>
      <c r="AP90" s="1304">
        <f>AO90</f>
        <v>2.1000000000000005</v>
      </c>
      <c r="AQ90" s="1339" t="str">
        <f t="shared" si="36"/>
        <v/>
      </c>
      <c r="AR90" s="1298" t="str">
        <f t="shared" si="51"/>
        <v/>
      </c>
      <c r="AS90" s="952">
        <f t="shared" si="62"/>
        <v>37.499999999999993</v>
      </c>
      <c r="AT90" s="954" t="s">
        <v>755</v>
      </c>
      <c r="AU90" s="1113">
        <v>1986</v>
      </c>
      <c r="AV90" s="1119" t="s">
        <v>3286</v>
      </c>
      <c r="AW90" s="1121">
        <v>57.711664222731898</v>
      </c>
      <c r="AX90" s="1121">
        <v>34.308029350708203</v>
      </c>
    </row>
    <row r="91" spans="1:50" ht="20.100000000000001" customHeight="1" x14ac:dyDescent="0.25">
      <c r="A91" s="213">
        <v>64</v>
      </c>
      <c r="B91" s="213">
        <v>14</v>
      </c>
      <c r="C91" s="213" t="s">
        <v>964</v>
      </c>
      <c r="D91" s="230">
        <v>1</v>
      </c>
      <c r="E91" s="229" t="s">
        <v>785</v>
      </c>
      <c r="F91" s="229">
        <v>1.8</v>
      </c>
      <c r="G91" s="229"/>
      <c r="H91" s="228"/>
      <c r="I91" s="229" t="str">
        <f t="shared" si="37"/>
        <v>1+1,8</v>
      </c>
      <c r="J91" s="895">
        <v>0.02</v>
      </c>
      <c r="K91" s="172">
        <v>0</v>
      </c>
      <c r="L91" s="213">
        <v>0</v>
      </c>
      <c r="M91" s="172">
        <f t="shared" si="56"/>
        <v>0.02</v>
      </c>
      <c r="N91" s="172">
        <v>0</v>
      </c>
      <c r="O91" s="893"/>
      <c r="P91" s="893">
        <f t="shared" si="57"/>
        <v>1.05</v>
      </c>
      <c r="Q91" s="172">
        <f t="shared" si="58"/>
        <v>1.03</v>
      </c>
      <c r="R91" s="172">
        <f>Q91</f>
        <v>1.03</v>
      </c>
      <c r="S91" s="213" t="str">
        <f t="shared" si="34"/>
        <v/>
      </c>
      <c r="T91" s="257" t="str">
        <f t="shared" si="46"/>
        <v/>
      </c>
      <c r="U91" s="768">
        <f t="shared" si="59"/>
        <v>1.9047619047619047</v>
      </c>
      <c r="V91" s="1193"/>
      <c r="W91" s="768"/>
      <c r="X91" s="929"/>
      <c r="Y91" s="213">
        <v>64</v>
      </c>
      <c r="Z91" s="1316">
        <v>14</v>
      </c>
      <c r="AA91" s="1298" t="s">
        <v>964</v>
      </c>
      <c r="AB91" s="230">
        <f t="shared" si="38"/>
        <v>1</v>
      </c>
      <c r="AC91" s="1315" t="str">
        <f t="shared" si="39"/>
        <v>+</v>
      </c>
      <c r="AD91" s="1315">
        <f t="shared" si="40"/>
        <v>1.8</v>
      </c>
      <c r="AE91" s="1315"/>
      <c r="AF91" s="1316"/>
      <c r="AG91" s="1298" t="str">
        <f t="shared" si="41"/>
        <v>1+1,8</v>
      </c>
      <c r="AH91" s="1304">
        <f>'Зона ВЭс'!L42</f>
        <v>0.16250000000000001</v>
      </c>
      <c r="AI91" s="1304">
        <f t="shared" si="35"/>
        <v>0.1825</v>
      </c>
      <c r="AJ91" s="1304">
        <f t="shared" si="42"/>
        <v>0</v>
      </c>
      <c r="AK91" s="1298">
        <f t="shared" si="43"/>
        <v>0</v>
      </c>
      <c r="AL91" s="1304">
        <f t="shared" si="60"/>
        <v>0.1825</v>
      </c>
      <c r="AM91" s="1298">
        <v>0</v>
      </c>
      <c r="AN91" s="893">
        <f t="shared" si="61"/>
        <v>1.05</v>
      </c>
      <c r="AO91" s="1304">
        <f>AN91-AL91-AM91</f>
        <v>0.86750000000000005</v>
      </c>
      <c r="AP91" s="1304">
        <f t="shared" si="55"/>
        <v>0.86750000000000005</v>
      </c>
      <c r="AQ91" s="1339" t="str">
        <f t="shared" si="36"/>
        <v/>
      </c>
      <c r="AR91" s="1298" t="str">
        <f t="shared" si="51"/>
        <v/>
      </c>
      <c r="AS91" s="952">
        <f t="shared" si="62"/>
        <v>17.38095238095238</v>
      </c>
      <c r="AT91" s="954" t="s">
        <v>755</v>
      </c>
      <c r="AU91" s="1113">
        <v>1968</v>
      </c>
      <c r="AV91" s="1119" t="s">
        <v>3286</v>
      </c>
      <c r="AW91" s="1121">
        <v>57.8240221041303</v>
      </c>
      <c r="AX91" s="1121">
        <v>33.545197760664401</v>
      </c>
    </row>
    <row r="92" spans="1:50" ht="20.100000000000001" customHeight="1" x14ac:dyDescent="0.25">
      <c r="A92" s="213">
        <v>65</v>
      </c>
      <c r="B92" s="213">
        <v>15</v>
      </c>
      <c r="C92" s="213" t="s">
        <v>2680</v>
      </c>
      <c r="D92" s="230">
        <v>10</v>
      </c>
      <c r="E92" s="229" t="s">
        <v>785</v>
      </c>
      <c r="F92" s="229">
        <v>10</v>
      </c>
      <c r="G92" s="229"/>
      <c r="H92" s="228"/>
      <c r="I92" s="229" t="str">
        <f t="shared" si="37"/>
        <v>10+10</v>
      </c>
      <c r="J92" s="895">
        <v>5.04</v>
      </c>
      <c r="K92" s="172">
        <v>0</v>
      </c>
      <c r="L92" s="213">
        <v>0</v>
      </c>
      <c r="M92" s="172">
        <f t="shared" si="56"/>
        <v>5.04</v>
      </c>
      <c r="N92" s="172">
        <v>0</v>
      </c>
      <c r="O92" s="893"/>
      <c r="P92" s="893">
        <f t="shared" si="57"/>
        <v>10.5</v>
      </c>
      <c r="Q92" s="172">
        <f t="shared" si="58"/>
        <v>5.46</v>
      </c>
      <c r="R92" s="172">
        <f>Q92</f>
        <v>5.46</v>
      </c>
      <c r="S92" s="213" t="str">
        <f t="shared" si="34"/>
        <v/>
      </c>
      <c r="T92" s="257" t="str">
        <f t="shared" si="46"/>
        <v/>
      </c>
      <c r="U92" s="768">
        <f t="shared" si="59"/>
        <v>48</v>
      </c>
      <c r="V92" s="1193"/>
      <c r="W92" s="768"/>
      <c r="X92" s="929"/>
      <c r="Y92" s="213">
        <v>65</v>
      </c>
      <c r="Z92" s="1316">
        <v>15</v>
      </c>
      <c r="AA92" s="1298" t="s">
        <v>2680</v>
      </c>
      <c r="AB92" s="230">
        <f t="shared" si="38"/>
        <v>10</v>
      </c>
      <c r="AC92" s="1315" t="str">
        <f t="shared" si="39"/>
        <v>+</v>
      </c>
      <c r="AD92" s="1315">
        <f t="shared" si="40"/>
        <v>10</v>
      </c>
      <c r="AE92" s="1315"/>
      <c r="AF92" s="1316"/>
      <c r="AG92" s="1298" t="str">
        <f t="shared" si="41"/>
        <v>10+10</v>
      </c>
      <c r="AH92" s="1304">
        <f>'Зона ВЭс'!L45</f>
        <v>3.7499999999999999E-2</v>
      </c>
      <c r="AI92" s="1304">
        <f t="shared" si="35"/>
        <v>5.0774999999999997</v>
      </c>
      <c r="AJ92" s="1304">
        <f t="shared" si="42"/>
        <v>0</v>
      </c>
      <c r="AK92" s="1298">
        <f t="shared" si="43"/>
        <v>0</v>
      </c>
      <c r="AL92" s="1304">
        <f t="shared" si="60"/>
        <v>5.0774999999999997</v>
      </c>
      <c r="AM92" s="1298">
        <v>0</v>
      </c>
      <c r="AN92" s="893">
        <f t="shared" si="61"/>
        <v>10.5</v>
      </c>
      <c r="AO92" s="1304">
        <f>AN92-AI92</f>
        <v>5.4225000000000003</v>
      </c>
      <c r="AP92" s="1304">
        <f>AO92</f>
        <v>5.4225000000000003</v>
      </c>
      <c r="AQ92" s="1339" t="str">
        <f t="shared" si="36"/>
        <v/>
      </c>
      <c r="AR92" s="1298" t="str">
        <f t="shared" si="51"/>
        <v/>
      </c>
      <c r="AS92" s="952">
        <f t="shared" si="62"/>
        <v>48.357142857142854</v>
      </c>
      <c r="AT92" s="954" t="s">
        <v>755</v>
      </c>
      <c r="AU92" s="1113">
        <v>1986</v>
      </c>
      <c r="AV92" s="1119" t="s">
        <v>3286</v>
      </c>
      <c r="AW92" s="1121">
        <v>57.868926338664501</v>
      </c>
      <c r="AX92" s="1121">
        <v>33.678183903363703</v>
      </c>
    </row>
    <row r="93" spans="1:50" ht="20.100000000000001" customHeight="1" x14ac:dyDescent="0.25">
      <c r="A93" s="213">
        <v>66</v>
      </c>
      <c r="B93" s="213">
        <v>16</v>
      </c>
      <c r="C93" s="213" t="s">
        <v>965</v>
      </c>
      <c r="D93" s="230">
        <v>3.2</v>
      </c>
      <c r="E93" s="229" t="s">
        <v>785</v>
      </c>
      <c r="F93" s="229">
        <v>3.2</v>
      </c>
      <c r="G93" s="229"/>
      <c r="H93" s="228"/>
      <c r="I93" s="229" t="str">
        <f t="shared" si="37"/>
        <v>3,2+3,2</v>
      </c>
      <c r="J93" s="895">
        <v>2.5499999999999998</v>
      </c>
      <c r="K93" s="172">
        <v>0</v>
      </c>
      <c r="L93" s="213">
        <v>0</v>
      </c>
      <c r="M93" s="172">
        <f t="shared" si="56"/>
        <v>2.5499999999999998</v>
      </c>
      <c r="N93" s="172">
        <v>0</v>
      </c>
      <c r="O93" s="893"/>
      <c r="P93" s="893">
        <f t="shared" si="57"/>
        <v>3.3600000000000003</v>
      </c>
      <c r="Q93" s="172">
        <f t="shared" si="58"/>
        <v>0.8100000000000005</v>
      </c>
      <c r="R93" s="172">
        <f t="shared" si="53"/>
        <v>0.8100000000000005</v>
      </c>
      <c r="S93" s="213" t="str">
        <f t="shared" si="34"/>
        <v/>
      </c>
      <c r="T93" s="257" t="str">
        <f t="shared" si="46"/>
        <v/>
      </c>
      <c r="U93" s="768">
        <f t="shared" si="59"/>
        <v>75.892857142857125</v>
      </c>
      <c r="V93" s="768">
        <v>0.7</v>
      </c>
      <c r="W93" s="768" t="s">
        <v>3088</v>
      </c>
      <c r="X93" s="929"/>
      <c r="Y93" s="213">
        <v>66</v>
      </c>
      <c r="Z93" s="1316">
        <v>16</v>
      </c>
      <c r="AA93" s="1298" t="s">
        <v>965</v>
      </c>
      <c r="AB93" s="230">
        <f t="shared" si="38"/>
        <v>3.2</v>
      </c>
      <c r="AC93" s="1315" t="str">
        <f t="shared" si="39"/>
        <v>+</v>
      </c>
      <c r="AD93" s="1315">
        <f t="shared" si="40"/>
        <v>3.2</v>
      </c>
      <c r="AE93" s="1315"/>
      <c r="AF93" s="1316"/>
      <c r="AG93" s="1298" t="str">
        <f t="shared" si="41"/>
        <v>3,2+3,2</v>
      </c>
      <c r="AH93" s="1304">
        <f>'Зона ВЭс'!L48</f>
        <v>0</v>
      </c>
      <c r="AI93" s="1304">
        <f t="shared" si="35"/>
        <v>2.5499999999999998</v>
      </c>
      <c r="AJ93" s="1304">
        <f t="shared" si="42"/>
        <v>0</v>
      </c>
      <c r="AK93" s="1298">
        <f t="shared" si="43"/>
        <v>0</v>
      </c>
      <c r="AL93" s="1304">
        <f t="shared" si="60"/>
        <v>2.5499999999999998</v>
      </c>
      <c r="AM93" s="1298">
        <v>0</v>
      </c>
      <c r="AN93" s="893">
        <f t="shared" si="61"/>
        <v>3.3600000000000003</v>
      </c>
      <c r="AO93" s="1304">
        <f t="shared" ref="AO93:AO124" si="63">AN93-AL93-AM93</f>
        <v>0.8100000000000005</v>
      </c>
      <c r="AP93" s="1304">
        <f t="shared" si="55"/>
        <v>0.8100000000000005</v>
      </c>
      <c r="AQ93" s="1339" t="str">
        <f>AR93</f>
        <v/>
      </c>
      <c r="AR93" s="1298" t="str">
        <f t="shared" si="51"/>
        <v/>
      </c>
      <c r="AS93" s="952">
        <f t="shared" si="62"/>
        <v>75.892857142857125</v>
      </c>
      <c r="AT93" s="954" t="s">
        <v>755</v>
      </c>
      <c r="AU93" s="1113">
        <v>1960</v>
      </c>
      <c r="AV93" s="1119" t="s">
        <v>3286</v>
      </c>
      <c r="AW93" s="1121">
        <v>57.670826900589198</v>
      </c>
      <c r="AX93" s="1121">
        <v>34.143911100993201</v>
      </c>
    </row>
    <row r="94" spans="1:50" ht="20.100000000000001" customHeight="1" x14ac:dyDescent="0.25">
      <c r="A94" s="213">
        <v>67</v>
      </c>
      <c r="B94" s="213">
        <v>17</v>
      </c>
      <c r="C94" s="213" t="s">
        <v>966</v>
      </c>
      <c r="D94" s="230">
        <v>2.5</v>
      </c>
      <c r="E94" s="229" t="s">
        <v>785</v>
      </c>
      <c r="F94" s="229">
        <v>2.5</v>
      </c>
      <c r="G94" s="229"/>
      <c r="H94" s="228"/>
      <c r="I94" s="229" t="str">
        <f t="shared" si="37"/>
        <v>2,5+2,5</v>
      </c>
      <c r="J94" s="895">
        <v>0.55000000000000004</v>
      </c>
      <c r="K94" s="172">
        <v>0.2</v>
      </c>
      <c r="L94" s="213">
        <v>120</v>
      </c>
      <c r="M94" s="172">
        <f t="shared" si="56"/>
        <v>0.35000000000000003</v>
      </c>
      <c r="N94" s="172">
        <v>0</v>
      </c>
      <c r="O94" s="893"/>
      <c r="P94" s="893">
        <f t="shared" si="57"/>
        <v>2.625</v>
      </c>
      <c r="Q94" s="172">
        <f t="shared" si="58"/>
        <v>2.2749999999999999</v>
      </c>
      <c r="R94" s="172">
        <f t="shared" si="53"/>
        <v>2.2749999999999999</v>
      </c>
      <c r="S94" s="213" t="str">
        <f t="shared" si="34"/>
        <v/>
      </c>
      <c r="T94" s="257" t="str">
        <f t="shared" si="46"/>
        <v/>
      </c>
      <c r="U94" s="768">
        <f t="shared" si="59"/>
        <v>20.952380952380956</v>
      </c>
      <c r="V94" s="768">
        <v>0.4</v>
      </c>
      <c r="W94" s="768" t="s">
        <v>3088</v>
      </c>
      <c r="X94" s="929"/>
      <c r="Y94" s="213">
        <v>67</v>
      </c>
      <c r="Z94" s="1316">
        <v>17</v>
      </c>
      <c r="AA94" s="1298" t="s">
        <v>966</v>
      </c>
      <c r="AB94" s="230">
        <f t="shared" si="38"/>
        <v>2.5</v>
      </c>
      <c r="AC94" s="1315" t="str">
        <f t="shared" si="39"/>
        <v>+</v>
      </c>
      <c r="AD94" s="1315">
        <f t="shared" si="40"/>
        <v>2.5</v>
      </c>
      <c r="AE94" s="1315"/>
      <c r="AF94" s="1316"/>
      <c r="AG94" s="1298" t="str">
        <f t="shared" si="41"/>
        <v>2,5+2,5</v>
      </c>
      <c r="AH94" s="1304">
        <f>'Зона ВЭс'!L50</f>
        <v>0</v>
      </c>
      <c r="AI94" s="1304">
        <f t="shared" si="35"/>
        <v>0.55000000000000004</v>
      </c>
      <c r="AJ94" s="1304">
        <f t="shared" si="42"/>
        <v>0.2</v>
      </c>
      <c r="AK94" s="1298">
        <f t="shared" si="43"/>
        <v>120</v>
      </c>
      <c r="AL94" s="1304">
        <f t="shared" si="60"/>
        <v>0.35000000000000003</v>
      </c>
      <c r="AM94" s="1298">
        <v>0</v>
      </c>
      <c r="AN94" s="893">
        <f t="shared" si="61"/>
        <v>2.625</v>
      </c>
      <c r="AO94" s="1304">
        <f t="shared" si="63"/>
        <v>2.2749999999999999</v>
      </c>
      <c r="AP94" s="1304">
        <f t="shared" si="55"/>
        <v>2.2749999999999999</v>
      </c>
      <c r="AQ94" s="1298" t="str">
        <f t="shared" si="36"/>
        <v/>
      </c>
      <c r="AR94" s="1298" t="str">
        <f t="shared" si="51"/>
        <v/>
      </c>
      <c r="AS94" s="952">
        <f t="shared" si="62"/>
        <v>20.952380952380956</v>
      </c>
      <c r="AT94" s="954" t="s">
        <v>755</v>
      </c>
      <c r="AU94" s="1113">
        <v>1979</v>
      </c>
      <c r="AV94" s="1119" t="s">
        <v>3286</v>
      </c>
      <c r="AW94" s="1121">
        <v>57.7721481817238</v>
      </c>
      <c r="AX94" s="1121">
        <v>34.383550362481301</v>
      </c>
    </row>
    <row r="95" spans="1:50" ht="20.100000000000001" customHeight="1" x14ac:dyDescent="0.25">
      <c r="A95" s="213">
        <v>68</v>
      </c>
      <c r="B95" s="213">
        <v>18</v>
      </c>
      <c r="C95" s="213" t="s">
        <v>967</v>
      </c>
      <c r="D95" s="230">
        <v>6.3</v>
      </c>
      <c r="E95" s="229" t="s">
        <v>785</v>
      </c>
      <c r="F95" s="229">
        <v>6.3</v>
      </c>
      <c r="G95" s="229"/>
      <c r="H95" s="228"/>
      <c r="I95" s="229" t="str">
        <f t="shared" si="37"/>
        <v>6,3+6,3</v>
      </c>
      <c r="J95" s="895">
        <v>0.42</v>
      </c>
      <c r="K95" s="172">
        <v>0</v>
      </c>
      <c r="L95" s="213">
        <v>0</v>
      </c>
      <c r="M95" s="172">
        <f t="shared" si="56"/>
        <v>0.42</v>
      </c>
      <c r="N95" s="172">
        <v>0</v>
      </c>
      <c r="O95" s="893"/>
      <c r="P95" s="893">
        <f t="shared" si="57"/>
        <v>6.6150000000000002</v>
      </c>
      <c r="Q95" s="172">
        <f t="shared" si="58"/>
        <v>6.1950000000000003</v>
      </c>
      <c r="R95" s="172">
        <f t="shared" si="53"/>
        <v>6.1950000000000003</v>
      </c>
      <c r="S95" s="213" t="str">
        <f t="shared" si="34"/>
        <v/>
      </c>
      <c r="T95" s="257" t="str">
        <f t="shared" si="46"/>
        <v/>
      </c>
      <c r="U95" s="768">
        <f t="shared" si="59"/>
        <v>6.3492063492063489</v>
      </c>
      <c r="V95" s="768">
        <v>0.4</v>
      </c>
      <c r="W95" s="768" t="s">
        <v>3088</v>
      </c>
      <c r="X95" s="929"/>
      <c r="Y95" s="213">
        <v>68</v>
      </c>
      <c r="Z95" s="1316">
        <v>18</v>
      </c>
      <c r="AA95" s="1298" t="s">
        <v>967</v>
      </c>
      <c r="AB95" s="230">
        <f t="shared" si="38"/>
        <v>6.3</v>
      </c>
      <c r="AC95" s="1315" t="str">
        <f t="shared" si="39"/>
        <v>+</v>
      </c>
      <c r="AD95" s="1315">
        <f t="shared" si="40"/>
        <v>6.3</v>
      </c>
      <c r="AE95" s="1315"/>
      <c r="AF95" s="1316"/>
      <c r="AG95" s="1298" t="str">
        <f t="shared" si="41"/>
        <v>6,3+6,3</v>
      </c>
      <c r="AH95" s="1304">
        <f>'Зона ВЭс'!L52</f>
        <v>0</v>
      </c>
      <c r="AI95" s="1304">
        <f t="shared" si="35"/>
        <v>0.42</v>
      </c>
      <c r="AJ95" s="1304">
        <f t="shared" si="42"/>
        <v>0</v>
      </c>
      <c r="AK95" s="1298">
        <f t="shared" si="43"/>
        <v>0</v>
      </c>
      <c r="AL95" s="1304">
        <f t="shared" si="60"/>
        <v>0.42</v>
      </c>
      <c r="AM95" s="1298">
        <v>0</v>
      </c>
      <c r="AN95" s="893">
        <f t="shared" si="61"/>
        <v>6.6150000000000002</v>
      </c>
      <c r="AO95" s="1304">
        <f t="shared" si="63"/>
        <v>6.1950000000000003</v>
      </c>
      <c r="AP95" s="1304">
        <f t="shared" si="55"/>
        <v>6.1950000000000003</v>
      </c>
      <c r="AQ95" s="1298" t="str">
        <f t="shared" si="36"/>
        <v/>
      </c>
      <c r="AR95" s="1298" t="str">
        <f t="shared" si="51"/>
        <v/>
      </c>
      <c r="AS95" s="952">
        <f t="shared" si="62"/>
        <v>6.3492063492063489</v>
      </c>
      <c r="AT95" s="954" t="s">
        <v>755</v>
      </c>
      <c r="AU95" s="1113">
        <v>1988</v>
      </c>
      <c r="AV95" s="1119" t="s">
        <v>3286</v>
      </c>
      <c r="AW95" s="1121">
        <v>57.8442779260156</v>
      </c>
      <c r="AX95" s="1121">
        <v>34.162693792070002</v>
      </c>
    </row>
    <row r="96" spans="1:50" ht="20.100000000000001" customHeight="1" x14ac:dyDescent="0.25">
      <c r="A96" s="213">
        <v>69</v>
      </c>
      <c r="B96" s="213">
        <v>19</v>
      </c>
      <c r="C96" s="213" t="s">
        <v>968</v>
      </c>
      <c r="D96" s="230">
        <v>6.3</v>
      </c>
      <c r="E96" s="229" t="s">
        <v>785</v>
      </c>
      <c r="F96" s="229">
        <v>6.3</v>
      </c>
      <c r="G96" s="229"/>
      <c r="H96" s="228"/>
      <c r="I96" s="229" t="str">
        <f t="shared" si="37"/>
        <v>6,3+6,3</v>
      </c>
      <c r="J96" s="895">
        <v>1.29</v>
      </c>
      <c r="K96" s="172">
        <v>0</v>
      </c>
      <c r="L96" s="213">
        <v>0</v>
      </c>
      <c r="M96" s="172">
        <f t="shared" si="56"/>
        <v>1.29</v>
      </c>
      <c r="N96" s="172">
        <v>0</v>
      </c>
      <c r="O96" s="893"/>
      <c r="P96" s="893">
        <f t="shared" si="57"/>
        <v>6.6150000000000002</v>
      </c>
      <c r="Q96" s="172">
        <f t="shared" si="58"/>
        <v>5.3250000000000002</v>
      </c>
      <c r="R96" s="172">
        <f t="shared" si="53"/>
        <v>5.3250000000000002</v>
      </c>
      <c r="S96" s="213" t="str">
        <f t="shared" si="34"/>
        <v/>
      </c>
      <c r="T96" s="257" t="str">
        <f t="shared" si="46"/>
        <v/>
      </c>
      <c r="U96" s="768">
        <f t="shared" si="59"/>
        <v>19.501133786848072</v>
      </c>
      <c r="V96" s="768">
        <v>0.7</v>
      </c>
      <c r="W96" s="768" t="s">
        <v>3088</v>
      </c>
      <c r="X96" s="929"/>
      <c r="Y96" s="213">
        <v>69</v>
      </c>
      <c r="Z96" s="1316">
        <v>19</v>
      </c>
      <c r="AA96" s="1298" t="s">
        <v>968</v>
      </c>
      <c r="AB96" s="230">
        <f t="shared" si="38"/>
        <v>6.3</v>
      </c>
      <c r="AC96" s="1315" t="str">
        <f t="shared" si="39"/>
        <v>+</v>
      </c>
      <c r="AD96" s="1315">
        <f t="shared" si="40"/>
        <v>6.3</v>
      </c>
      <c r="AE96" s="1315"/>
      <c r="AF96" s="1316"/>
      <c r="AG96" s="1298" t="str">
        <f t="shared" si="41"/>
        <v>6,3+6,3</v>
      </c>
      <c r="AH96" s="1304">
        <f>'Зона ВЭс'!L57</f>
        <v>0.5</v>
      </c>
      <c r="AI96" s="1304">
        <f t="shared" si="35"/>
        <v>1.79</v>
      </c>
      <c r="AJ96" s="1304">
        <f t="shared" si="42"/>
        <v>0</v>
      </c>
      <c r="AK96" s="1298">
        <f t="shared" si="43"/>
        <v>0</v>
      </c>
      <c r="AL96" s="1304">
        <f t="shared" si="60"/>
        <v>1.79</v>
      </c>
      <c r="AM96" s="1298">
        <v>0</v>
      </c>
      <c r="AN96" s="893">
        <f t="shared" si="61"/>
        <v>6.6150000000000002</v>
      </c>
      <c r="AO96" s="1304">
        <f t="shared" si="63"/>
        <v>4.8250000000000002</v>
      </c>
      <c r="AP96" s="1304">
        <f t="shared" si="55"/>
        <v>4.8250000000000002</v>
      </c>
      <c r="AQ96" s="1298" t="str">
        <f t="shared" si="36"/>
        <v/>
      </c>
      <c r="AR96" s="1298" t="str">
        <f t="shared" si="51"/>
        <v/>
      </c>
      <c r="AS96" s="952">
        <f t="shared" si="62"/>
        <v>27.059712773998488</v>
      </c>
      <c r="AT96" s="954" t="s">
        <v>755</v>
      </c>
      <c r="AU96" s="1113">
        <v>1975</v>
      </c>
      <c r="AV96" s="1119" t="s">
        <v>3286</v>
      </c>
      <c r="AW96" s="1121">
        <v>57.442031982207403</v>
      </c>
      <c r="AX96" s="1121">
        <v>33.814412439192097</v>
      </c>
    </row>
    <row r="97" spans="1:50" ht="20.100000000000001" customHeight="1" x14ac:dyDescent="0.25">
      <c r="A97" s="213">
        <v>70</v>
      </c>
      <c r="B97" s="213">
        <v>20</v>
      </c>
      <c r="C97" s="213" t="s">
        <v>969</v>
      </c>
      <c r="D97" s="230">
        <v>2.5</v>
      </c>
      <c r="E97" s="229" t="s">
        <v>785</v>
      </c>
      <c r="F97" s="229">
        <v>1.6</v>
      </c>
      <c r="G97" s="229"/>
      <c r="H97" s="228"/>
      <c r="I97" s="229" t="str">
        <f t="shared" si="37"/>
        <v>2,5+1,6</v>
      </c>
      <c r="J97" s="895">
        <v>0.76</v>
      </c>
      <c r="K97" s="172">
        <v>0</v>
      </c>
      <c r="L97" s="213">
        <v>0</v>
      </c>
      <c r="M97" s="172">
        <f t="shared" si="56"/>
        <v>0.76</v>
      </c>
      <c r="N97" s="172">
        <v>0</v>
      </c>
      <c r="O97" s="893"/>
      <c r="P97" s="893">
        <f t="shared" si="57"/>
        <v>1.6800000000000002</v>
      </c>
      <c r="Q97" s="172">
        <f t="shared" si="58"/>
        <v>0.92000000000000015</v>
      </c>
      <c r="R97" s="172">
        <f t="shared" si="53"/>
        <v>0.92000000000000015</v>
      </c>
      <c r="S97" s="213" t="str">
        <f t="shared" si="34"/>
        <v/>
      </c>
      <c r="T97" s="257" t="str">
        <f t="shared" si="46"/>
        <v/>
      </c>
      <c r="U97" s="768">
        <f t="shared" si="59"/>
        <v>45.238095238095234</v>
      </c>
      <c r="V97" s="1193"/>
      <c r="W97" s="768"/>
      <c r="X97" s="929"/>
      <c r="Y97" s="213">
        <v>70</v>
      </c>
      <c r="Z97" s="1316">
        <v>20</v>
      </c>
      <c r="AA97" s="1298" t="s">
        <v>969</v>
      </c>
      <c r="AB97" s="230">
        <f t="shared" si="38"/>
        <v>2.5</v>
      </c>
      <c r="AC97" s="1315" t="str">
        <f t="shared" si="39"/>
        <v>+</v>
      </c>
      <c r="AD97" s="1315">
        <f t="shared" si="40"/>
        <v>1.6</v>
      </c>
      <c r="AE97" s="1315"/>
      <c r="AF97" s="1316"/>
      <c r="AG97" s="1298" t="str">
        <f t="shared" si="41"/>
        <v>2,5+1,6</v>
      </c>
      <c r="AH97" s="1304">
        <f>'Зона ВЭс'!L63</f>
        <v>0</v>
      </c>
      <c r="AI97" s="1304">
        <f t="shared" si="35"/>
        <v>0.76</v>
      </c>
      <c r="AJ97" s="1304">
        <f t="shared" si="42"/>
        <v>0</v>
      </c>
      <c r="AK97" s="1298">
        <f t="shared" si="43"/>
        <v>0</v>
      </c>
      <c r="AL97" s="1304">
        <f t="shared" si="60"/>
        <v>0.76</v>
      </c>
      <c r="AM97" s="1298">
        <v>0</v>
      </c>
      <c r="AN97" s="893">
        <f t="shared" si="61"/>
        <v>1.6800000000000002</v>
      </c>
      <c r="AO97" s="1304">
        <f t="shared" si="63"/>
        <v>0.92000000000000015</v>
      </c>
      <c r="AP97" s="1304">
        <f t="shared" si="55"/>
        <v>0.92000000000000015</v>
      </c>
      <c r="AQ97" s="1298" t="str">
        <f t="shared" si="36"/>
        <v/>
      </c>
      <c r="AR97" s="1298" t="str">
        <f t="shared" si="51"/>
        <v/>
      </c>
      <c r="AS97" s="952">
        <f t="shared" si="62"/>
        <v>45.238095238095234</v>
      </c>
      <c r="AT97" s="954" t="s">
        <v>755</v>
      </c>
      <c r="AU97" s="1113">
        <v>1979</v>
      </c>
      <c r="AV97" s="1119" t="s">
        <v>3286</v>
      </c>
      <c r="AW97" s="1121">
        <v>57.3579252791329</v>
      </c>
      <c r="AX97" s="1121">
        <v>34.836595533239702</v>
      </c>
    </row>
    <row r="98" spans="1:50" ht="20.100000000000001" customHeight="1" x14ac:dyDescent="0.25">
      <c r="A98" s="213">
        <v>71</v>
      </c>
      <c r="B98" s="213">
        <v>21</v>
      </c>
      <c r="C98" s="213" t="s">
        <v>970</v>
      </c>
      <c r="D98" s="230">
        <v>2.5</v>
      </c>
      <c r="E98" s="229" t="s">
        <v>785</v>
      </c>
      <c r="F98" s="229">
        <v>1.6</v>
      </c>
      <c r="G98" s="229"/>
      <c r="H98" s="228"/>
      <c r="I98" s="229" t="str">
        <f t="shared" si="37"/>
        <v>2,5+1,6</v>
      </c>
      <c r="J98" s="895">
        <v>0.5</v>
      </c>
      <c r="K98" s="172">
        <v>0.4</v>
      </c>
      <c r="L98" s="213">
        <v>120</v>
      </c>
      <c r="M98" s="172">
        <f t="shared" si="56"/>
        <v>9.9999999999999978E-2</v>
      </c>
      <c r="N98" s="172">
        <v>0</v>
      </c>
      <c r="O98" s="893"/>
      <c r="P98" s="893">
        <f t="shared" si="57"/>
        <v>1.6800000000000002</v>
      </c>
      <c r="Q98" s="172">
        <f t="shared" si="58"/>
        <v>1.58</v>
      </c>
      <c r="R98" s="172">
        <f t="shared" si="53"/>
        <v>1.58</v>
      </c>
      <c r="S98" s="213" t="str">
        <f t="shared" si="34"/>
        <v/>
      </c>
      <c r="T98" s="257" t="str">
        <f t="shared" si="46"/>
        <v/>
      </c>
      <c r="U98" s="768">
        <f t="shared" si="59"/>
        <v>29.761904761904759</v>
      </c>
      <c r="V98" s="768">
        <v>0.5</v>
      </c>
      <c r="W98" s="768" t="s">
        <v>3088</v>
      </c>
      <c r="X98" s="929"/>
      <c r="Y98" s="213">
        <v>71</v>
      </c>
      <c r="Z98" s="1316">
        <v>21</v>
      </c>
      <c r="AA98" s="1298" t="s">
        <v>970</v>
      </c>
      <c r="AB98" s="230">
        <f>D98</f>
        <v>2.5</v>
      </c>
      <c r="AC98" s="1315" t="str">
        <f t="shared" si="39"/>
        <v>+</v>
      </c>
      <c r="AD98" s="1315">
        <f t="shared" si="40"/>
        <v>1.6</v>
      </c>
      <c r="AE98" s="1315"/>
      <c r="AF98" s="1316"/>
      <c r="AG98" s="1298" t="str">
        <f t="shared" si="41"/>
        <v>2,5+1,6</v>
      </c>
      <c r="AH98" s="1304">
        <f>'Зона ВЭс'!L66</f>
        <v>0</v>
      </c>
      <c r="AI98" s="1304">
        <f t="shared" si="35"/>
        <v>0.5</v>
      </c>
      <c r="AJ98" s="1304">
        <f t="shared" si="42"/>
        <v>0.4</v>
      </c>
      <c r="AK98" s="1298">
        <f t="shared" si="43"/>
        <v>120</v>
      </c>
      <c r="AL98" s="1304">
        <f t="shared" si="60"/>
        <v>9.9999999999999978E-2</v>
      </c>
      <c r="AM98" s="1298">
        <v>0</v>
      </c>
      <c r="AN98" s="893">
        <f t="shared" si="61"/>
        <v>1.6800000000000002</v>
      </c>
      <c r="AO98" s="1304">
        <f t="shared" si="63"/>
        <v>1.58</v>
      </c>
      <c r="AP98" s="1304">
        <f t="shared" si="55"/>
        <v>1.58</v>
      </c>
      <c r="AQ98" s="1298" t="str">
        <f t="shared" si="36"/>
        <v/>
      </c>
      <c r="AR98" s="1298" t="str">
        <f t="shared" si="51"/>
        <v/>
      </c>
      <c r="AS98" s="952">
        <f t="shared" si="62"/>
        <v>29.761904761904759</v>
      </c>
      <c r="AT98" s="954" t="s">
        <v>755</v>
      </c>
      <c r="AU98" s="1113">
        <v>1990</v>
      </c>
      <c r="AV98" s="1119" t="s">
        <v>3286</v>
      </c>
      <c r="AW98" s="1121">
        <v>57.767868441990103</v>
      </c>
      <c r="AX98" s="1121">
        <v>34.892569280207297</v>
      </c>
    </row>
    <row r="99" spans="1:50" ht="20.100000000000001" customHeight="1" x14ac:dyDescent="0.25">
      <c r="A99" s="213">
        <v>72</v>
      </c>
      <c r="B99" s="213">
        <v>22</v>
      </c>
      <c r="C99" s="213" t="s">
        <v>2421</v>
      </c>
      <c r="D99" s="230">
        <v>1.6</v>
      </c>
      <c r="E99" s="229" t="s">
        <v>785</v>
      </c>
      <c r="F99" s="229">
        <v>1.6</v>
      </c>
      <c r="G99" s="229"/>
      <c r="H99" s="228"/>
      <c r="I99" s="229" t="str">
        <f t="shared" si="37"/>
        <v>1,6+1,6</v>
      </c>
      <c r="J99" s="895">
        <v>0.3</v>
      </c>
      <c r="K99" s="172">
        <v>0</v>
      </c>
      <c r="L99" s="213">
        <v>0</v>
      </c>
      <c r="M99" s="172">
        <f t="shared" si="56"/>
        <v>0.3</v>
      </c>
      <c r="N99" s="172">
        <v>0</v>
      </c>
      <c r="O99" s="893"/>
      <c r="P99" s="893">
        <f t="shared" si="57"/>
        <v>1.6800000000000002</v>
      </c>
      <c r="Q99" s="172">
        <f t="shared" si="58"/>
        <v>1.3800000000000001</v>
      </c>
      <c r="R99" s="172">
        <f t="shared" si="53"/>
        <v>1.3800000000000001</v>
      </c>
      <c r="S99" s="213" t="str">
        <f t="shared" si="34"/>
        <v/>
      </c>
      <c r="T99" s="257" t="str">
        <f t="shared" si="46"/>
        <v/>
      </c>
      <c r="U99" s="768">
        <f t="shared" si="59"/>
        <v>17.857142857142854</v>
      </c>
      <c r="V99" s="1193"/>
      <c r="W99" s="768"/>
      <c r="X99" s="929"/>
      <c r="Y99" s="213">
        <v>72</v>
      </c>
      <c r="Z99" s="1316">
        <v>22</v>
      </c>
      <c r="AA99" s="1298" t="s">
        <v>2421</v>
      </c>
      <c r="AB99" s="230">
        <f t="shared" si="38"/>
        <v>1.6</v>
      </c>
      <c r="AC99" s="1315" t="str">
        <f t="shared" si="39"/>
        <v>+</v>
      </c>
      <c r="AD99" s="1315">
        <f t="shared" si="40"/>
        <v>1.6</v>
      </c>
      <c r="AE99" s="1315"/>
      <c r="AF99" s="1316"/>
      <c r="AG99" s="1298" t="str">
        <f t="shared" si="41"/>
        <v>1,6+1,6</v>
      </c>
      <c r="AH99" s="1304">
        <f>'Зона ВЭс'!L68</f>
        <v>0</v>
      </c>
      <c r="AI99" s="1304">
        <f t="shared" si="35"/>
        <v>0.3</v>
      </c>
      <c r="AJ99" s="1304">
        <f t="shared" si="42"/>
        <v>0</v>
      </c>
      <c r="AK99" s="1298">
        <f t="shared" si="43"/>
        <v>0</v>
      </c>
      <c r="AL99" s="1304">
        <f t="shared" si="60"/>
        <v>0.3</v>
      </c>
      <c r="AM99" s="1298">
        <v>0</v>
      </c>
      <c r="AN99" s="893">
        <f t="shared" si="61"/>
        <v>1.6800000000000002</v>
      </c>
      <c r="AO99" s="1304">
        <f t="shared" si="63"/>
        <v>1.3800000000000001</v>
      </c>
      <c r="AP99" s="1304">
        <f t="shared" si="55"/>
        <v>1.3800000000000001</v>
      </c>
      <c r="AQ99" s="1298" t="str">
        <f t="shared" si="36"/>
        <v/>
      </c>
      <c r="AR99" s="1298" t="str">
        <f t="shared" si="51"/>
        <v/>
      </c>
      <c r="AS99" s="952">
        <f t="shared" si="62"/>
        <v>17.857142857142854</v>
      </c>
      <c r="AT99" s="954" t="s">
        <v>756</v>
      </c>
      <c r="AU99" s="1113">
        <v>1989</v>
      </c>
      <c r="AV99" s="1119" t="s">
        <v>3286</v>
      </c>
      <c r="AW99" s="1121">
        <v>57.488246932443701</v>
      </c>
      <c r="AX99" s="1121">
        <v>35.123287080946</v>
      </c>
    </row>
    <row r="100" spans="1:50" ht="20.100000000000001" customHeight="1" x14ac:dyDescent="0.25">
      <c r="A100" s="213">
        <v>73</v>
      </c>
      <c r="B100" s="213">
        <v>23</v>
      </c>
      <c r="C100" s="213" t="s">
        <v>971</v>
      </c>
      <c r="D100" s="230">
        <v>4</v>
      </c>
      <c r="E100" s="229" t="s">
        <v>785</v>
      </c>
      <c r="F100" s="229">
        <v>4</v>
      </c>
      <c r="G100" s="229"/>
      <c r="H100" s="228"/>
      <c r="I100" s="229" t="str">
        <f t="shared" si="37"/>
        <v>4+4</v>
      </c>
      <c r="J100" s="895">
        <v>4.3899999999999997</v>
      </c>
      <c r="K100" s="172">
        <v>0</v>
      </c>
      <c r="L100" s="213">
        <v>0</v>
      </c>
      <c r="M100" s="172">
        <f t="shared" si="56"/>
        <v>4.3899999999999997</v>
      </c>
      <c r="N100" s="172">
        <v>0</v>
      </c>
      <c r="O100" s="893"/>
      <c r="P100" s="893">
        <f t="shared" si="57"/>
        <v>4.2</v>
      </c>
      <c r="Q100" s="172">
        <f t="shared" si="58"/>
        <v>-0.1899999999999995</v>
      </c>
      <c r="R100" s="172">
        <f t="shared" si="53"/>
        <v>-0.1899999999999995</v>
      </c>
      <c r="S100" s="213" t="str">
        <f t="shared" si="34"/>
        <v>закрыт</v>
      </c>
      <c r="T100" s="257" t="str">
        <f t="shared" si="46"/>
        <v>закрыт</v>
      </c>
      <c r="U100" s="768">
        <f t="shared" si="59"/>
        <v>104.5238095238095</v>
      </c>
      <c r="V100" s="768">
        <v>0.8</v>
      </c>
      <c r="W100" s="768" t="s">
        <v>3088</v>
      </c>
      <c r="X100" s="929"/>
      <c r="Y100" s="213">
        <v>73</v>
      </c>
      <c r="Z100" s="1316">
        <v>23</v>
      </c>
      <c r="AA100" s="1298" t="s">
        <v>971</v>
      </c>
      <c r="AB100" s="230">
        <f t="shared" si="38"/>
        <v>4</v>
      </c>
      <c r="AC100" s="1315" t="str">
        <f t="shared" si="39"/>
        <v>+</v>
      </c>
      <c r="AD100" s="1315">
        <f t="shared" si="40"/>
        <v>4</v>
      </c>
      <c r="AE100" s="1315"/>
      <c r="AF100" s="1316"/>
      <c r="AG100" s="1298" t="str">
        <f t="shared" si="41"/>
        <v>4+4</v>
      </c>
      <c r="AH100" s="1304">
        <f>'Зона ВЭс'!L70</f>
        <v>0</v>
      </c>
      <c r="AI100" s="1304">
        <f t="shared" si="35"/>
        <v>4.3899999999999997</v>
      </c>
      <c r="AJ100" s="1304">
        <f t="shared" si="42"/>
        <v>0</v>
      </c>
      <c r="AK100" s="1298">
        <f t="shared" si="43"/>
        <v>0</v>
      </c>
      <c r="AL100" s="1304">
        <f t="shared" si="60"/>
        <v>4.3899999999999997</v>
      </c>
      <c r="AM100" s="1298">
        <v>0</v>
      </c>
      <c r="AN100" s="893">
        <f t="shared" si="61"/>
        <v>4.2</v>
      </c>
      <c r="AO100" s="1304">
        <f t="shared" si="63"/>
        <v>-0.1899999999999995</v>
      </c>
      <c r="AP100" s="1304">
        <f t="shared" si="55"/>
        <v>-0.1899999999999995</v>
      </c>
      <c r="AQ100" s="1298" t="str">
        <f t="shared" si="36"/>
        <v>закрыт</v>
      </c>
      <c r="AR100" s="1298" t="str">
        <f t="shared" si="51"/>
        <v>закрыт</v>
      </c>
      <c r="AS100" s="952">
        <f t="shared" si="62"/>
        <v>104.5238095238095</v>
      </c>
      <c r="AT100" s="954" t="s">
        <v>755</v>
      </c>
      <c r="AU100" s="1113">
        <v>1980</v>
      </c>
      <c r="AV100" s="1119" t="s">
        <v>3286</v>
      </c>
      <c r="AW100" s="1121">
        <v>57.629632543282298</v>
      </c>
      <c r="AX100" s="1121">
        <v>34.495544901883001</v>
      </c>
    </row>
    <row r="101" spans="1:50" ht="20.100000000000001" customHeight="1" x14ac:dyDescent="0.25">
      <c r="A101" s="213">
        <v>74</v>
      </c>
      <c r="B101" s="213">
        <v>24</v>
      </c>
      <c r="C101" s="213" t="s">
        <v>972</v>
      </c>
      <c r="D101" s="230">
        <v>1.6</v>
      </c>
      <c r="E101" s="229" t="s">
        <v>785</v>
      </c>
      <c r="F101" s="229">
        <v>1.6</v>
      </c>
      <c r="G101" s="229"/>
      <c r="H101" s="228"/>
      <c r="I101" s="229" t="str">
        <f t="shared" si="37"/>
        <v>1,6+1,6</v>
      </c>
      <c r="J101" s="895">
        <v>0.54</v>
      </c>
      <c r="K101" s="172">
        <v>0</v>
      </c>
      <c r="L101" s="213">
        <v>0</v>
      </c>
      <c r="M101" s="172">
        <f t="shared" si="56"/>
        <v>0.54</v>
      </c>
      <c r="N101" s="172">
        <v>0</v>
      </c>
      <c r="O101" s="893"/>
      <c r="P101" s="893">
        <f t="shared" si="57"/>
        <v>1.6800000000000002</v>
      </c>
      <c r="Q101" s="172">
        <f t="shared" si="58"/>
        <v>1.1400000000000001</v>
      </c>
      <c r="R101" s="172">
        <f t="shared" si="53"/>
        <v>1.1400000000000001</v>
      </c>
      <c r="S101" s="768" t="str">
        <f t="shared" si="34"/>
        <v/>
      </c>
      <c r="T101" s="257" t="str">
        <f t="shared" si="46"/>
        <v/>
      </c>
      <c r="U101" s="768">
        <f t="shared" si="59"/>
        <v>32.142857142857139</v>
      </c>
      <c r="V101" s="1193"/>
      <c r="W101" s="768"/>
      <c r="X101" s="929"/>
      <c r="Y101" s="213">
        <v>74</v>
      </c>
      <c r="Z101" s="1316">
        <v>24</v>
      </c>
      <c r="AA101" s="1298" t="s">
        <v>972</v>
      </c>
      <c r="AB101" s="230">
        <f t="shared" si="38"/>
        <v>1.6</v>
      </c>
      <c r="AC101" s="1315" t="str">
        <f t="shared" si="39"/>
        <v>+</v>
      </c>
      <c r="AD101" s="1315">
        <f t="shared" si="40"/>
        <v>1.6</v>
      </c>
      <c r="AE101" s="1315"/>
      <c r="AF101" s="1316"/>
      <c r="AG101" s="1298" t="str">
        <f t="shared" si="41"/>
        <v>1,6+1,6</v>
      </c>
      <c r="AH101" s="1304">
        <f>'Зона ВЭс'!L73</f>
        <v>0</v>
      </c>
      <c r="AI101" s="1304">
        <f t="shared" si="35"/>
        <v>0.54</v>
      </c>
      <c r="AJ101" s="1304">
        <f t="shared" si="42"/>
        <v>0</v>
      </c>
      <c r="AK101" s="1298">
        <f t="shared" si="43"/>
        <v>0</v>
      </c>
      <c r="AL101" s="1304">
        <f t="shared" si="60"/>
        <v>0.54</v>
      </c>
      <c r="AM101" s="1298">
        <v>0</v>
      </c>
      <c r="AN101" s="893">
        <f t="shared" si="61"/>
        <v>1.6800000000000002</v>
      </c>
      <c r="AO101" s="1304">
        <f t="shared" si="63"/>
        <v>1.1400000000000001</v>
      </c>
      <c r="AP101" s="1304">
        <f t="shared" si="55"/>
        <v>1.1400000000000001</v>
      </c>
      <c r="AQ101" s="1296" t="str">
        <f t="shared" si="36"/>
        <v/>
      </c>
      <c r="AR101" s="1298" t="str">
        <f t="shared" si="51"/>
        <v/>
      </c>
      <c r="AS101" s="952">
        <f t="shared" si="62"/>
        <v>32.142857142857139</v>
      </c>
      <c r="AT101" s="954" t="s">
        <v>755</v>
      </c>
      <c r="AU101" s="1113">
        <v>1979</v>
      </c>
      <c r="AV101" s="1119" t="s">
        <v>3286</v>
      </c>
      <c r="AW101" s="1121">
        <v>57.699834256032702</v>
      </c>
      <c r="AX101" s="1121">
        <v>34.772205230770801</v>
      </c>
    </row>
    <row r="102" spans="1:50" ht="20.100000000000001" customHeight="1" x14ac:dyDescent="0.25">
      <c r="A102" s="213">
        <v>75</v>
      </c>
      <c r="B102" s="213">
        <v>25</v>
      </c>
      <c r="C102" s="213" t="s">
        <v>973</v>
      </c>
      <c r="D102" s="230">
        <v>1.8</v>
      </c>
      <c r="E102" s="229" t="s">
        <v>785</v>
      </c>
      <c r="F102" s="229">
        <v>2.5</v>
      </c>
      <c r="G102" s="229"/>
      <c r="H102" s="228"/>
      <c r="I102" s="229" t="str">
        <f t="shared" si="37"/>
        <v>1,8+2,5</v>
      </c>
      <c r="J102" s="895">
        <v>1.02</v>
      </c>
      <c r="K102" s="172">
        <v>0</v>
      </c>
      <c r="L102" s="213">
        <v>0</v>
      </c>
      <c r="M102" s="172">
        <f t="shared" si="56"/>
        <v>1.02</v>
      </c>
      <c r="N102" s="172">
        <v>0</v>
      </c>
      <c r="O102" s="893"/>
      <c r="P102" s="893">
        <f t="shared" si="57"/>
        <v>1.8900000000000001</v>
      </c>
      <c r="Q102" s="172">
        <f t="shared" si="58"/>
        <v>0.87000000000000011</v>
      </c>
      <c r="R102" s="172">
        <f t="shared" si="53"/>
        <v>0.87000000000000011</v>
      </c>
      <c r="S102" s="768" t="str">
        <f t="shared" si="34"/>
        <v/>
      </c>
      <c r="T102" s="257" t="str">
        <f t="shared" si="46"/>
        <v/>
      </c>
      <c r="U102" s="768">
        <f t="shared" si="59"/>
        <v>53.968253968253961</v>
      </c>
      <c r="V102" s="768">
        <v>0.5</v>
      </c>
      <c r="W102" s="768" t="s">
        <v>3088</v>
      </c>
      <c r="X102" s="929"/>
      <c r="Y102" s="213">
        <v>75</v>
      </c>
      <c r="Z102" s="1316">
        <v>25</v>
      </c>
      <c r="AA102" s="1298" t="s">
        <v>973</v>
      </c>
      <c r="AB102" s="230">
        <f t="shared" si="38"/>
        <v>1.8</v>
      </c>
      <c r="AC102" s="1315" t="str">
        <f t="shared" si="39"/>
        <v>+</v>
      </c>
      <c r="AD102" s="1315">
        <f t="shared" si="40"/>
        <v>2.5</v>
      </c>
      <c r="AE102" s="1315"/>
      <c r="AF102" s="1316"/>
      <c r="AG102" s="1298" t="str">
        <f t="shared" si="41"/>
        <v>1,8+2,5</v>
      </c>
      <c r="AH102" s="1304">
        <f>'Зона ВЭс'!L75</f>
        <v>0</v>
      </c>
      <c r="AI102" s="1304">
        <f t="shared" si="35"/>
        <v>1.02</v>
      </c>
      <c r="AJ102" s="1304">
        <f t="shared" si="42"/>
        <v>0</v>
      </c>
      <c r="AK102" s="1298">
        <f t="shared" si="43"/>
        <v>0</v>
      </c>
      <c r="AL102" s="1304">
        <f t="shared" si="60"/>
        <v>1.02</v>
      </c>
      <c r="AM102" s="1298">
        <v>0</v>
      </c>
      <c r="AN102" s="893">
        <f t="shared" si="61"/>
        <v>1.8900000000000001</v>
      </c>
      <c r="AO102" s="1304">
        <f t="shared" si="63"/>
        <v>0.87000000000000011</v>
      </c>
      <c r="AP102" s="1304">
        <f t="shared" si="55"/>
        <v>0.87000000000000011</v>
      </c>
      <c r="AQ102" s="1296" t="str">
        <f t="shared" si="36"/>
        <v/>
      </c>
      <c r="AR102" s="1298" t="str">
        <f t="shared" si="51"/>
        <v/>
      </c>
      <c r="AS102" s="952">
        <f t="shared" si="62"/>
        <v>53.968253968253961</v>
      </c>
      <c r="AT102" s="954" t="s">
        <v>755</v>
      </c>
      <c r="AU102" s="1113">
        <v>1979</v>
      </c>
      <c r="AV102" s="1119" t="s">
        <v>3286</v>
      </c>
      <c r="AW102" s="1121">
        <v>57.279388593644498</v>
      </c>
      <c r="AX102" s="1121">
        <v>34.2263674343438</v>
      </c>
    </row>
    <row r="103" spans="1:50" ht="20.100000000000001" customHeight="1" x14ac:dyDescent="0.25">
      <c r="A103" s="213">
        <v>76</v>
      </c>
      <c r="B103" s="213">
        <v>26</v>
      </c>
      <c r="C103" s="213" t="s">
        <v>974</v>
      </c>
      <c r="D103" s="230">
        <v>2.5</v>
      </c>
      <c r="E103" s="229" t="s">
        <v>785</v>
      </c>
      <c r="F103" s="229">
        <v>2.5</v>
      </c>
      <c r="G103" s="229"/>
      <c r="H103" s="228"/>
      <c r="I103" s="229" t="str">
        <f t="shared" si="37"/>
        <v>2,5+2,5</v>
      </c>
      <c r="J103" s="895">
        <v>0.41</v>
      </c>
      <c r="K103" s="172">
        <v>0</v>
      </c>
      <c r="L103" s="213">
        <v>0</v>
      </c>
      <c r="M103" s="172">
        <f t="shared" si="56"/>
        <v>0.41</v>
      </c>
      <c r="N103" s="172">
        <v>0</v>
      </c>
      <c r="O103" s="893"/>
      <c r="P103" s="893">
        <f t="shared" si="57"/>
        <v>2.625</v>
      </c>
      <c r="Q103" s="172">
        <f t="shared" si="58"/>
        <v>2.2149999999999999</v>
      </c>
      <c r="R103" s="172">
        <f t="shared" si="53"/>
        <v>2.2149999999999999</v>
      </c>
      <c r="S103" s="768" t="str">
        <f t="shared" si="34"/>
        <v/>
      </c>
      <c r="T103" s="257" t="str">
        <f t="shared" si="46"/>
        <v/>
      </c>
      <c r="U103" s="768">
        <f t="shared" si="59"/>
        <v>15.619047619047619</v>
      </c>
      <c r="V103" s="768">
        <v>0.7</v>
      </c>
      <c r="W103" s="768" t="s">
        <v>3088</v>
      </c>
      <c r="X103" s="929"/>
      <c r="Y103" s="213">
        <v>76</v>
      </c>
      <c r="Z103" s="1316">
        <v>26</v>
      </c>
      <c r="AA103" s="1298" t="s">
        <v>974</v>
      </c>
      <c r="AB103" s="230">
        <f t="shared" si="38"/>
        <v>2.5</v>
      </c>
      <c r="AC103" s="1315" t="str">
        <f t="shared" si="39"/>
        <v>+</v>
      </c>
      <c r="AD103" s="1315">
        <f t="shared" si="40"/>
        <v>2.5</v>
      </c>
      <c r="AE103" s="1315"/>
      <c r="AF103" s="1316"/>
      <c r="AG103" s="1298" t="str">
        <f t="shared" si="41"/>
        <v>2,5+2,5</v>
      </c>
      <c r="AH103" s="1304">
        <f>'Зона ВЭс'!L78</f>
        <v>0.25</v>
      </c>
      <c r="AI103" s="1304">
        <f t="shared" si="35"/>
        <v>0.65999999999999992</v>
      </c>
      <c r="AJ103" s="1304">
        <f t="shared" si="42"/>
        <v>0</v>
      </c>
      <c r="AK103" s="1298">
        <f t="shared" si="43"/>
        <v>0</v>
      </c>
      <c r="AL103" s="1304">
        <f t="shared" si="60"/>
        <v>0.65999999999999992</v>
      </c>
      <c r="AM103" s="1298">
        <v>0</v>
      </c>
      <c r="AN103" s="893">
        <f t="shared" si="61"/>
        <v>2.625</v>
      </c>
      <c r="AO103" s="1304">
        <f t="shared" si="63"/>
        <v>1.9650000000000001</v>
      </c>
      <c r="AP103" s="1304">
        <f t="shared" si="55"/>
        <v>1.9650000000000001</v>
      </c>
      <c r="AQ103" s="1296" t="str">
        <f t="shared" si="36"/>
        <v/>
      </c>
      <c r="AR103" s="1298" t="str">
        <f t="shared" si="51"/>
        <v/>
      </c>
      <c r="AS103" s="952">
        <f t="shared" si="62"/>
        <v>25.142857142857139</v>
      </c>
      <c r="AT103" s="954" t="s">
        <v>755</v>
      </c>
      <c r="AU103" s="1113">
        <v>1988</v>
      </c>
      <c r="AV103" s="214">
        <v>2011</v>
      </c>
      <c r="AW103" s="1121">
        <v>57.573525012778198</v>
      </c>
      <c r="AX103" s="1121">
        <v>34.580709108756601</v>
      </c>
    </row>
    <row r="104" spans="1:50" ht="20.100000000000001" customHeight="1" x14ac:dyDescent="0.25">
      <c r="A104" s="213">
        <v>77</v>
      </c>
      <c r="B104" s="213">
        <v>27</v>
      </c>
      <c r="C104" s="213" t="s">
        <v>975</v>
      </c>
      <c r="D104" s="230">
        <v>6.3</v>
      </c>
      <c r="E104" s="229" t="s">
        <v>785</v>
      </c>
      <c r="F104" s="229">
        <v>6.3</v>
      </c>
      <c r="G104" s="229"/>
      <c r="H104" s="228"/>
      <c r="I104" s="229" t="str">
        <f t="shared" si="37"/>
        <v>6,3+6,3</v>
      </c>
      <c r="J104" s="895">
        <v>1.48</v>
      </c>
      <c r="K104" s="172">
        <v>0.2</v>
      </c>
      <c r="L104" s="213">
        <v>120</v>
      </c>
      <c r="M104" s="172">
        <f t="shared" si="56"/>
        <v>1.28</v>
      </c>
      <c r="N104" s="172">
        <v>0</v>
      </c>
      <c r="O104" s="893"/>
      <c r="P104" s="893">
        <f t="shared" si="57"/>
        <v>6.6150000000000002</v>
      </c>
      <c r="Q104" s="172">
        <f t="shared" si="58"/>
        <v>5.335</v>
      </c>
      <c r="R104" s="172">
        <f t="shared" si="53"/>
        <v>5.335</v>
      </c>
      <c r="S104" s="768" t="str">
        <f t="shared" si="34"/>
        <v/>
      </c>
      <c r="T104" s="257" t="str">
        <f t="shared" si="46"/>
        <v/>
      </c>
      <c r="U104" s="768">
        <f t="shared" si="59"/>
        <v>22.373393801965229</v>
      </c>
      <c r="V104" s="1193"/>
      <c r="W104" s="768"/>
      <c r="X104" s="929"/>
      <c r="Y104" s="213">
        <v>77</v>
      </c>
      <c r="Z104" s="1316">
        <v>27</v>
      </c>
      <c r="AA104" s="1298" t="s">
        <v>975</v>
      </c>
      <c r="AB104" s="230">
        <f t="shared" si="38"/>
        <v>6.3</v>
      </c>
      <c r="AC104" s="1315" t="str">
        <f t="shared" si="39"/>
        <v>+</v>
      </c>
      <c r="AD104" s="1315">
        <f t="shared" si="40"/>
        <v>6.3</v>
      </c>
      <c r="AE104" s="1315"/>
      <c r="AF104" s="1316"/>
      <c r="AG104" s="1298" t="str">
        <f t="shared" si="41"/>
        <v>6,3+6,3</v>
      </c>
      <c r="AH104" s="1304">
        <f>'Зона ВЭс'!L81</f>
        <v>0</v>
      </c>
      <c r="AI104" s="1304">
        <f t="shared" si="35"/>
        <v>1.48</v>
      </c>
      <c r="AJ104" s="1304">
        <f t="shared" si="42"/>
        <v>0.2</v>
      </c>
      <c r="AK104" s="1298">
        <f t="shared" si="43"/>
        <v>120</v>
      </c>
      <c r="AL104" s="1304">
        <f t="shared" si="60"/>
        <v>1.28</v>
      </c>
      <c r="AM104" s="1298">
        <v>0</v>
      </c>
      <c r="AN104" s="893">
        <f t="shared" si="61"/>
        <v>6.6150000000000002</v>
      </c>
      <c r="AO104" s="1304">
        <f t="shared" si="63"/>
        <v>5.335</v>
      </c>
      <c r="AP104" s="1304">
        <f t="shared" si="55"/>
        <v>5.335</v>
      </c>
      <c r="AQ104" s="1296" t="str">
        <f t="shared" si="36"/>
        <v/>
      </c>
      <c r="AR104" s="1298" t="str">
        <f t="shared" si="51"/>
        <v/>
      </c>
      <c r="AS104" s="952">
        <f t="shared" si="62"/>
        <v>22.373393801965229</v>
      </c>
      <c r="AT104" s="954" t="s">
        <v>755</v>
      </c>
      <c r="AU104" s="1113">
        <v>1985</v>
      </c>
      <c r="AV104" s="1119" t="s">
        <v>3286</v>
      </c>
      <c r="AW104" s="1121">
        <v>57.857132786891199</v>
      </c>
      <c r="AX104" s="1121">
        <v>34.0446356018983</v>
      </c>
    </row>
    <row r="105" spans="1:50" ht="20.100000000000001" customHeight="1" x14ac:dyDescent="0.25">
      <c r="A105" s="213">
        <v>78</v>
      </c>
      <c r="B105" s="213">
        <v>28</v>
      </c>
      <c r="C105" s="213" t="s">
        <v>976</v>
      </c>
      <c r="D105" s="230">
        <v>2.5</v>
      </c>
      <c r="E105" s="229" t="s">
        <v>785</v>
      </c>
      <c r="F105" s="229">
        <v>2.5</v>
      </c>
      <c r="G105" s="229"/>
      <c r="H105" s="228"/>
      <c r="I105" s="229" t="str">
        <f t="shared" si="37"/>
        <v>2,5+2,5</v>
      </c>
      <c r="J105" s="895">
        <v>0.61</v>
      </c>
      <c r="K105" s="172">
        <v>0.61</v>
      </c>
      <c r="L105" s="213">
        <v>120</v>
      </c>
      <c r="M105" s="172">
        <f t="shared" si="56"/>
        <v>0</v>
      </c>
      <c r="N105" s="172">
        <v>0</v>
      </c>
      <c r="O105" s="893"/>
      <c r="P105" s="893">
        <f t="shared" si="57"/>
        <v>2.625</v>
      </c>
      <c r="Q105" s="172">
        <f t="shared" si="58"/>
        <v>2.625</v>
      </c>
      <c r="R105" s="172">
        <f t="shared" si="53"/>
        <v>2.625</v>
      </c>
      <c r="S105" s="768" t="str">
        <f t="shared" si="34"/>
        <v/>
      </c>
      <c r="T105" s="257" t="str">
        <f t="shared" si="46"/>
        <v/>
      </c>
      <c r="U105" s="768">
        <f t="shared" si="59"/>
        <v>23.238095238095237</v>
      </c>
      <c r="V105" s="1193"/>
      <c r="W105" s="768"/>
      <c r="X105" s="929"/>
      <c r="Y105" s="213">
        <v>78</v>
      </c>
      <c r="Z105" s="1316">
        <v>28</v>
      </c>
      <c r="AA105" s="1298" t="s">
        <v>976</v>
      </c>
      <c r="AB105" s="230">
        <f t="shared" si="38"/>
        <v>2.5</v>
      </c>
      <c r="AC105" s="1315" t="str">
        <f t="shared" si="39"/>
        <v>+</v>
      </c>
      <c r="AD105" s="1315">
        <f t="shared" si="40"/>
        <v>2.5</v>
      </c>
      <c r="AE105" s="1315"/>
      <c r="AF105" s="1316"/>
      <c r="AG105" s="1298" t="str">
        <f t="shared" si="41"/>
        <v>2,5+2,5</v>
      </c>
      <c r="AH105" s="1304">
        <f>'Зона ВЭс'!L83</f>
        <v>0</v>
      </c>
      <c r="AI105" s="1304">
        <f t="shared" si="35"/>
        <v>0.61</v>
      </c>
      <c r="AJ105" s="1304">
        <f t="shared" si="42"/>
        <v>0.61</v>
      </c>
      <c r="AK105" s="1298">
        <f t="shared" si="43"/>
        <v>120</v>
      </c>
      <c r="AL105" s="1304">
        <f t="shared" si="60"/>
        <v>0</v>
      </c>
      <c r="AM105" s="1298">
        <v>0</v>
      </c>
      <c r="AN105" s="893">
        <f t="shared" si="61"/>
        <v>2.625</v>
      </c>
      <c r="AO105" s="1304">
        <f t="shared" si="63"/>
        <v>2.625</v>
      </c>
      <c r="AP105" s="1304">
        <f t="shared" si="55"/>
        <v>2.625</v>
      </c>
      <c r="AQ105" s="1296" t="str">
        <f t="shared" si="36"/>
        <v/>
      </c>
      <c r="AR105" s="1298" t="str">
        <f t="shared" si="51"/>
        <v/>
      </c>
      <c r="AS105" s="952">
        <f t="shared" si="62"/>
        <v>23.238095238095237</v>
      </c>
      <c r="AT105" s="954" t="s">
        <v>755</v>
      </c>
      <c r="AU105" s="1113">
        <v>1981</v>
      </c>
      <c r="AV105" s="1119" t="s">
        <v>3286</v>
      </c>
      <c r="AW105" s="1121">
        <v>57.303848389370401</v>
      </c>
      <c r="AX105" s="1121">
        <v>34.585047065027197</v>
      </c>
    </row>
    <row r="106" spans="1:50" ht="20.100000000000001" customHeight="1" x14ac:dyDescent="0.25">
      <c r="A106" s="213">
        <v>79</v>
      </c>
      <c r="B106" s="213">
        <v>29</v>
      </c>
      <c r="C106" s="213" t="s">
        <v>977</v>
      </c>
      <c r="D106" s="230">
        <v>1.8</v>
      </c>
      <c r="E106" s="229" t="s">
        <v>785</v>
      </c>
      <c r="F106" s="229">
        <v>4</v>
      </c>
      <c r="G106" s="229"/>
      <c r="H106" s="228"/>
      <c r="I106" s="229" t="str">
        <f t="shared" si="37"/>
        <v>1,8+4</v>
      </c>
      <c r="J106" s="895">
        <v>0.81</v>
      </c>
      <c r="K106" s="172">
        <v>0</v>
      </c>
      <c r="L106" s="213">
        <v>0</v>
      </c>
      <c r="M106" s="172">
        <f t="shared" si="56"/>
        <v>0.81</v>
      </c>
      <c r="N106" s="172">
        <v>0</v>
      </c>
      <c r="O106" s="893"/>
      <c r="P106" s="893">
        <f t="shared" si="57"/>
        <v>1.8900000000000001</v>
      </c>
      <c r="Q106" s="172">
        <f t="shared" si="58"/>
        <v>1.08</v>
      </c>
      <c r="R106" s="172">
        <f t="shared" si="53"/>
        <v>1.08</v>
      </c>
      <c r="S106" s="768" t="str">
        <f t="shared" si="34"/>
        <v/>
      </c>
      <c r="T106" s="257" t="str">
        <f t="shared" si="46"/>
        <v/>
      </c>
      <c r="U106" s="768">
        <f t="shared" si="59"/>
        <v>42.857142857142854</v>
      </c>
      <c r="V106" s="1193"/>
      <c r="W106" s="768"/>
      <c r="X106" s="929"/>
      <c r="Y106" s="213">
        <v>79</v>
      </c>
      <c r="Z106" s="1316">
        <v>29</v>
      </c>
      <c r="AA106" s="1298" t="s">
        <v>977</v>
      </c>
      <c r="AB106" s="230">
        <f t="shared" si="38"/>
        <v>1.8</v>
      </c>
      <c r="AC106" s="1315" t="str">
        <f t="shared" si="39"/>
        <v>+</v>
      </c>
      <c r="AD106" s="1315">
        <f t="shared" si="40"/>
        <v>4</v>
      </c>
      <c r="AE106" s="1315"/>
      <c r="AF106" s="1316"/>
      <c r="AG106" s="1298" t="str">
        <f t="shared" si="41"/>
        <v>1,8+4</v>
      </c>
      <c r="AH106" s="1304">
        <f>'Зона ВЭс'!L86</f>
        <v>0</v>
      </c>
      <c r="AI106" s="1304">
        <f t="shared" si="35"/>
        <v>0.81</v>
      </c>
      <c r="AJ106" s="1304">
        <f t="shared" si="42"/>
        <v>0</v>
      </c>
      <c r="AK106" s="1298">
        <f t="shared" si="43"/>
        <v>0</v>
      </c>
      <c r="AL106" s="1304">
        <f t="shared" si="60"/>
        <v>0.81</v>
      </c>
      <c r="AM106" s="1298">
        <v>0</v>
      </c>
      <c r="AN106" s="893">
        <f t="shared" si="61"/>
        <v>1.8900000000000001</v>
      </c>
      <c r="AO106" s="1304">
        <f t="shared" si="63"/>
        <v>1.08</v>
      </c>
      <c r="AP106" s="1304">
        <f t="shared" si="55"/>
        <v>1.08</v>
      </c>
      <c r="AQ106" s="1296" t="str">
        <f t="shared" si="36"/>
        <v/>
      </c>
      <c r="AR106" s="1298" t="str">
        <f t="shared" si="51"/>
        <v/>
      </c>
      <c r="AS106" s="952">
        <f t="shared" si="62"/>
        <v>42.857142857142854</v>
      </c>
      <c r="AT106" s="954" t="s">
        <v>755</v>
      </c>
      <c r="AU106" s="1113">
        <v>1972</v>
      </c>
      <c r="AV106" s="1119" t="s">
        <v>3286</v>
      </c>
      <c r="AW106" s="1121">
        <v>57.585976239644701</v>
      </c>
      <c r="AX106" s="1121">
        <v>35.472571930240903</v>
      </c>
    </row>
    <row r="107" spans="1:50" ht="20.100000000000001" customHeight="1" x14ac:dyDescent="0.25">
      <c r="A107" s="213">
        <v>80</v>
      </c>
      <c r="B107" s="213">
        <v>30</v>
      </c>
      <c r="C107" s="213" t="s">
        <v>978</v>
      </c>
      <c r="D107" s="230">
        <v>1.6</v>
      </c>
      <c r="E107" s="229" t="s">
        <v>785</v>
      </c>
      <c r="F107" s="229">
        <v>1.8</v>
      </c>
      <c r="G107" s="229"/>
      <c r="H107" s="228"/>
      <c r="I107" s="229" t="str">
        <f t="shared" si="37"/>
        <v>1,6+1,8</v>
      </c>
      <c r="J107" s="895">
        <v>0.44</v>
      </c>
      <c r="K107" s="172">
        <v>0</v>
      </c>
      <c r="L107" s="213">
        <v>0</v>
      </c>
      <c r="M107" s="172">
        <f t="shared" si="56"/>
        <v>0.44</v>
      </c>
      <c r="N107" s="172">
        <v>0</v>
      </c>
      <c r="O107" s="893"/>
      <c r="P107" s="893">
        <f t="shared" si="57"/>
        <v>1.6800000000000002</v>
      </c>
      <c r="Q107" s="172">
        <f t="shared" si="58"/>
        <v>1.2400000000000002</v>
      </c>
      <c r="R107" s="172">
        <f t="shared" si="53"/>
        <v>1.2400000000000002</v>
      </c>
      <c r="S107" s="768" t="str">
        <f t="shared" si="34"/>
        <v/>
      </c>
      <c r="T107" s="257" t="str">
        <f t="shared" si="46"/>
        <v/>
      </c>
      <c r="U107" s="768">
        <f t="shared" si="59"/>
        <v>26.190476190476186</v>
      </c>
      <c r="V107" s="1193"/>
      <c r="W107" s="768"/>
      <c r="X107" s="929"/>
      <c r="Y107" s="213">
        <v>80</v>
      </c>
      <c r="Z107" s="1316">
        <v>30</v>
      </c>
      <c r="AA107" s="1298" t="s">
        <v>978</v>
      </c>
      <c r="AB107" s="230">
        <f t="shared" si="38"/>
        <v>1.6</v>
      </c>
      <c r="AC107" s="1315" t="str">
        <f t="shared" si="39"/>
        <v>+</v>
      </c>
      <c r="AD107" s="1315">
        <f t="shared" si="40"/>
        <v>1.8</v>
      </c>
      <c r="AE107" s="1315"/>
      <c r="AF107" s="1316"/>
      <c r="AG107" s="1298" t="str">
        <f t="shared" si="41"/>
        <v>1,6+1,8</v>
      </c>
      <c r="AH107" s="1304">
        <f>'Зона ВЭс'!L88</f>
        <v>0</v>
      </c>
      <c r="AI107" s="1304">
        <f t="shared" si="35"/>
        <v>0.44</v>
      </c>
      <c r="AJ107" s="1304">
        <f t="shared" si="42"/>
        <v>0</v>
      </c>
      <c r="AK107" s="1298">
        <f t="shared" si="43"/>
        <v>0</v>
      </c>
      <c r="AL107" s="1304">
        <f t="shared" si="60"/>
        <v>0.44</v>
      </c>
      <c r="AM107" s="1298">
        <v>0</v>
      </c>
      <c r="AN107" s="893">
        <f t="shared" si="61"/>
        <v>1.6800000000000002</v>
      </c>
      <c r="AO107" s="1304">
        <f t="shared" si="63"/>
        <v>1.2400000000000002</v>
      </c>
      <c r="AP107" s="1304">
        <f t="shared" si="55"/>
        <v>1.2400000000000002</v>
      </c>
      <c r="AQ107" s="1296" t="str">
        <f t="shared" si="36"/>
        <v/>
      </c>
      <c r="AR107" s="1298" t="str">
        <f t="shared" si="51"/>
        <v/>
      </c>
      <c r="AS107" s="952">
        <f t="shared" si="62"/>
        <v>26.190476190476186</v>
      </c>
      <c r="AT107" s="954" t="s">
        <v>755</v>
      </c>
      <c r="AU107" s="1113">
        <v>1973</v>
      </c>
      <c r="AV107" s="1119" t="s">
        <v>3286</v>
      </c>
      <c r="AW107" s="1121">
        <v>57.421972539744097</v>
      </c>
      <c r="AX107" s="1121">
        <v>35.203476168952598</v>
      </c>
    </row>
    <row r="108" spans="1:50" ht="20.100000000000001" customHeight="1" x14ac:dyDescent="0.25">
      <c r="A108" s="213">
        <v>81</v>
      </c>
      <c r="B108" s="213">
        <v>31</v>
      </c>
      <c r="C108" s="213" t="s">
        <v>979</v>
      </c>
      <c r="D108" s="230">
        <v>10</v>
      </c>
      <c r="E108" s="229" t="s">
        <v>785</v>
      </c>
      <c r="F108" s="229">
        <v>10</v>
      </c>
      <c r="G108" s="229"/>
      <c r="H108" s="228"/>
      <c r="I108" s="229" t="str">
        <f t="shared" si="37"/>
        <v>10+10</v>
      </c>
      <c r="J108" s="895">
        <v>2.78</v>
      </c>
      <c r="K108" s="172">
        <v>0</v>
      </c>
      <c r="L108" s="213">
        <v>0</v>
      </c>
      <c r="M108" s="172">
        <f t="shared" si="56"/>
        <v>2.78</v>
      </c>
      <c r="N108" s="172">
        <v>0</v>
      </c>
      <c r="O108" s="893"/>
      <c r="P108" s="893">
        <f t="shared" si="57"/>
        <v>10.5</v>
      </c>
      <c r="Q108" s="172">
        <f t="shared" si="58"/>
        <v>7.7200000000000006</v>
      </c>
      <c r="R108" s="172">
        <f t="shared" si="53"/>
        <v>7.7200000000000006</v>
      </c>
      <c r="S108" s="768" t="str">
        <f t="shared" si="34"/>
        <v/>
      </c>
      <c r="T108" s="257" t="str">
        <f t="shared" si="46"/>
        <v/>
      </c>
      <c r="U108" s="768">
        <f t="shared" si="59"/>
        <v>26.476190476190474</v>
      </c>
      <c r="V108" s="768">
        <v>0.4</v>
      </c>
      <c r="W108" s="768" t="s">
        <v>3088</v>
      </c>
      <c r="X108" s="929"/>
      <c r="Y108" s="213">
        <v>81</v>
      </c>
      <c r="Z108" s="1316">
        <v>31</v>
      </c>
      <c r="AA108" s="1298" t="s">
        <v>979</v>
      </c>
      <c r="AB108" s="230">
        <f t="shared" si="38"/>
        <v>10</v>
      </c>
      <c r="AC108" s="1315" t="str">
        <f t="shared" si="39"/>
        <v>+</v>
      </c>
      <c r="AD108" s="1315">
        <f t="shared" si="40"/>
        <v>10</v>
      </c>
      <c r="AE108" s="1315"/>
      <c r="AF108" s="1316"/>
      <c r="AG108" s="1298" t="str">
        <f t="shared" si="41"/>
        <v>10+10</v>
      </c>
      <c r="AH108" s="1304">
        <f>'Зона ВЭс'!L91</f>
        <v>0</v>
      </c>
      <c r="AI108" s="1304">
        <f t="shared" si="35"/>
        <v>2.78</v>
      </c>
      <c r="AJ108" s="1304">
        <f t="shared" si="42"/>
        <v>0</v>
      </c>
      <c r="AK108" s="1298">
        <f t="shared" si="43"/>
        <v>0</v>
      </c>
      <c r="AL108" s="1304">
        <f t="shared" si="60"/>
        <v>2.78</v>
      </c>
      <c r="AM108" s="1298">
        <v>0</v>
      </c>
      <c r="AN108" s="893">
        <f t="shared" si="61"/>
        <v>10.5</v>
      </c>
      <c r="AO108" s="1304">
        <f t="shared" si="63"/>
        <v>7.7200000000000006</v>
      </c>
      <c r="AP108" s="1304">
        <f t="shared" si="55"/>
        <v>7.7200000000000006</v>
      </c>
      <c r="AQ108" s="1296" t="str">
        <f t="shared" si="36"/>
        <v/>
      </c>
      <c r="AR108" s="1298" t="str">
        <f t="shared" si="51"/>
        <v/>
      </c>
      <c r="AS108" s="952">
        <f t="shared" si="62"/>
        <v>26.476190476190474</v>
      </c>
      <c r="AT108" s="954" t="s">
        <v>755</v>
      </c>
      <c r="AU108" s="1113">
        <v>1991</v>
      </c>
      <c r="AV108" s="1119" t="s">
        <v>3286</v>
      </c>
      <c r="AW108" s="1121">
        <v>57.633773826808799</v>
      </c>
      <c r="AX108" s="1121">
        <v>34.398878344159797</v>
      </c>
    </row>
    <row r="109" spans="1:50" ht="20.100000000000001" customHeight="1" x14ac:dyDescent="0.25">
      <c r="A109" s="213">
        <v>82</v>
      </c>
      <c r="B109" s="213">
        <v>32</v>
      </c>
      <c r="C109" s="213" t="s">
        <v>980</v>
      </c>
      <c r="D109" s="230">
        <v>2.5</v>
      </c>
      <c r="E109" s="229" t="s">
        <v>785</v>
      </c>
      <c r="F109" s="229">
        <v>3.2</v>
      </c>
      <c r="G109" s="229"/>
      <c r="H109" s="228"/>
      <c r="I109" s="229" t="str">
        <f t="shared" si="37"/>
        <v>2,5+3,2</v>
      </c>
      <c r="J109" s="895">
        <v>1.8</v>
      </c>
      <c r="K109" s="172">
        <v>0.2</v>
      </c>
      <c r="L109" s="213">
        <v>120</v>
      </c>
      <c r="M109" s="172">
        <f t="shared" si="56"/>
        <v>1.6</v>
      </c>
      <c r="N109" s="172">
        <v>0</v>
      </c>
      <c r="O109" s="893"/>
      <c r="P109" s="893">
        <f t="shared" si="57"/>
        <v>2.625</v>
      </c>
      <c r="Q109" s="172">
        <f t="shared" si="58"/>
        <v>1.0249999999999999</v>
      </c>
      <c r="R109" s="172">
        <f t="shared" si="53"/>
        <v>1.0249999999999999</v>
      </c>
      <c r="S109" s="768" t="str">
        <f t="shared" si="34"/>
        <v/>
      </c>
      <c r="T109" s="257" t="str">
        <f t="shared" si="46"/>
        <v/>
      </c>
      <c r="U109" s="768">
        <f t="shared" si="59"/>
        <v>68.571428571428569</v>
      </c>
      <c r="V109" s="1193"/>
      <c r="W109" s="768"/>
      <c r="X109" s="929"/>
      <c r="Y109" s="213">
        <v>82</v>
      </c>
      <c r="Z109" s="1316">
        <v>32</v>
      </c>
      <c r="AA109" s="1298" t="s">
        <v>980</v>
      </c>
      <c r="AB109" s="230">
        <f t="shared" si="38"/>
        <v>2.5</v>
      </c>
      <c r="AC109" s="1315" t="str">
        <f t="shared" si="39"/>
        <v>+</v>
      </c>
      <c r="AD109" s="1315">
        <f t="shared" si="40"/>
        <v>3.2</v>
      </c>
      <c r="AE109" s="1315"/>
      <c r="AF109" s="1316"/>
      <c r="AG109" s="1298" t="str">
        <f t="shared" si="41"/>
        <v>2,5+3,2</v>
      </c>
      <c r="AH109" s="1304">
        <f>'Зона ВЭс'!L96</f>
        <v>0.19999999999999998</v>
      </c>
      <c r="AI109" s="1304">
        <f t="shared" si="35"/>
        <v>2</v>
      </c>
      <c r="AJ109" s="1304">
        <f t="shared" si="42"/>
        <v>0.2</v>
      </c>
      <c r="AK109" s="1298">
        <f t="shared" si="43"/>
        <v>120</v>
      </c>
      <c r="AL109" s="1304">
        <f t="shared" si="60"/>
        <v>1.8</v>
      </c>
      <c r="AM109" s="1298">
        <v>0</v>
      </c>
      <c r="AN109" s="893">
        <f t="shared" si="61"/>
        <v>2.625</v>
      </c>
      <c r="AO109" s="1304">
        <f t="shared" si="63"/>
        <v>0.82499999999999996</v>
      </c>
      <c r="AP109" s="1304">
        <f t="shared" si="55"/>
        <v>0.82499999999999996</v>
      </c>
      <c r="AQ109" s="1296" t="str">
        <f t="shared" si="36"/>
        <v/>
      </c>
      <c r="AR109" s="1298" t="str">
        <f t="shared" si="51"/>
        <v/>
      </c>
      <c r="AS109" s="952">
        <f t="shared" si="62"/>
        <v>76.19047619047619</v>
      </c>
      <c r="AT109" s="954" t="s">
        <v>755</v>
      </c>
      <c r="AU109" s="1113">
        <v>1974</v>
      </c>
      <c r="AV109" s="214">
        <v>2012</v>
      </c>
      <c r="AW109" s="1121">
        <v>57.722189315239497</v>
      </c>
      <c r="AX109" s="1121">
        <v>33.950545503123301</v>
      </c>
    </row>
    <row r="110" spans="1:50" ht="20.100000000000001" customHeight="1" x14ac:dyDescent="0.25">
      <c r="A110" s="213">
        <v>83</v>
      </c>
      <c r="B110" s="213">
        <v>33</v>
      </c>
      <c r="C110" s="213" t="s">
        <v>981</v>
      </c>
      <c r="D110" s="230">
        <v>2.5</v>
      </c>
      <c r="E110" s="229" t="s">
        <v>785</v>
      </c>
      <c r="F110" s="229">
        <v>1.6</v>
      </c>
      <c r="G110" s="229"/>
      <c r="H110" s="228"/>
      <c r="I110" s="229" t="str">
        <f t="shared" si="37"/>
        <v>2,5+1,6</v>
      </c>
      <c r="J110" s="895">
        <v>0.28999999999999998</v>
      </c>
      <c r="K110" s="172">
        <v>0</v>
      </c>
      <c r="L110" s="213">
        <v>0</v>
      </c>
      <c r="M110" s="172">
        <f t="shared" si="56"/>
        <v>0.28999999999999998</v>
      </c>
      <c r="N110" s="172">
        <v>0</v>
      </c>
      <c r="O110" s="893"/>
      <c r="P110" s="893">
        <f t="shared" si="57"/>
        <v>1.6800000000000002</v>
      </c>
      <c r="Q110" s="172">
        <f t="shared" si="58"/>
        <v>1.3900000000000001</v>
      </c>
      <c r="R110" s="172">
        <f t="shared" si="53"/>
        <v>1.3900000000000001</v>
      </c>
      <c r="S110" s="768" t="str">
        <f t="shared" si="34"/>
        <v/>
      </c>
      <c r="T110" s="257" t="str">
        <f t="shared" ref="T110:T129" si="64">IF(R110&lt;0,"закрыт","")</f>
        <v/>
      </c>
      <c r="U110" s="768">
        <f t="shared" si="59"/>
        <v>17.261904761904759</v>
      </c>
      <c r="V110" s="768">
        <v>0.9</v>
      </c>
      <c r="W110" s="768" t="s">
        <v>3088</v>
      </c>
      <c r="X110" s="929"/>
      <c r="Y110" s="213">
        <v>83</v>
      </c>
      <c r="Z110" s="1316">
        <v>33</v>
      </c>
      <c r="AA110" s="1298" t="s">
        <v>981</v>
      </c>
      <c r="AB110" s="230">
        <f t="shared" si="38"/>
        <v>2.5</v>
      </c>
      <c r="AC110" s="1315" t="str">
        <f t="shared" si="39"/>
        <v>+</v>
      </c>
      <c r="AD110" s="1315">
        <f t="shared" si="40"/>
        <v>1.6</v>
      </c>
      <c r="AE110" s="1315"/>
      <c r="AF110" s="1316"/>
      <c r="AG110" s="1298" t="str">
        <f t="shared" si="41"/>
        <v>2,5+1,6</v>
      </c>
      <c r="AH110" s="1304">
        <f>'Зона ВЭс'!L98</f>
        <v>0</v>
      </c>
      <c r="AI110" s="1304">
        <f t="shared" si="35"/>
        <v>0.28999999999999998</v>
      </c>
      <c r="AJ110" s="1304">
        <f t="shared" si="42"/>
        <v>0</v>
      </c>
      <c r="AK110" s="1298">
        <f t="shared" si="43"/>
        <v>0</v>
      </c>
      <c r="AL110" s="1304">
        <f t="shared" si="60"/>
        <v>0.28999999999999998</v>
      </c>
      <c r="AM110" s="1298">
        <v>0</v>
      </c>
      <c r="AN110" s="893">
        <f t="shared" si="61"/>
        <v>1.6800000000000002</v>
      </c>
      <c r="AO110" s="1304">
        <f t="shared" si="63"/>
        <v>1.3900000000000001</v>
      </c>
      <c r="AP110" s="1304">
        <f t="shared" si="55"/>
        <v>1.3900000000000001</v>
      </c>
      <c r="AQ110" s="1296" t="str">
        <f t="shared" si="36"/>
        <v/>
      </c>
      <c r="AR110" s="1298" t="str">
        <f t="shared" ref="AR110:AR129" si="65">IF(AP110&lt;0,"закрыт","")</f>
        <v/>
      </c>
      <c r="AS110" s="952">
        <f t="shared" si="62"/>
        <v>17.261904761904759</v>
      </c>
      <c r="AT110" s="954" t="s">
        <v>755</v>
      </c>
      <c r="AU110" s="1113">
        <v>1981</v>
      </c>
      <c r="AV110" s="1119" t="s">
        <v>3286</v>
      </c>
      <c r="AW110" s="1121">
        <v>57.637077174942597</v>
      </c>
      <c r="AX110" s="1121">
        <v>34.931955344256302</v>
      </c>
    </row>
    <row r="111" spans="1:50" ht="20.100000000000001" customHeight="1" x14ac:dyDescent="0.25">
      <c r="A111" s="213">
        <v>84</v>
      </c>
      <c r="B111" s="213">
        <v>34</v>
      </c>
      <c r="C111" s="213" t="s">
        <v>982</v>
      </c>
      <c r="D111" s="230">
        <v>4</v>
      </c>
      <c r="E111" s="229" t="s">
        <v>785</v>
      </c>
      <c r="F111" s="229">
        <v>4</v>
      </c>
      <c r="G111" s="229"/>
      <c r="H111" s="228"/>
      <c r="I111" s="229" t="str">
        <f t="shared" si="37"/>
        <v>4+4</v>
      </c>
      <c r="J111" s="895">
        <v>1.23</v>
      </c>
      <c r="K111" s="172">
        <v>0.1</v>
      </c>
      <c r="L111" s="213">
        <v>120</v>
      </c>
      <c r="M111" s="172">
        <f t="shared" si="56"/>
        <v>1.1299999999999999</v>
      </c>
      <c r="N111" s="172">
        <v>0</v>
      </c>
      <c r="O111" s="893"/>
      <c r="P111" s="893">
        <f t="shared" si="57"/>
        <v>4.2</v>
      </c>
      <c r="Q111" s="172">
        <f t="shared" si="58"/>
        <v>3.0700000000000003</v>
      </c>
      <c r="R111" s="172">
        <f t="shared" si="53"/>
        <v>3.0700000000000003</v>
      </c>
      <c r="S111" s="768" t="str">
        <f t="shared" si="34"/>
        <v/>
      </c>
      <c r="T111" s="257" t="str">
        <f t="shared" si="64"/>
        <v/>
      </c>
      <c r="U111" s="768">
        <f t="shared" si="59"/>
        <v>29.285714285714285</v>
      </c>
      <c r="V111" s="1193"/>
      <c r="W111" s="768"/>
      <c r="X111" s="929"/>
      <c r="Y111" s="213">
        <v>84</v>
      </c>
      <c r="Z111" s="1316">
        <v>34</v>
      </c>
      <c r="AA111" s="1298" t="s">
        <v>982</v>
      </c>
      <c r="AB111" s="230">
        <f t="shared" si="38"/>
        <v>4</v>
      </c>
      <c r="AC111" s="1315" t="str">
        <f t="shared" si="39"/>
        <v>+</v>
      </c>
      <c r="AD111" s="1315">
        <f t="shared" si="40"/>
        <v>4</v>
      </c>
      <c r="AE111" s="1315"/>
      <c r="AF111" s="1316"/>
      <c r="AG111" s="1298" t="str">
        <f t="shared" si="41"/>
        <v>4+4</v>
      </c>
      <c r="AH111" s="1304">
        <f>'Зона ВЭс'!L101</f>
        <v>0</v>
      </c>
      <c r="AI111" s="1304">
        <f t="shared" si="35"/>
        <v>1.23</v>
      </c>
      <c r="AJ111" s="1304">
        <f t="shared" si="42"/>
        <v>0.1</v>
      </c>
      <c r="AK111" s="1298">
        <f t="shared" si="43"/>
        <v>120</v>
      </c>
      <c r="AL111" s="1304">
        <f t="shared" si="60"/>
        <v>1.1299999999999999</v>
      </c>
      <c r="AM111" s="1298">
        <v>0</v>
      </c>
      <c r="AN111" s="893">
        <f t="shared" si="61"/>
        <v>4.2</v>
      </c>
      <c r="AO111" s="1304">
        <f t="shared" si="63"/>
        <v>3.0700000000000003</v>
      </c>
      <c r="AP111" s="1304">
        <f t="shared" si="55"/>
        <v>3.0700000000000003</v>
      </c>
      <c r="AQ111" s="1296" t="str">
        <f t="shared" si="36"/>
        <v/>
      </c>
      <c r="AR111" s="1298" t="str">
        <f t="shared" si="65"/>
        <v/>
      </c>
      <c r="AS111" s="952">
        <f t="shared" si="62"/>
        <v>29.285714285714285</v>
      </c>
      <c r="AT111" s="954" t="s">
        <v>755</v>
      </c>
      <c r="AU111" s="1113">
        <v>1998</v>
      </c>
      <c r="AV111" s="1119" t="s">
        <v>3286</v>
      </c>
      <c r="AW111" s="1121">
        <v>57.815930789930697</v>
      </c>
      <c r="AX111" s="1121">
        <v>33.846530989388803</v>
      </c>
    </row>
    <row r="112" spans="1:50" ht="20.100000000000001" customHeight="1" x14ac:dyDescent="0.25">
      <c r="A112" s="213">
        <v>85</v>
      </c>
      <c r="B112" s="213">
        <v>35</v>
      </c>
      <c r="C112" s="213" t="s">
        <v>983</v>
      </c>
      <c r="D112" s="230">
        <v>2.5</v>
      </c>
      <c r="E112" s="229" t="s">
        <v>785</v>
      </c>
      <c r="F112" s="229">
        <v>2.5</v>
      </c>
      <c r="G112" s="229"/>
      <c r="H112" s="228"/>
      <c r="I112" s="229" t="str">
        <f t="shared" si="37"/>
        <v>2,5+2,5</v>
      </c>
      <c r="J112" s="895">
        <v>0.44</v>
      </c>
      <c r="K112" s="172">
        <v>0</v>
      </c>
      <c r="L112" s="213">
        <v>0</v>
      </c>
      <c r="M112" s="172">
        <f t="shared" si="56"/>
        <v>0.44</v>
      </c>
      <c r="N112" s="172">
        <v>0</v>
      </c>
      <c r="O112" s="893"/>
      <c r="P112" s="893">
        <f t="shared" si="57"/>
        <v>2.625</v>
      </c>
      <c r="Q112" s="172">
        <f t="shared" si="58"/>
        <v>2.1850000000000001</v>
      </c>
      <c r="R112" s="172">
        <f t="shared" si="53"/>
        <v>2.1850000000000001</v>
      </c>
      <c r="S112" s="768" t="str">
        <f t="shared" si="34"/>
        <v/>
      </c>
      <c r="T112" s="257" t="str">
        <f t="shared" si="64"/>
        <v/>
      </c>
      <c r="U112" s="768">
        <f t="shared" si="59"/>
        <v>16.761904761904763</v>
      </c>
      <c r="V112" s="768">
        <v>0.9</v>
      </c>
      <c r="W112" s="768" t="s">
        <v>3088</v>
      </c>
      <c r="X112" s="929"/>
      <c r="Y112" s="213">
        <v>85</v>
      </c>
      <c r="Z112" s="1316">
        <v>35</v>
      </c>
      <c r="AA112" s="1298" t="s">
        <v>983</v>
      </c>
      <c r="AB112" s="230">
        <f t="shared" si="38"/>
        <v>2.5</v>
      </c>
      <c r="AC112" s="1315" t="str">
        <f t="shared" si="39"/>
        <v>+</v>
      </c>
      <c r="AD112" s="1315">
        <f t="shared" si="40"/>
        <v>2.5</v>
      </c>
      <c r="AE112" s="1315"/>
      <c r="AF112" s="1316"/>
      <c r="AG112" s="1298" t="str">
        <f t="shared" si="41"/>
        <v>2,5+2,5</v>
      </c>
      <c r="AH112" s="1304">
        <f>'Зона ВЭс'!L103</f>
        <v>0</v>
      </c>
      <c r="AI112" s="1304">
        <f t="shared" si="35"/>
        <v>0.44</v>
      </c>
      <c r="AJ112" s="1304">
        <f t="shared" si="42"/>
        <v>0</v>
      </c>
      <c r="AK112" s="1298">
        <f t="shared" si="43"/>
        <v>0</v>
      </c>
      <c r="AL112" s="1304">
        <f t="shared" si="60"/>
        <v>0.44</v>
      </c>
      <c r="AM112" s="1298">
        <v>0</v>
      </c>
      <c r="AN112" s="893">
        <f t="shared" si="61"/>
        <v>2.625</v>
      </c>
      <c r="AO112" s="1304">
        <f t="shared" si="63"/>
        <v>2.1850000000000001</v>
      </c>
      <c r="AP112" s="1304">
        <f t="shared" si="55"/>
        <v>2.1850000000000001</v>
      </c>
      <c r="AQ112" s="1296" t="str">
        <f t="shared" si="36"/>
        <v/>
      </c>
      <c r="AR112" s="1298" t="str">
        <f t="shared" si="65"/>
        <v/>
      </c>
      <c r="AS112" s="952">
        <f t="shared" si="62"/>
        <v>16.761904761904763</v>
      </c>
      <c r="AT112" s="954" t="s">
        <v>755</v>
      </c>
      <c r="AU112" s="1113">
        <v>1983</v>
      </c>
      <c r="AV112" s="1119" t="s">
        <v>3286</v>
      </c>
      <c r="AW112" s="1121">
        <v>57.901759317155197</v>
      </c>
      <c r="AX112" s="1121">
        <v>34.548969215896904</v>
      </c>
    </row>
    <row r="113" spans="1:50" ht="20.100000000000001" customHeight="1" x14ac:dyDescent="0.25">
      <c r="A113" s="213">
        <v>86</v>
      </c>
      <c r="B113" s="213">
        <v>36</v>
      </c>
      <c r="C113" s="213" t="s">
        <v>984</v>
      </c>
      <c r="D113" s="230">
        <v>1</v>
      </c>
      <c r="E113" s="229" t="s">
        <v>785</v>
      </c>
      <c r="F113" s="229">
        <v>1</v>
      </c>
      <c r="G113" s="229"/>
      <c r="H113" s="228"/>
      <c r="I113" s="229" t="str">
        <f t="shared" si="37"/>
        <v>1+1</v>
      </c>
      <c r="J113" s="895">
        <v>0.6</v>
      </c>
      <c r="K113" s="172">
        <v>0.6</v>
      </c>
      <c r="L113" s="213">
        <v>120</v>
      </c>
      <c r="M113" s="172">
        <f t="shared" si="56"/>
        <v>0</v>
      </c>
      <c r="N113" s="172">
        <v>0</v>
      </c>
      <c r="O113" s="893"/>
      <c r="P113" s="893">
        <f t="shared" si="57"/>
        <v>1.05</v>
      </c>
      <c r="Q113" s="172">
        <f t="shared" si="58"/>
        <v>1.05</v>
      </c>
      <c r="R113" s="172">
        <f t="shared" si="53"/>
        <v>1.05</v>
      </c>
      <c r="S113" s="768" t="str">
        <f t="shared" si="34"/>
        <v/>
      </c>
      <c r="T113" s="257" t="str">
        <f t="shared" si="64"/>
        <v/>
      </c>
      <c r="U113" s="768">
        <f t="shared" si="59"/>
        <v>57.142857142857139</v>
      </c>
      <c r="V113" s="768">
        <v>0.5</v>
      </c>
      <c r="W113" s="768" t="s">
        <v>3088</v>
      </c>
      <c r="X113" s="929"/>
      <c r="Y113" s="213">
        <v>86</v>
      </c>
      <c r="Z113" s="1316">
        <v>36</v>
      </c>
      <c r="AA113" s="1298" t="s">
        <v>984</v>
      </c>
      <c r="AB113" s="230">
        <f t="shared" si="38"/>
        <v>1</v>
      </c>
      <c r="AC113" s="1315" t="str">
        <f t="shared" si="39"/>
        <v>+</v>
      </c>
      <c r="AD113" s="1315">
        <f t="shared" si="40"/>
        <v>1</v>
      </c>
      <c r="AE113" s="1315"/>
      <c r="AF113" s="1316"/>
      <c r="AG113" s="1298" t="str">
        <f t="shared" si="41"/>
        <v>1+1</v>
      </c>
      <c r="AH113" s="1304">
        <f>'Зона ВЭс'!L105</f>
        <v>0</v>
      </c>
      <c r="AI113" s="1304">
        <f t="shared" si="35"/>
        <v>0.6</v>
      </c>
      <c r="AJ113" s="1304">
        <f t="shared" si="42"/>
        <v>0.6</v>
      </c>
      <c r="AK113" s="1298">
        <f t="shared" si="43"/>
        <v>120</v>
      </c>
      <c r="AL113" s="1304">
        <f t="shared" si="60"/>
        <v>0</v>
      </c>
      <c r="AM113" s="1298">
        <v>0</v>
      </c>
      <c r="AN113" s="893">
        <f t="shared" si="61"/>
        <v>1.05</v>
      </c>
      <c r="AO113" s="1304">
        <f t="shared" si="63"/>
        <v>1.05</v>
      </c>
      <c r="AP113" s="1304">
        <f t="shared" si="55"/>
        <v>1.05</v>
      </c>
      <c r="AQ113" s="1296" t="str">
        <f t="shared" si="36"/>
        <v/>
      </c>
      <c r="AR113" s="1298" t="str">
        <f t="shared" si="65"/>
        <v/>
      </c>
      <c r="AS113" s="952">
        <f t="shared" si="62"/>
        <v>57.142857142857139</v>
      </c>
      <c r="AT113" s="954" t="s">
        <v>755</v>
      </c>
      <c r="AU113" s="1113">
        <v>1981</v>
      </c>
      <c r="AV113" s="1119" t="s">
        <v>3286</v>
      </c>
      <c r="AW113" s="1121">
        <v>57.7248395461474</v>
      </c>
      <c r="AX113" s="1121">
        <v>35.269410953925501</v>
      </c>
    </row>
    <row r="114" spans="1:50" ht="20.100000000000001" customHeight="1" x14ac:dyDescent="0.25">
      <c r="A114" s="213">
        <v>87</v>
      </c>
      <c r="B114" s="213">
        <v>37</v>
      </c>
      <c r="C114" s="213" t="s">
        <v>985</v>
      </c>
      <c r="D114" s="230">
        <v>1</v>
      </c>
      <c r="E114" s="229" t="s">
        <v>785</v>
      </c>
      <c r="F114" s="229">
        <v>1</v>
      </c>
      <c r="G114" s="229"/>
      <c r="H114" s="228"/>
      <c r="I114" s="229" t="str">
        <f t="shared" si="37"/>
        <v>1+1</v>
      </c>
      <c r="J114" s="895">
        <v>0.56000000000000005</v>
      </c>
      <c r="K114" s="172">
        <v>0.56000000000000005</v>
      </c>
      <c r="L114" s="213">
        <v>120</v>
      </c>
      <c r="M114" s="172">
        <f t="shared" si="56"/>
        <v>0</v>
      </c>
      <c r="N114" s="172">
        <v>0</v>
      </c>
      <c r="O114" s="893"/>
      <c r="P114" s="893">
        <f t="shared" si="57"/>
        <v>1.05</v>
      </c>
      <c r="Q114" s="172">
        <f t="shared" si="58"/>
        <v>1.05</v>
      </c>
      <c r="R114" s="172">
        <f t="shared" si="53"/>
        <v>1.05</v>
      </c>
      <c r="S114" s="768" t="str">
        <f t="shared" si="34"/>
        <v/>
      </c>
      <c r="T114" s="257" t="str">
        <f t="shared" si="64"/>
        <v/>
      </c>
      <c r="U114" s="768">
        <f t="shared" si="59"/>
        <v>53.333333333333336</v>
      </c>
      <c r="V114" s="768">
        <v>0.5</v>
      </c>
      <c r="W114" s="768" t="s">
        <v>3088</v>
      </c>
      <c r="X114" s="929"/>
      <c r="Y114" s="213">
        <v>87</v>
      </c>
      <c r="Z114" s="1316">
        <v>37</v>
      </c>
      <c r="AA114" s="1298" t="s">
        <v>985</v>
      </c>
      <c r="AB114" s="230">
        <f t="shared" si="38"/>
        <v>1</v>
      </c>
      <c r="AC114" s="1315" t="str">
        <f t="shared" si="39"/>
        <v>+</v>
      </c>
      <c r="AD114" s="1315">
        <f t="shared" si="40"/>
        <v>1</v>
      </c>
      <c r="AE114" s="1315"/>
      <c r="AF114" s="1316"/>
      <c r="AG114" s="1298" t="str">
        <f t="shared" si="41"/>
        <v>1+1</v>
      </c>
      <c r="AH114" s="1304">
        <f>'Зона ВЭс'!L107</f>
        <v>0</v>
      </c>
      <c r="AI114" s="1304">
        <f t="shared" si="35"/>
        <v>0.56000000000000005</v>
      </c>
      <c r="AJ114" s="1304">
        <f t="shared" si="42"/>
        <v>0.56000000000000005</v>
      </c>
      <c r="AK114" s="1298">
        <f t="shared" si="43"/>
        <v>120</v>
      </c>
      <c r="AL114" s="1304">
        <f t="shared" si="60"/>
        <v>0</v>
      </c>
      <c r="AM114" s="1298">
        <v>0</v>
      </c>
      <c r="AN114" s="893">
        <f t="shared" si="61"/>
        <v>1.05</v>
      </c>
      <c r="AO114" s="1304">
        <f t="shared" si="63"/>
        <v>1.05</v>
      </c>
      <c r="AP114" s="1304">
        <f t="shared" si="55"/>
        <v>1.05</v>
      </c>
      <c r="AQ114" s="1296" t="str">
        <f t="shared" si="36"/>
        <v/>
      </c>
      <c r="AR114" s="1298" t="str">
        <f t="shared" si="65"/>
        <v/>
      </c>
      <c r="AS114" s="952">
        <f t="shared" si="62"/>
        <v>53.333333333333336</v>
      </c>
      <c r="AT114" s="954" t="s">
        <v>755</v>
      </c>
      <c r="AU114" s="1113">
        <v>1972</v>
      </c>
      <c r="AV114" s="1119" t="s">
        <v>3286</v>
      </c>
      <c r="AW114" s="1121">
        <v>58.0618745669615</v>
      </c>
      <c r="AX114" s="1121">
        <v>34.940325847982102</v>
      </c>
    </row>
    <row r="115" spans="1:50" ht="20.100000000000001" customHeight="1" x14ac:dyDescent="0.25">
      <c r="A115" s="213">
        <v>88</v>
      </c>
      <c r="B115" s="213">
        <v>38</v>
      </c>
      <c r="C115" s="213" t="s">
        <v>2679</v>
      </c>
      <c r="D115" s="230">
        <v>2.5</v>
      </c>
      <c r="E115" s="229" t="s">
        <v>785</v>
      </c>
      <c r="F115" s="229">
        <v>1.6</v>
      </c>
      <c r="G115" s="229"/>
      <c r="H115" s="228"/>
      <c r="I115" s="229" t="str">
        <f t="shared" si="37"/>
        <v>2,5+1,6</v>
      </c>
      <c r="J115" s="895">
        <v>0.37</v>
      </c>
      <c r="K115" s="172">
        <v>0</v>
      </c>
      <c r="L115" s="213">
        <v>0</v>
      </c>
      <c r="M115" s="172">
        <f t="shared" si="56"/>
        <v>0.37</v>
      </c>
      <c r="N115" s="172">
        <v>0</v>
      </c>
      <c r="O115" s="893"/>
      <c r="P115" s="893">
        <f t="shared" si="57"/>
        <v>1.6800000000000002</v>
      </c>
      <c r="Q115" s="172">
        <f t="shared" si="58"/>
        <v>1.31</v>
      </c>
      <c r="R115" s="172">
        <f t="shared" si="53"/>
        <v>1.31</v>
      </c>
      <c r="S115" s="768" t="str">
        <f t="shared" si="34"/>
        <v/>
      </c>
      <c r="T115" s="257" t="str">
        <f t="shared" si="64"/>
        <v/>
      </c>
      <c r="U115" s="768">
        <f t="shared" si="59"/>
        <v>22.023809523809522</v>
      </c>
      <c r="V115" s="1193"/>
      <c r="W115" s="768"/>
      <c r="X115" s="929"/>
      <c r="Y115" s="213">
        <v>88</v>
      </c>
      <c r="Z115" s="1316">
        <v>38</v>
      </c>
      <c r="AA115" s="1298" t="s">
        <v>2679</v>
      </c>
      <c r="AB115" s="230">
        <f t="shared" si="38"/>
        <v>2.5</v>
      </c>
      <c r="AC115" s="1315" t="str">
        <f t="shared" si="39"/>
        <v>+</v>
      </c>
      <c r="AD115" s="1315">
        <f t="shared" si="40"/>
        <v>1.6</v>
      </c>
      <c r="AE115" s="1315"/>
      <c r="AF115" s="1316"/>
      <c r="AG115" s="1298" t="str">
        <f t="shared" si="41"/>
        <v>2,5+1,6</v>
      </c>
      <c r="AH115" s="1304">
        <f>'Зона ВЭс'!L109</f>
        <v>0</v>
      </c>
      <c r="AI115" s="1304">
        <f t="shared" si="35"/>
        <v>0.37</v>
      </c>
      <c r="AJ115" s="1304">
        <f t="shared" si="42"/>
        <v>0</v>
      </c>
      <c r="AK115" s="1298">
        <f t="shared" si="43"/>
        <v>0</v>
      </c>
      <c r="AL115" s="1304">
        <f t="shared" si="60"/>
        <v>0.37</v>
      </c>
      <c r="AM115" s="1298">
        <v>0</v>
      </c>
      <c r="AN115" s="893">
        <f t="shared" si="61"/>
        <v>1.6800000000000002</v>
      </c>
      <c r="AO115" s="1304">
        <f t="shared" si="63"/>
        <v>1.31</v>
      </c>
      <c r="AP115" s="1304">
        <f t="shared" si="55"/>
        <v>1.31</v>
      </c>
      <c r="AQ115" s="1296" t="str">
        <f t="shared" si="36"/>
        <v/>
      </c>
      <c r="AR115" s="1298" t="str">
        <f t="shared" si="65"/>
        <v/>
      </c>
      <c r="AS115" s="952">
        <f t="shared" si="62"/>
        <v>22.023809523809522</v>
      </c>
      <c r="AT115" s="954" t="s">
        <v>755</v>
      </c>
      <c r="AU115" s="1113">
        <v>1983</v>
      </c>
      <c r="AV115" s="1119" t="s">
        <v>3286</v>
      </c>
      <c r="AW115" s="1121">
        <v>57.710523908072098</v>
      </c>
      <c r="AX115" s="1121">
        <v>35.002795604796397</v>
      </c>
    </row>
    <row r="116" spans="1:50" ht="20.100000000000001" customHeight="1" x14ac:dyDescent="0.25">
      <c r="A116" s="213">
        <v>89</v>
      </c>
      <c r="B116" s="213">
        <v>39</v>
      </c>
      <c r="C116" s="213" t="s">
        <v>986</v>
      </c>
      <c r="D116" s="230">
        <v>2.5</v>
      </c>
      <c r="E116" s="229" t="s">
        <v>785</v>
      </c>
      <c r="F116" s="229">
        <v>2.5</v>
      </c>
      <c r="G116" s="229"/>
      <c r="H116" s="228"/>
      <c r="I116" s="229" t="str">
        <f t="shared" si="37"/>
        <v>2,5+2,5</v>
      </c>
      <c r="J116" s="895">
        <v>2.0299999999999998</v>
      </c>
      <c r="K116" s="172">
        <v>2.0299999999999998</v>
      </c>
      <c r="L116" s="213">
        <v>120</v>
      </c>
      <c r="M116" s="172">
        <f t="shared" si="56"/>
        <v>0</v>
      </c>
      <c r="N116" s="172">
        <v>0</v>
      </c>
      <c r="O116" s="893"/>
      <c r="P116" s="893">
        <f t="shared" si="57"/>
        <v>2.625</v>
      </c>
      <c r="Q116" s="172">
        <f t="shared" si="58"/>
        <v>2.625</v>
      </c>
      <c r="R116" s="172">
        <f t="shared" si="53"/>
        <v>2.625</v>
      </c>
      <c r="S116" s="768" t="str">
        <f t="shared" si="34"/>
        <v/>
      </c>
      <c r="T116" s="257" t="str">
        <f t="shared" si="64"/>
        <v/>
      </c>
      <c r="U116" s="768">
        <f t="shared" si="59"/>
        <v>77.333333333333329</v>
      </c>
      <c r="V116" s="1193"/>
      <c r="W116" s="768"/>
      <c r="X116" s="929"/>
      <c r="Y116" s="213">
        <v>89</v>
      </c>
      <c r="Z116" s="1316">
        <v>39</v>
      </c>
      <c r="AA116" s="1298" t="s">
        <v>986</v>
      </c>
      <c r="AB116" s="230">
        <f t="shared" si="38"/>
        <v>2.5</v>
      </c>
      <c r="AC116" s="1315" t="str">
        <f t="shared" si="39"/>
        <v>+</v>
      </c>
      <c r="AD116" s="1315">
        <f t="shared" si="40"/>
        <v>2.5</v>
      </c>
      <c r="AE116" s="1315"/>
      <c r="AF116" s="1316"/>
      <c r="AG116" s="1298" t="str">
        <f t="shared" si="41"/>
        <v>2,5+2,5</v>
      </c>
      <c r="AH116" s="1304">
        <f>'Зона ВЭс'!L111</f>
        <v>0</v>
      </c>
      <c r="AI116" s="1304">
        <f t="shared" si="35"/>
        <v>2.0299999999999998</v>
      </c>
      <c r="AJ116" s="1304">
        <f t="shared" si="42"/>
        <v>2.0299999999999998</v>
      </c>
      <c r="AK116" s="1298">
        <f t="shared" si="43"/>
        <v>120</v>
      </c>
      <c r="AL116" s="1304">
        <f t="shared" si="60"/>
        <v>0</v>
      </c>
      <c r="AM116" s="1298">
        <v>0</v>
      </c>
      <c r="AN116" s="893">
        <f t="shared" si="61"/>
        <v>2.625</v>
      </c>
      <c r="AO116" s="1304">
        <f t="shared" si="63"/>
        <v>2.625</v>
      </c>
      <c r="AP116" s="1304">
        <f t="shared" si="55"/>
        <v>2.625</v>
      </c>
      <c r="AQ116" s="1296" t="str">
        <f t="shared" si="36"/>
        <v/>
      </c>
      <c r="AR116" s="1298" t="str">
        <f t="shared" si="65"/>
        <v/>
      </c>
      <c r="AS116" s="952">
        <f t="shared" si="62"/>
        <v>77.333333333333329</v>
      </c>
      <c r="AT116" s="954" t="s">
        <v>755</v>
      </c>
      <c r="AU116" s="1113">
        <v>1971</v>
      </c>
      <c r="AV116" s="214">
        <v>2011</v>
      </c>
      <c r="AW116" s="1121">
        <v>57.577173367643901</v>
      </c>
      <c r="AX116" s="1121">
        <v>34.595558134151197</v>
      </c>
    </row>
    <row r="117" spans="1:50" ht="20.100000000000001" customHeight="1" x14ac:dyDescent="0.25">
      <c r="A117" s="213">
        <v>90</v>
      </c>
      <c r="B117" s="213">
        <v>40</v>
      </c>
      <c r="C117" s="213" t="s">
        <v>987</v>
      </c>
      <c r="D117" s="230">
        <v>1.8</v>
      </c>
      <c r="E117" s="229" t="s">
        <v>785</v>
      </c>
      <c r="F117" s="229">
        <v>1.6</v>
      </c>
      <c r="G117" s="229"/>
      <c r="H117" s="228"/>
      <c r="I117" s="229" t="str">
        <f t="shared" si="37"/>
        <v>1,8+1,6</v>
      </c>
      <c r="J117" s="895">
        <v>0.3</v>
      </c>
      <c r="K117" s="172">
        <v>0</v>
      </c>
      <c r="L117" s="213">
        <v>0</v>
      </c>
      <c r="M117" s="172">
        <f t="shared" si="56"/>
        <v>0.3</v>
      </c>
      <c r="N117" s="172">
        <v>0</v>
      </c>
      <c r="O117" s="893"/>
      <c r="P117" s="893">
        <f t="shared" si="57"/>
        <v>1.6800000000000002</v>
      </c>
      <c r="Q117" s="172">
        <f t="shared" si="58"/>
        <v>1.3800000000000001</v>
      </c>
      <c r="R117" s="172">
        <f t="shared" si="53"/>
        <v>1.3800000000000001</v>
      </c>
      <c r="S117" s="768" t="str">
        <f t="shared" si="34"/>
        <v/>
      </c>
      <c r="T117" s="257" t="str">
        <f t="shared" si="64"/>
        <v/>
      </c>
      <c r="U117" s="768">
        <f t="shared" si="59"/>
        <v>17.857142857142854</v>
      </c>
      <c r="V117" s="768">
        <v>0.8</v>
      </c>
      <c r="W117" s="768" t="s">
        <v>3088</v>
      </c>
      <c r="X117" s="929"/>
      <c r="Y117" s="213">
        <v>90</v>
      </c>
      <c r="Z117" s="1316">
        <v>40</v>
      </c>
      <c r="AA117" s="1298" t="s">
        <v>987</v>
      </c>
      <c r="AB117" s="230">
        <f t="shared" si="38"/>
        <v>1.8</v>
      </c>
      <c r="AC117" s="1315" t="str">
        <f t="shared" si="39"/>
        <v>+</v>
      </c>
      <c r="AD117" s="1315">
        <f t="shared" si="40"/>
        <v>1.6</v>
      </c>
      <c r="AE117" s="1315"/>
      <c r="AF117" s="1316"/>
      <c r="AG117" s="1298" t="str">
        <f t="shared" si="41"/>
        <v>1,8+1,6</v>
      </c>
      <c r="AH117" s="1304">
        <f>'Зона ВЭс'!L116</f>
        <v>0.25</v>
      </c>
      <c r="AI117" s="1304">
        <f t="shared" si="35"/>
        <v>0.55000000000000004</v>
      </c>
      <c r="AJ117" s="1304">
        <f t="shared" si="42"/>
        <v>0</v>
      </c>
      <c r="AK117" s="1298">
        <f t="shared" si="43"/>
        <v>0</v>
      </c>
      <c r="AL117" s="1304">
        <f t="shared" si="60"/>
        <v>0.55000000000000004</v>
      </c>
      <c r="AM117" s="1298">
        <v>0</v>
      </c>
      <c r="AN117" s="893">
        <f t="shared" si="61"/>
        <v>1.6800000000000002</v>
      </c>
      <c r="AO117" s="1304">
        <f t="shared" si="63"/>
        <v>1.1300000000000001</v>
      </c>
      <c r="AP117" s="1304">
        <f t="shared" si="55"/>
        <v>1.1300000000000001</v>
      </c>
      <c r="AQ117" s="1296" t="str">
        <f t="shared" si="36"/>
        <v/>
      </c>
      <c r="AR117" s="1298" t="str">
        <f t="shared" si="65"/>
        <v/>
      </c>
      <c r="AS117" s="952">
        <f t="shared" si="62"/>
        <v>32.738095238095241</v>
      </c>
      <c r="AT117" s="954" t="s">
        <v>755</v>
      </c>
      <c r="AU117" s="1113">
        <v>1983</v>
      </c>
      <c r="AV117" s="1119" t="s">
        <v>3286</v>
      </c>
      <c r="AW117" s="1121">
        <v>57.386806507304101</v>
      </c>
      <c r="AX117" s="1121">
        <v>34.345181794732802</v>
      </c>
    </row>
    <row r="118" spans="1:50" ht="20.100000000000001" customHeight="1" x14ac:dyDescent="0.25">
      <c r="A118" s="213">
        <v>91</v>
      </c>
      <c r="B118" s="213">
        <v>41</v>
      </c>
      <c r="C118" s="213" t="s">
        <v>988</v>
      </c>
      <c r="D118" s="230">
        <v>1</v>
      </c>
      <c r="E118" s="229" t="s">
        <v>785</v>
      </c>
      <c r="F118" s="229">
        <v>1</v>
      </c>
      <c r="G118" s="229"/>
      <c r="H118" s="228"/>
      <c r="I118" s="229" t="str">
        <f t="shared" si="37"/>
        <v>1+1</v>
      </c>
      <c r="J118" s="895">
        <v>0.21</v>
      </c>
      <c r="K118" s="172">
        <v>0</v>
      </c>
      <c r="L118" s="213">
        <v>0</v>
      </c>
      <c r="M118" s="172">
        <f t="shared" si="56"/>
        <v>0.21</v>
      </c>
      <c r="N118" s="172">
        <v>0</v>
      </c>
      <c r="O118" s="893"/>
      <c r="P118" s="893">
        <f t="shared" si="57"/>
        <v>1.05</v>
      </c>
      <c r="Q118" s="172">
        <f t="shared" si="58"/>
        <v>0.84000000000000008</v>
      </c>
      <c r="R118" s="172">
        <f t="shared" si="53"/>
        <v>0.84000000000000008</v>
      </c>
      <c r="S118" s="768" t="str">
        <f t="shared" si="34"/>
        <v/>
      </c>
      <c r="T118" s="257" t="str">
        <f t="shared" si="64"/>
        <v/>
      </c>
      <c r="U118" s="768">
        <f t="shared" si="59"/>
        <v>20</v>
      </c>
      <c r="V118" s="1193"/>
      <c r="W118" s="768"/>
      <c r="X118" s="929"/>
      <c r="Y118" s="213">
        <v>91</v>
      </c>
      <c r="Z118" s="1316">
        <v>41</v>
      </c>
      <c r="AA118" s="1298" t="s">
        <v>988</v>
      </c>
      <c r="AB118" s="230">
        <f t="shared" si="38"/>
        <v>1</v>
      </c>
      <c r="AC118" s="1315" t="str">
        <f t="shared" si="39"/>
        <v>+</v>
      </c>
      <c r="AD118" s="1315">
        <f t="shared" si="40"/>
        <v>1</v>
      </c>
      <c r="AE118" s="1315"/>
      <c r="AF118" s="1316"/>
      <c r="AG118" s="1298" t="str">
        <f t="shared" si="41"/>
        <v>1+1</v>
      </c>
      <c r="AH118" s="1304">
        <f>'Зона ВЭс'!L118</f>
        <v>0</v>
      </c>
      <c r="AI118" s="1304">
        <f t="shared" si="35"/>
        <v>0.21</v>
      </c>
      <c r="AJ118" s="1304">
        <f t="shared" si="42"/>
        <v>0</v>
      </c>
      <c r="AK118" s="1298">
        <f t="shared" si="43"/>
        <v>0</v>
      </c>
      <c r="AL118" s="1304">
        <f t="shared" si="60"/>
        <v>0.21</v>
      </c>
      <c r="AM118" s="1298">
        <v>0</v>
      </c>
      <c r="AN118" s="893">
        <f t="shared" si="61"/>
        <v>1.05</v>
      </c>
      <c r="AO118" s="1304">
        <f t="shared" si="63"/>
        <v>0.84000000000000008</v>
      </c>
      <c r="AP118" s="1304">
        <f t="shared" si="55"/>
        <v>0.84000000000000008</v>
      </c>
      <c r="AQ118" s="1296" t="str">
        <f t="shared" si="36"/>
        <v/>
      </c>
      <c r="AR118" s="1298" t="str">
        <f t="shared" si="65"/>
        <v/>
      </c>
      <c r="AS118" s="952">
        <f t="shared" si="62"/>
        <v>20</v>
      </c>
      <c r="AT118" s="954" t="s">
        <v>755</v>
      </c>
      <c r="AU118" s="1113">
        <v>1983</v>
      </c>
      <c r="AV118" s="1119" t="s">
        <v>3286</v>
      </c>
      <c r="AW118" s="1121">
        <v>57.953110991655997</v>
      </c>
      <c r="AX118" s="1121">
        <v>35.393933005018702</v>
      </c>
    </row>
    <row r="119" spans="1:50" ht="20.100000000000001" customHeight="1" x14ac:dyDescent="0.25">
      <c r="A119" s="213">
        <v>92</v>
      </c>
      <c r="B119" s="213">
        <v>42</v>
      </c>
      <c r="C119" s="213" t="s">
        <v>989</v>
      </c>
      <c r="D119" s="230">
        <v>2.5</v>
      </c>
      <c r="E119" s="229" t="s">
        <v>785</v>
      </c>
      <c r="F119" s="229">
        <v>2.5</v>
      </c>
      <c r="G119" s="229"/>
      <c r="H119" s="228"/>
      <c r="I119" s="229" t="str">
        <f t="shared" si="37"/>
        <v>2,5+2,5</v>
      </c>
      <c r="J119" s="895">
        <v>1.87</v>
      </c>
      <c r="K119" s="172">
        <v>0.7</v>
      </c>
      <c r="L119" s="213">
        <v>120</v>
      </c>
      <c r="M119" s="172">
        <f t="shared" si="56"/>
        <v>1.1700000000000002</v>
      </c>
      <c r="N119" s="172">
        <v>0</v>
      </c>
      <c r="O119" s="893"/>
      <c r="P119" s="893">
        <f t="shared" si="57"/>
        <v>2.625</v>
      </c>
      <c r="Q119" s="172">
        <f t="shared" si="58"/>
        <v>1.4549999999999998</v>
      </c>
      <c r="R119" s="172">
        <f t="shared" si="53"/>
        <v>1.4549999999999998</v>
      </c>
      <c r="S119" s="768" t="str">
        <f t="shared" si="34"/>
        <v/>
      </c>
      <c r="T119" s="257" t="str">
        <f t="shared" si="64"/>
        <v/>
      </c>
      <c r="U119" s="768">
        <f t="shared" si="59"/>
        <v>71.238095238095241</v>
      </c>
      <c r="V119" s="768">
        <v>0.5</v>
      </c>
      <c r="W119" s="768" t="s">
        <v>3088</v>
      </c>
      <c r="X119" s="929"/>
      <c r="Y119" s="213">
        <v>92</v>
      </c>
      <c r="Z119" s="1316">
        <v>42</v>
      </c>
      <c r="AA119" s="1298" t="s">
        <v>989</v>
      </c>
      <c r="AB119" s="230">
        <f t="shared" si="38"/>
        <v>2.5</v>
      </c>
      <c r="AC119" s="1315" t="str">
        <f t="shared" si="39"/>
        <v>+</v>
      </c>
      <c r="AD119" s="1315">
        <f t="shared" si="40"/>
        <v>2.5</v>
      </c>
      <c r="AE119" s="1315"/>
      <c r="AF119" s="1316"/>
      <c r="AG119" s="1298" t="str">
        <f t="shared" si="41"/>
        <v>2,5+2,5</v>
      </c>
      <c r="AH119" s="1304">
        <f>'Зона ВЭс'!L122</f>
        <v>6.25E-2</v>
      </c>
      <c r="AI119" s="1304">
        <f t="shared" si="35"/>
        <v>1.9325000000000001</v>
      </c>
      <c r="AJ119" s="1304">
        <f t="shared" si="42"/>
        <v>0.7</v>
      </c>
      <c r="AK119" s="1298">
        <f t="shared" si="43"/>
        <v>120</v>
      </c>
      <c r="AL119" s="1304">
        <f t="shared" si="60"/>
        <v>1.2325000000000002</v>
      </c>
      <c r="AM119" s="1298">
        <v>0</v>
      </c>
      <c r="AN119" s="893">
        <f t="shared" si="61"/>
        <v>2.625</v>
      </c>
      <c r="AO119" s="1304">
        <f t="shared" si="63"/>
        <v>1.3924999999999998</v>
      </c>
      <c r="AP119" s="1304">
        <f t="shared" si="55"/>
        <v>1.3924999999999998</v>
      </c>
      <c r="AQ119" s="1296" t="str">
        <f t="shared" si="36"/>
        <v/>
      </c>
      <c r="AR119" s="1298" t="str">
        <f t="shared" si="65"/>
        <v/>
      </c>
      <c r="AS119" s="952">
        <f t="shared" si="62"/>
        <v>73.61904761904762</v>
      </c>
      <c r="AT119" s="954" t="s">
        <v>755</v>
      </c>
      <c r="AU119" s="1113">
        <v>1983</v>
      </c>
      <c r="AV119" s="1119" t="s">
        <v>3286</v>
      </c>
      <c r="AW119" s="1121">
        <v>57.662026497903398</v>
      </c>
      <c r="AX119" s="1121">
        <v>34.466291824711</v>
      </c>
    </row>
    <row r="120" spans="1:50" ht="20.100000000000001" customHeight="1" x14ac:dyDescent="0.25">
      <c r="A120" s="213">
        <v>93</v>
      </c>
      <c r="B120" s="213">
        <v>43</v>
      </c>
      <c r="C120" s="213" t="s">
        <v>990</v>
      </c>
      <c r="D120" s="230">
        <v>2.5</v>
      </c>
      <c r="E120" s="229" t="s">
        <v>785</v>
      </c>
      <c r="F120" s="229">
        <v>2.5</v>
      </c>
      <c r="G120" s="229"/>
      <c r="H120" s="228"/>
      <c r="I120" s="229" t="str">
        <f t="shared" si="37"/>
        <v>2,5+2,5</v>
      </c>
      <c r="J120" s="895">
        <v>0.32</v>
      </c>
      <c r="K120" s="172">
        <v>0</v>
      </c>
      <c r="L120" s="213">
        <v>0</v>
      </c>
      <c r="M120" s="172">
        <f t="shared" ref="M120:M155" si="66">J120-K120</f>
        <v>0.32</v>
      </c>
      <c r="N120" s="172">
        <v>0</v>
      </c>
      <c r="O120" s="893"/>
      <c r="P120" s="893">
        <f t="shared" ref="P120:P155" si="67">MIN(D120:F120)*1.05</f>
        <v>2.625</v>
      </c>
      <c r="Q120" s="172">
        <f t="shared" si="58"/>
        <v>2.3050000000000002</v>
      </c>
      <c r="R120" s="172">
        <f t="shared" si="53"/>
        <v>2.3050000000000002</v>
      </c>
      <c r="S120" s="768" t="str">
        <f t="shared" si="34"/>
        <v/>
      </c>
      <c r="T120" s="257" t="str">
        <f t="shared" si="64"/>
        <v/>
      </c>
      <c r="U120" s="768">
        <f t="shared" si="59"/>
        <v>12.19047619047619</v>
      </c>
      <c r="V120" s="768">
        <v>0.5</v>
      </c>
      <c r="W120" s="768" t="s">
        <v>3088</v>
      </c>
      <c r="X120" s="929"/>
      <c r="Y120" s="213">
        <v>93</v>
      </c>
      <c r="Z120" s="1316">
        <v>43</v>
      </c>
      <c r="AA120" s="1298" t="s">
        <v>990</v>
      </c>
      <c r="AB120" s="230">
        <f t="shared" si="38"/>
        <v>2.5</v>
      </c>
      <c r="AC120" s="1315" t="str">
        <f t="shared" si="39"/>
        <v>+</v>
      </c>
      <c r="AD120" s="1315">
        <f t="shared" si="40"/>
        <v>2.5</v>
      </c>
      <c r="AE120" s="1315"/>
      <c r="AF120" s="1316"/>
      <c r="AG120" s="1298" t="str">
        <f t="shared" si="41"/>
        <v>2,5+2,5</v>
      </c>
      <c r="AH120" s="1304">
        <f>'Зона ВЭс'!L126</f>
        <v>0</v>
      </c>
      <c r="AI120" s="1304">
        <f t="shared" si="35"/>
        <v>0.32</v>
      </c>
      <c r="AJ120" s="1304">
        <f t="shared" si="42"/>
        <v>0</v>
      </c>
      <c r="AK120" s="1298">
        <f t="shared" si="43"/>
        <v>0</v>
      </c>
      <c r="AL120" s="1304">
        <f t="shared" ref="AL120:AL155" si="68">AI120-AJ120</f>
        <v>0.32</v>
      </c>
      <c r="AM120" s="1298">
        <v>0</v>
      </c>
      <c r="AN120" s="893">
        <f t="shared" ref="AN120:AN155" si="69">MIN(AB120:AF120)*1.05</f>
        <v>2.625</v>
      </c>
      <c r="AO120" s="1304">
        <f t="shared" si="63"/>
        <v>2.3050000000000002</v>
      </c>
      <c r="AP120" s="1304">
        <f t="shared" si="55"/>
        <v>2.3050000000000002</v>
      </c>
      <c r="AQ120" s="1296" t="str">
        <f t="shared" si="36"/>
        <v/>
      </c>
      <c r="AR120" s="1298" t="str">
        <f t="shared" si="65"/>
        <v/>
      </c>
      <c r="AS120" s="952">
        <f t="shared" si="62"/>
        <v>12.19047619047619</v>
      </c>
      <c r="AT120" s="954" t="s">
        <v>755</v>
      </c>
      <c r="AU120" s="1113">
        <v>1987</v>
      </c>
      <c r="AV120" s="1119" t="s">
        <v>3286</v>
      </c>
      <c r="AW120" s="1121">
        <v>57.5990458402567</v>
      </c>
      <c r="AX120" s="1121">
        <v>33.802564181866003</v>
      </c>
    </row>
    <row r="121" spans="1:50" ht="20.100000000000001" customHeight="1" x14ac:dyDescent="0.25">
      <c r="A121" s="213">
        <v>94</v>
      </c>
      <c r="B121" s="213">
        <v>44</v>
      </c>
      <c r="C121" s="213" t="s">
        <v>991</v>
      </c>
      <c r="D121" s="230">
        <v>2.5</v>
      </c>
      <c r="E121" s="229" t="s">
        <v>785</v>
      </c>
      <c r="F121" s="229">
        <v>2.5</v>
      </c>
      <c r="G121" s="229"/>
      <c r="H121" s="228"/>
      <c r="I121" s="229" t="str">
        <f t="shared" si="37"/>
        <v>2,5+2,5</v>
      </c>
      <c r="J121" s="895">
        <v>0.4</v>
      </c>
      <c r="K121" s="172">
        <v>0.3</v>
      </c>
      <c r="L121" s="213">
        <v>120</v>
      </c>
      <c r="M121" s="172">
        <f t="shared" si="66"/>
        <v>0.10000000000000003</v>
      </c>
      <c r="N121" s="172">
        <v>0</v>
      </c>
      <c r="O121" s="893"/>
      <c r="P121" s="893">
        <f t="shared" si="67"/>
        <v>2.625</v>
      </c>
      <c r="Q121" s="172">
        <f t="shared" si="58"/>
        <v>2.5249999999999999</v>
      </c>
      <c r="R121" s="172">
        <f t="shared" si="53"/>
        <v>2.5249999999999999</v>
      </c>
      <c r="S121" s="768" t="str">
        <f t="shared" si="34"/>
        <v/>
      </c>
      <c r="T121" s="257" t="str">
        <f t="shared" si="64"/>
        <v/>
      </c>
      <c r="U121" s="768">
        <f t="shared" si="59"/>
        <v>15.238095238095237</v>
      </c>
      <c r="V121" s="768">
        <v>0.9</v>
      </c>
      <c r="W121" s="768" t="s">
        <v>3088</v>
      </c>
      <c r="X121" s="929"/>
      <c r="Y121" s="213">
        <v>94</v>
      </c>
      <c r="Z121" s="1316">
        <v>44</v>
      </c>
      <c r="AA121" s="1298" t="s">
        <v>991</v>
      </c>
      <c r="AB121" s="230">
        <f t="shared" si="38"/>
        <v>2.5</v>
      </c>
      <c r="AC121" s="1315" t="str">
        <f t="shared" si="39"/>
        <v>+</v>
      </c>
      <c r="AD121" s="1315">
        <f t="shared" si="40"/>
        <v>2.5</v>
      </c>
      <c r="AE121" s="1315"/>
      <c r="AF121" s="1316"/>
      <c r="AG121" s="1298" t="str">
        <f t="shared" si="41"/>
        <v>2,5+2,5</v>
      </c>
      <c r="AH121" s="1304">
        <f>'Зона ВЭс'!L128</f>
        <v>0</v>
      </c>
      <c r="AI121" s="1304">
        <f t="shared" si="35"/>
        <v>0.4</v>
      </c>
      <c r="AJ121" s="1304">
        <f t="shared" si="42"/>
        <v>0.3</v>
      </c>
      <c r="AK121" s="1298">
        <f t="shared" si="43"/>
        <v>120</v>
      </c>
      <c r="AL121" s="1304">
        <f t="shared" si="68"/>
        <v>0.10000000000000003</v>
      </c>
      <c r="AM121" s="1298">
        <v>0</v>
      </c>
      <c r="AN121" s="893">
        <f t="shared" si="69"/>
        <v>2.625</v>
      </c>
      <c r="AO121" s="1304">
        <f t="shared" si="63"/>
        <v>2.5249999999999999</v>
      </c>
      <c r="AP121" s="1304">
        <f t="shared" si="55"/>
        <v>2.5249999999999999</v>
      </c>
      <c r="AQ121" s="1296" t="str">
        <f t="shared" si="36"/>
        <v/>
      </c>
      <c r="AR121" s="1298" t="str">
        <f t="shared" si="65"/>
        <v/>
      </c>
      <c r="AS121" s="952">
        <f t="shared" si="62"/>
        <v>15.238095238095237</v>
      </c>
      <c r="AT121" s="954" t="s">
        <v>755</v>
      </c>
      <c r="AU121" s="1113">
        <v>1983</v>
      </c>
      <c r="AV121" s="1119" t="s">
        <v>3286</v>
      </c>
      <c r="AW121" s="1121">
        <v>57.945300577811103</v>
      </c>
      <c r="AX121" s="1121">
        <v>35.069401232814897</v>
      </c>
    </row>
    <row r="122" spans="1:50" ht="20.100000000000001" customHeight="1" x14ac:dyDescent="0.25">
      <c r="A122" s="213">
        <v>95</v>
      </c>
      <c r="B122" s="213">
        <v>45</v>
      </c>
      <c r="C122" s="213" t="s">
        <v>992</v>
      </c>
      <c r="D122" s="230">
        <v>1.6</v>
      </c>
      <c r="E122" s="229" t="s">
        <v>785</v>
      </c>
      <c r="F122" s="229">
        <v>1.6</v>
      </c>
      <c r="G122" s="229"/>
      <c r="H122" s="228"/>
      <c r="I122" s="229" t="str">
        <f t="shared" si="37"/>
        <v>1,6+1,6</v>
      </c>
      <c r="J122" s="895">
        <v>0.52</v>
      </c>
      <c r="K122" s="172">
        <v>0</v>
      </c>
      <c r="L122" s="213">
        <v>0</v>
      </c>
      <c r="M122" s="172">
        <f t="shared" si="66"/>
        <v>0.52</v>
      </c>
      <c r="N122" s="172">
        <v>0</v>
      </c>
      <c r="O122" s="893"/>
      <c r="P122" s="893">
        <f t="shared" si="67"/>
        <v>1.6800000000000002</v>
      </c>
      <c r="Q122" s="172">
        <f t="shared" si="58"/>
        <v>1.1600000000000001</v>
      </c>
      <c r="R122" s="172">
        <f t="shared" si="53"/>
        <v>1.1600000000000001</v>
      </c>
      <c r="S122" s="768" t="str">
        <f t="shared" si="34"/>
        <v/>
      </c>
      <c r="T122" s="257" t="str">
        <f t="shared" si="64"/>
        <v/>
      </c>
      <c r="U122" s="768">
        <f t="shared" si="59"/>
        <v>30.952380952380949</v>
      </c>
      <c r="V122" s="768">
        <v>0.5</v>
      </c>
      <c r="W122" s="768" t="s">
        <v>3088</v>
      </c>
      <c r="X122" s="929"/>
      <c r="Y122" s="213">
        <v>95</v>
      </c>
      <c r="Z122" s="1316">
        <v>45</v>
      </c>
      <c r="AA122" s="1298" t="s">
        <v>992</v>
      </c>
      <c r="AB122" s="230">
        <f t="shared" si="38"/>
        <v>1.6</v>
      </c>
      <c r="AC122" s="1315" t="str">
        <f t="shared" si="39"/>
        <v>+</v>
      </c>
      <c r="AD122" s="1315">
        <f t="shared" si="40"/>
        <v>1.6</v>
      </c>
      <c r="AE122" s="1315"/>
      <c r="AF122" s="1316"/>
      <c r="AG122" s="1298" t="str">
        <f t="shared" si="41"/>
        <v>1,6+1,6</v>
      </c>
      <c r="AH122" s="1304">
        <f>'Зона ВЭс'!L131</f>
        <v>2.8749999999999998E-2</v>
      </c>
      <c r="AI122" s="1304">
        <f t="shared" si="35"/>
        <v>0.54875000000000007</v>
      </c>
      <c r="AJ122" s="1304">
        <f t="shared" si="42"/>
        <v>0</v>
      </c>
      <c r="AK122" s="1298">
        <f t="shared" si="43"/>
        <v>0</v>
      </c>
      <c r="AL122" s="1304">
        <f t="shared" si="68"/>
        <v>0.54875000000000007</v>
      </c>
      <c r="AM122" s="1298">
        <v>0</v>
      </c>
      <c r="AN122" s="893">
        <f t="shared" si="69"/>
        <v>1.6800000000000002</v>
      </c>
      <c r="AO122" s="1304">
        <f t="shared" si="63"/>
        <v>1.1312500000000001</v>
      </c>
      <c r="AP122" s="1304">
        <f t="shared" si="55"/>
        <v>1.1312500000000001</v>
      </c>
      <c r="AQ122" s="1296" t="str">
        <f t="shared" si="36"/>
        <v/>
      </c>
      <c r="AR122" s="1298" t="str">
        <f t="shared" si="65"/>
        <v/>
      </c>
      <c r="AS122" s="952">
        <f t="shared" si="62"/>
        <v>32.663690476190474</v>
      </c>
      <c r="AT122" s="954" t="s">
        <v>755</v>
      </c>
      <c r="AU122" s="1113">
        <v>1981</v>
      </c>
      <c r="AV122" s="1119" t="s">
        <v>3286</v>
      </c>
      <c r="AW122" s="1121">
        <v>58.0205494510083</v>
      </c>
      <c r="AX122" s="1121">
        <v>34.479960034719802</v>
      </c>
    </row>
    <row r="123" spans="1:50" ht="20.100000000000001" customHeight="1" x14ac:dyDescent="0.25">
      <c r="A123" s="213">
        <v>96</v>
      </c>
      <c r="B123" s="213">
        <v>46</v>
      </c>
      <c r="C123" s="213" t="s">
        <v>993</v>
      </c>
      <c r="D123" s="230">
        <v>2.5</v>
      </c>
      <c r="E123" s="229" t="s">
        <v>785</v>
      </c>
      <c r="F123" s="229">
        <v>2.5</v>
      </c>
      <c r="G123" s="229"/>
      <c r="H123" s="228"/>
      <c r="I123" s="229" t="str">
        <f t="shared" si="37"/>
        <v>2,5+2,5</v>
      </c>
      <c r="J123" s="895">
        <v>0.49</v>
      </c>
      <c r="K123" s="172">
        <v>0</v>
      </c>
      <c r="L123" s="213">
        <v>0</v>
      </c>
      <c r="M123" s="172">
        <f t="shared" si="66"/>
        <v>0.49</v>
      </c>
      <c r="N123" s="172">
        <v>0</v>
      </c>
      <c r="O123" s="893"/>
      <c r="P123" s="893">
        <f t="shared" si="67"/>
        <v>2.625</v>
      </c>
      <c r="Q123" s="172">
        <f t="shared" si="58"/>
        <v>2.1349999999999998</v>
      </c>
      <c r="R123" s="172">
        <f t="shared" si="53"/>
        <v>2.1349999999999998</v>
      </c>
      <c r="S123" s="768" t="str">
        <f t="shared" si="34"/>
        <v/>
      </c>
      <c r="T123" s="257" t="str">
        <f t="shared" si="64"/>
        <v/>
      </c>
      <c r="U123" s="768">
        <f t="shared" si="59"/>
        <v>18.666666666666668</v>
      </c>
      <c r="V123" s="1193"/>
      <c r="W123" s="768"/>
      <c r="X123" s="929"/>
      <c r="Y123" s="213">
        <v>96</v>
      </c>
      <c r="Z123" s="1316">
        <v>46</v>
      </c>
      <c r="AA123" s="1298" t="s">
        <v>993</v>
      </c>
      <c r="AB123" s="230">
        <f t="shared" si="38"/>
        <v>2.5</v>
      </c>
      <c r="AC123" s="1315" t="str">
        <f t="shared" si="39"/>
        <v>+</v>
      </c>
      <c r="AD123" s="1315">
        <f t="shared" si="40"/>
        <v>2.5</v>
      </c>
      <c r="AE123" s="1315"/>
      <c r="AF123" s="1316"/>
      <c r="AG123" s="1298" t="str">
        <f t="shared" si="41"/>
        <v>2,5+2,5</v>
      </c>
      <c r="AH123" s="1304">
        <f>'Зона ВЭс'!L133</f>
        <v>0</v>
      </c>
      <c r="AI123" s="1304">
        <f t="shared" si="35"/>
        <v>0.49</v>
      </c>
      <c r="AJ123" s="1304">
        <f t="shared" si="42"/>
        <v>0</v>
      </c>
      <c r="AK123" s="1298">
        <f t="shared" si="43"/>
        <v>0</v>
      </c>
      <c r="AL123" s="1304">
        <f t="shared" si="68"/>
        <v>0.49</v>
      </c>
      <c r="AM123" s="1298">
        <v>0</v>
      </c>
      <c r="AN123" s="893">
        <f t="shared" si="69"/>
        <v>2.625</v>
      </c>
      <c r="AO123" s="1304">
        <f t="shared" si="63"/>
        <v>2.1349999999999998</v>
      </c>
      <c r="AP123" s="1304">
        <f t="shared" si="55"/>
        <v>2.1349999999999998</v>
      </c>
      <c r="AQ123" s="1296" t="str">
        <f t="shared" si="36"/>
        <v/>
      </c>
      <c r="AR123" s="1298" t="str">
        <f t="shared" si="65"/>
        <v/>
      </c>
      <c r="AS123" s="952">
        <f t="shared" si="62"/>
        <v>18.666666666666668</v>
      </c>
      <c r="AT123" s="954" t="s">
        <v>755</v>
      </c>
      <c r="AU123" s="1113">
        <v>1985</v>
      </c>
      <c r="AV123" s="1119" t="s">
        <v>3286</v>
      </c>
      <c r="AW123" s="1121">
        <v>57.615550915135103</v>
      </c>
      <c r="AX123" s="1121">
        <v>34.601271753156297</v>
      </c>
    </row>
    <row r="124" spans="1:50" ht="20.100000000000001" customHeight="1" x14ac:dyDescent="0.25">
      <c r="A124" s="213">
        <v>97</v>
      </c>
      <c r="B124" s="213">
        <v>47</v>
      </c>
      <c r="C124" s="213" t="s">
        <v>994</v>
      </c>
      <c r="D124" s="230">
        <v>1.6</v>
      </c>
      <c r="E124" s="229" t="s">
        <v>785</v>
      </c>
      <c r="F124" s="229">
        <v>1.6</v>
      </c>
      <c r="G124" s="229"/>
      <c r="H124" s="228"/>
      <c r="I124" s="229" t="str">
        <f t="shared" si="37"/>
        <v>1,6+1,6</v>
      </c>
      <c r="J124" s="895">
        <v>0.78</v>
      </c>
      <c r="K124" s="172">
        <v>0.78</v>
      </c>
      <c r="L124" s="213">
        <v>120</v>
      </c>
      <c r="M124" s="172">
        <f t="shared" si="66"/>
        <v>0</v>
      </c>
      <c r="N124" s="172">
        <v>0</v>
      </c>
      <c r="O124" s="893"/>
      <c r="P124" s="893">
        <f t="shared" si="67"/>
        <v>1.6800000000000002</v>
      </c>
      <c r="Q124" s="172">
        <f t="shared" si="58"/>
        <v>1.6800000000000002</v>
      </c>
      <c r="R124" s="172">
        <f t="shared" si="53"/>
        <v>1.6800000000000002</v>
      </c>
      <c r="S124" s="768" t="str">
        <f t="shared" si="34"/>
        <v/>
      </c>
      <c r="T124" s="257" t="str">
        <f t="shared" si="64"/>
        <v/>
      </c>
      <c r="U124" s="768">
        <f t="shared" si="59"/>
        <v>46.428571428571423</v>
      </c>
      <c r="V124" s="768">
        <v>0.6</v>
      </c>
      <c r="W124" s="768" t="s">
        <v>3088</v>
      </c>
      <c r="X124" s="929"/>
      <c r="Y124" s="213">
        <v>97</v>
      </c>
      <c r="Z124" s="1316">
        <v>47</v>
      </c>
      <c r="AA124" s="1298" t="s">
        <v>994</v>
      </c>
      <c r="AB124" s="230">
        <f t="shared" si="38"/>
        <v>1.6</v>
      </c>
      <c r="AC124" s="1315" t="str">
        <f t="shared" si="39"/>
        <v>+</v>
      </c>
      <c r="AD124" s="1315">
        <f t="shared" si="40"/>
        <v>1.6</v>
      </c>
      <c r="AE124" s="1315"/>
      <c r="AF124" s="1316"/>
      <c r="AG124" s="1298" t="str">
        <f t="shared" si="41"/>
        <v>1,6+1,6</v>
      </c>
      <c r="AH124" s="1304">
        <f>'Зона ВЭс'!L135</f>
        <v>0</v>
      </c>
      <c r="AI124" s="1304">
        <f t="shared" si="35"/>
        <v>0.78</v>
      </c>
      <c r="AJ124" s="1304">
        <f t="shared" si="42"/>
        <v>0.78</v>
      </c>
      <c r="AK124" s="1298">
        <f t="shared" si="43"/>
        <v>120</v>
      </c>
      <c r="AL124" s="1304">
        <f t="shared" si="68"/>
        <v>0</v>
      </c>
      <c r="AM124" s="1298">
        <v>0</v>
      </c>
      <c r="AN124" s="893">
        <f t="shared" si="69"/>
        <v>1.6800000000000002</v>
      </c>
      <c r="AO124" s="1304">
        <f t="shared" si="63"/>
        <v>1.6800000000000002</v>
      </c>
      <c r="AP124" s="1304">
        <f t="shared" si="55"/>
        <v>1.6800000000000002</v>
      </c>
      <c r="AQ124" s="1296" t="str">
        <f t="shared" si="36"/>
        <v/>
      </c>
      <c r="AR124" s="1298" t="str">
        <f t="shared" si="65"/>
        <v/>
      </c>
      <c r="AS124" s="952">
        <f t="shared" si="62"/>
        <v>46.428571428571423</v>
      </c>
      <c r="AT124" s="954" t="s">
        <v>755</v>
      </c>
      <c r="AU124" s="1113">
        <v>1987</v>
      </c>
      <c r="AV124" s="1119" t="s">
        <v>3286</v>
      </c>
      <c r="AW124" s="1121">
        <v>57.563012031619103</v>
      </c>
      <c r="AX124" s="1121">
        <v>34.732428906605399</v>
      </c>
    </row>
    <row r="125" spans="1:50" ht="20.100000000000001" customHeight="1" x14ac:dyDescent="0.25">
      <c r="A125" s="213">
        <v>98</v>
      </c>
      <c r="B125" s="213">
        <v>48</v>
      </c>
      <c r="C125" s="213" t="s">
        <v>995</v>
      </c>
      <c r="D125" s="230">
        <v>1.6</v>
      </c>
      <c r="E125" s="229" t="s">
        <v>785</v>
      </c>
      <c r="F125" s="229">
        <v>1.6</v>
      </c>
      <c r="G125" s="229"/>
      <c r="H125" s="228"/>
      <c r="I125" s="229" t="str">
        <f t="shared" si="37"/>
        <v>1,6+1,6</v>
      </c>
      <c r="J125" s="895">
        <v>1.08</v>
      </c>
      <c r="K125" s="172">
        <v>0</v>
      </c>
      <c r="L125" s="213">
        <v>0</v>
      </c>
      <c r="M125" s="172">
        <f t="shared" si="66"/>
        <v>1.08</v>
      </c>
      <c r="N125" s="172">
        <v>0</v>
      </c>
      <c r="O125" s="893"/>
      <c r="P125" s="893">
        <f t="shared" si="67"/>
        <v>1.6800000000000002</v>
      </c>
      <c r="Q125" s="172">
        <f t="shared" si="58"/>
        <v>0.60000000000000009</v>
      </c>
      <c r="R125" s="172">
        <f t="shared" si="53"/>
        <v>0.60000000000000009</v>
      </c>
      <c r="S125" s="768" t="str">
        <f t="shared" si="34"/>
        <v/>
      </c>
      <c r="T125" s="257" t="str">
        <f t="shared" si="64"/>
        <v/>
      </c>
      <c r="U125" s="768">
        <f t="shared" si="59"/>
        <v>64.285714285714278</v>
      </c>
      <c r="V125" s="768">
        <v>0.5</v>
      </c>
      <c r="W125" s="768" t="s">
        <v>3088</v>
      </c>
      <c r="X125" s="929"/>
      <c r="Y125" s="213">
        <v>98</v>
      </c>
      <c r="Z125" s="1316">
        <v>48</v>
      </c>
      <c r="AA125" s="1298" t="s">
        <v>995</v>
      </c>
      <c r="AB125" s="230">
        <f t="shared" si="38"/>
        <v>1.6</v>
      </c>
      <c r="AC125" s="1315" t="str">
        <f t="shared" si="39"/>
        <v>+</v>
      </c>
      <c r="AD125" s="1315">
        <f t="shared" si="40"/>
        <v>1.6</v>
      </c>
      <c r="AE125" s="1315"/>
      <c r="AF125" s="1316"/>
      <c r="AG125" s="1298" t="str">
        <f t="shared" si="41"/>
        <v>1,6+1,6</v>
      </c>
      <c r="AH125" s="1304">
        <f>'Зона ВЭс'!L140</f>
        <v>0</v>
      </c>
      <c r="AI125" s="1304">
        <f t="shared" si="35"/>
        <v>1.08</v>
      </c>
      <c r="AJ125" s="1304">
        <f t="shared" si="42"/>
        <v>0</v>
      </c>
      <c r="AK125" s="1298">
        <f t="shared" si="43"/>
        <v>0</v>
      </c>
      <c r="AL125" s="1304">
        <f t="shared" si="68"/>
        <v>1.08</v>
      </c>
      <c r="AM125" s="1298">
        <v>0</v>
      </c>
      <c r="AN125" s="893">
        <f t="shared" si="69"/>
        <v>1.6800000000000002</v>
      </c>
      <c r="AO125" s="1304">
        <f t="shared" ref="AO125:AO155" si="70">AN125-AL125-AM125</f>
        <v>0.60000000000000009</v>
      </c>
      <c r="AP125" s="1304">
        <f t="shared" si="55"/>
        <v>0.60000000000000009</v>
      </c>
      <c r="AQ125" s="1296" t="str">
        <f t="shared" si="36"/>
        <v/>
      </c>
      <c r="AR125" s="1298" t="str">
        <f t="shared" si="65"/>
        <v/>
      </c>
      <c r="AS125" s="952">
        <f t="shared" si="62"/>
        <v>64.285714285714278</v>
      </c>
      <c r="AT125" s="954" t="s">
        <v>755</v>
      </c>
      <c r="AU125" s="1113">
        <v>1978</v>
      </c>
      <c r="AV125" s="1119" t="s">
        <v>3286</v>
      </c>
      <c r="AW125" s="1121">
        <v>58.004625137083501</v>
      </c>
      <c r="AX125" s="1121">
        <v>34.259169822107403</v>
      </c>
    </row>
    <row r="126" spans="1:50" ht="20.100000000000001" customHeight="1" x14ac:dyDescent="0.25">
      <c r="A126" s="213">
        <v>99</v>
      </c>
      <c r="B126" s="213">
        <v>49</v>
      </c>
      <c r="C126" s="213" t="s">
        <v>996</v>
      </c>
      <c r="D126" s="230">
        <v>2.5</v>
      </c>
      <c r="E126" s="229" t="s">
        <v>785</v>
      </c>
      <c r="F126" s="229">
        <v>2.5</v>
      </c>
      <c r="G126" s="229"/>
      <c r="H126" s="228"/>
      <c r="I126" s="229" t="str">
        <f t="shared" si="37"/>
        <v>2,5+2,5</v>
      </c>
      <c r="J126" s="895">
        <v>2.16</v>
      </c>
      <c r="K126" s="172">
        <v>2.16</v>
      </c>
      <c r="L126" s="213">
        <v>120</v>
      </c>
      <c r="M126" s="172">
        <f t="shared" si="66"/>
        <v>0</v>
      </c>
      <c r="N126" s="172">
        <v>0</v>
      </c>
      <c r="O126" s="893"/>
      <c r="P126" s="893">
        <f t="shared" si="67"/>
        <v>2.625</v>
      </c>
      <c r="Q126" s="172">
        <f t="shared" si="58"/>
        <v>2.625</v>
      </c>
      <c r="R126" s="172">
        <f t="shared" si="53"/>
        <v>2.625</v>
      </c>
      <c r="S126" s="768" t="str">
        <f t="shared" si="34"/>
        <v/>
      </c>
      <c r="T126" s="257" t="str">
        <f t="shared" si="64"/>
        <v/>
      </c>
      <c r="U126" s="768">
        <f t="shared" si="59"/>
        <v>82.285714285714292</v>
      </c>
      <c r="V126" s="768">
        <v>0.4</v>
      </c>
      <c r="W126" s="768" t="s">
        <v>3088</v>
      </c>
      <c r="X126" s="929"/>
      <c r="Y126" s="213">
        <v>99</v>
      </c>
      <c r="Z126" s="1316">
        <v>49</v>
      </c>
      <c r="AA126" s="1298" t="s">
        <v>996</v>
      </c>
      <c r="AB126" s="230">
        <f t="shared" si="38"/>
        <v>2.5</v>
      </c>
      <c r="AC126" s="1315" t="str">
        <f t="shared" si="39"/>
        <v>+</v>
      </c>
      <c r="AD126" s="1315">
        <f t="shared" si="40"/>
        <v>2.5</v>
      </c>
      <c r="AE126" s="1315"/>
      <c r="AF126" s="1316"/>
      <c r="AG126" s="1298" t="str">
        <f t="shared" si="41"/>
        <v>2,5+2,5</v>
      </c>
      <c r="AH126" s="1304">
        <f>'Зона ВЭс'!L143</f>
        <v>0</v>
      </c>
      <c r="AI126" s="1304">
        <f t="shared" si="35"/>
        <v>2.16</v>
      </c>
      <c r="AJ126" s="1304">
        <f t="shared" si="42"/>
        <v>2.16</v>
      </c>
      <c r="AK126" s="1298">
        <f t="shared" si="43"/>
        <v>120</v>
      </c>
      <c r="AL126" s="1304">
        <f t="shared" si="68"/>
        <v>0</v>
      </c>
      <c r="AM126" s="1298">
        <v>0</v>
      </c>
      <c r="AN126" s="893">
        <f t="shared" si="69"/>
        <v>2.625</v>
      </c>
      <c r="AO126" s="1304">
        <f t="shared" si="70"/>
        <v>2.625</v>
      </c>
      <c r="AP126" s="1304">
        <f t="shared" si="55"/>
        <v>2.625</v>
      </c>
      <c r="AQ126" s="1296" t="str">
        <f t="shared" si="36"/>
        <v/>
      </c>
      <c r="AR126" s="1298" t="str">
        <f t="shared" si="65"/>
        <v/>
      </c>
      <c r="AS126" s="952">
        <f t="shared" si="62"/>
        <v>82.285714285714292</v>
      </c>
      <c r="AT126" s="954" t="s">
        <v>755</v>
      </c>
      <c r="AU126" s="1113">
        <v>1985</v>
      </c>
      <c r="AV126" s="1119" t="s">
        <v>3286</v>
      </c>
      <c r="AW126" s="1121">
        <v>57.466965577883599</v>
      </c>
      <c r="AX126" s="1121">
        <v>33.685654540797998</v>
      </c>
    </row>
    <row r="127" spans="1:50" ht="20.100000000000001" customHeight="1" x14ac:dyDescent="0.25">
      <c r="A127" s="213">
        <v>100</v>
      </c>
      <c r="B127" s="213">
        <v>50</v>
      </c>
      <c r="C127" s="213" t="s">
        <v>997</v>
      </c>
      <c r="D127" s="230">
        <v>7.5</v>
      </c>
      <c r="E127" s="229" t="s">
        <v>785</v>
      </c>
      <c r="F127" s="229">
        <v>10</v>
      </c>
      <c r="G127" s="229"/>
      <c r="H127" s="228"/>
      <c r="I127" s="229" t="str">
        <f t="shared" si="37"/>
        <v>7,5+10</v>
      </c>
      <c r="J127" s="895">
        <v>7.32</v>
      </c>
      <c r="K127" s="172">
        <v>0.9</v>
      </c>
      <c r="L127" s="213">
        <v>120</v>
      </c>
      <c r="M127" s="172">
        <f t="shared" si="66"/>
        <v>6.42</v>
      </c>
      <c r="N127" s="172">
        <v>0</v>
      </c>
      <c r="O127" s="893"/>
      <c r="P127" s="893">
        <f t="shared" si="67"/>
        <v>7.875</v>
      </c>
      <c r="Q127" s="172">
        <f t="shared" si="58"/>
        <v>1.4550000000000001</v>
      </c>
      <c r="R127" s="172">
        <f t="shared" si="53"/>
        <v>1.4550000000000001</v>
      </c>
      <c r="S127" s="768" t="str">
        <f>T127</f>
        <v/>
      </c>
      <c r="T127" s="257" t="str">
        <f t="shared" si="64"/>
        <v/>
      </c>
      <c r="U127" s="768">
        <f t="shared" si="59"/>
        <v>92.952380952380949</v>
      </c>
      <c r="V127" s="768">
        <v>0.5</v>
      </c>
      <c r="W127" s="768" t="s">
        <v>3088</v>
      </c>
      <c r="X127" s="929"/>
      <c r="Y127" s="213">
        <v>100</v>
      </c>
      <c r="Z127" s="1316">
        <v>50</v>
      </c>
      <c r="AA127" s="1298" t="s">
        <v>997</v>
      </c>
      <c r="AB127" s="230">
        <f t="shared" si="38"/>
        <v>7.5</v>
      </c>
      <c r="AC127" s="1315" t="str">
        <f t="shared" si="39"/>
        <v>+</v>
      </c>
      <c r="AD127" s="1315">
        <f t="shared" si="40"/>
        <v>10</v>
      </c>
      <c r="AE127" s="1315"/>
      <c r="AF127" s="1316"/>
      <c r="AG127" s="1298" t="str">
        <f t="shared" si="41"/>
        <v>7,5+10</v>
      </c>
      <c r="AH127" s="1304">
        <f>'Зона ВЭс'!L150</f>
        <v>0.39999999999999997</v>
      </c>
      <c r="AI127" s="1304">
        <f t="shared" si="35"/>
        <v>7.7200000000000006</v>
      </c>
      <c r="AJ127" s="1304">
        <f t="shared" si="42"/>
        <v>0.9</v>
      </c>
      <c r="AK127" s="1298">
        <f t="shared" si="43"/>
        <v>120</v>
      </c>
      <c r="AL127" s="1304">
        <f t="shared" si="68"/>
        <v>6.82</v>
      </c>
      <c r="AM127" s="1298">
        <v>0</v>
      </c>
      <c r="AN127" s="893">
        <f t="shared" si="69"/>
        <v>7.875</v>
      </c>
      <c r="AO127" s="1304">
        <f t="shared" si="70"/>
        <v>1.0549999999999997</v>
      </c>
      <c r="AP127" s="1304">
        <f t="shared" si="55"/>
        <v>1.0549999999999997</v>
      </c>
      <c r="AQ127" s="1296" t="str">
        <f t="shared" si="36"/>
        <v/>
      </c>
      <c r="AR127" s="1298" t="str">
        <f t="shared" si="65"/>
        <v/>
      </c>
      <c r="AS127" s="952">
        <f t="shared" si="62"/>
        <v>98.031746031746053</v>
      </c>
      <c r="AT127" s="954" t="s">
        <v>755</v>
      </c>
      <c r="AU127" s="1113">
        <v>1974</v>
      </c>
      <c r="AV127" s="1119" t="s">
        <v>3286</v>
      </c>
      <c r="AW127" s="1121">
        <v>57.586412116685999</v>
      </c>
      <c r="AX127" s="1121">
        <v>34.539257743638998</v>
      </c>
    </row>
    <row r="128" spans="1:50" ht="20.100000000000001" customHeight="1" x14ac:dyDescent="0.25">
      <c r="A128" s="213">
        <v>101</v>
      </c>
      <c r="B128" s="213">
        <v>51</v>
      </c>
      <c r="C128" s="213" t="s">
        <v>998</v>
      </c>
      <c r="D128" s="230">
        <v>2.5</v>
      </c>
      <c r="E128" s="229" t="s">
        <v>785</v>
      </c>
      <c r="F128" s="229">
        <v>2.5</v>
      </c>
      <c r="G128" s="229"/>
      <c r="H128" s="228"/>
      <c r="I128" s="229" t="str">
        <f t="shared" si="37"/>
        <v>2,5+2,5</v>
      </c>
      <c r="J128" s="895">
        <v>0.28999999999999998</v>
      </c>
      <c r="K128" s="172">
        <v>0.17</v>
      </c>
      <c r="L128" s="213">
        <v>120</v>
      </c>
      <c r="M128" s="172">
        <f t="shared" si="66"/>
        <v>0.11999999999999997</v>
      </c>
      <c r="N128" s="172">
        <v>0</v>
      </c>
      <c r="O128" s="893"/>
      <c r="P128" s="893">
        <f t="shared" si="67"/>
        <v>2.625</v>
      </c>
      <c r="Q128" s="172">
        <f t="shared" si="58"/>
        <v>2.5049999999999999</v>
      </c>
      <c r="R128" s="172">
        <f t="shared" si="53"/>
        <v>2.5049999999999999</v>
      </c>
      <c r="S128" s="768" t="str">
        <f t="shared" si="34"/>
        <v/>
      </c>
      <c r="T128" s="257" t="str">
        <f t="shared" si="64"/>
        <v/>
      </c>
      <c r="U128" s="768">
        <f t="shared" si="59"/>
        <v>11.047619047619046</v>
      </c>
      <c r="V128" s="768">
        <v>0.4</v>
      </c>
      <c r="W128" s="768" t="s">
        <v>3088</v>
      </c>
      <c r="X128" s="929"/>
      <c r="Y128" s="213">
        <v>101</v>
      </c>
      <c r="Z128" s="1316">
        <v>51</v>
      </c>
      <c r="AA128" s="1298" t="s">
        <v>998</v>
      </c>
      <c r="AB128" s="230">
        <f t="shared" si="38"/>
        <v>2.5</v>
      </c>
      <c r="AC128" s="1315" t="str">
        <f t="shared" si="39"/>
        <v>+</v>
      </c>
      <c r="AD128" s="1315">
        <f t="shared" si="40"/>
        <v>2.5</v>
      </c>
      <c r="AE128" s="1315"/>
      <c r="AF128" s="1316"/>
      <c r="AG128" s="1298" t="str">
        <f t="shared" si="41"/>
        <v>2,5+2,5</v>
      </c>
      <c r="AH128" s="1304">
        <f>'Зона ВЭс'!L152</f>
        <v>0</v>
      </c>
      <c r="AI128" s="1304">
        <f t="shared" si="35"/>
        <v>0.28999999999999998</v>
      </c>
      <c r="AJ128" s="1304">
        <f t="shared" si="42"/>
        <v>0.17</v>
      </c>
      <c r="AK128" s="1298">
        <f t="shared" si="43"/>
        <v>120</v>
      </c>
      <c r="AL128" s="1304">
        <f t="shared" si="68"/>
        <v>0.11999999999999997</v>
      </c>
      <c r="AM128" s="1298">
        <v>0</v>
      </c>
      <c r="AN128" s="893">
        <f t="shared" si="69"/>
        <v>2.625</v>
      </c>
      <c r="AO128" s="1304">
        <f t="shared" si="70"/>
        <v>2.5049999999999999</v>
      </c>
      <c r="AP128" s="1304">
        <f t="shared" si="55"/>
        <v>2.5049999999999999</v>
      </c>
      <c r="AQ128" s="1296" t="str">
        <f t="shared" si="36"/>
        <v/>
      </c>
      <c r="AR128" s="1298" t="str">
        <f t="shared" si="65"/>
        <v/>
      </c>
      <c r="AS128" s="952">
        <f t="shared" si="62"/>
        <v>11.047619047619046</v>
      </c>
      <c r="AT128" s="954" t="s">
        <v>755</v>
      </c>
      <c r="AU128" s="1113">
        <v>1984</v>
      </c>
      <c r="AV128" s="1119" t="s">
        <v>3286</v>
      </c>
      <c r="AW128" s="1121">
        <v>57.462721817982199</v>
      </c>
      <c r="AX128" s="1121">
        <v>34.072403200208498</v>
      </c>
    </row>
    <row r="129" spans="1:50" ht="20.100000000000001" customHeight="1" x14ac:dyDescent="0.25">
      <c r="A129" s="1371">
        <v>102</v>
      </c>
      <c r="B129" s="1376">
        <v>52</v>
      </c>
      <c r="C129" s="213" t="s">
        <v>999</v>
      </c>
      <c r="D129" s="230">
        <v>10</v>
      </c>
      <c r="E129" s="229" t="s">
        <v>785</v>
      </c>
      <c r="F129" s="229">
        <v>10</v>
      </c>
      <c r="G129" s="229"/>
      <c r="H129" s="228"/>
      <c r="I129" s="229" t="str">
        <f t="shared" si="37"/>
        <v>10+10</v>
      </c>
      <c r="J129" s="895">
        <v>1.94</v>
      </c>
      <c r="K129" s="172">
        <v>3.677</v>
      </c>
      <c r="L129" s="213">
        <v>120</v>
      </c>
      <c r="M129" s="172">
        <f t="shared" si="66"/>
        <v>-1.7370000000000001</v>
      </c>
      <c r="N129" s="172">
        <v>0</v>
      </c>
      <c r="O129" s="893"/>
      <c r="P129" s="893">
        <f t="shared" si="67"/>
        <v>10.5</v>
      </c>
      <c r="Q129" s="172">
        <f t="shared" ref="Q129:Q155" si="71">P129-M129-N129</f>
        <v>12.237</v>
      </c>
      <c r="R129" s="1379">
        <f>MIN(Q129:Q131)</f>
        <v>10.5</v>
      </c>
      <c r="S129" s="1362" t="str">
        <f t="shared" si="34"/>
        <v/>
      </c>
      <c r="T129" s="257" t="str">
        <f t="shared" si="64"/>
        <v/>
      </c>
      <c r="U129" s="1362">
        <f t="shared" si="59"/>
        <v>18.476190476190474</v>
      </c>
      <c r="V129" s="1422"/>
      <c r="W129" s="768" t="s">
        <v>3089</v>
      </c>
      <c r="X129" s="929"/>
      <c r="Y129" s="1371">
        <v>102</v>
      </c>
      <c r="Z129" s="1342">
        <v>52</v>
      </c>
      <c r="AA129" s="1298" t="s">
        <v>999</v>
      </c>
      <c r="AB129" s="230">
        <f t="shared" si="38"/>
        <v>10</v>
      </c>
      <c r="AC129" s="1315" t="str">
        <f t="shared" si="39"/>
        <v>+</v>
      </c>
      <c r="AD129" s="1315">
        <f t="shared" si="40"/>
        <v>10</v>
      </c>
      <c r="AE129" s="1315"/>
      <c r="AF129" s="1316"/>
      <c r="AG129" s="1298" t="str">
        <f t="shared" si="41"/>
        <v>10+10</v>
      </c>
      <c r="AH129" s="1304">
        <f>SUM(AH130:AH131)</f>
        <v>2.3375E-2</v>
      </c>
      <c r="AI129" s="1304">
        <f t="shared" si="35"/>
        <v>1.9633749999999999</v>
      </c>
      <c r="AJ129" s="1304">
        <f t="shared" si="42"/>
        <v>3.677</v>
      </c>
      <c r="AK129" s="1298">
        <f t="shared" si="43"/>
        <v>120</v>
      </c>
      <c r="AL129" s="1304">
        <f t="shared" si="68"/>
        <v>-1.7136250000000002</v>
      </c>
      <c r="AM129" s="1298">
        <v>0</v>
      </c>
      <c r="AN129" s="893">
        <f t="shared" si="69"/>
        <v>10.5</v>
      </c>
      <c r="AO129" s="1304">
        <f t="shared" si="70"/>
        <v>12.213625</v>
      </c>
      <c r="AP129" s="1308">
        <f>MIN(AO129:AO131)</f>
        <v>10.5</v>
      </c>
      <c r="AQ129" s="1296" t="str">
        <f>AR129</f>
        <v/>
      </c>
      <c r="AR129" s="1298" t="str">
        <f t="shared" si="65"/>
        <v/>
      </c>
      <c r="AS129" s="1305">
        <f t="shared" si="62"/>
        <v>18.698809523809523</v>
      </c>
      <c r="AT129" s="954" t="s">
        <v>755</v>
      </c>
      <c r="AU129" s="1113">
        <v>1982</v>
      </c>
      <c r="AV129" s="1119" t="s">
        <v>3286</v>
      </c>
      <c r="AW129" s="1121">
        <v>57.8456706899387</v>
      </c>
      <c r="AX129" s="1121">
        <v>35.396921230622802</v>
      </c>
    </row>
    <row r="130" spans="1:50" ht="20.100000000000001" customHeight="1" x14ac:dyDescent="0.25">
      <c r="A130" s="1371"/>
      <c r="B130" s="1393"/>
      <c r="C130" s="213" t="s">
        <v>1792</v>
      </c>
      <c r="D130" s="230">
        <v>10</v>
      </c>
      <c r="E130" s="229" t="s">
        <v>785</v>
      </c>
      <c r="F130" s="229">
        <v>10</v>
      </c>
      <c r="G130" s="229"/>
      <c r="H130" s="228"/>
      <c r="I130" s="229" t="str">
        <f t="shared" si="37"/>
        <v>10+10</v>
      </c>
      <c r="J130" s="895">
        <v>1.59</v>
      </c>
      <c r="K130" s="172">
        <v>1.59</v>
      </c>
      <c r="L130" s="213">
        <v>120</v>
      </c>
      <c r="M130" s="172">
        <f t="shared" si="66"/>
        <v>0</v>
      </c>
      <c r="N130" s="172">
        <v>0</v>
      </c>
      <c r="O130" s="893"/>
      <c r="P130" s="893">
        <f t="shared" si="67"/>
        <v>10.5</v>
      </c>
      <c r="Q130" s="172">
        <f t="shared" si="71"/>
        <v>10.5</v>
      </c>
      <c r="R130" s="1379"/>
      <c r="S130" s="1363" t="str">
        <f t="shared" si="34"/>
        <v/>
      </c>
      <c r="T130" s="257" t="str">
        <f>IF(R129&lt;0,"закрыт","")</f>
        <v/>
      </c>
      <c r="U130" s="1363"/>
      <c r="V130" s="1423"/>
      <c r="W130" s="257" t="s">
        <v>3089</v>
      </c>
      <c r="X130" s="929"/>
      <c r="Y130" s="1371"/>
      <c r="Z130" s="1346"/>
      <c r="AA130" s="1298" t="s">
        <v>1792</v>
      </c>
      <c r="AB130" s="230">
        <f t="shared" si="38"/>
        <v>10</v>
      </c>
      <c r="AC130" s="1315" t="str">
        <f t="shared" si="39"/>
        <v>+</v>
      </c>
      <c r="AD130" s="1315">
        <f t="shared" si="40"/>
        <v>10</v>
      </c>
      <c r="AE130" s="1315"/>
      <c r="AF130" s="1316"/>
      <c r="AG130" s="1298" t="str">
        <f t="shared" si="41"/>
        <v>10+10</v>
      </c>
      <c r="AH130" s="1304">
        <v>0</v>
      </c>
      <c r="AI130" s="1304">
        <f t="shared" si="35"/>
        <v>1.59</v>
      </c>
      <c r="AJ130" s="1304">
        <f t="shared" si="42"/>
        <v>1.59</v>
      </c>
      <c r="AK130" s="1298">
        <f t="shared" si="43"/>
        <v>120</v>
      </c>
      <c r="AL130" s="1304">
        <f t="shared" si="68"/>
        <v>0</v>
      </c>
      <c r="AM130" s="1298">
        <v>0</v>
      </c>
      <c r="AN130" s="893">
        <f t="shared" si="69"/>
        <v>10.5</v>
      </c>
      <c r="AO130" s="1304">
        <f t="shared" si="70"/>
        <v>10.5</v>
      </c>
      <c r="AP130" s="1309"/>
      <c r="AQ130" s="1297" t="str">
        <f t="shared" si="36"/>
        <v/>
      </c>
      <c r="AR130" s="1298" t="str">
        <f>IF(AP129&lt;0,"закрыт","")</f>
        <v/>
      </c>
      <c r="AS130" s="1306"/>
      <c r="AT130" s="954" t="s">
        <v>755</v>
      </c>
      <c r="AU130" s="1113">
        <v>1982</v>
      </c>
      <c r="AV130" s="1119" t="s">
        <v>3286</v>
      </c>
      <c r="AW130" s="1121">
        <v>57.8456706899387</v>
      </c>
      <c r="AX130" s="1121">
        <v>35.396921230622802</v>
      </c>
    </row>
    <row r="131" spans="1:50" ht="20.100000000000001" customHeight="1" x14ac:dyDescent="0.25">
      <c r="A131" s="1371"/>
      <c r="B131" s="1394"/>
      <c r="C131" s="213" t="s">
        <v>1791</v>
      </c>
      <c r="D131" s="230">
        <v>10</v>
      </c>
      <c r="E131" s="229" t="s">
        <v>785</v>
      </c>
      <c r="F131" s="229">
        <v>10</v>
      </c>
      <c r="G131" s="229"/>
      <c r="H131" s="228"/>
      <c r="I131" s="229" t="str">
        <f t="shared" si="37"/>
        <v>10+10</v>
      </c>
      <c r="J131" s="895">
        <v>0.35</v>
      </c>
      <c r="K131" s="172">
        <v>1.8</v>
      </c>
      <c r="L131" s="213">
        <v>120</v>
      </c>
      <c r="M131" s="172">
        <f t="shared" si="66"/>
        <v>-1.4500000000000002</v>
      </c>
      <c r="N131" s="172">
        <v>0</v>
      </c>
      <c r="O131" s="893"/>
      <c r="P131" s="893">
        <f t="shared" si="67"/>
        <v>10.5</v>
      </c>
      <c r="Q131" s="172">
        <f t="shared" si="71"/>
        <v>11.95</v>
      </c>
      <c r="R131" s="1379"/>
      <c r="S131" s="1363" t="str">
        <f t="shared" si="34"/>
        <v/>
      </c>
      <c r="T131" s="257" t="str">
        <f>IF(R129&lt;0,"закрыт","")</f>
        <v/>
      </c>
      <c r="U131" s="1363"/>
      <c r="V131" s="1423"/>
      <c r="W131" s="257" t="s">
        <v>3089</v>
      </c>
      <c r="X131" s="929"/>
      <c r="Y131" s="1371"/>
      <c r="Z131" s="1345"/>
      <c r="AA131" s="1298" t="s">
        <v>1791</v>
      </c>
      <c r="AB131" s="230">
        <f t="shared" si="38"/>
        <v>10</v>
      </c>
      <c r="AC131" s="1315" t="str">
        <f t="shared" si="39"/>
        <v>+</v>
      </c>
      <c r="AD131" s="1315">
        <f t="shared" si="40"/>
        <v>10</v>
      </c>
      <c r="AE131" s="1315"/>
      <c r="AF131" s="1316"/>
      <c r="AG131" s="1298" t="str">
        <f t="shared" si="41"/>
        <v>10+10</v>
      </c>
      <c r="AH131" s="1304">
        <f>'Зона ВЭс'!L157</f>
        <v>2.3375E-2</v>
      </c>
      <c r="AI131" s="1304">
        <f t="shared" si="35"/>
        <v>0.37337499999999996</v>
      </c>
      <c r="AJ131" s="1304">
        <f t="shared" si="42"/>
        <v>1.8</v>
      </c>
      <c r="AK131" s="1298">
        <f t="shared" si="43"/>
        <v>120</v>
      </c>
      <c r="AL131" s="1304">
        <f t="shared" si="68"/>
        <v>-1.426625</v>
      </c>
      <c r="AM131" s="1298">
        <v>0</v>
      </c>
      <c r="AN131" s="893">
        <f t="shared" si="69"/>
        <v>10.5</v>
      </c>
      <c r="AO131" s="1304">
        <f t="shared" si="70"/>
        <v>11.926625</v>
      </c>
      <c r="AP131" s="1310"/>
      <c r="AQ131" s="1297" t="str">
        <f t="shared" si="36"/>
        <v/>
      </c>
      <c r="AR131" s="1298" t="str">
        <f>IF(AP129&lt;0,"закрыт","")</f>
        <v/>
      </c>
      <c r="AS131" s="1307"/>
      <c r="AT131" s="954" t="s">
        <v>755</v>
      </c>
      <c r="AU131" s="1113">
        <v>1982</v>
      </c>
      <c r="AV131" s="1119" t="s">
        <v>3286</v>
      </c>
      <c r="AW131" s="1121">
        <v>57.8456706899387</v>
      </c>
      <c r="AX131" s="1121">
        <v>35.396921230622802</v>
      </c>
    </row>
    <row r="132" spans="1:50" ht="20.100000000000001" customHeight="1" x14ac:dyDescent="0.25">
      <c r="A132" s="1371">
        <v>103</v>
      </c>
      <c r="B132" s="1371">
        <v>53</v>
      </c>
      <c r="C132" s="213" t="s">
        <v>1000</v>
      </c>
      <c r="D132" s="230">
        <v>10</v>
      </c>
      <c r="E132" s="229" t="s">
        <v>785</v>
      </c>
      <c r="F132" s="229">
        <v>10</v>
      </c>
      <c r="G132" s="229"/>
      <c r="H132" s="228"/>
      <c r="I132" s="229" t="str">
        <f t="shared" si="37"/>
        <v>10+10</v>
      </c>
      <c r="J132" s="895">
        <v>6.46</v>
      </c>
      <c r="K132" s="172">
        <v>5.0419999999999998</v>
      </c>
      <c r="L132" s="213">
        <v>120</v>
      </c>
      <c r="M132" s="172">
        <f t="shared" si="66"/>
        <v>1.4180000000000001</v>
      </c>
      <c r="N132" s="172">
        <v>0</v>
      </c>
      <c r="O132" s="893"/>
      <c r="P132" s="893">
        <f t="shared" si="67"/>
        <v>10.5</v>
      </c>
      <c r="Q132" s="172">
        <f t="shared" si="71"/>
        <v>9.0820000000000007</v>
      </c>
      <c r="R132" s="1379">
        <f>MIN(Q132:Q134)</f>
        <v>9.0820000000000007</v>
      </c>
      <c r="S132" s="1362" t="str">
        <f t="shared" si="34"/>
        <v/>
      </c>
      <c r="T132" s="257" t="str">
        <f>IF(R132&lt;0,"закрыт","")</f>
        <v/>
      </c>
      <c r="U132" s="1362">
        <f>(J132*100)/P132</f>
        <v>61.523809523809526</v>
      </c>
      <c r="V132" s="1422"/>
      <c r="W132" s="768" t="s">
        <v>3090</v>
      </c>
      <c r="X132" s="929"/>
      <c r="Y132" s="1371">
        <v>103</v>
      </c>
      <c r="Z132" s="1316">
        <v>53</v>
      </c>
      <c r="AA132" s="1298" t="s">
        <v>1000</v>
      </c>
      <c r="AB132" s="230">
        <f t="shared" si="38"/>
        <v>10</v>
      </c>
      <c r="AC132" s="1315" t="str">
        <f t="shared" si="39"/>
        <v>+</v>
      </c>
      <c r="AD132" s="1315">
        <f t="shared" si="40"/>
        <v>10</v>
      </c>
      <c r="AE132" s="1315"/>
      <c r="AF132" s="1316"/>
      <c r="AG132" s="1298" t="str">
        <f t="shared" si="41"/>
        <v>10+10</v>
      </c>
      <c r="AH132" s="1304">
        <f>SUM(AH133:AH134)</f>
        <v>0.24625</v>
      </c>
      <c r="AI132" s="1304">
        <f t="shared" si="35"/>
        <v>6.7062499999999998</v>
      </c>
      <c r="AJ132" s="1304">
        <f t="shared" si="42"/>
        <v>5.0419999999999998</v>
      </c>
      <c r="AK132" s="1298">
        <f t="shared" si="43"/>
        <v>120</v>
      </c>
      <c r="AL132" s="1304">
        <f t="shared" si="68"/>
        <v>1.66425</v>
      </c>
      <c r="AM132" s="1298">
        <v>0</v>
      </c>
      <c r="AN132" s="893">
        <f t="shared" si="69"/>
        <v>10.5</v>
      </c>
      <c r="AO132" s="1304">
        <f t="shared" si="70"/>
        <v>8.8357500000000009</v>
      </c>
      <c r="AP132" s="1308">
        <f>MIN(AO132:AO134)</f>
        <v>8.8357500000000009</v>
      </c>
      <c r="AQ132" s="1296" t="str">
        <f>AR132</f>
        <v/>
      </c>
      <c r="AR132" s="1298" t="str">
        <f>IF(AP132&lt;0,"закрыт","")</f>
        <v/>
      </c>
      <c r="AS132" s="1305">
        <f>(AI132*100)/AN132</f>
        <v>63.86904761904762</v>
      </c>
      <c r="AT132" s="954" t="s">
        <v>755</v>
      </c>
      <c r="AU132" s="1113">
        <v>1972</v>
      </c>
      <c r="AV132" s="1119" t="s">
        <v>3286</v>
      </c>
      <c r="AW132" s="1121">
        <v>57.894637354718498</v>
      </c>
      <c r="AX132" s="1121">
        <v>33.661370068374403</v>
      </c>
    </row>
    <row r="133" spans="1:50" ht="20.100000000000001" customHeight="1" x14ac:dyDescent="0.25">
      <c r="A133" s="1371"/>
      <c r="B133" s="1371"/>
      <c r="C133" s="213" t="s">
        <v>1792</v>
      </c>
      <c r="D133" s="230">
        <v>10</v>
      </c>
      <c r="E133" s="229" t="s">
        <v>785</v>
      </c>
      <c r="F133" s="229">
        <v>10</v>
      </c>
      <c r="G133" s="229"/>
      <c r="H133" s="228"/>
      <c r="I133" s="229" t="str">
        <f t="shared" si="37"/>
        <v>10+10</v>
      </c>
      <c r="J133" s="895">
        <v>4.99</v>
      </c>
      <c r="K133" s="172">
        <v>3.7</v>
      </c>
      <c r="L133" s="213">
        <v>120</v>
      </c>
      <c r="M133" s="172">
        <f t="shared" si="66"/>
        <v>1.29</v>
      </c>
      <c r="N133" s="172">
        <v>0</v>
      </c>
      <c r="O133" s="893"/>
      <c r="P133" s="893">
        <f t="shared" si="67"/>
        <v>10.5</v>
      </c>
      <c r="Q133" s="172">
        <f t="shared" si="71"/>
        <v>9.2100000000000009</v>
      </c>
      <c r="R133" s="1379"/>
      <c r="S133" s="1363" t="str">
        <f t="shared" si="34"/>
        <v/>
      </c>
      <c r="T133" s="257" t="str">
        <f>IF(R132&lt;0,"закрыт","")</f>
        <v/>
      </c>
      <c r="U133" s="1363"/>
      <c r="V133" s="1423"/>
      <c r="W133" s="257" t="s">
        <v>3089</v>
      </c>
      <c r="X133" s="929"/>
      <c r="Y133" s="1371"/>
      <c r="Z133" s="1316"/>
      <c r="AA133" s="1298" t="s">
        <v>1792</v>
      </c>
      <c r="AB133" s="230">
        <f t="shared" si="38"/>
        <v>10</v>
      </c>
      <c r="AC133" s="1315" t="str">
        <f t="shared" si="39"/>
        <v>+</v>
      </c>
      <c r="AD133" s="1315">
        <f t="shared" si="40"/>
        <v>10</v>
      </c>
      <c r="AE133" s="1315"/>
      <c r="AF133" s="1316"/>
      <c r="AG133" s="1298" t="str">
        <f t="shared" si="41"/>
        <v>10+10</v>
      </c>
      <c r="AH133" s="1304">
        <f>SUM(AH84)</f>
        <v>0</v>
      </c>
      <c r="AI133" s="1304">
        <f t="shared" si="35"/>
        <v>4.99</v>
      </c>
      <c r="AJ133" s="1304">
        <f t="shared" si="42"/>
        <v>3.7</v>
      </c>
      <c r="AK133" s="1298">
        <f t="shared" si="43"/>
        <v>120</v>
      </c>
      <c r="AL133" s="1304">
        <f t="shared" si="68"/>
        <v>1.29</v>
      </c>
      <c r="AM133" s="1298">
        <v>0</v>
      </c>
      <c r="AN133" s="893">
        <f t="shared" si="69"/>
        <v>10.5</v>
      </c>
      <c r="AO133" s="1304">
        <f t="shared" si="70"/>
        <v>9.2100000000000009</v>
      </c>
      <c r="AP133" s="1309"/>
      <c r="AQ133" s="1297" t="str">
        <f t="shared" si="36"/>
        <v/>
      </c>
      <c r="AR133" s="1298" t="str">
        <f>IF(AP132&lt;0,"закрыт","")</f>
        <v/>
      </c>
      <c r="AS133" s="1306"/>
      <c r="AT133" s="954" t="s">
        <v>755</v>
      </c>
      <c r="AU133" s="1113">
        <v>1972</v>
      </c>
      <c r="AV133" s="1119" t="s">
        <v>3286</v>
      </c>
      <c r="AW133" s="1121">
        <v>57.894637354718498</v>
      </c>
      <c r="AX133" s="1121">
        <v>33.661370068374403</v>
      </c>
    </row>
    <row r="134" spans="1:50" ht="20.100000000000001" customHeight="1" x14ac:dyDescent="0.25">
      <c r="A134" s="1371"/>
      <c r="B134" s="1371"/>
      <c r="C134" s="213" t="s">
        <v>1791</v>
      </c>
      <c r="D134" s="230">
        <v>10</v>
      </c>
      <c r="E134" s="229" t="s">
        <v>785</v>
      </c>
      <c r="F134" s="229">
        <v>10</v>
      </c>
      <c r="G134" s="229"/>
      <c r="H134" s="228"/>
      <c r="I134" s="229" t="str">
        <f t="shared" si="37"/>
        <v>10+10</v>
      </c>
      <c r="J134" s="895">
        <v>1.47</v>
      </c>
      <c r="K134" s="172">
        <v>1.47</v>
      </c>
      <c r="L134" s="213">
        <v>120</v>
      </c>
      <c r="M134" s="172">
        <f t="shared" si="66"/>
        <v>0</v>
      </c>
      <c r="N134" s="172">
        <v>0</v>
      </c>
      <c r="O134" s="893"/>
      <c r="P134" s="893">
        <f t="shared" si="67"/>
        <v>10.5</v>
      </c>
      <c r="Q134" s="172">
        <f t="shared" si="71"/>
        <v>10.5</v>
      </c>
      <c r="R134" s="1379"/>
      <c r="S134" s="1363" t="str">
        <f t="shared" si="34"/>
        <v/>
      </c>
      <c r="T134" s="257" t="str">
        <f>IF(R132&lt;0,"закрыт","")</f>
        <v/>
      </c>
      <c r="U134" s="1363"/>
      <c r="V134" s="1423"/>
      <c r="W134" s="257" t="s">
        <v>3089</v>
      </c>
      <c r="X134" s="929"/>
      <c r="Y134" s="1371"/>
      <c r="Z134" s="1316"/>
      <c r="AA134" s="1298" t="s">
        <v>1791</v>
      </c>
      <c r="AB134" s="230">
        <f t="shared" si="38"/>
        <v>10</v>
      </c>
      <c r="AC134" s="1315" t="str">
        <f t="shared" si="39"/>
        <v>+</v>
      </c>
      <c r="AD134" s="1315">
        <f t="shared" si="40"/>
        <v>10</v>
      </c>
      <c r="AE134" s="1315"/>
      <c r="AF134" s="1316"/>
      <c r="AG134" s="1298" t="str">
        <f t="shared" si="41"/>
        <v>10+10</v>
      </c>
      <c r="AH134" s="1304">
        <f>'Зона ВЭс'!L160</f>
        <v>0.24625</v>
      </c>
      <c r="AI134" s="1304">
        <f t="shared" si="35"/>
        <v>1.7162500000000001</v>
      </c>
      <c r="AJ134" s="1304">
        <f t="shared" si="42"/>
        <v>1.47</v>
      </c>
      <c r="AK134" s="1298">
        <f t="shared" si="43"/>
        <v>120</v>
      </c>
      <c r="AL134" s="1304">
        <f t="shared" si="68"/>
        <v>0.24625000000000008</v>
      </c>
      <c r="AM134" s="1298">
        <v>0</v>
      </c>
      <c r="AN134" s="893">
        <f t="shared" si="69"/>
        <v>10.5</v>
      </c>
      <c r="AO134" s="1304">
        <f t="shared" si="70"/>
        <v>10.25375</v>
      </c>
      <c r="AP134" s="1310"/>
      <c r="AQ134" s="1297" t="str">
        <f t="shared" si="36"/>
        <v/>
      </c>
      <c r="AR134" s="1298" t="str">
        <f>IF(AP132&lt;0,"закрыт","")</f>
        <v/>
      </c>
      <c r="AS134" s="1307"/>
      <c r="AT134" s="954" t="s">
        <v>755</v>
      </c>
      <c r="AU134" s="1113">
        <v>1972</v>
      </c>
      <c r="AV134" s="1119" t="s">
        <v>3286</v>
      </c>
      <c r="AW134" s="1121">
        <v>57.894637354718498</v>
      </c>
      <c r="AX134" s="1121">
        <v>33.661370068374403</v>
      </c>
    </row>
    <row r="135" spans="1:50" ht="20.100000000000001" customHeight="1" x14ac:dyDescent="0.25">
      <c r="A135" s="1371">
        <v>104</v>
      </c>
      <c r="B135" s="1371">
        <v>54</v>
      </c>
      <c r="C135" s="213" t="s">
        <v>1001</v>
      </c>
      <c r="D135" s="230">
        <v>40</v>
      </c>
      <c r="E135" s="229" t="s">
        <v>785</v>
      </c>
      <c r="F135" s="229">
        <v>40</v>
      </c>
      <c r="G135" s="229"/>
      <c r="H135" s="228"/>
      <c r="I135" s="229" t="str">
        <f t="shared" si="37"/>
        <v>40+40</v>
      </c>
      <c r="J135" s="895">
        <v>31.07</v>
      </c>
      <c r="K135" s="172">
        <v>19.600000000000001</v>
      </c>
      <c r="L135" s="213">
        <v>120</v>
      </c>
      <c r="M135" s="172">
        <f t="shared" si="66"/>
        <v>11.469999999999999</v>
      </c>
      <c r="N135" s="172">
        <v>0</v>
      </c>
      <c r="O135" s="893"/>
      <c r="P135" s="893">
        <f t="shared" si="67"/>
        <v>42</v>
      </c>
      <c r="Q135" s="172">
        <f t="shared" si="71"/>
        <v>30.53</v>
      </c>
      <c r="R135" s="1379">
        <f>MIN(Q135:Q137)</f>
        <v>28.400000000000002</v>
      </c>
      <c r="S135" s="1362" t="str">
        <f t="shared" si="34"/>
        <v/>
      </c>
      <c r="T135" s="257" t="str">
        <f>IF(R135&lt;0,"закрыт","")</f>
        <v/>
      </c>
      <c r="U135" s="1362">
        <f>(J135*100)/P135</f>
        <v>73.976190476190482</v>
      </c>
      <c r="V135" s="1362">
        <v>0.5</v>
      </c>
      <c r="W135" s="768" t="s">
        <v>3090</v>
      </c>
      <c r="X135" s="929"/>
      <c r="Y135" s="1371">
        <v>104</v>
      </c>
      <c r="Z135" s="1316">
        <v>54</v>
      </c>
      <c r="AA135" s="1298" t="s">
        <v>1001</v>
      </c>
      <c r="AB135" s="230">
        <f t="shared" si="38"/>
        <v>40</v>
      </c>
      <c r="AC135" s="1315" t="str">
        <f t="shared" si="39"/>
        <v>+</v>
      </c>
      <c r="AD135" s="1315">
        <f t="shared" si="40"/>
        <v>40</v>
      </c>
      <c r="AE135" s="1315"/>
      <c r="AF135" s="1316"/>
      <c r="AG135" s="1298" t="str">
        <f t="shared" si="41"/>
        <v>40+40</v>
      </c>
      <c r="AH135" s="1304">
        <f>SUM(AH136:AH137)</f>
        <v>0.52499999999999991</v>
      </c>
      <c r="AI135" s="1304">
        <f t="shared" si="35"/>
        <v>31.594999999999999</v>
      </c>
      <c r="AJ135" s="1304">
        <f t="shared" si="42"/>
        <v>19.600000000000001</v>
      </c>
      <c r="AK135" s="1298">
        <f t="shared" si="43"/>
        <v>120</v>
      </c>
      <c r="AL135" s="1304">
        <f t="shared" si="68"/>
        <v>11.994999999999997</v>
      </c>
      <c r="AM135" s="1298">
        <v>0</v>
      </c>
      <c r="AN135" s="893">
        <f t="shared" si="69"/>
        <v>42</v>
      </c>
      <c r="AO135" s="1304">
        <f t="shared" si="70"/>
        <v>30.005000000000003</v>
      </c>
      <c r="AP135" s="1308">
        <f>MIN(AO135:AO137)</f>
        <v>27.875000000000004</v>
      </c>
      <c r="AQ135" s="1296" t="str">
        <f>AR135</f>
        <v/>
      </c>
      <c r="AR135" s="1298" t="str">
        <f>IF(AP135&lt;0,"закрыт","")</f>
        <v/>
      </c>
      <c r="AS135" s="1305">
        <f>(AI135*100)/AN135</f>
        <v>75.226190476190482</v>
      </c>
      <c r="AT135" s="954" t="s">
        <v>755</v>
      </c>
      <c r="AU135" s="1113">
        <v>1957</v>
      </c>
      <c r="AV135" s="1119" t="s">
        <v>3286</v>
      </c>
      <c r="AW135" s="1121">
        <v>57.600507797324703</v>
      </c>
      <c r="AX135" s="1121">
        <v>34.507950699587497</v>
      </c>
    </row>
    <row r="136" spans="1:50" ht="20.100000000000001" customHeight="1" x14ac:dyDescent="0.25">
      <c r="A136" s="1371"/>
      <c r="B136" s="1371"/>
      <c r="C136" s="213" t="s">
        <v>1792</v>
      </c>
      <c r="D136" s="230">
        <v>40</v>
      </c>
      <c r="E136" s="229" t="s">
        <v>785</v>
      </c>
      <c r="F136" s="229">
        <v>40</v>
      </c>
      <c r="G136" s="229"/>
      <c r="H136" s="228"/>
      <c r="I136" s="229" t="str">
        <f t="shared" si="37"/>
        <v>40+40</v>
      </c>
      <c r="J136" s="895">
        <v>24.4</v>
      </c>
      <c r="K136" s="172">
        <v>10.8</v>
      </c>
      <c r="L136" s="213">
        <v>120</v>
      </c>
      <c r="M136" s="172">
        <f t="shared" si="66"/>
        <v>13.599999999999998</v>
      </c>
      <c r="N136" s="172">
        <v>0</v>
      </c>
      <c r="O136" s="893"/>
      <c r="P136" s="893">
        <f t="shared" si="67"/>
        <v>42</v>
      </c>
      <c r="Q136" s="172">
        <f t="shared" si="71"/>
        <v>28.400000000000002</v>
      </c>
      <c r="R136" s="1379"/>
      <c r="S136" s="1363" t="str">
        <f t="shared" ref="S136:S199" si="72">T136</f>
        <v/>
      </c>
      <c r="T136" s="257" t="str">
        <f>IF(R135&lt;0,"закрыт","")</f>
        <v/>
      </c>
      <c r="U136" s="1363"/>
      <c r="V136" s="1363"/>
      <c r="W136" s="257" t="s">
        <v>3089</v>
      </c>
      <c r="X136" s="929"/>
      <c r="Y136" s="1371"/>
      <c r="Z136" s="1316"/>
      <c r="AA136" s="1298" t="s">
        <v>1792</v>
      </c>
      <c r="AB136" s="230">
        <f t="shared" si="38"/>
        <v>40</v>
      </c>
      <c r="AC136" s="1315" t="str">
        <f t="shared" si="39"/>
        <v>+</v>
      </c>
      <c r="AD136" s="1315">
        <f t="shared" si="40"/>
        <v>40</v>
      </c>
      <c r="AE136" s="1315"/>
      <c r="AF136" s="1316"/>
      <c r="AG136" s="1298" t="str">
        <f t="shared" si="41"/>
        <v>40+40</v>
      </c>
      <c r="AH136" s="1304">
        <f>SUM(AH87+AH127+AH124+AH119+AH100+AH101+AH110+AH115+AH123+AH82+AH113)</f>
        <v>0.52499999999999991</v>
      </c>
      <c r="AI136" s="1304">
        <f t="shared" ref="AI136:AI199" si="73">AH136+J136</f>
        <v>24.924999999999997</v>
      </c>
      <c r="AJ136" s="1304">
        <f t="shared" si="42"/>
        <v>10.8</v>
      </c>
      <c r="AK136" s="1298">
        <f t="shared" si="43"/>
        <v>120</v>
      </c>
      <c r="AL136" s="1304">
        <f t="shared" si="68"/>
        <v>14.124999999999996</v>
      </c>
      <c r="AM136" s="1298">
        <v>0</v>
      </c>
      <c r="AN136" s="893">
        <f t="shared" si="69"/>
        <v>42</v>
      </c>
      <c r="AO136" s="1304">
        <f t="shared" si="70"/>
        <v>27.875000000000004</v>
      </c>
      <c r="AP136" s="1309"/>
      <c r="AQ136" s="1297" t="str">
        <f t="shared" ref="AQ136:AQ199" si="74">AR136</f>
        <v/>
      </c>
      <c r="AR136" s="1298" t="str">
        <f>IF(AP135&lt;0,"закрыт","")</f>
        <v/>
      </c>
      <c r="AS136" s="1306"/>
      <c r="AT136" s="954" t="s">
        <v>755</v>
      </c>
      <c r="AU136" s="1113">
        <v>1957</v>
      </c>
      <c r="AV136" s="1119" t="s">
        <v>3286</v>
      </c>
      <c r="AW136" s="1121">
        <v>57.600507797324703</v>
      </c>
      <c r="AX136" s="1121">
        <v>34.507950699587497</v>
      </c>
    </row>
    <row r="137" spans="1:50" ht="20.100000000000001" customHeight="1" x14ac:dyDescent="0.25">
      <c r="A137" s="1371"/>
      <c r="B137" s="1371"/>
      <c r="C137" s="213" t="s">
        <v>1791</v>
      </c>
      <c r="D137" s="230">
        <v>40</v>
      </c>
      <c r="E137" s="229" t="s">
        <v>785</v>
      </c>
      <c r="F137" s="229">
        <v>40</v>
      </c>
      <c r="G137" s="229"/>
      <c r="H137" s="228"/>
      <c r="I137" s="229" t="str">
        <f t="shared" ref="I137:I200" si="75">CONCATENATE(D137,E137,F137,G137,H137)</f>
        <v>40+40</v>
      </c>
      <c r="J137" s="895">
        <v>6.67</v>
      </c>
      <c r="K137" s="172">
        <v>8.8000000000000007</v>
      </c>
      <c r="L137" s="213">
        <v>120</v>
      </c>
      <c r="M137" s="172">
        <f t="shared" si="66"/>
        <v>-2.1300000000000008</v>
      </c>
      <c r="N137" s="172">
        <v>0</v>
      </c>
      <c r="O137" s="893"/>
      <c r="P137" s="893">
        <f t="shared" si="67"/>
        <v>42</v>
      </c>
      <c r="Q137" s="172">
        <f t="shared" si="71"/>
        <v>44.13</v>
      </c>
      <c r="R137" s="1379"/>
      <c r="S137" s="1363" t="str">
        <f t="shared" si="72"/>
        <v/>
      </c>
      <c r="T137" s="257" t="str">
        <f>IF(R135&lt;0,"закрыт","")</f>
        <v/>
      </c>
      <c r="U137" s="1363"/>
      <c r="V137" s="1363"/>
      <c r="W137" s="257" t="s">
        <v>3089</v>
      </c>
      <c r="X137" s="929"/>
      <c r="Y137" s="1371"/>
      <c r="Z137" s="1316"/>
      <c r="AA137" s="1298" t="s">
        <v>1791</v>
      </c>
      <c r="AB137" s="230">
        <f t="shared" ref="AB137:AB200" si="76">D137</f>
        <v>40</v>
      </c>
      <c r="AC137" s="1315" t="str">
        <f t="shared" ref="AC137:AC200" si="77">E137</f>
        <v>+</v>
      </c>
      <c r="AD137" s="1315">
        <f t="shared" ref="AD137:AD200" si="78">F137</f>
        <v>40</v>
      </c>
      <c r="AE137" s="1315"/>
      <c r="AF137" s="1316"/>
      <c r="AG137" s="1298" t="str">
        <f t="shared" ref="AG137:AG200" si="79">CONCATENATE(AB137,AC137,AD137,AE137,AF137)</f>
        <v>40+40</v>
      </c>
      <c r="AH137" s="1304">
        <f>'Зона ВЭс'!L164</f>
        <v>0</v>
      </c>
      <c r="AI137" s="1304">
        <f t="shared" si="73"/>
        <v>6.67</v>
      </c>
      <c r="AJ137" s="1304">
        <f t="shared" ref="AJ137:AJ200" si="80">K137</f>
        <v>8.8000000000000007</v>
      </c>
      <c r="AK137" s="1298">
        <f t="shared" ref="AK137:AK200" si="81">L137</f>
        <v>120</v>
      </c>
      <c r="AL137" s="1304">
        <f t="shared" si="68"/>
        <v>-2.1300000000000008</v>
      </c>
      <c r="AM137" s="1298">
        <v>0</v>
      </c>
      <c r="AN137" s="893">
        <f t="shared" si="69"/>
        <v>42</v>
      </c>
      <c r="AO137" s="1304">
        <f t="shared" si="70"/>
        <v>44.13</v>
      </c>
      <c r="AP137" s="1310"/>
      <c r="AQ137" s="1297" t="str">
        <f t="shared" si="74"/>
        <v/>
      </c>
      <c r="AR137" s="1298" t="str">
        <f>IF(AP135&lt;0,"закрыт","")</f>
        <v/>
      </c>
      <c r="AS137" s="1307"/>
      <c r="AT137" s="954" t="s">
        <v>755</v>
      </c>
      <c r="AU137" s="1113">
        <v>1957</v>
      </c>
      <c r="AV137" s="1119" t="s">
        <v>3286</v>
      </c>
      <c r="AW137" s="1121">
        <v>57.600507797324703</v>
      </c>
      <c r="AX137" s="1121">
        <v>34.507950699587497</v>
      </c>
    </row>
    <row r="138" spans="1:50" ht="20.100000000000001" customHeight="1" x14ac:dyDescent="0.25">
      <c r="A138" s="1376">
        <v>105</v>
      </c>
      <c r="B138" s="1376">
        <v>55</v>
      </c>
      <c r="C138" s="213" t="s">
        <v>1002</v>
      </c>
      <c r="D138" s="230">
        <v>25</v>
      </c>
      <c r="E138" s="229" t="s">
        <v>785</v>
      </c>
      <c r="F138" s="229">
        <v>20</v>
      </c>
      <c r="G138" s="229"/>
      <c r="H138" s="228"/>
      <c r="I138" s="229" t="str">
        <f t="shared" si="75"/>
        <v>25+20</v>
      </c>
      <c r="J138" s="895">
        <v>11.1</v>
      </c>
      <c r="K138" s="172">
        <v>8.5889999999999986</v>
      </c>
      <c r="L138" s="213">
        <v>120</v>
      </c>
      <c r="M138" s="172">
        <f t="shared" si="66"/>
        <v>2.511000000000001</v>
      </c>
      <c r="N138" s="172">
        <v>0</v>
      </c>
      <c r="O138" s="893"/>
      <c r="P138" s="893">
        <f t="shared" si="67"/>
        <v>21</v>
      </c>
      <c r="Q138" s="172">
        <f t="shared" si="71"/>
        <v>18.488999999999997</v>
      </c>
      <c r="R138" s="1364">
        <f>MIN(Q138:Q140)</f>
        <v>18.488999999999997</v>
      </c>
      <c r="S138" s="1381" t="str">
        <f t="shared" si="72"/>
        <v/>
      </c>
      <c r="T138" s="257" t="str">
        <f>IF(R138&lt;0,"закрыт","")</f>
        <v/>
      </c>
      <c r="U138" s="1381">
        <f>(J138*100)/P138</f>
        <v>52.857142857142854</v>
      </c>
      <c r="V138" s="1424"/>
      <c r="W138" s="768" t="s">
        <v>3090</v>
      </c>
      <c r="X138" s="929"/>
      <c r="Y138" s="1376">
        <v>105</v>
      </c>
      <c r="Z138" s="1293">
        <v>55</v>
      </c>
      <c r="AA138" s="1298" t="s">
        <v>1002</v>
      </c>
      <c r="AB138" s="230">
        <f t="shared" si="76"/>
        <v>25</v>
      </c>
      <c r="AC138" s="1315" t="str">
        <f t="shared" si="77"/>
        <v>+</v>
      </c>
      <c r="AD138" s="1315">
        <f t="shared" si="78"/>
        <v>20</v>
      </c>
      <c r="AE138" s="1315"/>
      <c r="AF138" s="1316"/>
      <c r="AG138" s="1298" t="str">
        <f t="shared" si="79"/>
        <v>25+20</v>
      </c>
      <c r="AH138" s="1304">
        <f>SUM(AH139:AH140)</f>
        <v>0.25</v>
      </c>
      <c r="AI138" s="1304">
        <f t="shared" si="73"/>
        <v>11.35</v>
      </c>
      <c r="AJ138" s="1304">
        <f t="shared" si="80"/>
        <v>8.5889999999999986</v>
      </c>
      <c r="AK138" s="1298">
        <f t="shared" si="81"/>
        <v>120</v>
      </c>
      <c r="AL138" s="1304">
        <f t="shared" si="68"/>
        <v>2.761000000000001</v>
      </c>
      <c r="AM138" s="1298">
        <v>0</v>
      </c>
      <c r="AN138" s="893">
        <f t="shared" si="69"/>
        <v>21</v>
      </c>
      <c r="AO138" s="1304">
        <f t="shared" si="70"/>
        <v>18.238999999999997</v>
      </c>
      <c r="AP138" s="1308">
        <f>MIN(AO138:AO140)</f>
        <v>18.238999999999997</v>
      </c>
      <c r="AQ138" s="1299" t="str">
        <f t="shared" si="74"/>
        <v/>
      </c>
      <c r="AR138" s="1298" t="str">
        <f>IF(AP138&lt;0,"закрыт","")</f>
        <v/>
      </c>
      <c r="AS138" s="1305">
        <f>(AI138*100)/AN138</f>
        <v>54.047619047619051</v>
      </c>
      <c r="AT138" s="954" t="s">
        <v>755</v>
      </c>
      <c r="AU138" s="1113">
        <v>1974</v>
      </c>
      <c r="AV138" s="1119" t="s">
        <v>3286</v>
      </c>
      <c r="AW138" s="1121">
        <v>57.561058143833897</v>
      </c>
      <c r="AX138" s="1121">
        <v>34.552623945873101</v>
      </c>
    </row>
    <row r="139" spans="1:50" ht="20.100000000000001" customHeight="1" x14ac:dyDescent="0.25">
      <c r="A139" s="1393"/>
      <c r="B139" s="1393"/>
      <c r="C139" s="213" t="s">
        <v>1792</v>
      </c>
      <c r="D139" s="230">
        <v>25</v>
      </c>
      <c r="E139" s="229" t="s">
        <v>785</v>
      </c>
      <c r="F139" s="229">
        <v>20</v>
      </c>
      <c r="G139" s="229"/>
      <c r="H139" s="228"/>
      <c r="I139" s="229" t="str">
        <f t="shared" si="75"/>
        <v>25+20</v>
      </c>
      <c r="J139" s="895">
        <v>4.84</v>
      </c>
      <c r="K139" s="172">
        <v>4.84</v>
      </c>
      <c r="L139" s="213">
        <v>120</v>
      </c>
      <c r="M139" s="172">
        <f t="shared" si="66"/>
        <v>0</v>
      </c>
      <c r="N139" s="172">
        <v>0</v>
      </c>
      <c r="O139" s="893"/>
      <c r="P139" s="893">
        <f t="shared" si="67"/>
        <v>21</v>
      </c>
      <c r="Q139" s="172">
        <f t="shared" si="71"/>
        <v>21</v>
      </c>
      <c r="R139" s="1365"/>
      <c r="S139" s="1382" t="str">
        <f t="shared" si="72"/>
        <v/>
      </c>
      <c r="T139" s="257" t="str">
        <f>IF(R138&lt;0,"закрыт","")</f>
        <v/>
      </c>
      <c r="U139" s="1382"/>
      <c r="V139" s="1425"/>
      <c r="W139" s="768" t="s">
        <v>3090</v>
      </c>
      <c r="X139" s="929"/>
      <c r="Y139" s="1393"/>
      <c r="Z139" s="1294"/>
      <c r="AA139" s="1298" t="s">
        <v>1792</v>
      </c>
      <c r="AB139" s="230">
        <f t="shared" si="76"/>
        <v>25</v>
      </c>
      <c r="AC139" s="1315" t="str">
        <f t="shared" si="77"/>
        <v>+</v>
      </c>
      <c r="AD139" s="1315">
        <f t="shared" si="78"/>
        <v>20</v>
      </c>
      <c r="AE139" s="1315"/>
      <c r="AF139" s="1316"/>
      <c r="AG139" s="1298" t="str">
        <f t="shared" si="79"/>
        <v>25+20</v>
      </c>
      <c r="AH139" s="1304">
        <f>SUM(AH116+AH103)</f>
        <v>0.25</v>
      </c>
      <c r="AI139" s="1304">
        <f t="shared" si="73"/>
        <v>5.09</v>
      </c>
      <c r="AJ139" s="1304">
        <f t="shared" si="80"/>
        <v>4.84</v>
      </c>
      <c r="AK139" s="1298">
        <f t="shared" si="81"/>
        <v>120</v>
      </c>
      <c r="AL139" s="1304">
        <f t="shared" si="68"/>
        <v>0.25</v>
      </c>
      <c r="AM139" s="1298">
        <v>0</v>
      </c>
      <c r="AN139" s="893">
        <f t="shared" si="69"/>
        <v>21</v>
      </c>
      <c r="AO139" s="1304">
        <f t="shared" si="70"/>
        <v>20.75</v>
      </c>
      <c r="AP139" s="1309"/>
      <c r="AQ139" s="1302" t="str">
        <f t="shared" si="74"/>
        <v/>
      </c>
      <c r="AR139" s="1298" t="str">
        <f>IF(AP138&lt;0,"закрыт","")</f>
        <v/>
      </c>
      <c r="AS139" s="1306"/>
      <c r="AT139" s="954" t="s">
        <v>755</v>
      </c>
      <c r="AU139" s="1113">
        <v>1974</v>
      </c>
      <c r="AV139" s="1119" t="s">
        <v>3286</v>
      </c>
      <c r="AW139" s="1121">
        <v>57.561058143833897</v>
      </c>
      <c r="AX139" s="1121">
        <v>34.552623945873101</v>
      </c>
    </row>
    <row r="140" spans="1:50" ht="20.100000000000001" customHeight="1" x14ac:dyDescent="0.25">
      <c r="A140" s="1394"/>
      <c r="B140" s="1394"/>
      <c r="C140" s="213" t="s">
        <v>1791</v>
      </c>
      <c r="D140" s="230">
        <v>25</v>
      </c>
      <c r="E140" s="229" t="s">
        <v>785</v>
      </c>
      <c r="F140" s="229">
        <v>20</v>
      </c>
      <c r="G140" s="229"/>
      <c r="H140" s="228"/>
      <c r="I140" s="229" t="str">
        <f t="shared" si="75"/>
        <v>25+20</v>
      </c>
      <c r="J140" s="895">
        <v>6.26</v>
      </c>
      <c r="K140" s="172">
        <v>6.26</v>
      </c>
      <c r="L140" s="213">
        <v>120</v>
      </c>
      <c r="M140" s="172">
        <f t="shared" si="66"/>
        <v>0</v>
      </c>
      <c r="N140" s="172">
        <v>0</v>
      </c>
      <c r="O140" s="893"/>
      <c r="P140" s="893">
        <f t="shared" si="67"/>
        <v>21</v>
      </c>
      <c r="Q140" s="172">
        <f t="shared" si="71"/>
        <v>21</v>
      </c>
      <c r="R140" s="1366"/>
      <c r="S140" s="1383" t="str">
        <f t="shared" si="72"/>
        <v/>
      </c>
      <c r="T140" s="257" t="str">
        <f>IF(R138&lt;0,"закрыт","")</f>
        <v/>
      </c>
      <c r="U140" s="1383"/>
      <c r="V140" s="1426"/>
      <c r="W140" s="768" t="s">
        <v>3089</v>
      </c>
      <c r="X140" s="929"/>
      <c r="Y140" s="1394"/>
      <c r="Z140" s="1295"/>
      <c r="AA140" s="1298" t="s">
        <v>1791</v>
      </c>
      <c r="AB140" s="230">
        <f t="shared" si="76"/>
        <v>25</v>
      </c>
      <c r="AC140" s="1315" t="str">
        <f t="shared" si="77"/>
        <v>+</v>
      </c>
      <c r="AD140" s="1315">
        <f t="shared" si="78"/>
        <v>20</v>
      </c>
      <c r="AE140" s="1315"/>
      <c r="AF140" s="1316"/>
      <c r="AG140" s="1298" t="str">
        <f t="shared" si="79"/>
        <v>25+20</v>
      </c>
      <c r="AH140" s="1304">
        <f>'Зона ВЭс'!L167</f>
        <v>0</v>
      </c>
      <c r="AI140" s="1304">
        <f t="shared" si="73"/>
        <v>6.26</v>
      </c>
      <c r="AJ140" s="1304">
        <f t="shared" si="80"/>
        <v>6.26</v>
      </c>
      <c r="AK140" s="1298">
        <f t="shared" si="81"/>
        <v>120</v>
      </c>
      <c r="AL140" s="1304">
        <f t="shared" si="68"/>
        <v>0</v>
      </c>
      <c r="AM140" s="1298">
        <v>0</v>
      </c>
      <c r="AN140" s="893">
        <f t="shared" si="69"/>
        <v>21</v>
      </c>
      <c r="AO140" s="1304">
        <f t="shared" si="70"/>
        <v>21</v>
      </c>
      <c r="AP140" s="1310"/>
      <c r="AQ140" s="1303" t="str">
        <f t="shared" si="74"/>
        <v/>
      </c>
      <c r="AR140" s="1298" t="str">
        <f>IF(AP138&lt;0,"закрыт","")</f>
        <v/>
      </c>
      <c r="AS140" s="1307"/>
      <c r="AT140" s="954" t="s">
        <v>755</v>
      </c>
      <c r="AU140" s="1113">
        <v>1974</v>
      </c>
      <c r="AV140" s="1119" t="s">
        <v>3286</v>
      </c>
      <c r="AW140" s="1121">
        <v>57.561058143833897</v>
      </c>
      <c r="AX140" s="1121">
        <v>34.552623945873101</v>
      </c>
    </row>
    <row r="141" spans="1:50" ht="20.100000000000001" customHeight="1" x14ac:dyDescent="0.25">
      <c r="A141" s="1371">
        <v>106</v>
      </c>
      <c r="B141" s="1371">
        <v>56</v>
      </c>
      <c r="C141" s="213" t="s">
        <v>1003</v>
      </c>
      <c r="D141" s="230">
        <v>16</v>
      </c>
      <c r="E141" s="229" t="s">
        <v>785</v>
      </c>
      <c r="F141" s="229">
        <v>16</v>
      </c>
      <c r="G141" s="229"/>
      <c r="H141" s="228"/>
      <c r="I141" s="229" t="str">
        <f t="shared" si="75"/>
        <v>16+16</v>
      </c>
      <c r="J141" s="895">
        <v>5.31</v>
      </c>
      <c r="K141" s="172">
        <v>1.673</v>
      </c>
      <c r="L141" s="213">
        <v>120</v>
      </c>
      <c r="M141" s="172">
        <f t="shared" si="66"/>
        <v>3.6369999999999996</v>
      </c>
      <c r="N141" s="172">
        <v>0</v>
      </c>
      <c r="O141" s="893"/>
      <c r="P141" s="893">
        <f t="shared" si="67"/>
        <v>16.8</v>
      </c>
      <c r="Q141" s="172">
        <f t="shared" si="71"/>
        <v>13.163</v>
      </c>
      <c r="R141" s="1379">
        <f>MIN(Q141:Q143)</f>
        <v>13.163</v>
      </c>
      <c r="S141" s="1362" t="str">
        <f t="shared" si="72"/>
        <v/>
      </c>
      <c r="T141" s="257" t="str">
        <f>IF(R141&lt;0,"закрыт","")</f>
        <v/>
      </c>
      <c r="U141" s="1362">
        <f>(J141*100)/P141</f>
        <v>31.607142857142854</v>
      </c>
      <c r="V141" s="1362">
        <v>0.4</v>
      </c>
      <c r="W141" s="768" t="s">
        <v>3089</v>
      </c>
      <c r="X141" s="929"/>
      <c r="Y141" s="1371">
        <v>106</v>
      </c>
      <c r="Z141" s="1316">
        <v>56</v>
      </c>
      <c r="AA141" s="1298" t="s">
        <v>1003</v>
      </c>
      <c r="AB141" s="230">
        <f t="shared" si="76"/>
        <v>16</v>
      </c>
      <c r="AC141" s="1315" t="str">
        <f t="shared" si="77"/>
        <v>+</v>
      </c>
      <c r="AD141" s="1315">
        <f t="shared" si="78"/>
        <v>16</v>
      </c>
      <c r="AE141" s="1315"/>
      <c r="AF141" s="1316"/>
      <c r="AG141" s="1298" t="str">
        <f t="shared" si="79"/>
        <v>16+16</v>
      </c>
      <c r="AH141" s="1304">
        <f>SUM(AH142:AH143)</f>
        <v>0</v>
      </c>
      <c r="AI141" s="1304">
        <f t="shared" si="73"/>
        <v>5.31</v>
      </c>
      <c r="AJ141" s="1304">
        <f t="shared" si="80"/>
        <v>1.673</v>
      </c>
      <c r="AK141" s="1298">
        <f t="shared" si="81"/>
        <v>120</v>
      </c>
      <c r="AL141" s="1304">
        <f t="shared" si="68"/>
        <v>3.6369999999999996</v>
      </c>
      <c r="AM141" s="1298">
        <v>0</v>
      </c>
      <c r="AN141" s="893">
        <f t="shared" si="69"/>
        <v>16.8</v>
      </c>
      <c r="AO141" s="1304">
        <f t="shared" si="70"/>
        <v>13.163</v>
      </c>
      <c r="AP141" s="1308">
        <f>MIN(AO141:AO143)</f>
        <v>13.163</v>
      </c>
      <c r="AQ141" s="1296" t="str">
        <f t="shared" si="74"/>
        <v/>
      </c>
      <c r="AR141" s="1298" t="str">
        <f>IF(AP141&lt;0,"закрыт","")</f>
        <v/>
      </c>
      <c r="AS141" s="1305">
        <f>(AI141*100)/AN141</f>
        <v>31.607142857142854</v>
      </c>
      <c r="AT141" s="954" t="s">
        <v>755</v>
      </c>
      <c r="AU141" s="1113">
        <v>1989</v>
      </c>
      <c r="AV141" s="1119" t="s">
        <v>3286</v>
      </c>
      <c r="AW141" s="1121">
        <v>57.424520442148101</v>
      </c>
      <c r="AX141" s="1121">
        <v>35.000676085974902</v>
      </c>
    </row>
    <row r="142" spans="1:50" ht="20.100000000000001" customHeight="1" x14ac:dyDescent="0.25">
      <c r="A142" s="1371"/>
      <c r="B142" s="1371"/>
      <c r="C142" s="213" t="s">
        <v>1792</v>
      </c>
      <c r="D142" s="230">
        <v>16</v>
      </c>
      <c r="E142" s="229" t="s">
        <v>785</v>
      </c>
      <c r="F142" s="229">
        <v>16</v>
      </c>
      <c r="G142" s="229"/>
      <c r="H142" s="228"/>
      <c r="I142" s="229" t="str">
        <f t="shared" si="75"/>
        <v>16+16</v>
      </c>
      <c r="J142" s="895">
        <v>1.24</v>
      </c>
      <c r="K142" s="172">
        <v>1.2</v>
      </c>
      <c r="L142" s="213">
        <v>120</v>
      </c>
      <c r="M142" s="172">
        <f t="shared" si="66"/>
        <v>4.0000000000000036E-2</v>
      </c>
      <c r="N142" s="172">
        <v>0</v>
      </c>
      <c r="O142" s="893"/>
      <c r="P142" s="893">
        <f t="shared" si="67"/>
        <v>16.8</v>
      </c>
      <c r="Q142" s="172">
        <f t="shared" si="71"/>
        <v>16.760000000000002</v>
      </c>
      <c r="R142" s="1379"/>
      <c r="S142" s="1363" t="str">
        <f t="shared" si="72"/>
        <v/>
      </c>
      <c r="T142" s="257" t="str">
        <f>IF(R141&lt;0,"закрыт","")</f>
        <v/>
      </c>
      <c r="U142" s="1363"/>
      <c r="V142" s="1363"/>
      <c r="W142" s="257" t="s">
        <v>3089</v>
      </c>
      <c r="X142" s="929"/>
      <c r="Y142" s="1371"/>
      <c r="Z142" s="1316"/>
      <c r="AA142" s="1298" t="s">
        <v>1792</v>
      </c>
      <c r="AB142" s="230">
        <f t="shared" si="76"/>
        <v>16</v>
      </c>
      <c r="AC142" s="1315" t="str">
        <f t="shared" si="77"/>
        <v>+</v>
      </c>
      <c r="AD142" s="1315">
        <f t="shared" si="78"/>
        <v>16</v>
      </c>
      <c r="AE142" s="1315"/>
      <c r="AF142" s="1316"/>
      <c r="AG142" s="1298" t="str">
        <f t="shared" si="79"/>
        <v>16+16</v>
      </c>
      <c r="AH142" s="1304">
        <f>SUM(AH99+AH107+AH106)</f>
        <v>0</v>
      </c>
      <c r="AI142" s="1304">
        <f t="shared" si="73"/>
        <v>1.24</v>
      </c>
      <c r="AJ142" s="1304">
        <f t="shared" si="80"/>
        <v>1.2</v>
      </c>
      <c r="AK142" s="1298">
        <f t="shared" si="81"/>
        <v>120</v>
      </c>
      <c r="AL142" s="1304">
        <f t="shared" si="68"/>
        <v>4.0000000000000036E-2</v>
      </c>
      <c r="AM142" s="1298">
        <v>0</v>
      </c>
      <c r="AN142" s="893">
        <f t="shared" si="69"/>
        <v>16.8</v>
      </c>
      <c r="AO142" s="1304">
        <f t="shared" si="70"/>
        <v>16.760000000000002</v>
      </c>
      <c r="AP142" s="1309"/>
      <c r="AQ142" s="1297" t="str">
        <f t="shared" si="74"/>
        <v/>
      </c>
      <c r="AR142" s="1298" t="str">
        <f>IF(AP141&lt;0,"закрыт","")</f>
        <v/>
      </c>
      <c r="AS142" s="1306"/>
      <c r="AT142" s="954" t="s">
        <v>755</v>
      </c>
      <c r="AU142" s="1113">
        <v>1989</v>
      </c>
      <c r="AV142" s="1119" t="s">
        <v>3286</v>
      </c>
      <c r="AW142" s="1121">
        <v>57.424520442148101</v>
      </c>
      <c r="AX142" s="1121">
        <v>35.000676085974902</v>
      </c>
    </row>
    <row r="143" spans="1:50" ht="20.100000000000001" customHeight="1" x14ac:dyDescent="0.25">
      <c r="A143" s="1371"/>
      <c r="B143" s="1371"/>
      <c r="C143" s="213" t="s">
        <v>1791</v>
      </c>
      <c r="D143" s="230">
        <v>16</v>
      </c>
      <c r="E143" s="229" t="s">
        <v>785</v>
      </c>
      <c r="F143" s="229">
        <v>16</v>
      </c>
      <c r="G143" s="229"/>
      <c r="H143" s="228"/>
      <c r="I143" s="229" t="str">
        <f t="shared" si="75"/>
        <v>16+16</v>
      </c>
      <c r="J143" s="895">
        <v>4.07</v>
      </c>
      <c r="K143" s="172">
        <v>0.6</v>
      </c>
      <c r="L143" s="213">
        <v>120</v>
      </c>
      <c r="M143" s="172">
        <f t="shared" si="66"/>
        <v>3.47</v>
      </c>
      <c r="N143" s="172">
        <v>0</v>
      </c>
      <c r="O143" s="893"/>
      <c r="P143" s="893">
        <f t="shared" si="67"/>
        <v>16.8</v>
      </c>
      <c r="Q143" s="172">
        <f t="shared" si="71"/>
        <v>13.33</v>
      </c>
      <c r="R143" s="1379"/>
      <c r="S143" s="1363" t="str">
        <f t="shared" si="72"/>
        <v/>
      </c>
      <c r="T143" s="257" t="str">
        <f>IF(R141&lt;0,"закрыт","")</f>
        <v/>
      </c>
      <c r="U143" s="1363"/>
      <c r="V143" s="1363"/>
      <c r="W143" s="257" t="s">
        <v>3089</v>
      </c>
      <c r="X143" s="929"/>
      <c r="Y143" s="1371"/>
      <c r="Z143" s="1316"/>
      <c r="AA143" s="1298" t="s">
        <v>1791</v>
      </c>
      <c r="AB143" s="230">
        <f t="shared" si="76"/>
        <v>16</v>
      </c>
      <c r="AC143" s="1315" t="str">
        <f t="shared" si="77"/>
        <v>+</v>
      </c>
      <c r="AD143" s="1315">
        <f t="shared" si="78"/>
        <v>16</v>
      </c>
      <c r="AE143" s="1315"/>
      <c r="AF143" s="1316"/>
      <c r="AG143" s="1298" t="str">
        <f t="shared" si="79"/>
        <v>16+16</v>
      </c>
      <c r="AH143" s="1304">
        <f>'Зона ВЭс'!L171</f>
        <v>0</v>
      </c>
      <c r="AI143" s="1304">
        <f t="shared" si="73"/>
        <v>4.07</v>
      </c>
      <c r="AJ143" s="1304">
        <f t="shared" si="80"/>
        <v>0.6</v>
      </c>
      <c r="AK143" s="1298">
        <f t="shared" si="81"/>
        <v>120</v>
      </c>
      <c r="AL143" s="1304">
        <f t="shared" si="68"/>
        <v>3.47</v>
      </c>
      <c r="AM143" s="1298">
        <v>0</v>
      </c>
      <c r="AN143" s="893">
        <f t="shared" si="69"/>
        <v>16.8</v>
      </c>
      <c r="AO143" s="1304">
        <f t="shared" si="70"/>
        <v>13.33</v>
      </c>
      <c r="AP143" s="1310"/>
      <c r="AQ143" s="1297" t="str">
        <f t="shared" si="74"/>
        <v/>
      </c>
      <c r="AR143" s="1298" t="str">
        <f>IF(AP141&lt;0,"закрыт","")</f>
        <v/>
      </c>
      <c r="AS143" s="1307"/>
      <c r="AT143" s="954" t="s">
        <v>755</v>
      </c>
      <c r="AU143" s="1113">
        <v>1989</v>
      </c>
      <c r="AV143" s="1119" t="s">
        <v>3286</v>
      </c>
      <c r="AW143" s="1121">
        <v>57.424520442148101</v>
      </c>
      <c r="AX143" s="1121">
        <v>35.000676085974902</v>
      </c>
    </row>
    <row r="144" spans="1:50" ht="20.100000000000001" customHeight="1" x14ac:dyDescent="0.25">
      <c r="A144" s="1371">
        <v>107</v>
      </c>
      <c r="B144" s="1371">
        <v>57</v>
      </c>
      <c r="C144" s="213" t="s">
        <v>1004</v>
      </c>
      <c r="D144" s="230">
        <v>16</v>
      </c>
      <c r="E144" s="229" t="s">
        <v>785</v>
      </c>
      <c r="F144" s="229">
        <v>16</v>
      </c>
      <c r="G144" s="229"/>
      <c r="H144" s="228"/>
      <c r="I144" s="229" t="str">
        <f t="shared" si="75"/>
        <v>16+16</v>
      </c>
      <c r="J144" s="895">
        <v>3.74</v>
      </c>
      <c r="K144" s="172">
        <v>4.8620000000000001</v>
      </c>
      <c r="L144" s="213">
        <v>120</v>
      </c>
      <c r="M144" s="172">
        <f t="shared" si="66"/>
        <v>-1.1219999999999999</v>
      </c>
      <c r="N144" s="172">
        <v>0</v>
      </c>
      <c r="O144" s="893"/>
      <c r="P144" s="893">
        <f t="shared" si="67"/>
        <v>16.8</v>
      </c>
      <c r="Q144" s="172">
        <f t="shared" si="71"/>
        <v>17.922000000000001</v>
      </c>
      <c r="R144" s="1379">
        <f>MIN(Q144:Q146)</f>
        <v>16.66</v>
      </c>
      <c r="S144" s="1362" t="str">
        <f t="shared" si="72"/>
        <v/>
      </c>
      <c r="T144" s="257" t="str">
        <f>IF(R144&lt;0,"закрыт","")</f>
        <v/>
      </c>
      <c r="U144" s="1362">
        <f>(J144*100)/P144</f>
        <v>22.261904761904759</v>
      </c>
      <c r="V144" s="1362">
        <v>0.5</v>
      </c>
      <c r="W144" s="768" t="s">
        <v>3090</v>
      </c>
      <c r="X144" s="929"/>
      <c r="Y144" s="1371">
        <v>107</v>
      </c>
      <c r="Z144" s="1316">
        <v>57</v>
      </c>
      <c r="AA144" s="1298" t="s">
        <v>1004</v>
      </c>
      <c r="AB144" s="230">
        <f t="shared" si="76"/>
        <v>16</v>
      </c>
      <c r="AC144" s="1315" t="str">
        <f t="shared" si="77"/>
        <v>+</v>
      </c>
      <c r="AD144" s="1315">
        <f t="shared" si="78"/>
        <v>16</v>
      </c>
      <c r="AE144" s="1315"/>
      <c r="AF144" s="1316"/>
      <c r="AG144" s="1298" t="str">
        <f t="shared" si="79"/>
        <v>16+16</v>
      </c>
      <c r="AH144" s="1304">
        <f>SUM(AH145:AH146)</f>
        <v>0.5</v>
      </c>
      <c r="AI144" s="1304">
        <f t="shared" si="73"/>
        <v>4.24</v>
      </c>
      <c r="AJ144" s="1304">
        <f t="shared" si="80"/>
        <v>4.8620000000000001</v>
      </c>
      <c r="AK144" s="1298">
        <f t="shared" si="81"/>
        <v>120</v>
      </c>
      <c r="AL144" s="1304">
        <f t="shared" si="68"/>
        <v>-0.62199999999999989</v>
      </c>
      <c r="AM144" s="1298">
        <v>0</v>
      </c>
      <c r="AN144" s="893">
        <f t="shared" si="69"/>
        <v>16.8</v>
      </c>
      <c r="AO144" s="1304">
        <f t="shared" si="70"/>
        <v>17.422000000000001</v>
      </c>
      <c r="AP144" s="1308">
        <f>MIN(AO144:AO146)</f>
        <v>16.3</v>
      </c>
      <c r="AQ144" s="1296" t="str">
        <f t="shared" si="74"/>
        <v/>
      </c>
      <c r="AR144" s="1298" t="str">
        <f>IF(AP144&lt;0,"закрыт","")</f>
        <v/>
      </c>
      <c r="AS144" s="1305">
        <f>(AI144*100)/AN144</f>
        <v>25.238095238095237</v>
      </c>
      <c r="AT144" s="954" t="s">
        <v>755</v>
      </c>
      <c r="AU144" s="1113">
        <v>1976</v>
      </c>
      <c r="AV144" s="1119" t="s">
        <v>3286</v>
      </c>
      <c r="AW144" s="1121">
        <v>57.5990178775236</v>
      </c>
      <c r="AX144" s="1121">
        <v>33.975736921093798</v>
      </c>
    </row>
    <row r="145" spans="1:50" ht="20.100000000000001" customHeight="1" x14ac:dyDescent="0.25">
      <c r="A145" s="1371"/>
      <c r="B145" s="1371"/>
      <c r="C145" s="213" t="s">
        <v>1792</v>
      </c>
      <c r="D145" s="230">
        <v>16</v>
      </c>
      <c r="E145" s="229" t="s">
        <v>785</v>
      </c>
      <c r="F145" s="229">
        <v>16</v>
      </c>
      <c r="G145" s="229"/>
      <c r="H145" s="228"/>
      <c r="I145" s="229" t="str">
        <f t="shared" si="75"/>
        <v>16+16</v>
      </c>
      <c r="J145" s="895">
        <v>3.6</v>
      </c>
      <c r="K145" s="172">
        <v>3.6</v>
      </c>
      <c r="L145" s="213">
        <v>120</v>
      </c>
      <c r="M145" s="172">
        <f t="shared" si="66"/>
        <v>0</v>
      </c>
      <c r="N145" s="172">
        <v>0</v>
      </c>
      <c r="O145" s="893"/>
      <c r="P145" s="893">
        <f t="shared" si="67"/>
        <v>16.8</v>
      </c>
      <c r="Q145" s="172">
        <f t="shared" si="71"/>
        <v>16.8</v>
      </c>
      <c r="R145" s="1379"/>
      <c r="S145" s="1363" t="str">
        <f t="shared" si="72"/>
        <v/>
      </c>
      <c r="T145" s="257" t="str">
        <f>IF(R144&lt;0,"закрыт","")</f>
        <v/>
      </c>
      <c r="U145" s="1363"/>
      <c r="V145" s="1363"/>
      <c r="W145" s="257" t="s">
        <v>3089</v>
      </c>
      <c r="X145" s="929"/>
      <c r="Y145" s="1371"/>
      <c r="Z145" s="1316"/>
      <c r="AA145" s="1298" t="s">
        <v>1792</v>
      </c>
      <c r="AB145" s="230">
        <f t="shared" si="76"/>
        <v>16</v>
      </c>
      <c r="AC145" s="1315" t="str">
        <f t="shared" si="77"/>
        <v>+</v>
      </c>
      <c r="AD145" s="1315">
        <f t="shared" si="78"/>
        <v>16</v>
      </c>
      <c r="AE145" s="1315"/>
      <c r="AF145" s="1316"/>
      <c r="AG145" s="1298" t="str">
        <f t="shared" si="79"/>
        <v>16+16</v>
      </c>
      <c r="AH145" s="1304">
        <f>SUM(AH120+AH96+AH93+AH126)</f>
        <v>0.5</v>
      </c>
      <c r="AI145" s="1304">
        <f t="shared" si="73"/>
        <v>4.0999999999999996</v>
      </c>
      <c r="AJ145" s="1304">
        <f t="shared" si="80"/>
        <v>3.6</v>
      </c>
      <c r="AK145" s="1298">
        <f t="shared" si="81"/>
        <v>120</v>
      </c>
      <c r="AL145" s="1304">
        <f t="shared" si="68"/>
        <v>0.49999999999999956</v>
      </c>
      <c r="AM145" s="1298">
        <v>0</v>
      </c>
      <c r="AN145" s="893">
        <f t="shared" si="69"/>
        <v>16.8</v>
      </c>
      <c r="AO145" s="1304">
        <f t="shared" si="70"/>
        <v>16.3</v>
      </c>
      <c r="AP145" s="1309"/>
      <c r="AQ145" s="1297" t="str">
        <f t="shared" si="74"/>
        <v/>
      </c>
      <c r="AR145" s="1298" t="str">
        <f>IF(AP144&lt;0,"закрыт","")</f>
        <v/>
      </c>
      <c r="AS145" s="1306"/>
      <c r="AT145" s="954" t="s">
        <v>755</v>
      </c>
      <c r="AU145" s="1113">
        <v>1976</v>
      </c>
      <c r="AV145" s="1119" t="s">
        <v>3286</v>
      </c>
      <c r="AW145" s="1121">
        <v>57.5990178775236</v>
      </c>
      <c r="AX145" s="1121">
        <v>33.975736921093798</v>
      </c>
    </row>
    <row r="146" spans="1:50" ht="20.100000000000001" customHeight="1" x14ac:dyDescent="0.25">
      <c r="A146" s="1371"/>
      <c r="B146" s="1371"/>
      <c r="C146" s="213" t="s">
        <v>1791</v>
      </c>
      <c r="D146" s="230">
        <v>16</v>
      </c>
      <c r="E146" s="229" t="s">
        <v>785</v>
      </c>
      <c r="F146" s="229">
        <v>16</v>
      </c>
      <c r="G146" s="229"/>
      <c r="H146" s="228"/>
      <c r="I146" s="229" t="str">
        <f t="shared" si="75"/>
        <v>16+16</v>
      </c>
      <c r="J146" s="895">
        <v>0.14000000000000001</v>
      </c>
      <c r="K146" s="172">
        <v>0</v>
      </c>
      <c r="L146" s="213">
        <v>0</v>
      </c>
      <c r="M146" s="172">
        <f t="shared" si="66"/>
        <v>0.14000000000000001</v>
      </c>
      <c r="N146" s="172">
        <v>0</v>
      </c>
      <c r="O146" s="893"/>
      <c r="P146" s="893">
        <f t="shared" si="67"/>
        <v>16.8</v>
      </c>
      <c r="Q146" s="172">
        <f t="shared" si="71"/>
        <v>16.66</v>
      </c>
      <c r="R146" s="1379"/>
      <c r="S146" s="1363" t="str">
        <f t="shared" si="72"/>
        <v/>
      </c>
      <c r="T146" s="257" t="str">
        <f>IF(R144&lt;0,"закрыт","")</f>
        <v/>
      </c>
      <c r="U146" s="1363"/>
      <c r="V146" s="1363"/>
      <c r="W146" s="257" t="s">
        <v>3089</v>
      </c>
      <c r="X146" s="929"/>
      <c r="Y146" s="1371"/>
      <c r="Z146" s="1316"/>
      <c r="AA146" s="1298" t="s">
        <v>1791</v>
      </c>
      <c r="AB146" s="230">
        <f t="shared" si="76"/>
        <v>16</v>
      </c>
      <c r="AC146" s="1315" t="str">
        <f t="shared" si="77"/>
        <v>+</v>
      </c>
      <c r="AD146" s="1315">
        <f t="shared" si="78"/>
        <v>16</v>
      </c>
      <c r="AE146" s="1315"/>
      <c r="AF146" s="1316"/>
      <c r="AG146" s="1298" t="str">
        <f t="shared" si="79"/>
        <v>16+16</v>
      </c>
      <c r="AH146" s="1304">
        <f>'Зона ВЭс'!L173</f>
        <v>0</v>
      </c>
      <c r="AI146" s="1304">
        <f t="shared" si="73"/>
        <v>0.14000000000000001</v>
      </c>
      <c r="AJ146" s="1304">
        <f t="shared" si="80"/>
        <v>0</v>
      </c>
      <c r="AK146" s="1298">
        <f t="shared" si="81"/>
        <v>0</v>
      </c>
      <c r="AL146" s="1304">
        <f t="shared" si="68"/>
        <v>0.14000000000000001</v>
      </c>
      <c r="AM146" s="1298">
        <v>0</v>
      </c>
      <c r="AN146" s="893">
        <f t="shared" si="69"/>
        <v>16.8</v>
      </c>
      <c r="AO146" s="1304">
        <f t="shared" si="70"/>
        <v>16.66</v>
      </c>
      <c r="AP146" s="1310"/>
      <c r="AQ146" s="1297" t="str">
        <f t="shared" si="74"/>
        <v/>
      </c>
      <c r="AR146" s="1298" t="str">
        <f>IF(AP144&lt;0,"закрыт","")</f>
        <v/>
      </c>
      <c r="AS146" s="1307"/>
      <c r="AT146" s="954" t="s">
        <v>755</v>
      </c>
      <c r="AU146" s="1113">
        <v>1976</v>
      </c>
      <c r="AV146" s="1119" t="s">
        <v>3286</v>
      </c>
      <c r="AW146" s="1121">
        <v>57.5990178775236</v>
      </c>
      <c r="AX146" s="1121">
        <v>33.975736921093798</v>
      </c>
    </row>
    <row r="147" spans="1:50" ht="20.100000000000001" customHeight="1" x14ac:dyDescent="0.25">
      <c r="A147" s="1371">
        <v>108</v>
      </c>
      <c r="B147" s="1371">
        <v>58</v>
      </c>
      <c r="C147" s="213" t="s">
        <v>1005</v>
      </c>
      <c r="D147" s="230">
        <v>25</v>
      </c>
      <c r="E147" s="229" t="s">
        <v>785</v>
      </c>
      <c r="F147" s="229">
        <v>25</v>
      </c>
      <c r="G147" s="229"/>
      <c r="H147" s="228"/>
      <c r="I147" s="229" t="str">
        <f t="shared" si="75"/>
        <v>25+25</v>
      </c>
      <c r="J147" s="895">
        <v>16.572000000000003</v>
      </c>
      <c r="K147" s="172">
        <v>18.891000000000002</v>
      </c>
      <c r="L147" s="213">
        <v>120</v>
      </c>
      <c r="M147" s="172">
        <f t="shared" si="66"/>
        <v>-2.3189999999999991</v>
      </c>
      <c r="N147" s="172">
        <v>0</v>
      </c>
      <c r="O147" s="893"/>
      <c r="P147" s="893">
        <f t="shared" si="67"/>
        <v>26.25</v>
      </c>
      <c r="Q147" s="172">
        <f t="shared" si="71"/>
        <v>28.568999999999999</v>
      </c>
      <c r="R147" s="1379">
        <f>MIN(Q147:Q149)</f>
        <v>25.838000000000001</v>
      </c>
      <c r="S147" s="1362" t="str">
        <f t="shared" si="72"/>
        <v/>
      </c>
      <c r="T147" s="257" t="str">
        <f>IF(R147&lt;0,"закрыт","")</f>
        <v/>
      </c>
      <c r="U147" s="1362">
        <f>(J147*100)/P147</f>
        <v>63.131428571428579</v>
      </c>
      <c r="V147" s="1362">
        <v>0.4</v>
      </c>
      <c r="W147" s="768" t="s">
        <v>3089</v>
      </c>
      <c r="X147" s="929"/>
      <c r="Y147" s="1371">
        <v>108</v>
      </c>
      <c r="Z147" s="1316">
        <v>58</v>
      </c>
      <c r="AA147" s="1298" t="s">
        <v>1005</v>
      </c>
      <c r="AB147" s="230">
        <f t="shared" si="76"/>
        <v>25</v>
      </c>
      <c r="AC147" s="1315" t="str">
        <f t="shared" si="77"/>
        <v>+</v>
      </c>
      <c r="AD147" s="1315">
        <f t="shared" si="78"/>
        <v>25</v>
      </c>
      <c r="AE147" s="1315"/>
      <c r="AF147" s="1316"/>
      <c r="AG147" s="1298" t="str">
        <f t="shared" si="79"/>
        <v>25+25</v>
      </c>
      <c r="AH147" s="1304">
        <f>SUM(AH148:AH149)</f>
        <v>2.13225</v>
      </c>
      <c r="AI147" s="1304">
        <f t="shared" si="73"/>
        <v>18.704250000000002</v>
      </c>
      <c r="AJ147" s="1304">
        <f t="shared" si="80"/>
        <v>18.891000000000002</v>
      </c>
      <c r="AK147" s="1298">
        <f t="shared" si="81"/>
        <v>120</v>
      </c>
      <c r="AL147" s="1304">
        <f t="shared" si="68"/>
        <v>-0.18674999999999997</v>
      </c>
      <c r="AM147" s="1298">
        <v>0</v>
      </c>
      <c r="AN147" s="893">
        <f t="shared" si="69"/>
        <v>26.25</v>
      </c>
      <c r="AO147" s="1304">
        <f t="shared" si="70"/>
        <v>26.43675</v>
      </c>
      <c r="AP147" s="1308">
        <f>MIN(AO147:AO149)</f>
        <v>23.705749999999998</v>
      </c>
      <c r="AQ147" s="1296" t="str">
        <f t="shared" si="74"/>
        <v/>
      </c>
      <c r="AR147" s="1298" t="str">
        <f>IF(AP147&lt;0,"закрыт","")</f>
        <v/>
      </c>
      <c r="AS147" s="1305">
        <f>(AI147*100)/AN147</f>
        <v>71.254285714285714</v>
      </c>
      <c r="AT147" s="954" t="s">
        <v>755</v>
      </c>
      <c r="AU147" s="1113">
        <v>1982</v>
      </c>
      <c r="AV147" s="1119" t="s">
        <v>3286</v>
      </c>
      <c r="AW147" s="1121">
        <v>57.866844936852402</v>
      </c>
      <c r="AX147" s="1121">
        <v>35.008621730403597</v>
      </c>
    </row>
    <row r="148" spans="1:50" ht="20.100000000000001" customHeight="1" x14ac:dyDescent="0.25">
      <c r="A148" s="1371"/>
      <c r="B148" s="1371"/>
      <c r="C148" s="213" t="s">
        <v>1792</v>
      </c>
      <c r="D148" s="230">
        <v>25</v>
      </c>
      <c r="E148" s="229" t="s">
        <v>785</v>
      </c>
      <c r="F148" s="229">
        <v>25</v>
      </c>
      <c r="G148" s="229"/>
      <c r="H148" s="228"/>
      <c r="I148" s="229" t="str">
        <f t="shared" si="75"/>
        <v>25+25</v>
      </c>
      <c r="J148" s="895">
        <v>8.9600000000000009</v>
      </c>
      <c r="K148" s="172">
        <v>8.9600000000000009</v>
      </c>
      <c r="L148" s="213">
        <v>120</v>
      </c>
      <c r="M148" s="172">
        <f t="shared" si="66"/>
        <v>0</v>
      </c>
      <c r="N148" s="172">
        <v>0</v>
      </c>
      <c r="O148" s="893"/>
      <c r="P148" s="893">
        <f t="shared" si="67"/>
        <v>26.25</v>
      </c>
      <c r="Q148" s="172">
        <f t="shared" si="71"/>
        <v>26.25</v>
      </c>
      <c r="R148" s="1379"/>
      <c r="S148" s="1363" t="str">
        <f t="shared" si="72"/>
        <v/>
      </c>
      <c r="T148" s="257" t="str">
        <f>IF(R147&lt;0,"закрыт","")</f>
        <v/>
      </c>
      <c r="U148" s="1363"/>
      <c r="V148" s="1363"/>
      <c r="W148" s="257" t="s">
        <v>3089</v>
      </c>
      <c r="X148" s="929"/>
      <c r="Y148" s="1371"/>
      <c r="Z148" s="1316"/>
      <c r="AA148" s="1298" t="s">
        <v>1792</v>
      </c>
      <c r="AB148" s="230">
        <f t="shared" si="76"/>
        <v>25</v>
      </c>
      <c r="AC148" s="1315" t="str">
        <f t="shared" si="77"/>
        <v>+</v>
      </c>
      <c r="AD148" s="1315">
        <f t="shared" si="78"/>
        <v>25</v>
      </c>
      <c r="AE148" s="1315"/>
      <c r="AF148" s="1316"/>
      <c r="AG148" s="1298" t="str">
        <f t="shared" si="79"/>
        <v>25+25</v>
      </c>
      <c r="AH148" s="1304">
        <f>SUM(AH81+AH86+AH121+AH98)</f>
        <v>0</v>
      </c>
      <c r="AI148" s="1304">
        <f t="shared" si="73"/>
        <v>8.9600000000000009</v>
      </c>
      <c r="AJ148" s="1304">
        <f t="shared" si="80"/>
        <v>8.9600000000000009</v>
      </c>
      <c r="AK148" s="1298">
        <f t="shared" si="81"/>
        <v>120</v>
      </c>
      <c r="AL148" s="1304">
        <f t="shared" si="68"/>
        <v>0</v>
      </c>
      <c r="AM148" s="1298">
        <v>0</v>
      </c>
      <c r="AN148" s="893">
        <f t="shared" si="69"/>
        <v>26.25</v>
      </c>
      <c r="AO148" s="1304">
        <f t="shared" si="70"/>
        <v>26.25</v>
      </c>
      <c r="AP148" s="1309"/>
      <c r="AQ148" s="1297" t="str">
        <f t="shared" si="74"/>
        <v/>
      </c>
      <c r="AR148" s="1298" t="str">
        <f>IF(AP147&lt;0,"закрыт","")</f>
        <v/>
      </c>
      <c r="AS148" s="1306"/>
      <c r="AT148" s="954" t="s">
        <v>755</v>
      </c>
      <c r="AU148" s="1113">
        <v>1982</v>
      </c>
      <c r="AV148" s="1119" t="s">
        <v>3286</v>
      </c>
      <c r="AW148" s="1121">
        <v>57.866844936852402</v>
      </c>
      <c r="AX148" s="1121">
        <v>35.008621730403597</v>
      </c>
    </row>
    <row r="149" spans="1:50" ht="20.100000000000001" customHeight="1" x14ac:dyDescent="0.25">
      <c r="A149" s="1371"/>
      <c r="B149" s="1371"/>
      <c r="C149" s="213" t="s">
        <v>1791</v>
      </c>
      <c r="D149" s="230">
        <v>25</v>
      </c>
      <c r="E149" s="229" t="s">
        <v>785</v>
      </c>
      <c r="F149" s="229">
        <v>25</v>
      </c>
      <c r="G149" s="229"/>
      <c r="H149" s="228"/>
      <c r="I149" s="229" t="str">
        <f t="shared" si="75"/>
        <v>25+25</v>
      </c>
      <c r="J149" s="895">
        <v>7.6120000000000001</v>
      </c>
      <c r="K149" s="172">
        <v>7.2</v>
      </c>
      <c r="L149" s="213">
        <v>120</v>
      </c>
      <c r="M149" s="172">
        <f t="shared" si="66"/>
        <v>0.41199999999999992</v>
      </c>
      <c r="N149" s="172">
        <v>0</v>
      </c>
      <c r="O149" s="893"/>
      <c r="P149" s="893">
        <f t="shared" si="67"/>
        <v>26.25</v>
      </c>
      <c r="Q149" s="172">
        <f t="shared" si="71"/>
        <v>25.838000000000001</v>
      </c>
      <c r="R149" s="1379"/>
      <c r="S149" s="1363" t="str">
        <f t="shared" si="72"/>
        <v/>
      </c>
      <c r="T149" s="257" t="str">
        <f>IF(R147&lt;0,"закрыт","")</f>
        <v/>
      </c>
      <c r="U149" s="1363"/>
      <c r="V149" s="1363"/>
      <c r="W149" s="257" t="s">
        <v>3089</v>
      </c>
      <c r="X149" s="929"/>
      <c r="Y149" s="1371"/>
      <c r="Z149" s="1316"/>
      <c r="AA149" s="1298" t="s">
        <v>1791</v>
      </c>
      <c r="AB149" s="230">
        <f t="shared" si="76"/>
        <v>25</v>
      </c>
      <c r="AC149" s="1315" t="str">
        <f t="shared" si="77"/>
        <v>+</v>
      </c>
      <c r="AD149" s="1315">
        <f t="shared" si="78"/>
        <v>25</v>
      </c>
      <c r="AE149" s="1315"/>
      <c r="AF149" s="1316"/>
      <c r="AG149" s="1298" t="str">
        <f t="shared" si="79"/>
        <v>25+25</v>
      </c>
      <c r="AH149" s="1304">
        <f>'Зона ВЭс'!L194</f>
        <v>2.13225</v>
      </c>
      <c r="AI149" s="1304">
        <f t="shared" si="73"/>
        <v>9.744250000000001</v>
      </c>
      <c r="AJ149" s="1304">
        <f t="shared" si="80"/>
        <v>7.2</v>
      </c>
      <c r="AK149" s="1298">
        <f t="shared" si="81"/>
        <v>120</v>
      </c>
      <c r="AL149" s="1304">
        <f t="shared" si="68"/>
        <v>2.5442500000000008</v>
      </c>
      <c r="AM149" s="1298">
        <v>0</v>
      </c>
      <c r="AN149" s="893">
        <f t="shared" si="69"/>
        <v>26.25</v>
      </c>
      <c r="AO149" s="1304">
        <f t="shared" si="70"/>
        <v>23.705749999999998</v>
      </c>
      <c r="AP149" s="1310"/>
      <c r="AQ149" s="1297" t="str">
        <f t="shared" si="74"/>
        <v/>
      </c>
      <c r="AR149" s="1298" t="str">
        <f>IF(AP147&lt;0,"закрыт","")</f>
        <v/>
      </c>
      <c r="AS149" s="1307"/>
      <c r="AT149" s="954" t="s">
        <v>755</v>
      </c>
      <c r="AU149" s="1113">
        <v>1982</v>
      </c>
      <c r="AV149" s="1119" t="s">
        <v>3286</v>
      </c>
      <c r="AW149" s="1121">
        <v>57.866844936852402</v>
      </c>
      <c r="AX149" s="1121">
        <v>35.008621730403597</v>
      </c>
    </row>
    <row r="150" spans="1:50" ht="20.100000000000001" customHeight="1" x14ac:dyDescent="0.25">
      <c r="A150" s="1371">
        <v>109</v>
      </c>
      <c r="B150" s="1371">
        <v>59</v>
      </c>
      <c r="C150" s="213" t="s">
        <v>1006</v>
      </c>
      <c r="D150" s="230">
        <v>6.3</v>
      </c>
      <c r="E150" s="229" t="s">
        <v>785</v>
      </c>
      <c r="F150" s="229">
        <v>6.3</v>
      </c>
      <c r="G150" s="229"/>
      <c r="H150" s="228"/>
      <c r="I150" s="229" t="str">
        <f t="shared" si="75"/>
        <v>6,3+6,3</v>
      </c>
      <c r="J150" s="895">
        <v>4.04</v>
      </c>
      <c r="K150" s="172">
        <v>2.4910000000000001</v>
      </c>
      <c r="L150" s="213">
        <v>120</v>
      </c>
      <c r="M150" s="172">
        <f t="shared" si="66"/>
        <v>1.5489999999999999</v>
      </c>
      <c r="N150" s="172">
        <v>0</v>
      </c>
      <c r="O150" s="893"/>
      <c r="P150" s="893">
        <f t="shared" si="67"/>
        <v>6.6150000000000002</v>
      </c>
      <c r="Q150" s="172">
        <f t="shared" si="71"/>
        <v>5.0660000000000007</v>
      </c>
      <c r="R150" s="1379">
        <f>MIN(Q150:Q152)</f>
        <v>5.0660000000000007</v>
      </c>
      <c r="S150" s="1362" t="str">
        <f t="shared" si="72"/>
        <v/>
      </c>
      <c r="T150" s="257" t="str">
        <f>IF(R150&lt;0,"закрыт","")</f>
        <v/>
      </c>
      <c r="U150" s="1362">
        <f>(J150*100)/P150</f>
        <v>61.073318216175359</v>
      </c>
      <c r="V150" s="1362">
        <v>0.4</v>
      </c>
      <c r="W150" s="768" t="s">
        <v>3090</v>
      </c>
      <c r="X150" s="929"/>
      <c r="Y150" s="1371">
        <v>109</v>
      </c>
      <c r="Z150" s="1316">
        <v>59</v>
      </c>
      <c r="AA150" s="1298" t="s">
        <v>1006</v>
      </c>
      <c r="AB150" s="230">
        <f t="shared" si="76"/>
        <v>6.3</v>
      </c>
      <c r="AC150" s="1315" t="str">
        <f t="shared" si="77"/>
        <v>+</v>
      </c>
      <c r="AD150" s="1315">
        <f t="shared" si="78"/>
        <v>6.3</v>
      </c>
      <c r="AE150" s="1315"/>
      <c r="AF150" s="1316"/>
      <c r="AG150" s="1298" t="str">
        <f t="shared" si="79"/>
        <v>6,3+6,3</v>
      </c>
      <c r="AH150" s="1304">
        <f>SUM(AH151:AH152)</f>
        <v>0</v>
      </c>
      <c r="AI150" s="1304">
        <f t="shared" si="73"/>
        <v>4.04</v>
      </c>
      <c r="AJ150" s="1304">
        <f t="shared" si="80"/>
        <v>2.4910000000000001</v>
      </c>
      <c r="AK150" s="1298">
        <f t="shared" si="81"/>
        <v>120</v>
      </c>
      <c r="AL150" s="1304">
        <f t="shared" si="68"/>
        <v>1.5489999999999999</v>
      </c>
      <c r="AM150" s="1298">
        <v>0</v>
      </c>
      <c r="AN150" s="893">
        <f t="shared" si="69"/>
        <v>6.6150000000000002</v>
      </c>
      <c r="AO150" s="1304">
        <f t="shared" si="70"/>
        <v>5.0660000000000007</v>
      </c>
      <c r="AP150" s="1308">
        <f>MIN(AO150:AO152)</f>
        <v>5.0660000000000007</v>
      </c>
      <c r="AQ150" s="1296" t="str">
        <f t="shared" si="74"/>
        <v/>
      </c>
      <c r="AR150" s="1298" t="str">
        <f>IF(AP150&lt;0,"закрыт","")</f>
        <v/>
      </c>
      <c r="AS150" s="1305">
        <f>(AI150*100)/AN150</f>
        <v>61.073318216175359</v>
      </c>
      <c r="AT150" s="954" t="s">
        <v>755</v>
      </c>
      <c r="AU150" s="1113">
        <v>1974</v>
      </c>
      <c r="AV150" s="1119" t="s">
        <v>3286</v>
      </c>
      <c r="AW150" s="1121">
        <v>57.468765872844202</v>
      </c>
      <c r="AX150" s="1121">
        <v>34.716617163861798</v>
      </c>
    </row>
    <row r="151" spans="1:50" ht="20.100000000000001" customHeight="1" x14ac:dyDescent="0.25">
      <c r="A151" s="1371"/>
      <c r="B151" s="1371"/>
      <c r="C151" s="213" t="s">
        <v>1792</v>
      </c>
      <c r="D151" s="230">
        <v>6.3</v>
      </c>
      <c r="E151" s="229" t="s">
        <v>785</v>
      </c>
      <c r="F151" s="229">
        <v>6.3</v>
      </c>
      <c r="G151" s="229"/>
      <c r="H151" s="228"/>
      <c r="I151" s="229" t="str">
        <f t="shared" si="75"/>
        <v>6,3+6,3</v>
      </c>
      <c r="J151" s="895">
        <v>2.99</v>
      </c>
      <c r="K151" s="172">
        <v>2.99</v>
      </c>
      <c r="L151" s="213">
        <v>120</v>
      </c>
      <c r="M151" s="172">
        <f t="shared" si="66"/>
        <v>0</v>
      </c>
      <c r="N151" s="172">
        <v>0</v>
      </c>
      <c r="O151" s="893"/>
      <c r="P151" s="893">
        <f t="shared" si="67"/>
        <v>6.6150000000000002</v>
      </c>
      <c r="Q151" s="172">
        <f t="shared" si="71"/>
        <v>6.6150000000000002</v>
      </c>
      <c r="R151" s="1379"/>
      <c r="S151" s="1363" t="str">
        <f t="shared" si="72"/>
        <v/>
      </c>
      <c r="T151" s="257" t="str">
        <f>IF(R150&lt;0,"закрыт","")</f>
        <v/>
      </c>
      <c r="U151" s="1363"/>
      <c r="V151" s="1363"/>
      <c r="W151" s="257" t="s">
        <v>3089</v>
      </c>
      <c r="X151" s="929"/>
      <c r="Y151" s="1371"/>
      <c r="Z151" s="1316"/>
      <c r="AA151" s="1298" t="s">
        <v>1792</v>
      </c>
      <c r="AB151" s="230">
        <f t="shared" si="76"/>
        <v>6.3</v>
      </c>
      <c r="AC151" s="1315" t="str">
        <f t="shared" si="77"/>
        <v>+</v>
      </c>
      <c r="AD151" s="1315">
        <f t="shared" si="78"/>
        <v>6.3</v>
      </c>
      <c r="AE151" s="1315"/>
      <c r="AF151" s="1316"/>
      <c r="AG151" s="1298" t="str">
        <f t="shared" si="79"/>
        <v>6,3+6,3</v>
      </c>
      <c r="AH151" s="1304">
        <f>SUM(AH97+AH105)</f>
        <v>0</v>
      </c>
      <c r="AI151" s="1304">
        <f t="shared" si="73"/>
        <v>2.99</v>
      </c>
      <c r="AJ151" s="1304">
        <f t="shared" si="80"/>
        <v>2.99</v>
      </c>
      <c r="AK151" s="1298">
        <f t="shared" si="81"/>
        <v>120</v>
      </c>
      <c r="AL151" s="1304">
        <f t="shared" si="68"/>
        <v>0</v>
      </c>
      <c r="AM151" s="1298">
        <v>0</v>
      </c>
      <c r="AN151" s="893">
        <f t="shared" si="69"/>
        <v>6.6150000000000002</v>
      </c>
      <c r="AO151" s="1304">
        <f t="shared" si="70"/>
        <v>6.6150000000000002</v>
      </c>
      <c r="AP151" s="1309"/>
      <c r="AQ151" s="1297" t="str">
        <f t="shared" si="74"/>
        <v/>
      </c>
      <c r="AR151" s="1298" t="str">
        <f>IF(AP150&lt;0,"закрыт","")</f>
        <v/>
      </c>
      <c r="AS151" s="1306"/>
      <c r="AT151" s="954" t="s">
        <v>755</v>
      </c>
      <c r="AU151" s="1113">
        <v>1974</v>
      </c>
      <c r="AV151" s="1119" t="s">
        <v>3286</v>
      </c>
      <c r="AW151" s="1121">
        <v>57.468765872844202</v>
      </c>
      <c r="AX151" s="1121">
        <v>34.716617163861798</v>
      </c>
    </row>
    <row r="152" spans="1:50" ht="20.100000000000001" customHeight="1" x14ac:dyDescent="0.25">
      <c r="A152" s="1371"/>
      <c r="B152" s="1371"/>
      <c r="C152" s="213" t="s">
        <v>1791</v>
      </c>
      <c r="D152" s="230">
        <v>6.3</v>
      </c>
      <c r="E152" s="229" t="s">
        <v>785</v>
      </c>
      <c r="F152" s="229">
        <v>6.3</v>
      </c>
      <c r="G152" s="229"/>
      <c r="H152" s="228"/>
      <c r="I152" s="229" t="str">
        <f t="shared" si="75"/>
        <v>6,3+6,3</v>
      </c>
      <c r="J152" s="895">
        <v>1.05</v>
      </c>
      <c r="K152" s="172">
        <v>0</v>
      </c>
      <c r="L152" s="213">
        <v>0</v>
      </c>
      <c r="M152" s="172">
        <f t="shared" si="66"/>
        <v>1.05</v>
      </c>
      <c r="N152" s="172">
        <v>0</v>
      </c>
      <c r="O152" s="893"/>
      <c r="P152" s="893">
        <f t="shared" si="67"/>
        <v>6.6150000000000002</v>
      </c>
      <c r="Q152" s="172">
        <f t="shared" si="71"/>
        <v>5.5650000000000004</v>
      </c>
      <c r="R152" s="1379"/>
      <c r="S152" s="1363" t="str">
        <f t="shared" si="72"/>
        <v/>
      </c>
      <c r="T152" s="257" t="str">
        <f>IF(R150&lt;0,"закрыт","")</f>
        <v/>
      </c>
      <c r="U152" s="1363"/>
      <c r="V152" s="1363"/>
      <c r="W152" s="257" t="s">
        <v>3089</v>
      </c>
      <c r="X152" s="929"/>
      <c r="Y152" s="1371"/>
      <c r="Z152" s="1316"/>
      <c r="AA152" s="1298" t="s">
        <v>1791</v>
      </c>
      <c r="AB152" s="230">
        <f t="shared" si="76"/>
        <v>6.3</v>
      </c>
      <c r="AC152" s="1315" t="str">
        <f t="shared" si="77"/>
        <v>+</v>
      </c>
      <c r="AD152" s="1315">
        <f t="shared" si="78"/>
        <v>6.3</v>
      </c>
      <c r="AE152" s="1315"/>
      <c r="AF152" s="1316"/>
      <c r="AG152" s="1298" t="str">
        <f t="shared" si="79"/>
        <v>6,3+6,3</v>
      </c>
      <c r="AH152" s="1308">
        <f>'Зона ВЭс'!L198</f>
        <v>0</v>
      </c>
      <c r="AI152" s="1304">
        <f t="shared" si="73"/>
        <v>1.05</v>
      </c>
      <c r="AJ152" s="1304">
        <f t="shared" si="80"/>
        <v>0</v>
      </c>
      <c r="AK152" s="1298">
        <f t="shared" si="81"/>
        <v>0</v>
      </c>
      <c r="AL152" s="1304">
        <f t="shared" si="68"/>
        <v>1.05</v>
      </c>
      <c r="AM152" s="1298">
        <v>0</v>
      </c>
      <c r="AN152" s="893">
        <f t="shared" si="69"/>
        <v>6.6150000000000002</v>
      </c>
      <c r="AO152" s="1304">
        <f t="shared" si="70"/>
        <v>5.5650000000000004</v>
      </c>
      <c r="AP152" s="1310"/>
      <c r="AQ152" s="1297" t="str">
        <f t="shared" si="74"/>
        <v/>
      </c>
      <c r="AR152" s="1298" t="str">
        <f>IF(AP150&lt;0,"закрыт","")</f>
        <v/>
      </c>
      <c r="AS152" s="1307"/>
      <c r="AT152" s="954" t="s">
        <v>755</v>
      </c>
      <c r="AU152" s="1113">
        <v>1974</v>
      </c>
      <c r="AV152" s="1119" t="s">
        <v>3286</v>
      </c>
      <c r="AW152" s="1121">
        <v>57.468765872844202</v>
      </c>
      <c r="AX152" s="1121">
        <v>34.716617163861798</v>
      </c>
    </row>
    <row r="153" spans="1:50" ht="20.100000000000001" customHeight="1" x14ac:dyDescent="0.25">
      <c r="A153" s="1376">
        <v>110</v>
      </c>
      <c r="B153" s="1376">
        <v>60</v>
      </c>
      <c r="C153" s="228" t="s">
        <v>1007</v>
      </c>
      <c r="D153" s="230">
        <v>25</v>
      </c>
      <c r="E153" s="229" t="s">
        <v>785</v>
      </c>
      <c r="F153" s="229">
        <v>25</v>
      </c>
      <c r="G153" s="229"/>
      <c r="H153" s="228"/>
      <c r="I153" s="229" t="str">
        <f t="shared" si="75"/>
        <v>25+25</v>
      </c>
      <c r="J153" s="895">
        <v>6.78</v>
      </c>
      <c r="K153" s="172">
        <v>4.5460000000000003</v>
      </c>
      <c r="L153" s="213">
        <v>120</v>
      </c>
      <c r="M153" s="172">
        <f t="shared" si="66"/>
        <v>2.234</v>
      </c>
      <c r="N153" s="172">
        <v>0</v>
      </c>
      <c r="O153" s="893"/>
      <c r="P153" s="893">
        <f t="shared" si="67"/>
        <v>26.25</v>
      </c>
      <c r="Q153" s="172">
        <f t="shared" si="71"/>
        <v>24.015999999999998</v>
      </c>
      <c r="R153" s="1364">
        <f>MIN(Q153:Q155)</f>
        <v>24.015999999999998</v>
      </c>
      <c r="S153" s="1362" t="str">
        <f t="shared" si="72"/>
        <v/>
      </c>
      <c r="T153" s="257" t="str">
        <f>IF(R153&lt;0,"закрыт","")</f>
        <v/>
      </c>
      <c r="U153" s="1362">
        <f>(J153*100)/P153</f>
        <v>25.828571428571429</v>
      </c>
      <c r="V153" s="1362">
        <v>0.4</v>
      </c>
      <c r="W153" s="768" t="s">
        <v>3089</v>
      </c>
      <c r="X153" s="929"/>
      <c r="Y153" s="1376">
        <v>110</v>
      </c>
      <c r="Z153" s="1342">
        <v>60</v>
      </c>
      <c r="AA153" s="1316" t="s">
        <v>1007</v>
      </c>
      <c r="AB153" s="230">
        <f t="shared" si="76"/>
        <v>25</v>
      </c>
      <c r="AC153" s="1315" t="str">
        <f t="shared" si="77"/>
        <v>+</v>
      </c>
      <c r="AD153" s="1315">
        <f t="shared" si="78"/>
        <v>25</v>
      </c>
      <c r="AE153" s="1315"/>
      <c r="AF153" s="1316"/>
      <c r="AG153" s="1298" t="str">
        <f t="shared" si="79"/>
        <v>25+25</v>
      </c>
      <c r="AH153" s="1304">
        <f>SUM(AH154:AH155)</f>
        <v>0</v>
      </c>
      <c r="AI153" s="1304">
        <f t="shared" si="73"/>
        <v>6.78</v>
      </c>
      <c r="AJ153" s="1304">
        <f t="shared" si="80"/>
        <v>4.5460000000000003</v>
      </c>
      <c r="AK153" s="1298">
        <f t="shared" si="81"/>
        <v>120</v>
      </c>
      <c r="AL153" s="1304">
        <f t="shared" si="68"/>
        <v>2.234</v>
      </c>
      <c r="AM153" s="1298">
        <v>0</v>
      </c>
      <c r="AN153" s="893">
        <f t="shared" si="69"/>
        <v>26.25</v>
      </c>
      <c r="AO153" s="1304">
        <f t="shared" si="70"/>
        <v>24.015999999999998</v>
      </c>
      <c r="AP153" s="1308">
        <f>MIN(AO153:AO155)</f>
        <v>24.015999999999998</v>
      </c>
      <c r="AQ153" s="1296" t="str">
        <f t="shared" si="74"/>
        <v/>
      </c>
      <c r="AR153" s="1298" t="str">
        <f>IF(AP153&lt;0,"закрыт","")</f>
        <v/>
      </c>
      <c r="AS153" s="1305">
        <f>(AI153*100)/AN153</f>
        <v>25.828571428571429</v>
      </c>
      <c r="AT153" s="954" t="s">
        <v>755</v>
      </c>
      <c r="AU153" s="1113">
        <v>1959</v>
      </c>
      <c r="AV153" s="1119" t="s">
        <v>3286</v>
      </c>
      <c r="AW153" s="1121">
        <v>57.637373082097099</v>
      </c>
      <c r="AX153" s="1121">
        <v>34.465650829909301</v>
      </c>
    </row>
    <row r="154" spans="1:50" ht="20.100000000000001" customHeight="1" x14ac:dyDescent="0.25">
      <c r="A154" s="1377"/>
      <c r="B154" s="1393"/>
      <c r="C154" s="228" t="s">
        <v>1792</v>
      </c>
      <c r="D154" s="230">
        <v>25</v>
      </c>
      <c r="E154" s="229" t="s">
        <v>785</v>
      </c>
      <c r="F154" s="229">
        <v>25</v>
      </c>
      <c r="G154" s="229"/>
      <c r="H154" s="228"/>
      <c r="I154" s="229" t="str">
        <f t="shared" si="75"/>
        <v>25+25</v>
      </c>
      <c r="J154" s="895">
        <v>6.66</v>
      </c>
      <c r="K154" s="172">
        <v>6.66</v>
      </c>
      <c r="L154" s="213">
        <v>120</v>
      </c>
      <c r="M154" s="172">
        <f t="shared" si="66"/>
        <v>0</v>
      </c>
      <c r="N154" s="172">
        <v>0</v>
      </c>
      <c r="O154" s="893"/>
      <c r="P154" s="893">
        <f t="shared" si="67"/>
        <v>26.25</v>
      </c>
      <c r="Q154" s="172">
        <f t="shared" si="71"/>
        <v>26.25</v>
      </c>
      <c r="R154" s="1365"/>
      <c r="S154" s="1363" t="str">
        <f t="shared" si="72"/>
        <v/>
      </c>
      <c r="T154" s="257" t="str">
        <f>IF(R153&lt;0,"закрыт","")</f>
        <v/>
      </c>
      <c r="U154" s="1363"/>
      <c r="V154" s="1363"/>
      <c r="W154" s="257" t="s">
        <v>3089</v>
      </c>
      <c r="X154" s="929"/>
      <c r="Y154" s="1377"/>
      <c r="Z154" s="1346"/>
      <c r="AA154" s="1316" t="s">
        <v>1792</v>
      </c>
      <c r="AB154" s="230">
        <f t="shared" si="76"/>
        <v>25</v>
      </c>
      <c r="AC154" s="1315" t="str">
        <f t="shared" si="77"/>
        <v>+</v>
      </c>
      <c r="AD154" s="1315">
        <f t="shared" si="78"/>
        <v>25</v>
      </c>
      <c r="AE154" s="1315"/>
      <c r="AF154" s="1316"/>
      <c r="AG154" s="1298" t="str">
        <f t="shared" si="79"/>
        <v>25+25</v>
      </c>
      <c r="AH154" s="1304">
        <f>SUM(AH100+AH108)</f>
        <v>0</v>
      </c>
      <c r="AI154" s="1304">
        <f t="shared" si="73"/>
        <v>6.66</v>
      </c>
      <c r="AJ154" s="1304">
        <f t="shared" si="80"/>
        <v>6.66</v>
      </c>
      <c r="AK154" s="1298">
        <f t="shared" si="81"/>
        <v>120</v>
      </c>
      <c r="AL154" s="1304">
        <f t="shared" si="68"/>
        <v>0</v>
      </c>
      <c r="AM154" s="1298">
        <v>0</v>
      </c>
      <c r="AN154" s="893">
        <f t="shared" si="69"/>
        <v>26.25</v>
      </c>
      <c r="AO154" s="1304">
        <f t="shared" si="70"/>
        <v>26.25</v>
      </c>
      <c r="AP154" s="1309"/>
      <c r="AQ154" s="1297" t="str">
        <f t="shared" si="74"/>
        <v/>
      </c>
      <c r="AR154" s="1298" t="str">
        <f>IF(AP153&lt;0,"закрыт","")</f>
        <v/>
      </c>
      <c r="AS154" s="1306"/>
      <c r="AT154" s="954" t="s">
        <v>755</v>
      </c>
      <c r="AU154" s="1113">
        <v>1959</v>
      </c>
      <c r="AV154" s="1119" t="s">
        <v>3286</v>
      </c>
      <c r="AW154" s="1121">
        <v>57.637373082097099</v>
      </c>
      <c r="AX154" s="1121">
        <v>34.465650829909301</v>
      </c>
    </row>
    <row r="155" spans="1:50" ht="20.100000000000001" customHeight="1" x14ac:dyDescent="0.25">
      <c r="A155" s="1378"/>
      <c r="B155" s="1394"/>
      <c r="C155" s="228" t="s">
        <v>1791</v>
      </c>
      <c r="D155" s="230">
        <v>25</v>
      </c>
      <c r="E155" s="229" t="s">
        <v>785</v>
      </c>
      <c r="F155" s="229">
        <v>25</v>
      </c>
      <c r="G155" s="229"/>
      <c r="H155" s="228"/>
      <c r="I155" s="229" t="str">
        <f t="shared" si="75"/>
        <v>25+25</v>
      </c>
      <c r="J155" s="895">
        <v>0.12</v>
      </c>
      <c r="K155" s="172">
        <v>0</v>
      </c>
      <c r="L155" s="213">
        <v>0</v>
      </c>
      <c r="M155" s="172">
        <f t="shared" si="66"/>
        <v>0.12</v>
      </c>
      <c r="N155" s="172">
        <v>0</v>
      </c>
      <c r="O155" s="893"/>
      <c r="P155" s="893">
        <f t="shared" si="67"/>
        <v>26.25</v>
      </c>
      <c r="Q155" s="172">
        <f t="shared" si="71"/>
        <v>26.13</v>
      </c>
      <c r="R155" s="1366"/>
      <c r="S155" s="1363" t="str">
        <f t="shared" si="72"/>
        <v/>
      </c>
      <c r="T155" s="257" t="str">
        <f>IF(R153&lt;0,"закрыт","")</f>
        <v/>
      </c>
      <c r="U155" s="1363"/>
      <c r="V155" s="1363"/>
      <c r="W155" s="257" t="s">
        <v>3089</v>
      </c>
      <c r="X155" s="929"/>
      <c r="Y155" s="1378"/>
      <c r="Z155" s="1345"/>
      <c r="AA155" s="1316" t="s">
        <v>1791</v>
      </c>
      <c r="AB155" s="230">
        <f t="shared" si="76"/>
        <v>25</v>
      </c>
      <c r="AC155" s="1315" t="str">
        <f t="shared" si="77"/>
        <v>+</v>
      </c>
      <c r="AD155" s="1315">
        <f t="shared" si="78"/>
        <v>25</v>
      </c>
      <c r="AE155" s="1315"/>
      <c r="AF155" s="1316"/>
      <c r="AG155" s="1298" t="str">
        <f t="shared" si="79"/>
        <v>25+25</v>
      </c>
      <c r="AH155" s="1308">
        <f>'Зона ВЭс'!L200</f>
        <v>0</v>
      </c>
      <c r="AI155" s="1304">
        <f t="shared" si="73"/>
        <v>0.12</v>
      </c>
      <c r="AJ155" s="1304">
        <f t="shared" si="80"/>
        <v>0</v>
      </c>
      <c r="AK155" s="1298">
        <f t="shared" si="81"/>
        <v>0</v>
      </c>
      <c r="AL155" s="1304">
        <f t="shared" si="68"/>
        <v>0.12</v>
      </c>
      <c r="AM155" s="1298">
        <v>0</v>
      </c>
      <c r="AN155" s="893">
        <f t="shared" si="69"/>
        <v>26.25</v>
      </c>
      <c r="AO155" s="1304">
        <f t="shared" si="70"/>
        <v>26.13</v>
      </c>
      <c r="AP155" s="1310"/>
      <c r="AQ155" s="1297" t="str">
        <f t="shared" si="74"/>
        <v/>
      </c>
      <c r="AR155" s="1298" t="str">
        <f>IF(AP153&lt;0,"закрыт","")</f>
        <v/>
      </c>
      <c r="AS155" s="1307"/>
      <c r="AT155" s="954" t="s">
        <v>755</v>
      </c>
      <c r="AU155" s="1113">
        <v>1959</v>
      </c>
      <c r="AV155" s="1119" t="s">
        <v>3286</v>
      </c>
      <c r="AW155" s="1121">
        <v>57.637373082097099</v>
      </c>
      <c r="AX155" s="1121">
        <v>34.465650829909301</v>
      </c>
    </row>
    <row r="156" spans="1:50" ht="20.100000000000001" customHeight="1" x14ac:dyDescent="0.25">
      <c r="A156" s="84">
        <v>111</v>
      </c>
      <c r="B156" s="84">
        <v>1</v>
      </c>
      <c r="C156" s="84" t="s">
        <v>1008</v>
      </c>
      <c r="D156" s="230">
        <v>6.3</v>
      </c>
      <c r="E156" s="229"/>
      <c r="F156" s="229"/>
      <c r="G156" s="229"/>
      <c r="H156" s="228"/>
      <c r="I156" s="229" t="str">
        <f t="shared" si="75"/>
        <v>6,3</v>
      </c>
      <c r="J156" s="895">
        <v>2.89</v>
      </c>
      <c r="K156" s="23">
        <v>0.87</v>
      </c>
      <c r="L156" s="84" t="s">
        <v>335</v>
      </c>
      <c r="M156" s="23">
        <f>K156</f>
        <v>0.87</v>
      </c>
      <c r="N156" s="172">
        <v>0</v>
      </c>
      <c r="O156" s="893"/>
      <c r="P156" s="894">
        <f>M156-N156</f>
        <v>0.87</v>
      </c>
      <c r="Q156" s="23">
        <f>P156-J156</f>
        <v>-2.02</v>
      </c>
      <c r="R156" s="23">
        <f t="shared" ref="R156:R181" si="82">Q156</f>
        <v>-2.02</v>
      </c>
      <c r="S156" s="768" t="str">
        <f t="shared" si="72"/>
        <v>закрыт</v>
      </c>
      <c r="T156" s="257" t="str">
        <f t="shared" ref="T156:T182" si="83">IF(R156&lt;0,"закрыт","")</f>
        <v>закрыт</v>
      </c>
      <c r="U156" s="768">
        <f>(J156*100)/(I156*1.05)</f>
        <v>43.6885865457294</v>
      </c>
      <c r="V156" s="1194">
        <v>0.37</v>
      </c>
      <c r="W156" s="1195" t="s">
        <v>3088</v>
      </c>
      <c r="X156" s="929"/>
      <c r="Y156" s="84">
        <v>111</v>
      </c>
      <c r="Z156" s="1338">
        <v>1</v>
      </c>
      <c r="AA156" s="1337" t="s">
        <v>1008</v>
      </c>
      <c r="AB156" s="230">
        <f t="shared" si="76"/>
        <v>6.3</v>
      </c>
      <c r="AC156" s="1315"/>
      <c r="AD156" s="1315"/>
      <c r="AE156" s="1315"/>
      <c r="AF156" s="1316"/>
      <c r="AG156" s="1298" t="str">
        <f t="shared" si="79"/>
        <v>6,3</v>
      </c>
      <c r="AH156" s="1347">
        <f>'Зона КиЭс  '!L11</f>
        <v>1.9824999999999999</v>
      </c>
      <c r="AI156" s="1347">
        <f t="shared" si="73"/>
        <v>4.8725000000000005</v>
      </c>
      <c r="AJ156" s="1304">
        <f t="shared" si="80"/>
        <v>0.87</v>
      </c>
      <c r="AK156" s="1298" t="str">
        <f t="shared" si="81"/>
        <v>1 сутки</v>
      </c>
      <c r="AL156" s="1304">
        <f>AJ156</f>
        <v>0.87</v>
      </c>
      <c r="AM156" s="1298">
        <v>0</v>
      </c>
      <c r="AN156" s="894">
        <f>AL156-AM156</f>
        <v>0.87</v>
      </c>
      <c r="AO156" s="1347">
        <f>AN156-AI156</f>
        <v>-4.0025000000000004</v>
      </c>
      <c r="AP156" s="1347">
        <f>AO156</f>
        <v>-4.0025000000000004</v>
      </c>
      <c r="AQ156" s="1337" t="str">
        <f t="shared" si="74"/>
        <v>закрыт</v>
      </c>
      <c r="AR156" s="1298" t="str">
        <f t="shared" ref="AR156:AR182" si="84">IF(AP156&lt;0,"закрыт","")</f>
        <v>закрыт</v>
      </c>
      <c r="AS156" s="952">
        <f>(AI156*100)/(AG156*1.05)</f>
        <v>73.658352229780803</v>
      </c>
      <c r="AT156" s="954" t="s">
        <v>757</v>
      </c>
      <c r="AU156" s="1113">
        <v>1980</v>
      </c>
      <c r="AV156" s="1119" t="s">
        <v>3286</v>
      </c>
      <c r="AW156" s="1121">
        <v>56.888055490109899</v>
      </c>
      <c r="AX156" s="1121">
        <v>37.371419727633999</v>
      </c>
    </row>
    <row r="157" spans="1:50" ht="20.100000000000001" customHeight="1" x14ac:dyDescent="0.25">
      <c r="A157" s="84">
        <v>112</v>
      </c>
      <c r="B157" s="84">
        <v>2</v>
      </c>
      <c r="C157" s="84" t="s">
        <v>1009</v>
      </c>
      <c r="D157" s="230">
        <v>2.5</v>
      </c>
      <c r="E157" s="229" t="s">
        <v>785</v>
      </c>
      <c r="F157" s="229">
        <v>2.5</v>
      </c>
      <c r="G157" s="229"/>
      <c r="H157" s="228"/>
      <c r="I157" s="229" t="str">
        <f t="shared" si="75"/>
        <v>2,5+2,5</v>
      </c>
      <c r="J157" s="895">
        <v>1.07</v>
      </c>
      <c r="K157" s="23">
        <v>0</v>
      </c>
      <c r="L157" s="90">
        <v>0</v>
      </c>
      <c r="M157" s="23">
        <f t="shared" ref="M157:M188" si="85">J157-K157</f>
        <v>1.07</v>
      </c>
      <c r="N157" s="172">
        <v>0</v>
      </c>
      <c r="O157" s="893"/>
      <c r="P157" s="893">
        <f t="shared" ref="P157:P188" si="86">MIN(D157:F157)*1.05</f>
        <v>2.625</v>
      </c>
      <c r="Q157" s="23">
        <f t="shared" ref="Q157:Q188" si="87">P157-M157-N157</f>
        <v>1.5549999999999999</v>
      </c>
      <c r="R157" s="23">
        <f t="shared" si="82"/>
        <v>1.5549999999999999</v>
      </c>
      <c r="S157" s="768" t="str">
        <f t="shared" si="72"/>
        <v/>
      </c>
      <c r="T157" s="257" t="str">
        <f t="shared" si="83"/>
        <v/>
      </c>
      <c r="U157" s="768">
        <f t="shared" ref="U157:U182" si="88">(J157*100)/P157</f>
        <v>40.761904761904759</v>
      </c>
      <c r="V157" s="1196" t="s">
        <v>3477</v>
      </c>
      <c r="W157" s="768" t="s">
        <v>3478</v>
      </c>
      <c r="X157" s="929"/>
      <c r="Y157" s="84">
        <v>112</v>
      </c>
      <c r="Z157" s="1338">
        <v>2</v>
      </c>
      <c r="AA157" s="1337" t="s">
        <v>1009</v>
      </c>
      <c r="AB157" s="230">
        <f t="shared" si="76"/>
        <v>2.5</v>
      </c>
      <c r="AC157" s="1315" t="str">
        <f t="shared" si="77"/>
        <v>+</v>
      </c>
      <c r="AD157" s="1315">
        <f t="shared" si="78"/>
        <v>2.5</v>
      </c>
      <c r="AE157" s="1315"/>
      <c r="AF157" s="1316"/>
      <c r="AG157" s="1298" t="str">
        <f t="shared" si="79"/>
        <v>2,5+2,5</v>
      </c>
      <c r="AH157" s="1347">
        <f>'Зона КиЭс  '!L31</f>
        <v>2.0324999999999998</v>
      </c>
      <c r="AI157" s="1347">
        <f t="shared" si="73"/>
        <v>3.1025</v>
      </c>
      <c r="AJ157" s="1304">
        <f t="shared" si="80"/>
        <v>0</v>
      </c>
      <c r="AK157" s="1298">
        <f t="shared" si="81"/>
        <v>0</v>
      </c>
      <c r="AL157" s="1304">
        <f t="shared" ref="AL157:AL188" si="89">AI157-AJ157</f>
        <v>3.1025</v>
      </c>
      <c r="AM157" s="1298">
        <v>0</v>
      </c>
      <c r="AN157" s="893">
        <f t="shared" ref="AN157:AN188" si="90">MIN(AB157:AF157)*1.05</f>
        <v>2.625</v>
      </c>
      <c r="AO157" s="1347">
        <f t="shared" ref="AO157:AO188" si="91">AN157-AL157-AM157</f>
        <v>-0.47750000000000004</v>
      </c>
      <c r="AP157" s="1347">
        <f>AO157</f>
        <v>-0.47750000000000004</v>
      </c>
      <c r="AQ157" s="1337" t="str">
        <f t="shared" si="74"/>
        <v>закрыт</v>
      </c>
      <c r="AR157" s="1298" t="str">
        <f t="shared" si="84"/>
        <v>закрыт</v>
      </c>
      <c r="AS157" s="952">
        <f t="shared" ref="AS157:AS182" si="92">(AI157*100)/AN157</f>
        <v>118.19047619047619</v>
      </c>
      <c r="AT157" s="954" t="s">
        <v>757</v>
      </c>
      <c r="AU157" s="1113">
        <v>1977</v>
      </c>
      <c r="AV157" s="1119" t="s">
        <v>3286</v>
      </c>
      <c r="AW157" s="1121">
        <v>57.244514696535497</v>
      </c>
      <c r="AX157" s="1121">
        <v>37.584015705671703</v>
      </c>
    </row>
    <row r="158" spans="1:50" ht="20.100000000000001" customHeight="1" x14ac:dyDescent="0.25">
      <c r="A158" s="84">
        <v>113</v>
      </c>
      <c r="B158" s="84">
        <v>3</v>
      </c>
      <c r="C158" s="84" t="s">
        <v>2682</v>
      </c>
      <c r="D158" s="230">
        <v>5.6</v>
      </c>
      <c r="E158" s="229" t="s">
        <v>785</v>
      </c>
      <c r="F158" s="229">
        <v>6.3</v>
      </c>
      <c r="G158" s="229"/>
      <c r="H158" s="228"/>
      <c r="I158" s="229" t="str">
        <f t="shared" si="75"/>
        <v>5,6+6,3</v>
      </c>
      <c r="J158" s="895">
        <v>2.97</v>
      </c>
      <c r="K158" s="23">
        <v>0</v>
      </c>
      <c r="L158" s="90">
        <v>0</v>
      </c>
      <c r="M158" s="23">
        <f t="shared" si="85"/>
        <v>2.97</v>
      </c>
      <c r="N158" s="172">
        <v>0</v>
      </c>
      <c r="O158" s="893"/>
      <c r="P158" s="893">
        <f t="shared" si="86"/>
        <v>5.88</v>
      </c>
      <c r="Q158" s="23">
        <f t="shared" si="87"/>
        <v>2.9099999999999997</v>
      </c>
      <c r="R158" s="23">
        <f t="shared" si="82"/>
        <v>2.9099999999999997</v>
      </c>
      <c r="S158" s="768" t="str">
        <f t="shared" si="72"/>
        <v/>
      </c>
      <c r="T158" s="257" t="str">
        <f t="shared" si="83"/>
        <v/>
      </c>
      <c r="U158" s="768">
        <f t="shared" si="88"/>
        <v>50.510204081632651</v>
      </c>
      <c r="V158" s="1197" t="s">
        <v>3286</v>
      </c>
      <c r="W158" s="768" t="s">
        <v>3478</v>
      </c>
      <c r="X158" s="929"/>
      <c r="Y158" s="84">
        <v>113</v>
      </c>
      <c r="Z158" s="1338">
        <v>3</v>
      </c>
      <c r="AA158" s="1337" t="s">
        <v>2682</v>
      </c>
      <c r="AB158" s="230">
        <f t="shared" si="76"/>
        <v>5.6</v>
      </c>
      <c r="AC158" s="1315" t="str">
        <f t="shared" si="77"/>
        <v>+</v>
      </c>
      <c r="AD158" s="1315">
        <f t="shared" si="78"/>
        <v>6.3</v>
      </c>
      <c r="AE158" s="1315"/>
      <c r="AF158" s="1316"/>
      <c r="AG158" s="1298" t="str">
        <f t="shared" si="79"/>
        <v>5,6+6,3</v>
      </c>
      <c r="AH158" s="1347">
        <f>'Зона КиЭс  '!L47</f>
        <v>2.1274999999999999</v>
      </c>
      <c r="AI158" s="1347">
        <f t="shared" si="73"/>
        <v>5.0975000000000001</v>
      </c>
      <c r="AJ158" s="1304">
        <f t="shared" si="80"/>
        <v>0</v>
      </c>
      <c r="AK158" s="1298">
        <f t="shared" si="81"/>
        <v>0</v>
      </c>
      <c r="AL158" s="1304">
        <f t="shared" si="89"/>
        <v>5.0975000000000001</v>
      </c>
      <c r="AM158" s="1298">
        <v>0</v>
      </c>
      <c r="AN158" s="893">
        <f t="shared" si="90"/>
        <v>5.88</v>
      </c>
      <c r="AO158" s="1347">
        <f t="shared" si="91"/>
        <v>0.78249999999999975</v>
      </c>
      <c r="AP158" s="1347">
        <f t="shared" ref="AP158:AP181" si="93">AO158</f>
        <v>0.78249999999999975</v>
      </c>
      <c r="AQ158" s="1337" t="str">
        <f t="shared" si="74"/>
        <v/>
      </c>
      <c r="AR158" s="1298" t="str">
        <f t="shared" si="84"/>
        <v/>
      </c>
      <c r="AS158" s="952">
        <f t="shared" si="92"/>
        <v>86.692176870748298</v>
      </c>
      <c r="AT158" s="954" t="s">
        <v>757</v>
      </c>
      <c r="AU158" s="1113">
        <v>1963</v>
      </c>
      <c r="AV158" s="1119" t="s">
        <v>3286</v>
      </c>
      <c r="AW158" s="1121">
        <v>56.959902731357602</v>
      </c>
      <c r="AX158" s="1121">
        <v>37.513246034750402</v>
      </c>
    </row>
    <row r="159" spans="1:50" ht="20.100000000000001" customHeight="1" x14ac:dyDescent="0.25">
      <c r="A159" s="84">
        <v>114</v>
      </c>
      <c r="B159" s="84">
        <v>4</v>
      </c>
      <c r="C159" s="84" t="s">
        <v>1010</v>
      </c>
      <c r="D159" s="230">
        <v>2.5</v>
      </c>
      <c r="E159" s="229" t="s">
        <v>785</v>
      </c>
      <c r="F159" s="229">
        <v>2.5</v>
      </c>
      <c r="G159" s="229"/>
      <c r="H159" s="228"/>
      <c r="I159" s="229" t="str">
        <f t="shared" si="75"/>
        <v>2,5+2,5</v>
      </c>
      <c r="J159" s="895">
        <v>0.85</v>
      </c>
      <c r="K159" s="23">
        <v>0</v>
      </c>
      <c r="L159" s="90">
        <v>0</v>
      </c>
      <c r="M159" s="23">
        <f t="shared" si="85"/>
        <v>0.85</v>
      </c>
      <c r="N159" s="172">
        <v>0</v>
      </c>
      <c r="O159" s="893"/>
      <c r="P159" s="893">
        <f t="shared" si="86"/>
        <v>2.625</v>
      </c>
      <c r="Q159" s="23">
        <f t="shared" si="87"/>
        <v>1.7749999999999999</v>
      </c>
      <c r="R159" s="23">
        <f t="shared" si="82"/>
        <v>1.7749999999999999</v>
      </c>
      <c r="S159" s="768" t="str">
        <f t="shared" si="72"/>
        <v/>
      </c>
      <c r="T159" s="257" t="str">
        <f t="shared" si="83"/>
        <v/>
      </c>
      <c r="U159" s="768">
        <f t="shared" si="88"/>
        <v>32.38095238095238</v>
      </c>
      <c r="V159" s="1197">
        <v>0.24</v>
      </c>
      <c r="W159" s="768" t="s">
        <v>3088</v>
      </c>
      <c r="X159" s="929"/>
      <c r="Y159" s="84">
        <v>114</v>
      </c>
      <c r="Z159" s="1338">
        <v>4</v>
      </c>
      <c r="AA159" s="1337" t="s">
        <v>1010</v>
      </c>
      <c r="AB159" s="230">
        <f t="shared" si="76"/>
        <v>2.5</v>
      </c>
      <c r="AC159" s="1315" t="str">
        <f t="shared" si="77"/>
        <v>+</v>
      </c>
      <c r="AD159" s="1315">
        <f t="shared" si="78"/>
        <v>2.5</v>
      </c>
      <c r="AE159" s="1315"/>
      <c r="AF159" s="1316"/>
      <c r="AG159" s="1298" t="str">
        <f t="shared" si="79"/>
        <v>2,5+2,5</v>
      </c>
      <c r="AH159" s="1347">
        <f>'Зона КиЭс  '!L59</f>
        <v>0.63624999999999998</v>
      </c>
      <c r="AI159" s="1347">
        <f t="shared" si="73"/>
        <v>1.4862500000000001</v>
      </c>
      <c r="AJ159" s="1304">
        <f t="shared" si="80"/>
        <v>0</v>
      </c>
      <c r="AK159" s="1298">
        <f t="shared" si="81"/>
        <v>0</v>
      </c>
      <c r="AL159" s="1304">
        <f t="shared" si="89"/>
        <v>1.4862500000000001</v>
      </c>
      <c r="AM159" s="1298">
        <v>0</v>
      </c>
      <c r="AN159" s="893">
        <f t="shared" si="90"/>
        <v>2.625</v>
      </c>
      <c r="AO159" s="1347">
        <f t="shared" si="91"/>
        <v>1.1387499999999999</v>
      </c>
      <c r="AP159" s="1347">
        <f t="shared" si="93"/>
        <v>1.1387499999999999</v>
      </c>
      <c r="AQ159" s="1337" t="str">
        <f t="shared" si="74"/>
        <v/>
      </c>
      <c r="AR159" s="1298" t="str">
        <f t="shared" si="84"/>
        <v/>
      </c>
      <c r="AS159" s="952">
        <f t="shared" si="92"/>
        <v>56.61904761904762</v>
      </c>
      <c r="AT159" s="954" t="s">
        <v>757</v>
      </c>
      <c r="AU159" s="1113">
        <v>1988</v>
      </c>
      <c r="AV159" s="1119" t="s">
        <v>3286</v>
      </c>
      <c r="AW159" s="1121">
        <v>57.242480311326098</v>
      </c>
      <c r="AX159" s="1121">
        <v>37.884221681446903</v>
      </c>
    </row>
    <row r="160" spans="1:50" ht="20.100000000000001" customHeight="1" x14ac:dyDescent="0.25">
      <c r="A160" s="84">
        <v>115</v>
      </c>
      <c r="B160" s="84">
        <v>5</v>
      </c>
      <c r="C160" s="84" t="s">
        <v>1011</v>
      </c>
      <c r="D160" s="230">
        <v>6.3</v>
      </c>
      <c r="E160" s="229" t="s">
        <v>785</v>
      </c>
      <c r="F160" s="229">
        <v>6.3</v>
      </c>
      <c r="G160" s="229"/>
      <c r="H160" s="228"/>
      <c r="I160" s="229" t="str">
        <f t="shared" si="75"/>
        <v>6,3+6,3</v>
      </c>
      <c r="J160" s="895">
        <v>5.58</v>
      </c>
      <c r="K160" s="23">
        <v>0</v>
      </c>
      <c r="L160" s="90">
        <v>0</v>
      </c>
      <c r="M160" s="23">
        <f t="shared" si="85"/>
        <v>5.58</v>
      </c>
      <c r="N160" s="172">
        <v>0</v>
      </c>
      <c r="O160" s="893"/>
      <c r="P160" s="893">
        <f t="shared" si="86"/>
        <v>6.6150000000000002</v>
      </c>
      <c r="Q160" s="23">
        <f t="shared" si="87"/>
        <v>1.0350000000000001</v>
      </c>
      <c r="R160" s="23">
        <f t="shared" si="82"/>
        <v>1.0350000000000001</v>
      </c>
      <c r="S160" s="768" t="str">
        <f t="shared" si="72"/>
        <v/>
      </c>
      <c r="T160" s="257" t="str">
        <f t="shared" si="83"/>
        <v/>
      </c>
      <c r="U160" s="768">
        <f t="shared" si="88"/>
        <v>84.35374149659863</v>
      </c>
      <c r="V160" s="1197">
        <v>0.31</v>
      </c>
      <c r="W160" s="768" t="s">
        <v>3088</v>
      </c>
      <c r="X160" s="929"/>
      <c r="Y160" s="84">
        <v>115</v>
      </c>
      <c r="Z160" s="1338">
        <v>5</v>
      </c>
      <c r="AA160" s="1337" t="s">
        <v>1011</v>
      </c>
      <c r="AB160" s="230">
        <f t="shared" si="76"/>
        <v>6.3</v>
      </c>
      <c r="AC160" s="1315" t="str">
        <f t="shared" si="77"/>
        <v>+</v>
      </c>
      <c r="AD160" s="1315">
        <f t="shared" si="78"/>
        <v>6.3</v>
      </c>
      <c r="AE160" s="1315"/>
      <c r="AF160" s="1316"/>
      <c r="AG160" s="1298" t="str">
        <f t="shared" si="79"/>
        <v>6,3+6,3</v>
      </c>
      <c r="AH160" s="1347">
        <f>'Зона КиЭс  '!L61</f>
        <v>0</v>
      </c>
      <c r="AI160" s="1347">
        <f t="shared" si="73"/>
        <v>5.58</v>
      </c>
      <c r="AJ160" s="1304">
        <f t="shared" si="80"/>
        <v>0</v>
      </c>
      <c r="AK160" s="1298">
        <f t="shared" si="81"/>
        <v>0</v>
      </c>
      <c r="AL160" s="1304">
        <f t="shared" si="89"/>
        <v>5.58</v>
      </c>
      <c r="AM160" s="1298">
        <v>0</v>
      </c>
      <c r="AN160" s="893">
        <f t="shared" si="90"/>
        <v>6.6150000000000002</v>
      </c>
      <c r="AO160" s="1347">
        <f t="shared" si="91"/>
        <v>1.0350000000000001</v>
      </c>
      <c r="AP160" s="1347">
        <f t="shared" si="93"/>
        <v>1.0350000000000001</v>
      </c>
      <c r="AQ160" s="1337" t="str">
        <f t="shared" si="74"/>
        <v/>
      </c>
      <c r="AR160" s="1298" t="str">
        <f t="shared" si="84"/>
        <v/>
      </c>
      <c r="AS160" s="952">
        <f t="shared" si="92"/>
        <v>84.35374149659863</v>
      </c>
      <c r="AT160" s="954" t="s">
        <v>757</v>
      </c>
      <c r="AU160" s="1113">
        <v>1992</v>
      </c>
      <c r="AV160" s="1119" t="s">
        <v>3286</v>
      </c>
      <c r="AW160" s="1121">
        <v>56.848672463074998</v>
      </c>
      <c r="AX160" s="1121">
        <v>37.379829413867697</v>
      </c>
    </row>
    <row r="161" spans="1:50" ht="20.100000000000001" customHeight="1" x14ac:dyDescent="0.25">
      <c r="A161" s="84">
        <v>116</v>
      </c>
      <c r="B161" s="84">
        <v>6</v>
      </c>
      <c r="C161" s="84" t="s">
        <v>1012</v>
      </c>
      <c r="D161" s="230">
        <v>4</v>
      </c>
      <c r="E161" s="229" t="s">
        <v>785</v>
      </c>
      <c r="F161" s="229">
        <v>2.5</v>
      </c>
      <c r="G161" s="229"/>
      <c r="H161" s="228"/>
      <c r="I161" s="229" t="str">
        <f t="shared" si="75"/>
        <v>4+2,5</v>
      </c>
      <c r="J161" s="895">
        <v>2</v>
      </c>
      <c r="K161" s="23">
        <v>0</v>
      </c>
      <c r="L161" s="90">
        <v>0</v>
      </c>
      <c r="M161" s="23">
        <f t="shared" si="85"/>
        <v>2</v>
      </c>
      <c r="N161" s="172">
        <v>0</v>
      </c>
      <c r="O161" s="893"/>
      <c r="P161" s="893">
        <f t="shared" si="86"/>
        <v>2.625</v>
      </c>
      <c r="Q161" s="23">
        <f t="shared" si="87"/>
        <v>0.625</v>
      </c>
      <c r="R161" s="23">
        <f t="shared" si="82"/>
        <v>0.625</v>
      </c>
      <c r="S161" s="768" t="str">
        <f t="shared" si="72"/>
        <v/>
      </c>
      <c r="T161" s="257" t="str">
        <f t="shared" si="83"/>
        <v/>
      </c>
      <c r="U161" s="768">
        <f t="shared" si="88"/>
        <v>76.19047619047619</v>
      </c>
      <c r="V161" s="1197">
        <v>0.47</v>
      </c>
      <c r="W161" s="768" t="s">
        <v>3088</v>
      </c>
      <c r="X161" s="929"/>
      <c r="Y161" s="84">
        <v>116</v>
      </c>
      <c r="Z161" s="1338">
        <v>6</v>
      </c>
      <c r="AA161" s="1337" t="s">
        <v>1012</v>
      </c>
      <c r="AB161" s="230">
        <f t="shared" si="76"/>
        <v>4</v>
      </c>
      <c r="AC161" s="1315" t="str">
        <f t="shared" si="77"/>
        <v>+</v>
      </c>
      <c r="AD161" s="1315">
        <f t="shared" si="78"/>
        <v>2.5</v>
      </c>
      <c r="AE161" s="1315"/>
      <c r="AF161" s="1316"/>
      <c r="AG161" s="1298" t="str">
        <f t="shared" si="79"/>
        <v>4+2,5</v>
      </c>
      <c r="AH161" s="1347">
        <f>'Зона КиЭс  '!L68</f>
        <v>0.39999999999999997</v>
      </c>
      <c r="AI161" s="1347">
        <f t="shared" si="73"/>
        <v>2.4</v>
      </c>
      <c r="AJ161" s="1304">
        <f t="shared" si="80"/>
        <v>0</v>
      </c>
      <c r="AK161" s="1298">
        <f t="shared" si="81"/>
        <v>0</v>
      </c>
      <c r="AL161" s="1304">
        <f t="shared" si="89"/>
        <v>2.4</v>
      </c>
      <c r="AM161" s="1298">
        <v>0</v>
      </c>
      <c r="AN161" s="893">
        <f t="shared" si="90"/>
        <v>2.625</v>
      </c>
      <c r="AO161" s="1347">
        <f t="shared" si="91"/>
        <v>0.22500000000000009</v>
      </c>
      <c r="AP161" s="1347">
        <f t="shared" si="93"/>
        <v>0.22500000000000009</v>
      </c>
      <c r="AQ161" s="1337" t="str">
        <f t="shared" si="74"/>
        <v/>
      </c>
      <c r="AR161" s="1298" t="str">
        <f t="shared" si="84"/>
        <v/>
      </c>
      <c r="AS161" s="952">
        <f t="shared" si="92"/>
        <v>91.428571428571431</v>
      </c>
      <c r="AT161" s="954" t="s">
        <v>757</v>
      </c>
      <c r="AU161" s="1113">
        <v>1960</v>
      </c>
      <c r="AV161" s="1119" t="s">
        <v>3286</v>
      </c>
      <c r="AW161" s="1121">
        <v>56.947236572806403</v>
      </c>
      <c r="AX161" s="1121">
        <v>37.166472023563799</v>
      </c>
    </row>
    <row r="162" spans="1:50" ht="20.100000000000001" customHeight="1" x14ac:dyDescent="0.25">
      <c r="A162" s="84">
        <v>117</v>
      </c>
      <c r="B162" s="84">
        <v>7</v>
      </c>
      <c r="C162" s="84" t="s">
        <v>1013</v>
      </c>
      <c r="D162" s="230">
        <v>6.3</v>
      </c>
      <c r="E162" s="229" t="s">
        <v>785</v>
      </c>
      <c r="F162" s="229">
        <v>6.3</v>
      </c>
      <c r="G162" s="229"/>
      <c r="H162" s="228"/>
      <c r="I162" s="229" t="str">
        <f t="shared" si="75"/>
        <v>6,3+6,3</v>
      </c>
      <c r="J162" s="895">
        <v>5.2</v>
      </c>
      <c r="K162" s="23">
        <v>0</v>
      </c>
      <c r="L162" s="90">
        <v>0</v>
      </c>
      <c r="M162" s="23">
        <f t="shared" si="85"/>
        <v>5.2</v>
      </c>
      <c r="N162" s="172">
        <v>0</v>
      </c>
      <c r="O162" s="893"/>
      <c r="P162" s="893">
        <f t="shared" si="86"/>
        <v>6.6150000000000002</v>
      </c>
      <c r="Q162" s="23">
        <f t="shared" si="87"/>
        <v>1.415</v>
      </c>
      <c r="R162" s="23">
        <f t="shared" si="82"/>
        <v>1.415</v>
      </c>
      <c r="S162" s="768" t="str">
        <f t="shared" si="72"/>
        <v/>
      </c>
      <c r="T162" s="257" t="str">
        <f t="shared" si="83"/>
        <v/>
      </c>
      <c r="U162" s="768">
        <f t="shared" si="88"/>
        <v>78.609221466364318</v>
      </c>
      <c r="V162" s="1197">
        <v>0.25</v>
      </c>
      <c r="W162" s="768" t="s">
        <v>3088</v>
      </c>
      <c r="X162" s="929"/>
      <c r="Y162" s="84">
        <v>117</v>
      </c>
      <c r="Z162" s="1338">
        <v>7</v>
      </c>
      <c r="AA162" s="1337" t="s">
        <v>1013</v>
      </c>
      <c r="AB162" s="230">
        <f t="shared" si="76"/>
        <v>6.3</v>
      </c>
      <c r="AC162" s="1315" t="str">
        <f t="shared" si="77"/>
        <v>+</v>
      </c>
      <c r="AD162" s="1315">
        <f t="shared" si="78"/>
        <v>6.3</v>
      </c>
      <c r="AE162" s="1315"/>
      <c r="AF162" s="1316"/>
      <c r="AG162" s="1298" t="str">
        <f t="shared" si="79"/>
        <v>6,3+6,3</v>
      </c>
      <c r="AH162" s="1347">
        <f>'Зона КиЭс  '!L85</f>
        <v>0.5149999999999999</v>
      </c>
      <c r="AI162" s="1347">
        <f t="shared" si="73"/>
        <v>5.7149999999999999</v>
      </c>
      <c r="AJ162" s="1304">
        <f t="shared" si="80"/>
        <v>0</v>
      </c>
      <c r="AK162" s="1298">
        <f t="shared" si="81"/>
        <v>0</v>
      </c>
      <c r="AL162" s="1304">
        <f t="shared" si="89"/>
        <v>5.7149999999999999</v>
      </c>
      <c r="AM162" s="1298">
        <v>0</v>
      </c>
      <c r="AN162" s="893">
        <f t="shared" si="90"/>
        <v>6.6150000000000002</v>
      </c>
      <c r="AO162" s="1347">
        <f t="shared" si="91"/>
        <v>0.90000000000000036</v>
      </c>
      <c r="AP162" s="1347">
        <f t="shared" si="93"/>
        <v>0.90000000000000036</v>
      </c>
      <c r="AQ162" s="221" t="str">
        <f>AR162</f>
        <v/>
      </c>
      <c r="AR162" s="1298" t="str">
        <f t="shared" si="84"/>
        <v/>
      </c>
      <c r="AS162" s="952">
        <f t="shared" si="92"/>
        <v>86.394557823129247</v>
      </c>
      <c r="AT162" s="954" t="s">
        <v>757</v>
      </c>
      <c r="AU162" s="1113">
        <v>1972</v>
      </c>
      <c r="AV162" s="1119" t="s">
        <v>3286</v>
      </c>
      <c r="AW162" s="1121">
        <v>57.2325275754039</v>
      </c>
      <c r="AX162" s="1121">
        <v>37.856639171112803</v>
      </c>
    </row>
    <row r="163" spans="1:50" ht="20.100000000000001" customHeight="1" x14ac:dyDescent="0.25">
      <c r="A163" s="84">
        <v>118</v>
      </c>
      <c r="B163" s="84">
        <v>8</v>
      </c>
      <c r="C163" s="84" t="s">
        <v>1014</v>
      </c>
      <c r="D163" s="230">
        <v>16</v>
      </c>
      <c r="E163" s="229" t="s">
        <v>785</v>
      </c>
      <c r="F163" s="229">
        <v>16</v>
      </c>
      <c r="G163" s="229"/>
      <c r="H163" s="228"/>
      <c r="I163" s="229" t="str">
        <f t="shared" si="75"/>
        <v>16+16</v>
      </c>
      <c r="J163" s="895">
        <v>8.3699999999999992</v>
      </c>
      <c r="K163" s="23">
        <v>0</v>
      </c>
      <c r="L163" s="90">
        <v>0</v>
      </c>
      <c r="M163" s="23">
        <f t="shared" si="85"/>
        <v>8.3699999999999992</v>
      </c>
      <c r="N163" s="172">
        <v>0</v>
      </c>
      <c r="O163" s="893"/>
      <c r="P163" s="893">
        <f t="shared" si="86"/>
        <v>16.8</v>
      </c>
      <c r="Q163" s="23">
        <f t="shared" si="87"/>
        <v>8.4300000000000015</v>
      </c>
      <c r="R163" s="23">
        <f t="shared" si="82"/>
        <v>8.4300000000000015</v>
      </c>
      <c r="S163" s="768" t="str">
        <f t="shared" si="72"/>
        <v/>
      </c>
      <c r="T163" s="257" t="str">
        <f t="shared" si="83"/>
        <v/>
      </c>
      <c r="U163" s="768">
        <f t="shared" si="88"/>
        <v>49.821428571428562</v>
      </c>
      <c r="V163" s="1197">
        <v>0.37</v>
      </c>
      <c r="W163" s="768" t="s">
        <v>3088</v>
      </c>
      <c r="X163" s="929"/>
      <c r="Y163" s="84">
        <v>118</v>
      </c>
      <c r="Z163" s="1338">
        <v>8</v>
      </c>
      <c r="AA163" s="1337" t="s">
        <v>1014</v>
      </c>
      <c r="AB163" s="230">
        <f t="shared" si="76"/>
        <v>16</v>
      </c>
      <c r="AC163" s="1315" t="str">
        <f t="shared" si="77"/>
        <v>+</v>
      </c>
      <c r="AD163" s="1315">
        <f t="shared" si="78"/>
        <v>16</v>
      </c>
      <c r="AE163" s="1315"/>
      <c r="AF163" s="1316"/>
      <c r="AG163" s="1298" t="str">
        <f t="shared" si="79"/>
        <v>16+16</v>
      </c>
      <c r="AH163" s="1347">
        <f>'Зона КиЭс  '!L87</f>
        <v>0</v>
      </c>
      <c r="AI163" s="1347">
        <f t="shared" si="73"/>
        <v>8.3699999999999992</v>
      </c>
      <c r="AJ163" s="1304">
        <f t="shared" si="80"/>
        <v>0</v>
      </c>
      <c r="AK163" s="1298">
        <f t="shared" si="81"/>
        <v>0</v>
      </c>
      <c r="AL163" s="1304">
        <f t="shared" si="89"/>
        <v>8.3699999999999992</v>
      </c>
      <c r="AM163" s="1298">
        <v>0</v>
      </c>
      <c r="AN163" s="893">
        <f t="shared" si="90"/>
        <v>16.8</v>
      </c>
      <c r="AO163" s="1347">
        <f t="shared" si="91"/>
        <v>8.4300000000000015</v>
      </c>
      <c r="AP163" s="1347">
        <f t="shared" si="93"/>
        <v>8.4300000000000015</v>
      </c>
      <c r="AQ163" s="221" t="str">
        <f t="shared" si="74"/>
        <v/>
      </c>
      <c r="AR163" s="1298" t="str">
        <f t="shared" si="84"/>
        <v/>
      </c>
      <c r="AS163" s="952">
        <f t="shared" si="92"/>
        <v>49.821428571428562</v>
      </c>
      <c r="AT163" s="954" t="s">
        <v>757</v>
      </c>
      <c r="AU163" s="1113">
        <v>1954</v>
      </c>
      <c r="AV163" s="1119" t="s">
        <v>3286</v>
      </c>
      <c r="AW163" s="1121">
        <v>56.851855272636001</v>
      </c>
      <c r="AX163" s="1121">
        <v>37.355667217227797</v>
      </c>
    </row>
    <row r="164" spans="1:50" ht="20.100000000000001" customHeight="1" x14ac:dyDescent="0.25">
      <c r="A164" s="84">
        <v>119</v>
      </c>
      <c r="B164" s="84">
        <v>9</v>
      </c>
      <c r="C164" s="84" t="s">
        <v>1015</v>
      </c>
      <c r="D164" s="230">
        <v>2.5</v>
      </c>
      <c r="E164" s="229" t="s">
        <v>785</v>
      </c>
      <c r="F164" s="229">
        <v>2.5</v>
      </c>
      <c r="G164" s="229"/>
      <c r="H164" s="228"/>
      <c r="I164" s="229" t="str">
        <f t="shared" si="75"/>
        <v>2,5+2,5</v>
      </c>
      <c r="J164" s="895">
        <v>0.46</v>
      </c>
      <c r="K164" s="23">
        <v>0</v>
      </c>
      <c r="L164" s="90">
        <v>0</v>
      </c>
      <c r="M164" s="23">
        <f t="shared" si="85"/>
        <v>0.46</v>
      </c>
      <c r="N164" s="172">
        <v>0</v>
      </c>
      <c r="O164" s="893"/>
      <c r="P164" s="893">
        <f t="shared" si="86"/>
        <v>2.625</v>
      </c>
      <c r="Q164" s="23">
        <f t="shared" si="87"/>
        <v>2.165</v>
      </c>
      <c r="R164" s="23">
        <f t="shared" si="82"/>
        <v>2.165</v>
      </c>
      <c r="S164" s="768" t="str">
        <f t="shared" si="72"/>
        <v/>
      </c>
      <c r="T164" s="257" t="str">
        <f t="shared" si="83"/>
        <v/>
      </c>
      <c r="U164" s="768">
        <f t="shared" si="88"/>
        <v>17.523809523809526</v>
      </c>
      <c r="V164" s="1197">
        <v>0.54</v>
      </c>
      <c r="W164" s="768" t="s">
        <v>3088</v>
      </c>
      <c r="X164" s="929"/>
      <c r="Y164" s="84">
        <v>119</v>
      </c>
      <c r="Z164" s="1338">
        <v>9</v>
      </c>
      <c r="AA164" s="1337" t="s">
        <v>1015</v>
      </c>
      <c r="AB164" s="230">
        <f t="shared" si="76"/>
        <v>2.5</v>
      </c>
      <c r="AC164" s="1315" t="str">
        <f t="shared" si="77"/>
        <v>+</v>
      </c>
      <c r="AD164" s="1315">
        <f t="shared" si="78"/>
        <v>2.5</v>
      </c>
      <c r="AE164" s="1315"/>
      <c r="AF164" s="1316"/>
      <c r="AG164" s="1298" t="str">
        <f t="shared" si="79"/>
        <v>2,5+2,5</v>
      </c>
      <c r="AH164" s="1347">
        <f>'Зона КиЭс  '!L90</f>
        <v>0</v>
      </c>
      <c r="AI164" s="1347">
        <f t="shared" si="73"/>
        <v>0.46</v>
      </c>
      <c r="AJ164" s="1304">
        <f t="shared" si="80"/>
        <v>0</v>
      </c>
      <c r="AK164" s="1298">
        <f t="shared" si="81"/>
        <v>0</v>
      </c>
      <c r="AL164" s="1304">
        <f t="shared" si="89"/>
        <v>0.46</v>
      </c>
      <c r="AM164" s="1298">
        <v>0</v>
      </c>
      <c r="AN164" s="893">
        <f t="shared" si="90"/>
        <v>2.625</v>
      </c>
      <c r="AO164" s="1347">
        <f t="shared" si="91"/>
        <v>2.165</v>
      </c>
      <c r="AP164" s="1347">
        <f t="shared" si="93"/>
        <v>2.165</v>
      </c>
      <c r="AQ164" s="221" t="str">
        <f t="shared" si="74"/>
        <v/>
      </c>
      <c r="AR164" s="1298" t="str">
        <f t="shared" si="84"/>
        <v/>
      </c>
      <c r="AS164" s="952">
        <f t="shared" si="92"/>
        <v>17.523809523809526</v>
      </c>
      <c r="AT164" s="954" t="s">
        <v>757</v>
      </c>
      <c r="AU164" s="1113">
        <v>1981</v>
      </c>
      <c r="AV164" s="1119" t="s">
        <v>3286</v>
      </c>
      <c r="AW164" s="1121">
        <v>57.487016724667797</v>
      </c>
      <c r="AX164" s="1121">
        <v>37.667822676991896</v>
      </c>
    </row>
    <row r="165" spans="1:50" ht="20.100000000000001" customHeight="1" x14ac:dyDescent="0.25">
      <c r="A165" s="84">
        <v>120</v>
      </c>
      <c r="B165" s="84">
        <v>10</v>
      </c>
      <c r="C165" s="84" t="s">
        <v>1016</v>
      </c>
      <c r="D165" s="230">
        <v>4</v>
      </c>
      <c r="E165" s="229" t="s">
        <v>785</v>
      </c>
      <c r="F165" s="229">
        <v>4</v>
      </c>
      <c r="G165" s="229"/>
      <c r="H165" s="228"/>
      <c r="I165" s="229" t="str">
        <f t="shared" si="75"/>
        <v>4+4</v>
      </c>
      <c r="J165" s="895">
        <v>3.32</v>
      </c>
      <c r="K165" s="23">
        <v>0</v>
      </c>
      <c r="L165" s="90">
        <v>0</v>
      </c>
      <c r="M165" s="23">
        <f t="shared" si="85"/>
        <v>3.32</v>
      </c>
      <c r="N165" s="172">
        <v>0</v>
      </c>
      <c r="O165" s="893"/>
      <c r="P165" s="893">
        <f t="shared" si="86"/>
        <v>4.2</v>
      </c>
      <c r="Q165" s="23">
        <f t="shared" si="87"/>
        <v>0.88000000000000034</v>
      </c>
      <c r="R165" s="23">
        <f t="shared" si="82"/>
        <v>0.88000000000000034</v>
      </c>
      <c r="S165" s="768" t="str">
        <f t="shared" si="72"/>
        <v/>
      </c>
      <c r="T165" s="257" t="str">
        <f t="shared" si="83"/>
        <v/>
      </c>
      <c r="U165" s="768">
        <f t="shared" si="88"/>
        <v>79.047619047619051</v>
      </c>
      <c r="V165" s="1197">
        <v>0.38</v>
      </c>
      <c r="W165" s="768" t="s">
        <v>3088</v>
      </c>
      <c r="X165" s="929"/>
      <c r="Y165" s="84">
        <v>120</v>
      </c>
      <c r="Z165" s="1338">
        <v>10</v>
      </c>
      <c r="AA165" s="1337" t="s">
        <v>1016</v>
      </c>
      <c r="AB165" s="230">
        <f t="shared" si="76"/>
        <v>4</v>
      </c>
      <c r="AC165" s="1315" t="str">
        <f t="shared" si="77"/>
        <v>+</v>
      </c>
      <c r="AD165" s="1315">
        <f t="shared" si="78"/>
        <v>4</v>
      </c>
      <c r="AE165" s="1315"/>
      <c r="AF165" s="1316"/>
      <c r="AG165" s="1298" t="str">
        <f t="shared" si="79"/>
        <v>4+4</v>
      </c>
      <c r="AH165" s="1347">
        <f>'Зона КиЭс  '!L96</f>
        <v>0</v>
      </c>
      <c r="AI165" s="1347">
        <f t="shared" si="73"/>
        <v>3.32</v>
      </c>
      <c r="AJ165" s="1304">
        <f t="shared" si="80"/>
        <v>0</v>
      </c>
      <c r="AK165" s="1298">
        <f t="shared" si="81"/>
        <v>0</v>
      </c>
      <c r="AL165" s="1304">
        <f t="shared" si="89"/>
        <v>3.32</v>
      </c>
      <c r="AM165" s="1298">
        <v>0</v>
      </c>
      <c r="AN165" s="893">
        <f t="shared" si="90"/>
        <v>4.2</v>
      </c>
      <c r="AO165" s="1347">
        <f t="shared" si="91"/>
        <v>0.88000000000000034</v>
      </c>
      <c r="AP165" s="1347">
        <f t="shared" si="93"/>
        <v>0.88000000000000034</v>
      </c>
      <c r="AQ165" s="221" t="str">
        <f t="shared" si="74"/>
        <v/>
      </c>
      <c r="AR165" s="1298" t="str">
        <f t="shared" si="84"/>
        <v/>
      </c>
      <c r="AS165" s="952">
        <f t="shared" si="92"/>
        <v>79.047619047619051</v>
      </c>
      <c r="AT165" s="954" t="s">
        <v>757</v>
      </c>
      <c r="AU165" s="1113">
        <v>1987</v>
      </c>
      <c r="AV165" s="1119" t="s">
        <v>3286</v>
      </c>
      <c r="AW165" s="1121">
        <v>57.365484080460902</v>
      </c>
      <c r="AX165" s="1121">
        <v>37.609359391820099</v>
      </c>
    </row>
    <row r="166" spans="1:50" ht="20.100000000000001" customHeight="1" x14ac:dyDescent="0.25">
      <c r="A166" s="84">
        <v>121</v>
      </c>
      <c r="B166" s="84">
        <v>11</v>
      </c>
      <c r="C166" s="84" t="s">
        <v>1017</v>
      </c>
      <c r="D166" s="230">
        <v>6.3</v>
      </c>
      <c r="E166" s="229" t="s">
        <v>785</v>
      </c>
      <c r="F166" s="229">
        <v>6.3</v>
      </c>
      <c r="G166" s="229"/>
      <c r="H166" s="228"/>
      <c r="I166" s="229" t="str">
        <f t="shared" si="75"/>
        <v>6,3+6,3</v>
      </c>
      <c r="J166" s="895">
        <v>5.88</v>
      </c>
      <c r="K166" s="23">
        <v>0</v>
      </c>
      <c r="L166" s="90">
        <v>0</v>
      </c>
      <c r="M166" s="23">
        <f t="shared" si="85"/>
        <v>5.88</v>
      </c>
      <c r="N166" s="172">
        <v>0</v>
      </c>
      <c r="O166" s="893"/>
      <c r="P166" s="893">
        <f>MIN(D166:F166)*1.05</f>
        <v>6.6150000000000002</v>
      </c>
      <c r="Q166" s="23">
        <f t="shared" si="87"/>
        <v>0.73500000000000032</v>
      </c>
      <c r="R166" s="23">
        <f t="shared" si="82"/>
        <v>0.73500000000000032</v>
      </c>
      <c r="S166" s="768" t="str">
        <f t="shared" si="72"/>
        <v/>
      </c>
      <c r="T166" s="257" t="str">
        <f t="shared" si="83"/>
        <v/>
      </c>
      <c r="U166" s="768">
        <f t="shared" si="88"/>
        <v>88.888888888888886</v>
      </c>
      <c r="V166" s="1197">
        <v>0.4</v>
      </c>
      <c r="W166" s="768" t="s">
        <v>3088</v>
      </c>
      <c r="X166" s="929"/>
      <c r="Y166" s="84">
        <v>121</v>
      </c>
      <c r="Z166" s="1338">
        <v>11</v>
      </c>
      <c r="AA166" s="1337" t="s">
        <v>1017</v>
      </c>
      <c r="AB166" s="230">
        <f t="shared" si="76"/>
        <v>6.3</v>
      </c>
      <c r="AC166" s="1315" t="str">
        <f t="shared" si="77"/>
        <v>+</v>
      </c>
      <c r="AD166" s="1315">
        <f t="shared" si="78"/>
        <v>6.3</v>
      </c>
      <c r="AE166" s="1315"/>
      <c r="AF166" s="1316"/>
      <c r="AG166" s="1298" t="str">
        <f t="shared" si="79"/>
        <v>6,3+6,3</v>
      </c>
      <c r="AH166" s="1347">
        <f>'Зона КиЭс  '!L101</f>
        <v>0</v>
      </c>
      <c r="AI166" s="1347">
        <f t="shared" si="73"/>
        <v>5.88</v>
      </c>
      <c r="AJ166" s="1304">
        <f t="shared" si="80"/>
        <v>0</v>
      </c>
      <c r="AK166" s="1298">
        <f t="shared" si="81"/>
        <v>0</v>
      </c>
      <c r="AL166" s="1304">
        <f t="shared" si="89"/>
        <v>5.88</v>
      </c>
      <c r="AM166" s="1298">
        <v>0</v>
      </c>
      <c r="AN166" s="893">
        <f t="shared" si="90"/>
        <v>6.6150000000000002</v>
      </c>
      <c r="AO166" s="1347">
        <f t="shared" si="91"/>
        <v>0.73500000000000032</v>
      </c>
      <c r="AP166" s="1347">
        <f t="shared" si="93"/>
        <v>0.73500000000000032</v>
      </c>
      <c r="AQ166" s="221" t="str">
        <f t="shared" si="74"/>
        <v/>
      </c>
      <c r="AR166" s="1298" t="str">
        <f t="shared" si="84"/>
        <v/>
      </c>
      <c r="AS166" s="952">
        <f t="shared" si="92"/>
        <v>88.888888888888886</v>
      </c>
      <c r="AT166" s="954" t="s">
        <v>757</v>
      </c>
      <c r="AU166" s="1113">
        <v>1977</v>
      </c>
      <c r="AV166" s="1119" t="s">
        <v>3286</v>
      </c>
      <c r="AW166" s="1121">
        <v>56.885961433885598</v>
      </c>
      <c r="AX166" s="1121">
        <v>37.382196841384498</v>
      </c>
    </row>
    <row r="167" spans="1:50" ht="20.100000000000001" customHeight="1" x14ac:dyDescent="0.25">
      <c r="A167" s="84">
        <v>122</v>
      </c>
      <c r="B167" s="84">
        <v>12</v>
      </c>
      <c r="C167" s="84" t="s">
        <v>1018</v>
      </c>
      <c r="D167" s="230">
        <v>4</v>
      </c>
      <c r="E167" s="229" t="s">
        <v>785</v>
      </c>
      <c r="F167" s="229">
        <v>4</v>
      </c>
      <c r="G167" s="229"/>
      <c r="H167" s="228"/>
      <c r="I167" s="229" t="str">
        <f t="shared" si="75"/>
        <v>4+4</v>
      </c>
      <c r="J167" s="895">
        <v>3.46</v>
      </c>
      <c r="K167" s="23">
        <v>0</v>
      </c>
      <c r="L167" s="90">
        <v>0</v>
      </c>
      <c r="M167" s="23">
        <f t="shared" si="85"/>
        <v>3.46</v>
      </c>
      <c r="N167" s="172">
        <v>0</v>
      </c>
      <c r="O167" s="893"/>
      <c r="P167" s="893">
        <f t="shared" si="86"/>
        <v>4.2</v>
      </c>
      <c r="Q167" s="23">
        <f t="shared" si="87"/>
        <v>0.74000000000000021</v>
      </c>
      <c r="R167" s="23">
        <f t="shared" si="82"/>
        <v>0.74000000000000021</v>
      </c>
      <c r="S167" s="768" t="str">
        <f t="shared" si="72"/>
        <v/>
      </c>
      <c r="T167" s="257" t="str">
        <f t="shared" si="83"/>
        <v/>
      </c>
      <c r="U167" s="768">
        <f t="shared" si="88"/>
        <v>82.38095238095238</v>
      </c>
      <c r="V167" s="1196" t="s">
        <v>3477</v>
      </c>
      <c r="W167" s="768" t="s">
        <v>3478</v>
      </c>
      <c r="X167" s="929"/>
      <c r="Y167" s="84">
        <v>122</v>
      </c>
      <c r="Z167" s="1338">
        <v>12</v>
      </c>
      <c r="AA167" s="1337" t="s">
        <v>1018</v>
      </c>
      <c r="AB167" s="230">
        <f t="shared" si="76"/>
        <v>4</v>
      </c>
      <c r="AC167" s="1315" t="str">
        <f t="shared" si="77"/>
        <v>+</v>
      </c>
      <c r="AD167" s="1315">
        <f t="shared" si="78"/>
        <v>4</v>
      </c>
      <c r="AE167" s="1315"/>
      <c r="AF167" s="1316"/>
      <c r="AG167" s="1298" t="str">
        <f t="shared" si="79"/>
        <v>4+4</v>
      </c>
      <c r="AH167" s="1347">
        <f>'Зона КиЭс  '!L106</f>
        <v>3.7499999999999999E-2</v>
      </c>
      <c r="AI167" s="1347">
        <f t="shared" si="73"/>
        <v>3.4975000000000001</v>
      </c>
      <c r="AJ167" s="1304">
        <f t="shared" si="80"/>
        <v>0</v>
      </c>
      <c r="AK167" s="1298">
        <f t="shared" si="81"/>
        <v>0</v>
      </c>
      <c r="AL167" s="1304">
        <f t="shared" si="89"/>
        <v>3.4975000000000001</v>
      </c>
      <c r="AM167" s="1298">
        <v>0</v>
      </c>
      <c r="AN167" s="893">
        <f t="shared" si="90"/>
        <v>4.2</v>
      </c>
      <c r="AO167" s="1347">
        <f t="shared" si="91"/>
        <v>0.70250000000000012</v>
      </c>
      <c r="AP167" s="1347">
        <f t="shared" si="93"/>
        <v>0.70250000000000012</v>
      </c>
      <c r="AQ167" s="221" t="str">
        <f t="shared" si="74"/>
        <v/>
      </c>
      <c r="AR167" s="1298" t="str">
        <f t="shared" si="84"/>
        <v/>
      </c>
      <c r="AS167" s="952">
        <f t="shared" si="92"/>
        <v>83.273809523809518</v>
      </c>
      <c r="AT167" s="954" t="s">
        <v>757</v>
      </c>
      <c r="AU167" s="1113">
        <v>1980</v>
      </c>
      <c r="AV167" s="1119" t="s">
        <v>3286</v>
      </c>
      <c r="AW167" s="1121">
        <v>56.888055490109899</v>
      </c>
      <c r="AX167" s="1121">
        <v>37.371419727633999</v>
      </c>
    </row>
    <row r="168" spans="1:50" ht="20.100000000000001" customHeight="1" x14ac:dyDescent="0.25">
      <c r="A168" s="84">
        <v>123</v>
      </c>
      <c r="B168" s="84">
        <v>13</v>
      </c>
      <c r="C168" s="84" t="s">
        <v>2683</v>
      </c>
      <c r="D168" s="230">
        <v>2.5</v>
      </c>
      <c r="E168" s="229" t="s">
        <v>785</v>
      </c>
      <c r="F168" s="229">
        <v>1.8</v>
      </c>
      <c r="G168" s="229"/>
      <c r="H168" s="228"/>
      <c r="I168" s="229" t="str">
        <f t="shared" si="75"/>
        <v>2,5+1,8</v>
      </c>
      <c r="J168" s="895">
        <v>0.67</v>
      </c>
      <c r="K168" s="23">
        <v>0</v>
      </c>
      <c r="L168" s="90">
        <v>0</v>
      </c>
      <c r="M168" s="23">
        <f t="shared" si="85"/>
        <v>0.67</v>
      </c>
      <c r="N168" s="172">
        <v>0</v>
      </c>
      <c r="O168" s="893"/>
      <c r="P168" s="893">
        <f t="shared" si="86"/>
        <v>1.8900000000000001</v>
      </c>
      <c r="Q168" s="23">
        <f t="shared" si="87"/>
        <v>1.2200000000000002</v>
      </c>
      <c r="R168" s="23">
        <f t="shared" si="82"/>
        <v>1.2200000000000002</v>
      </c>
      <c r="S168" s="768" t="str">
        <f t="shared" si="72"/>
        <v/>
      </c>
      <c r="T168" s="257" t="str">
        <f t="shared" si="83"/>
        <v/>
      </c>
      <c r="U168" s="768">
        <f t="shared" si="88"/>
        <v>35.449735449735449</v>
      </c>
      <c r="V168" s="1197">
        <v>0.26</v>
      </c>
      <c r="W168" s="768" t="s">
        <v>3088</v>
      </c>
      <c r="X168" s="929"/>
      <c r="Y168" s="84">
        <v>123</v>
      </c>
      <c r="Z168" s="1338">
        <v>13</v>
      </c>
      <c r="AA168" s="1337" t="s">
        <v>2683</v>
      </c>
      <c r="AB168" s="230">
        <f t="shared" si="76"/>
        <v>2.5</v>
      </c>
      <c r="AC168" s="1315" t="str">
        <f t="shared" si="77"/>
        <v>+</v>
      </c>
      <c r="AD168" s="1315">
        <f t="shared" si="78"/>
        <v>1.8</v>
      </c>
      <c r="AE168" s="1315"/>
      <c r="AF168" s="1316"/>
      <c r="AG168" s="1298" t="str">
        <f t="shared" si="79"/>
        <v>2,5+1,8</v>
      </c>
      <c r="AH168" s="1347">
        <f>'Зона КиЭс  '!L114</f>
        <v>0.43999999999999995</v>
      </c>
      <c r="AI168" s="1347">
        <f t="shared" si="73"/>
        <v>1.1099999999999999</v>
      </c>
      <c r="AJ168" s="1304">
        <f t="shared" si="80"/>
        <v>0</v>
      </c>
      <c r="AK168" s="1298">
        <f t="shared" si="81"/>
        <v>0</v>
      </c>
      <c r="AL168" s="1304">
        <f t="shared" si="89"/>
        <v>1.1099999999999999</v>
      </c>
      <c r="AM168" s="1298">
        <v>0</v>
      </c>
      <c r="AN168" s="893">
        <f t="shared" si="90"/>
        <v>1.8900000000000001</v>
      </c>
      <c r="AO168" s="1347">
        <f t="shared" si="91"/>
        <v>0.78000000000000025</v>
      </c>
      <c r="AP168" s="1347">
        <f t="shared" si="93"/>
        <v>0.78000000000000025</v>
      </c>
      <c r="AQ168" s="221" t="str">
        <f t="shared" si="74"/>
        <v/>
      </c>
      <c r="AR168" s="1298" t="str">
        <f t="shared" si="84"/>
        <v/>
      </c>
      <c r="AS168" s="952">
        <f t="shared" si="92"/>
        <v>58.73015873015872</v>
      </c>
      <c r="AT168" s="954" t="s">
        <v>757</v>
      </c>
      <c r="AU168" s="1113">
        <v>1977</v>
      </c>
      <c r="AV168" s="1119" t="s">
        <v>3286</v>
      </c>
      <c r="AW168" s="1121">
        <v>56.911075359962503</v>
      </c>
      <c r="AX168" s="1121">
        <v>38.091555987739802</v>
      </c>
    </row>
    <row r="169" spans="1:50" ht="20.100000000000001" customHeight="1" x14ac:dyDescent="0.25">
      <c r="A169" s="84">
        <v>124</v>
      </c>
      <c r="B169" s="84">
        <v>14</v>
      </c>
      <c r="C169" s="84" t="s">
        <v>2684</v>
      </c>
      <c r="D169" s="230">
        <v>1.6</v>
      </c>
      <c r="E169" s="229" t="s">
        <v>785</v>
      </c>
      <c r="F169" s="229">
        <v>1.6</v>
      </c>
      <c r="G169" s="229"/>
      <c r="H169" s="228"/>
      <c r="I169" s="229" t="str">
        <f t="shared" si="75"/>
        <v>1,6+1,6</v>
      </c>
      <c r="J169" s="895">
        <v>1.5</v>
      </c>
      <c r="K169" s="23">
        <v>0</v>
      </c>
      <c r="L169" s="90">
        <v>0</v>
      </c>
      <c r="M169" s="23">
        <f t="shared" si="85"/>
        <v>1.5</v>
      </c>
      <c r="N169" s="172">
        <v>0</v>
      </c>
      <c r="O169" s="893"/>
      <c r="P169" s="893">
        <f t="shared" si="86"/>
        <v>1.6800000000000002</v>
      </c>
      <c r="Q169" s="23">
        <f t="shared" si="87"/>
        <v>0.18000000000000016</v>
      </c>
      <c r="R169" s="23">
        <f t="shared" si="82"/>
        <v>0.18000000000000016</v>
      </c>
      <c r="S169" s="768" t="str">
        <f t="shared" si="72"/>
        <v/>
      </c>
      <c r="T169" s="257" t="str">
        <f t="shared" si="83"/>
        <v/>
      </c>
      <c r="U169" s="768">
        <f t="shared" si="88"/>
        <v>89.285714285714278</v>
      </c>
      <c r="V169" s="1196" t="s">
        <v>3477</v>
      </c>
      <c r="W169" s="768" t="s">
        <v>3478</v>
      </c>
      <c r="X169" s="929"/>
      <c r="Y169" s="84">
        <v>124</v>
      </c>
      <c r="Z169" s="1338">
        <v>14</v>
      </c>
      <c r="AA169" s="1337" t="s">
        <v>2684</v>
      </c>
      <c r="AB169" s="230">
        <f t="shared" si="76"/>
        <v>1.6</v>
      </c>
      <c r="AC169" s="1315" t="str">
        <f t="shared" si="77"/>
        <v>+</v>
      </c>
      <c r="AD169" s="1315">
        <f t="shared" si="78"/>
        <v>1.6</v>
      </c>
      <c r="AE169" s="1315"/>
      <c r="AF169" s="1316"/>
      <c r="AG169" s="1298" t="str">
        <f t="shared" si="79"/>
        <v>1,6+1,6</v>
      </c>
      <c r="AH169" s="1347">
        <f>'Зона КиЭс  '!L119</f>
        <v>1.2262499999999998</v>
      </c>
      <c r="AI169" s="1347">
        <f t="shared" si="73"/>
        <v>2.7262499999999998</v>
      </c>
      <c r="AJ169" s="1304">
        <f t="shared" si="80"/>
        <v>0</v>
      </c>
      <c r="AK169" s="1298">
        <f t="shared" si="81"/>
        <v>0</v>
      </c>
      <c r="AL169" s="1304">
        <f t="shared" si="89"/>
        <v>2.7262499999999998</v>
      </c>
      <c r="AM169" s="1298">
        <v>0</v>
      </c>
      <c r="AN169" s="893">
        <f t="shared" si="90"/>
        <v>1.6800000000000002</v>
      </c>
      <c r="AO169" s="1347">
        <f t="shared" si="91"/>
        <v>-1.0462499999999997</v>
      </c>
      <c r="AP169" s="1347">
        <f t="shared" si="93"/>
        <v>-1.0462499999999997</v>
      </c>
      <c r="AQ169" s="221" t="str">
        <f>AR169</f>
        <v>закрыт</v>
      </c>
      <c r="AR169" s="1298" t="str">
        <f t="shared" si="84"/>
        <v>закрыт</v>
      </c>
      <c r="AS169" s="952">
        <f t="shared" si="92"/>
        <v>162.27678571428569</v>
      </c>
      <c r="AT169" s="954" t="s">
        <v>757</v>
      </c>
      <c r="AU169" s="1113">
        <v>1962</v>
      </c>
      <c r="AV169" s="1119" t="s">
        <v>3286</v>
      </c>
      <c r="AW169" s="1121">
        <v>57.143513457773402</v>
      </c>
      <c r="AX169" s="1121">
        <v>37.344154651262798</v>
      </c>
    </row>
    <row r="170" spans="1:50" ht="20.100000000000001" customHeight="1" x14ac:dyDescent="0.25">
      <c r="A170" s="84">
        <v>125</v>
      </c>
      <c r="B170" s="84">
        <v>15</v>
      </c>
      <c r="C170" s="84" t="s">
        <v>2685</v>
      </c>
      <c r="D170" s="230">
        <v>4</v>
      </c>
      <c r="E170" s="229" t="s">
        <v>785</v>
      </c>
      <c r="F170" s="229">
        <v>2.5</v>
      </c>
      <c r="G170" s="229"/>
      <c r="H170" s="228"/>
      <c r="I170" s="229" t="str">
        <f t="shared" si="75"/>
        <v>4+2,5</v>
      </c>
      <c r="J170" s="895">
        <v>1.52</v>
      </c>
      <c r="K170" s="23">
        <v>0</v>
      </c>
      <c r="L170" s="90">
        <v>0</v>
      </c>
      <c r="M170" s="23">
        <f t="shared" si="85"/>
        <v>1.52</v>
      </c>
      <c r="N170" s="172">
        <v>0</v>
      </c>
      <c r="O170" s="893"/>
      <c r="P170" s="893">
        <f t="shared" si="86"/>
        <v>2.625</v>
      </c>
      <c r="Q170" s="23">
        <f t="shared" si="87"/>
        <v>1.105</v>
      </c>
      <c r="R170" s="23">
        <f t="shared" si="82"/>
        <v>1.105</v>
      </c>
      <c r="S170" s="768" t="str">
        <f t="shared" si="72"/>
        <v/>
      </c>
      <c r="T170" s="257" t="str">
        <f t="shared" si="83"/>
        <v/>
      </c>
      <c r="U170" s="768">
        <f t="shared" si="88"/>
        <v>57.904761904761905</v>
      </c>
      <c r="V170" s="1197">
        <v>0.36</v>
      </c>
      <c r="W170" s="768" t="s">
        <v>3088</v>
      </c>
      <c r="X170" s="929"/>
      <c r="Y170" s="84">
        <v>125</v>
      </c>
      <c r="Z170" s="1338">
        <v>15</v>
      </c>
      <c r="AA170" s="1337" t="s">
        <v>2685</v>
      </c>
      <c r="AB170" s="230">
        <f t="shared" si="76"/>
        <v>4</v>
      </c>
      <c r="AC170" s="1315" t="str">
        <f t="shared" si="77"/>
        <v>+</v>
      </c>
      <c r="AD170" s="1315">
        <f t="shared" si="78"/>
        <v>2.5</v>
      </c>
      <c r="AE170" s="1315"/>
      <c r="AF170" s="1316"/>
      <c r="AG170" s="1298" t="str">
        <f t="shared" si="79"/>
        <v>4+2,5</v>
      </c>
      <c r="AH170" s="1347">
        <f>'Зона КиЭс  '!L126</f>
        <v>1.1774999999999998</v>
      </c>
      <c r="AI170" s="1347">
        <f t="shared" si="73"/>
        <v>2.6974999999999998</v>
      </c>
      <c r="AJ170" s="1304">
        <f t="shared" si="80"/>
        <v>0</v>
      </c>
      <c r="AK170" s="1298">
        <f t="shared" si="81"/>
        <v>0</v>
      </c>
      <c r="AL170" s="1304">
        <f t="shared" si="89"/>
        <v>2.6974999999999998</v>
      </c>
      <c r="AM170" s="1298">
        <v>0</v>
      </c>
      <c r="AN170" s="893">
        <f t="shared" si="90"/>
        <v>2.625</v>
      </c>
      <c r="AO170" s="1347">
        <f t="shared" si="91"/>
        <v>-7.2499999999999787E-2</v>
      </c>
      <c r="AP170" s="1347">
        <f t="shared" si="93"/>
        <v>-7.2499999999999787E-2</v>
      </c>
      <c r="AQ170" s="221" t="str">
        <f t="shared" si="74"/>
        <v>закрыт</v>
      </c>
      <c r="AR170" s="1298" t="str">
        <f t="shared" si="84"/>
        <v>закрыт</v>
      </c>
      <c r="AS170" s="952">
        <f t="shared" si="92"/>
        <v>102.76190476190476</v>
      </c>
      <c r="AT170" s="954" t="s">
        <v>757</v>
      </c>
      <c r="AU170" s="1113">
        <v>1976</v>
      </c>
      <c r="AV170" s="1119" t="s">
        <v>3286</v>
      </c>
      <c r="AW170" s="1121">
        <v>57.040704268934398</v>
      </c>
      <c r="AX170" s="1121">
        <v>37.980212651178803</v>
      </c>
    </row>
    <row r="171" spans="1:50" ht="20.100000000000001" customHeight="1" x14ac:dyDescent="0.25">
      <c r="A171" s="84">
        <v>126</v>
      </c>
      <c r="B171" s="84">
        <v>16</v>
      </c>
      <c r="C171" s="84" t="s">
        <v>1019</v>
      </c>
      <c r="D171" s="230">
        <v>2.5</v>
      </c>
      <c r="E171" s="229" t="s">
        <v>785</v>
      </c>
      <c r="F171" s="229">
        <v>2.5</v>
      </c>
      <c r="G171" s="229"/>
      <c r="H171" s="228"/>
      <c r="I171" s="229" t="str">
        <f t="shared" si="75"/>
        <v>2,5+2,5</v>
      </c>
      <c r="J171" s="895">
        <v>2.54</v>
      </c>
      <c r="K171" s="23">
        <v>0</v>
      </c>
      <c r="L171" s="90">
        <v>0</v>
      </c>
      <c r="M171" s="23">
        <f t="shared" si="85"/>
        <v>2.54</v>
      </c>
      <c r="N171" s="172">
        <v>0</v>
      </c>
      <c r="O171" s="893"/>
      <c r="P171" s="893">
        <f t="shared" si="86"/>
        <v>2.625</v>
      </c>
      <c r="Q171" s="23">
        <f t="shared" si="87"/>
        <v>8.4999999999999964E-2</v>
      </c>
      <c r="R171" s="23">
        <f t="shared" si="82"/>
        <v>8.4999999999999964E-2</v>
      </c>
      <c r="S171" s="768" t="str">
        <f t="shared" si="72"/>
        <v/>
      </c>
      <c r="T171" s="257" t="str">
        <f t="shared" si="83"/>
        <v/>
      </c>
      <c r="U171" s="768">
        <f t="shared" si="88"/>
        <v>96.761904761904759</v>
      </c>
      <c r="V171" s="1197">
        <v>0.27</v>
      </c>
      <c r="W171" s="768" t="s">
        <v>3088</v>
      </c>
      <c r="X171" s="929"/>
      <c r="Y171" s="84">
        <v>126</v>
      </c>
      <c r="Z171" s="1338">
        <v>16</v>
      </c>
      <c r="AA171" s="1337" t="s">
        <v>1019</v>
      </c>
      <c r="AB171" s="230">
        <f t="shared" si="76"/>
        <v>2.5</v>
      </c>
      <c r="AC171" s="1315" t="str">
        <f t="shared" si="77"/>
        <v>+</v>
      </c>
      <c r="AD171" s="1315">
        <f t="shared" si="78"/>
        <v>2.5</v>
      </c>
      <c r="AE171" s="1315"/>
      <c r="AF171" s="1316"/>
      <c r="AG171" s="1298" t="str">
        <f t="shared" si="79"/>
        <v>2,5+2,5</v>
      </c>
      <c r="AH171" s="1347">
        <f>'Зона КиЭс  '!L139</f>
        <v>1.1612499999999999</v>
      </c>
      <c r="AI171" s="1347">
        <f t="shared" si="73"/>
        <v>3.7012499999999999</v>
      </c>
      <c r="AJ171" s="1304">
        <f t="shared" si="80"/>
        <v>0</v>
      </c>
      <c r="AK171" s="1298">
        <f t="shared" si="81"/>
        <v>0</v>
      </c>
      <c r="AL171" s="1304">
        <f t="shared" si="89"/>
        <v>3.7012499999999999</v>
      </c>
      <c r="AM171" s="1298">
        <v>0</v>
      </c>
      <c r="AN171" s="893">
        <f t="shared" si="90"/>
        <v>2.625</v>
      </c>
      <c r="AO171" s="1347">
        <f t="shared" si="91"/>
        <v>-1.0762499999999999</v>
      </c>
      <c r="AP171" s="1347">
        <f t="shared" si="93"/>
        <v>-1.0762499999999999</v>
      </c>
      <c r="AQ171" s="221" t="str">
        <f t="shared" si="74"/>
        <v>закрыт</v>
      </c>
      <c r="AR171" s="1298" t="str">
        <f t="shared" si="84"/>
        <v>закрыт</v>
      </c>
      <c r="AS171" s="952">
        <f t="shared" si="92"/>
        <v>141</v>
      </c>
      <c r="AT171" s="954" t="s">
        <v>757</v>
      </c>
      <c r="AU171" s="1113">
        <v>1983</v>
      </c>
      <c r="AV171" s="1119" t="s">
        <v>3286</v>
      </c>
      <c r="AW171" s="1121">
        <v>57.113641995156897</v>
      </c>
      <c r="AX171" s="1121">
        <v>37.869835747962298</v>
      </c>
    </row>
    <row r="172" spans="1:50" ht="20.100000000000001" customHeight="1" x14ac:dyDescent="0.25">
      <c r="A172" s="84">
        <v>127</v>
      </c>
      <c r="B172" s="84">
        <v>17</v>
      </c>
      <c r="C172" s="84" t="s">
        <v>1020</v>
      </c>
      <c r="D172" s="230">
        <v>2.5</v>
      </c>
      <c r="E172" s="229" t="s">
        <v>785</v>
      </c>
      <c r="F172" s="229">
        <v>2.5</v>
      </c>
      <c r="G172" s="229"/>
      <c r="H172" s="228"/>
      <c r="I172" s="229" t="str">
        <f t="shared" si="75"/>
        <v>2,5+2,5</v>
      </c>
      <c r="J172" s="895">
        <v>0.26</v>
      </c>
      <c r="K172" s="23">
        <v>0</v>
      </c>
      <c r="L172" s="90">
        <v>0</v>
      </c>
      <c r="M172" s="23">
        <f t="shared" si="85"/>
        <v>0.26</v>
      </c>
      <c r="N172" s="172">
        <v>0</v>
      </c>
      <c r="O172" s="893"/>
      <c r="P172" s="893">
        <f t="shared" si="86"/>
        <v>2.625</v>
      </c>
      <c r="Q172" s="23">
        <f t="shared" si="87"/>
        <v>2.3650000000000002</v>
      </c>
      <c r="R172" s="23">
        <f t="shared" si="82"/>
        <v>2.3650000000000002</v>
      </c>
      <c r="S172" s="768" t="str">
        <f t="shared" si="72"/>
        <v/>
      </c>
      <c r="T172" s="257" t="str">
        <f t="shared" si="83"/>
        <v/>
      </c>
      <c r="U172" s="768">
        <f t="shared" si="88"/>
        <v>9.9047619047619051</v>
      </c>
      <c r="V172" s="1197">
        <v>0.74</v>
      </c>
      <c r="W172" s="768" t="s">
        <v>3088</v>
      </c>
      <c r="X172" s="929"/>
      <c r="Y172" s="84">
        <v>127</v>
      </c>
      <c r="Z172" s="1338">
        <v>17</v>
      </c>
      <c r="AA172" s="1337" t="s">
        <v>1020</v>
      </c>
      <c r="AB172" s="230">
        <f t="shared" si="76"/>
        <v>2.5</v>
      </c>
      <c r="AC172" s="1315" t="str">
        <f t="shared" si="77"/>
        <v>+</v>
      </c>
      <c r="AD172" s="1315">
        <f t="shared" si="78"/>
        <v>2.5</v>
      </c>
      <c r="AE172" s="1315"/>
      <c r="AF172" s="1316"/>
      <c r="AG172" s="1298" t="str">
        <f t="shared" si="79"/>
        <v>2,5+2,5</v>
      </c>
      <c r="AH172" s="1347">
        <f>'Зона КиЭс  '!L141</f>
        <v>0</v>
      </c>
      <c r="AI172" s="1347">
        <f t="shared" si="73"/>
        <v>0.26</v>
      </c>
      <c r="AJ172" s="1304">
        <f t="shared" si="80"/>
        <v>0</v>
      </c>
      <c r="AK172" s="1298">
        <f t="shared" si="81"/>
        <v>0</v>
      </c>
      <c r="AL172" s="1304">
        <f t="shared" si="89"/>
        <v>0.26</v>
      </c>
      <c r="AM172" s="1298">
        <v>0</v>
      </c>
      <c r="AN172" s="893">
        <f t="shared" si="90"/>
        <v>2.625</v>
      </c>
      <c r="AO172" s="1347">
        <f t="shared" si="91"/>
        <v>2.3650000000000002</v>
      </c>
      <c r="AP172" s="1347">
        <f t="shared" si="93"/>
        <v>2.3650000000000002</v>
      </c>
      <c r="AQ172" s="1296" t="str">
        <f t="shared" si="74"/>
        <v/>
      </c>
      <c r="AR172" s="1298" t="str">
        <f t="shared" si="84"/>
        <v/>
      </c>
      <c r="AS172" s="952">
        <f t="shared" si="92"/>
        <v>9.9047619047619051</v>
      </c>
      <c r="AT172" s="954" t="s">
        <v>757</v>
      </c>
      <c r="AU172" s="1113">
        <v>1976</v>
      </c>
      <c r="AV172" s="1119" t="s">
        <v>3286</v>
      </c>
      <c r="AW172" s="1121">
        <v>57.424677325910203</v>
      </c>
      <c r="AX172" s="1121">
        <v>37.159661361161703</v>
      </c>
    </row>
    <row r="173" spans="1:50" ht="20.100000000000001" customHeight="1" x14ac:dyDescent="0.25">
      <c r="A173" s="84">
        <v>128</v>
      </c>
      <c r="B173" s="84">
        <v>18</v>
      </c>
      <c r="C173" s="84" t="s">
        <v>1021</v>
      </c>
      <c r="D173" s="230">
        <v>1.6</v>
      </c>
      <c r="E173" s="229" t="s">
        <v>785</v>
      </c>
      <c r="F173" s="229">
        <v>2.5</v>
      </c>
      <c r="G173" s="229"/>
      <c r="H173" s="228"/>
      <c r="I173" s="229" t="str">
        <f t="shared" si="75"/>
        <v>1,6+2,5</v>
      </c>
      <c r="J173" s="895">
        <v>0.43</v>
      </c>
      <c r="K173" s="23">
        <v>0</v>
      </c>
      <c r="L173" s="90">
        <v>0</v>
      </c>
      <c r="M173" s="23">
        <f t="shared" si="85"/>
        <v>0.43</v>
      </c>
      <c r="N173" s="172">
        <v>0</v>
      </c>
      <c r="O173" s="893"/>
      <c r="P173" s="893">
        <f t="shared" si="86"/>
        <v>1.6800000000000002</v>
      </c>
      <c r="Q173" s="23">
        <f t="shared" si="87"/>
        <v>1.2500000000000002</v>
      </c>
      <c r="R173" s="23">
        <f t="shared" si="82"/>
        <v>1.2500000000000002</v>
      </c>
      <c r="S173" s="768" t="str">
        <f t="shared" si="72"/>
        <v/>
      </c>
      <c r="T173" s="257" t="str">
        <f t="shared" si="83"/>
        <v/>
      </c>
      <c r="U173" s="768">
        <f t="shared" si="88"/>
        <v>25.595238095238091</v>
      </c>
      <c r="V173" s="1197">
        <v>0.34</v>
      </c>
      <c r="W173" s="768" t="s">
        <v>3088</v>
      </c>
      <c r="X173" s="929"/>
      <c r="Y173" s="84">
        <v>128</v>
      </c>
      <c r="Z173" s="1338">
        <v>18</v>
      </c>
      <c r="AA173" s="1337" t="s">
        <v>1021</v>
      </c>
      <c r="AB173" s="230">
        <f t="shared" si="76"/>
        <v>1.6</v>
      </c>
      <c r="AC173" s="1315" t="str">
        <f t="shared" si="77"/>
        <v>+</v>
      </c>
      <c r="AD173" s="1315">
        <f t="shared" si="78"/>
        <v>2.5</v>
      </c>
      <c r="AE173" s="1315"/>
      <c r="AF173" s="1316"/>
      <c r="AG173" s="1298" t="str">
        <f t="shared" si="79"/>
        <v>1,6+2,5</v>
      </c>
      <c r="AH173" s="1347">
        <f>'Зона КиЭс  '!L143</f>
        <v>0</v>
      </c>
      <c r="AI173" s="1347">
        <f t="shared" si="73"/>
        <v>0.43</v>
      </c>
      <c r="AJ173" s="1304">
        <f t="shared" si="80"/>
        <v>0</v>
      </c>
      <c r="AK173" s="1298">
        <f t="shared" si="81"/>
        <v>0</v>
      </c>
      <c r="AL173" s="1304">
        <f t="shared" si="89"/>
        <v>0.43</v>
      </c>
      <c r="AM173" s="1298">
        <v>0</v>
      </c>
      <c r="AN173" s="893">
        <f t="shared" si="90"/>
        <v>1.6800000000000002</v>
      </c>
      <c r="AO173" s="1347">
        <f t="shared" si="91"/>
        <v>1.2500000000000002</v>
      </c>
      <c r="AP173" s="1347">
        <f t="shared" si="93"/>
        <v>1.2500000000000002</v>
      </c>
      <c r="AQ173" s="1296" t="str">
        <f t="shared" si="74"/>
        <v/>
      </c>
      <c r="AR173" s="1298" t="str">
        <f t="shared" si="84"/>
        <v/>
      </c>
      <c r="AS173" s="952">
        <f t="shared" si="92"/>
        <v>25.595238095238091</v>
      </c>
      <c r="AT173" s="954" t="s">
        <v>757</v>
      </c>
      <c r="AU173" s="1113">
        <v>1976</v>
      </c>
      <c r="AV173" s="1119" t="s">
        <v>3286</v>
      </c>
      <c r="AW173" s="1121">
        <v>57.104954332715103</v>
      </c>
      <c r="AX173" s="1121">
        <v>37.133904858659001</v>
      </c>
    </row>
    <row r="174" spans="1:50" ht="20.100000000000001" customHeight="1" x14ac:dyDescent="0.25">
      <c r="A174" s="84">
        <v>129</v>
      </c>
      <c r="B174" s="84">
        <v>19</v>
      </c>
      <c r="C174" s="84" t="s">
        <v>1022</v>
      </c>
      <c r="D174" s="230">
        <v>2.5</v>
      </c>
      <c r="E174" s="229" t="s">
        <v>785</v>
      </c>
      <c r="F174" s="229">
        <v>2.5</v>
      </c>
      <c r="G174" s="229"/>
      <c r="H174" s="228"/>
      <c r="I174" s="229" t="str">
        <f t="shared" si="75"/>
        <v>2,5+2,5</v>
      </c>
      <c r="J174" s="895">
        <v>0.32</v>
      </c>
      <c r="K174" s="23">
        <v>0</v>
      </c>
      <c r="L174" s="90">
        <v>0</v>
      </c>
      <c r="M174" s="23">
        <f t="shared" si="85"/>
        <v>0.32</v>
      </c>
      <c r="N174" s="172">
        <v>0</v>
      </c>
      <c r="O174" s="893"/>
      <c r="P174" s="893">
        <f t="shared" si="86"/>
        <v>2.625</v>
      </c>
      <c r="Q174" s="23">
        <f t="shared" si="87"/>
        <v>2.3050000000000002</v>
      </c>
      <c r="R174" s="23">
        <f t="shared" si="82"/>
        <v>2.3050000000000002</v>
      </c>
      <c r="S174" s="768" t="str">
        <f t="shared" si="72"/>
        <v/>
      </c>
      <c r="T174" s="257" t="str">
        <f t="shared" si="83"/>
        <v/>
      </c>
      <c r="U174" s="768">
        <f t="shared" si="88"/>
        <v>12.19047619047619</v>
      </c>
      <c r="V174" s="1197">
        <v>0.61</v>
      </c>
      <c r="W174" s="768" t="s">
        <v>3088</v>
      </c>
      <c r="X174" s="929"/>
      <c r="Y174" s="84">
        <v>129</v>
      </c>
      <c r="Z174" s="1338">
        <v>19</v>
      </c>
      <c r="AA174" s="1337" t="s">
        <v>1022</v>
      </c>
      <c r="AB174" s="230">
        <f t="shared" si="76"/>
        <v>2.5</v>
      </c>
      <c r="AC174" s="1315" t="str">
        <f t="shared" si="77"/>
        <v>+</v>
      </c>
      <c r="AD174" s="1315">
        <f t="shared" si="78"/>
        <v>2.5</v>
      </c>
      <c r="AE174" s="1315"/>
      <c r="AF174" s="1316"/>
      <c r="AG174" s="1298" t="str">
        <f t="shared" si="79"/>
        <v>2,5+2,5</v>
      </c>
      <c r="AH174" s="1347">
        <f>'Зона КиЭс  '!L145</f>
        <v>0</v>
      </c>
      <c r="AI174" s="1347">
        <f t="shared" si="73"/>
        <v>0.32</v>
      </c>
      <c r="AJ174" s="1304">
        <f t="shared" si="80"/>
        <v>0</v>
      </c>
      <c r="AK174" s="1298">
        <f t="shared" si="81"/>
        <v>0</v>
      </c>
      <c r="AL174" s="1304">
        <f t="shared" si="89"/>
        <v>0.32</v>
      </c>
      <c r="AM174" s="1298">
        <v>0</v>
      </c>
      <c r="AN174" s="893">
        <f t="shared" si="90"/>
        <v>2.625</v>
      </c>
      <c r="AO174" s="1347">
        <f t="shared" si="91"/>
        <v>2.3050000000000002</v>
      </c>
      <c r="AP174" s="1347">
        <f t="shared" si="93"/>
        <v>2.3050000000000002</v>
      </c>
      <c r="AQ174" s="1296" t="str">
        <f t="shared" si="74"/>
        <v/>
      </c>
      <c r="AR174" s="1298" t="str">
        <f t="shared" si="84"/>
        <v/>
      </c>
      <c r="AS174" s="952">
        <f t="shared" si="92"/>
        <v>12.19047619047619</v>
      </c>
      <c r="AT174" s="954" t="s">
        <v>757</v>
      </c>
      <c r="AU174" s="1113">
        <v>1979</v>
      </c>
      <c r="AV174" s="1119" t="s">
        <v>3286</v>
      </c>
      <c r="AW174" s="1121">
        <v>57.010822911731402</v>
      </c>
      <c r="AX174" s="1121">
        <v>36.838749029188499</v>
      </c>
    </row>
    <row r="175" spans="1:50" ht="20.100000000000001" customHeight="1" x14ac:dyDescent="0.25">
      <c r="A175" s="84">
        <v>130</v>
      </c>
      <c r="B175" s="84">
        <v>20</v>
      </c>
      <c r="C175" s="84" t="s">
        <v>133</v>
      </c>
      <c r="D175" s="230">
        <v>1.6</v>
      </c>
      <c r="E175" s="229" t="s">
        <v>785</v>
      </c>
      <c r="F175" s="229">
        <v>1.6</v>
      </c>
      <c r="G175" s="229"/>
      <c r="H175" s="228"/>
      <c r="I175" s="229" t="str">
        <f t="shared" si="75"/>
        <v>1,6+1,6</v>
      </c>
      <c r="J175" s="895">
        <v>1.46</v>
      </c>
      <c r="K175" s="23">
        <v>0</v>
      </c>
      <c r="L175" s="90">
        <v>0</v>
      </c>
      <c r="M175" s="23">
        <f t="shared" si="85"/>
        <v>1.46</v>
      </c>
      <c r="N175" s="172">
        <v>0</v>
      </c>
      <c r="O175" s="893"/>
      <c r="P175" s="893">
        <f t="shared" si="86"/>
        <v>1.6800000000000002</v>
      </c>
      <c r="Q175" s="23">
        <f t="shared" si="87"/>
        <v>0.2200000000000002</v>
      </c>
      <c r="R175" s="23">
        <f t="shared" si="82"/>
        <v>0.2200000000000002</v>
      </c>
      <c r="S175" s="768" t="str">
        <f t="shared" si="72"/>
        <v/>
      </c>
      <c r="T175" s="257" t="str">
        <f t="shared" si="83"/>
        <v/>
      </c>
      <c r="U175" s="768">
        <f t="shared" si="88"/>
        <v>86.904761904761898</v>
      </c>
      <c r="V175" s="1197">
        <v>0.39</v>
      </c>
      <c r="W175" s="768" t="s">
        <v>3088</v>
      </c>
      <c r="X175" s="929"/>
      <c r="Y175" s="84">
        <v>130</v>
      </c>
      <c r="Z175" s="1338">
        <v>20</v>
      </c>
      <c r="AA175" s="1337" t="s">
        <v>133</v>
      </c>
      <c r="AB175" s="230">
        <f t="shared" si="76"/>
        <v>1.6</v>
      </c>
      <c r="AC175" s="1315" t="str">
        <f t="shared" si="77"/>
        <v>+</v>
      </c>
      <c r="AD175" s="1315">
        <f t="shared" si="78"/>
        <v>1.6</v>
      </c>
      <c r="AE175" s="1315"/>
      <c r="AF175" s="1316"/>
      <c r="AG175" s="1298" t="str">
        <f t="shared" si="79"/>
        <v>1,6+1,6</v>
      </c>
      <c r="AH175" s="1347">
        <f>'Зона КиЭс  '!L154</f>
        <v>0.37875000000000003</v>
      </c>
      <c r="AI175" s="1347">
        <f t="shared" si="73"/>
        <v>1.8387500000000001</v>
      </c>
      <c r="AJ175" s="1304">
        <f t="shared" si="80"/>
        <v>0</v>
      </c>
      <c r="AK175" s="1298">
        <f t="shared" si="81"/>
        <v>0</v>
      </c>
      <c r="AL175" s="1304">
        <f t="shared" si="89"/>
        <v>1.8387500000000001</v>
      </c>
      <c r="AM175" s="1298">
        <v>0</v>
      </c>
      <c r="AN175" s="893">
        <f t="shared" si="90"/>
        <v>1.6800000000000002</v>
      </c>
      <c r="AO175" s="1347">
        <f t="shared" si="91"/>
        <v>-0.15874999999999995</v>
      </c>
      <c r="AP175" s="1347">
        <f t="shared" si="93"/>
        <v>-0.15874999999999995</v>
      </c>
      <c r="AQ175" s="1296" t="str">
        <f>AR175</f>
        <v>закрыт</v>
      </c>
      <c r="AR175" s="1298" t="str">
        <f t="shared" si="84"/>
        <v>закрыт</v>
      </c>
      <c r="AS175" s="952">
        <f t="shared" si="92"/>
        <v>109.44940476190474</v>
      </c>
      <c r="AT175" s="954" t="s">
        <v>757</v>
      </c>
      <c r="AU175" s="1113">
        <v>1979</v>
      </c>
      <c r="AV175" s="1119" t="s">
        <v>3286</v>
      </c>
      <c r="AW175" s="1121">
        <v>57.270063332480298</v>
      </c>
      <c r="AX175" s="1121">
        <v>38.043739479595203</v>
      </c>
    </row>
    <row r="176" spans="1:50" ht="20.100000000000001" customHeight="1" x14ac:dyDescent="0.25">
      <c r="A176" s="84">
        <v>131</v>
      </c>
      <c r="B176" s="84">
        <v>21</v>
      </c>
      <c r="C176" s="84" t="s">
        <v>134</v>
      </c>
      <c r="D176" s="230">
        <v>4</v>
      </c>
      <c r="E176" s="229" t="s">
        <v>785</v>
      </c>
      <c r="F176" s="229">
        <v>4</v>
      </c>
      <c r="G176" s="229"/>
      <c r="H176" s="228"/>
      <c r="I176" s="229" t="str">
        <f t="shared" si="75"/>
        <v>4+4</v>
      </c>
      <c r="J176" s="895">
        <v>0.28000000000000003</v>
      </c>
      <c r="K176" s="23">
        <v>0</v>
      </c>
      <c r="L176" s="90">
        <v>0</v>
      </c>
      <c r="M176" s="23">
        <f t="shared" si="85"/>
        <v>0.28000000000000003</v>
      </c>
      <c r="N176" s="172">
        <v>0</v>
      </c>
      <c r="O176" s="893"/>
      <c r="P176" s="893">
        <f t="shared" si="86"/>
        <v>4.2</v>
      </c>
      <c r="Q176" s="23">
        <f t="shared" si="87"/>
        <v>3.92</v>
      </c>
      <c r="R176" s="23">
        <f t="shared" si="82"/>
        <v>3.92</v>
      </c>
      <c r="S176" s="768" t="str">
        <f t="shared" si="72"/>
        <v/>
      </c>
      <c r="T176" s="257" t="str">
        <f t="shared" si="83"/>
        <v/>
      </c>
      <c r="U176" s="768">
        <f t="shared" si="88"/>
        <v>6.666666666666667</v>
      </c>
      <c r="V176" s="1196" t="s">
        <v>3477</v>
      </c>
      <c r="W176" s="768" t="s">
        <v>3478</v>
      </c>
      <c r="X176" s="929"/>
      <c r="Y176" s="84">
        <v>131</v>
      </c>
      <c r="Z176" s="1338">
        <v>21</v>
      </c>
      <c r="AA176" s="1337" t="s">
        <v>134</v>
      </c>
      <c r="AB176" s="230">
        <f t="shared" si="76"/>
        <v>4</v>
      </c>
      <c r="AC176" s="1315" t="str">
        <f t="shared" si="77"/>
        <v>+</v>
      </c>
      <c r="AD176" s="1315">
        <f t="shared" si="78"/>
        <v>4</v>
      </c>
      <c r="AE176" s="1315"/>
      <c r="AF176" s="1316"/>
      <c r="AG176" s="1298" t="str">
        <f t="shared" si="79"/>
        <v>4+4</v>
      </c>
      <c r="AH176" s="1347">
        <f>'Зона КиЭс  '!L156</f>
        <v>0</v>
      </c>
      <c r="AI176" s="1347">
        <f t="shared" si="73"/>
        <v>0.28000000000000003</v>
      </c>
      <c r="AJ176" s="1304">
        <f t="shared" si="80"/>
        <v>0</v>
      </c>
      <c r="AK176" s="1298">
        <f t="shared" si="81"/>
        <v>0</v>
      </c>
      <c r="AL176" s="1304">
        <f t="shared" si="89"/>
        <v>0.28000000000000003</v>
      </c>
      <c r="AM176" s="1298">
        <v>0</v>
      </c>
      <c r="AN176" s="893">
        <f t="shared" si="90"/>
        <v>4.2</v>
      </c>
      <c r="AO176" s="1347">
        <f t="shared" si="91"/>
        <v>3.92</v>
      </c>
      <c r="AP176" s="1347">
        <f t="shared" si="93"/>
        <v>3.92</v>
      </c>
      <c r="AQ176" s="1296" t="str">
        <f t="shared" si="74"/>
        <v/>
      </c>
      <c r="AR176" s="1298" t="str">
        <f t="shared" si="84"/>
        <v/>
      </c>
      <c r="AS176" s="952">
        <f t="shared" si="92"/>
        <v>6.666666666666667</v>
      </c>
      <c r="AT176" s="954" t="s">
        <v>757</v>
      </c>
      <c r="AU176" s="1113">
        <v>1982</v>
      </c>
      <c r="AV176" s="1119" t="s">
        <v>3286</v>
      </c>
      <c r="AW176" s="1121">
        <v>57.462203326509403</v>
      </c>
      <c r="AX176" s="1121">
        <v>37.240774155752497</v>
      </c>
    </row>
    <row r="177" spans="1:50" ht="20.100000000000001" customHeight="1" x14ac:dyDescent="0.25">
      <c r="A177" s="84">
        <v>132</v>
      </c>
      <c r="B177" s="84">
        <v>22</v>
      </c>
      <c r="C177" s="84" t="s">
        <v>135</v>
      </c>
      <c r="D177" s="230">
        <v>2.5</v>
      </c>
      <c r="E177" s="229" t="s">
        <v>785</v>
      </c>
      <c r="F177" s="229">
        <v>2.5</v>
      </c>
      <c r="G177" s="229"/>
      <c r="H177" s="228"/>
      <c r="I177" s="229" t="str">
        <f t="shared" si="75"/>
        <v>2,5+2,5</v>
      </c>
      <c r="J177" s="895">
        <v>0.47</v>
      </c>
      <c r="K177" s="23">
        <v>0</v>
      </c>
      <c r="L177" s="90">
        <v>0</v>
      </c>
      <c r="M177" s="23">
        <f t="shared" si="85"/>
        <v>0.47</v>
      </c>
      <c r="N177" s="172">
        <v>0</v>
      </c>
      <c r="O177" s="893"/>
      <c r="P177" s="893">
        <f t="shared" si="86"/>
        <v>2.625</v>
      </c>
      <c r="Q177" s="23">
        <f t="shared" si="87"/>
        <v>2.1550000000000002</v>
      </c>
      <c r="R177" s="23">
        <f t="shared" si="82"/>
        <v>2.1550000000000002</v>
      </c>
      <c r="S177" s="768" t="str">
        <f t="shared" si="72"/>
        <v/>
      </c>
      <c r="T177" s="257" t="str">
        <f t="shared" si="83"/>
        <v/>
      </c>
      <c r="U177" s="768">
        <f t="shared" si="88"/>
        <v>17.904761904761905</v>
      </c>
      <c r="V177" s="1197">
        <v>0.67</v>
      </c>
      <c r="W177" s="768" t="s">
        <v>3088</v>
      </c>
      <c r="X177" s="929"/>
      <c r="Y177" s="84">
        <v>132</v>
      </c>
      <c r="Z177" s="1338">
        <v>22</v>
      </c>
      <c r="AA177" s="1337" t="s">
        <v>135</v>
      </c>
      <c r="AB177" s="230">
        <f t="shared" si="76"/>
        <v>2.5</v>
      </c>
      <c r="AC177" s="1315" t="str">
        <f t="shared" si="77"/>
        <v>+</v>
      </c>
      <c r="AD177" s="1315">
        <f t="shared" si="78"/>
        <v>2.5</v>
      </c>
      <c r="AE177" s="1315"/>
      <c r="AF177" s="1316"/>
      <c r="AG177" s="1298" t="str">
        <f t="shared" si="79"/>
        <v>2,5+2,5</v>
      </c>
      <c r="AH177" s="1347">
        <f>'Зона КиЭс  '!L158</f>
        <v>0</v>
      </c>
      <c r="AI177" s="1347">
        <f t="shared" si="73"/>
        <v>0.47</v>
      </c>
      <c r="AJ177" s="1304">
        <f t="shared" si="80"/>
        <v>0</v>
      </c>
      <c r="AK177" s="1298">
        <f t="shared" si="81"/>
        <v>0</v>
      </c>
      <c r="AL177" s="1304">
        <f t="shared" si="89"/>
        <v>0.47</v>
      </c>
      <c r="AM177" s="1298">
        <v>0</v>
      </c>
      <c r="AN177" s="893">
        <f t="shared" si="90"/>
        <v>2.625</v>
      </c>
      <c r="AO177" s="1347">
        <f t="shared" si="91"/>
        <v>2.1550000000000002</v>
      </c>
      <c r="AP177" s="1347">
        <f t="shared" si="93"/>
        <v>2.1550000000000002</v>
      </c>
      <c r="AQ177" s="1296" t="str">
        <f t="shared" si="74"/>
        <v/>
      </c>
      <c r="AR177" s="1298" t="str">
        <f t="shared" si="84"/>
        <v/>
      </c>
      <c r="AS177" s="952">
        <f t="shared" si="92"/>
        <v>17.904761904761905</v>
      </c>
      <c r="AT177" s="954" t="s">
        <v>757</v>
      </c>
      <c r="AU177" s="1113">
        <v>1977</v>
      </c>
      <c r="AV177" s="1119" t="s">
        <v>3286</v>
      </c>
      <c r="AW177" s="1121">
        <v>57.5999979455177</v>
      </c>
      <c r="AX177" s="1121">
        <v>37.4899907307936</v>
      </c>
    </row>
    <row r="178" spans="1:50" ht="20.100000000000001" customHeight="1" x14ac:dyDescent="0.25">
      <c r="A178" s="84">
        <v>133</v>
      </c>
      <c r="B178" s="84">
        <v>23</v>
      </c>
      <c r="C178" s="84" t="s">
        <v>136</v>
      </c>
      <c r="D178" s="230">
        <v>2.5</v>
      </c>
      <c r="E178" s="229" t="s">
        <v>785</v>
      </c>
      <c r="F178" s="229">
        <v>2.5</v>
      </c>
      <c r="G178" s="229"/>
      <c r="H178" s="228"/>
      <c r="I178" s="229" t="str">
        <f t="shared" si="75"/>
        <v>2,5+2,5</v>
      </c>
      <c r="J178" s="895">
        <v>0.79</v>
      </c>
      <c r="K178" s="23">
        <v>0</v>
      </c>
      <c r="L178" s="90">
        <v>0</v>
      </c>
      <c r="M178" s="23">
        <f t="shared" si="85"/>
        <v>0.79</v>
      </c>
      <c r="N178" s="172">
        <v>0</v>
      </c>
      <c r="O178" s="893"/>
      <c r="P178" s="893">
        <f t="shared" si="86"/>
        <v>2.625</v>
      </c>
      <c r="Q178" s="23">
        <f t="shared" si="87"/>
        <v>1.835</v>
      </c>
      <c r="R178" s="23">
        <f t="shared" si="82"/>
        <v>1.835</v>
      </c>
      <c r="S178" s="768" t="str">
        <f t="shared" si="72"/>
        <v/>
      </c>
      <c r="T178" s="257" t="str">
        <f t="shared" si="83"/>
        <v/>
      </c>
      <c r="U178" s="768">
        <f t="shared" si="88"/>
        <v>30.095238095238095</v>
      </c>
      <c r="V178" s="1197">
        <v>0.42</v>
      </c>
      <c r="W178" s="768" t="s">
        <v>3088</v>
      </c>
      <c r="X178" s="929"/>
      <c r="Y178" s="84">
        <v>133</v>
      </c>
      <c r="Z178" s="1338">
        <v>23</v>
      </c>
      <c r="AA178" s="1337" t="s">
        <v>136</v>
      </c>
      <c r="AB178" s="230">
        <f t="shared" si="76"/>
        <v>2.5</v>
      </c>
      <c r="AC178" s="1315" t="str">
        <f t="shared" si="77"/>
        <v>+</v>
      </c>
      <c r="AD178" s="1315">
        <f t="shared" si="78"/>
        <v>2.5</v>
      </c>
      <c r="AE178" s="1315"/>
      <c r="AF178" s="1316"/>
      <c r="AG178" s="1298" t="str">
        <f t="shared" si="79"/>
        <v>2,5+2,5</v>
      </c>
      <c r="AH178" s="1347">
        <f>'Зона КиЭс  '!L168</f>
        <v>0.5099999999999999</v>
      </c>
      <c r="AI178" s="1347">
        <f t="shared" si="73"/>
        <v>1.2999999999999998</v>
      </c>
      <c r="AJ178" s="1304">
        <f t="shared" si="80"/>
        <v>0</v>
      </c>
      <c r="AK178" s="1298">
        <f t="shared" si="81"/>
        <v>0</v>
      </c>
      <c r="AL178" s="1304">
        <f t="shared" si="89"/>
        <v>1.2999999999999998</v>
      </c>
      <c r="AM178" s="1298">
        <v>0</v>
      </c>
      <c r="AN178" s="893">
        <f t="shared" si="90"/>
        <v>2.625</v>
      </c>
      <c r="AO178" s="1347">
        <f t="shared" si="91"/>
        <v>1.3250000000000002</v>
      </c>
      <c r="AP178" s="1347">
        <f t="shared" si="93"/>
        <v>1.3250000000000002</v>
      </c>
      <c r="AQ178" s="1296" t="str">
        <f t="shared" si="74"/>
        <v/>
      </c>
      <c r="AR178" s="1298" t="str">
        <f t="shared" si="84"/>
        <v/>
      </c>
      <c r="AS178" s="952">
        <f t="shared" si="92"/>
        <v>49.523809523809511</v>
      </c>
      <c r="AT178" s="954" t="s">
        <v>757</v>
      </c>
      <c r="AU178" s="1113">
        <v>1976</v>
      </c>
      <c r="AV178" s="1119" t="s">
        <v>3286</v>
      </c>
      <c r="AW178" s="1121">
        <v>57.317433032703804</v>
      </c>
      <c r="AX178" s="1121">
        <v>37.754084161422298</v>
      </c>
    </row>
    <row r="179" spans="1:50" ht="20.100000000000001" customHeight="1" x14ac:dyDescent="0.25">
      <c r="A179" s="84">
        <v>134</v>
      </c>
      <c r="B179" s="84">
        <v>24</v>
      </c>
      <c r="C179" s="84" t="s">
        <v>137</v>
      </c>
      <c r="D179" s="230">
        <v>10</v>
      </c>
      <c r="E179" s="229" t="s">
        <v>785</v>
      </c>
      <c r="F179" s="229">
        <v>10</v>
      </c>
      <c r="G179" s="229"/>
      <c r="H179" s="228"/>
      <c r="I179" s="229" t="str">
        <f t="shared" si="75"/>
        <v>10+10</v>
      </c>
      <c r="J179" s="895">
        <v>0.11</v>
      </c>
      <c r="K179" s="23">
        <v>0</v>
      </c>
      <c r="L179" s="90">
        <v>0</v>
      </c>
      <c r="M179" s="23">
        <f t="shared" si="85"/>
        <v>0.11</v>
      </c>
      <c r="N179" s="172">
        <v>0</v>
      </c>
      <c r="O179" s="893"/>
      <c r="P179" s="893">
        <f t="shared" si="86"/>
        <v>10.5</v>
      </c>
      <c r="Q179" s="23">
        <f t="shared" si="87"/>
        <v>10.39</v>
      </c>
      <c r="R179" s="23">
        <f t="shared" si="82"/>
        <v>10.39</v>
      </c>
      <c r="S179" s="768" t="str">
        <f t="shared" si="72"/>
        <v/>
      </c>
      <c r="T179" s="257" t="str">
        <f t="shared" si="83"/>
        <v/>
      </c>
      <c r="U179" s="768">
        <f t="shared" si="88"/>
        <v>1.0476190476190477</v>
      </c>
      <c r="V179" s="1196" t="s">
        <v>3477</v>
      </c>
      <c r="W179" s="768" t="s">
        <v>3478</v>
      </c>
      <c r="X179" s="929"/>
      <c r="Y179" s="84">
        <v>134</v>
      </c>
      <c r="Z179" s="1338">
        <v>24</v>
      </c>
      <c r="AA179" s="1337" t="s">
        <v>137</v>
      </c>
      <c r="AB179" s="230">
        <f t="shared" si="76"/>
        <v>10</v>
      </c>
      <c r="AC179" s="1315" t="str">
        <f t="shared" si="77"/>
        <v>+</v>
      </c>
      <c r="AD179" s="1315">
        <f t="shared" si="78"/>
        <v>10</v>
      </c>
      <c r="AE179" s="1315"/>
      <c r="AF179" s="1316"/>
      <c r="AG179" s="1298" t="str">
        <f t="shared" si="79"/>
        <v>10+10</v>
      </c>
      <c r="AH179" s="1347">
        <f>'Зона КиЭс  '!L170</f>
        <v>0</v>
      </c>
      <c r="AI179" s="1347">
        <f t="shared" si="73"/>
        <v>0.11</v>
      </c>
      <c r="AJ179" s="1304">
        <f t="shared" si="80"/>
        <v>0</v>
      </c>
      <c r="AK179" s="1298">
        <f t="shared" si="81"/>
        <v>0</v>
      </c>
      <c r="AL179" s="1304">
        <f t="shared" si="89"/>
        <v>0.11</v>
      </c>
      <c r="AM179" s="1298">
        <v>0</v>
      </c>
      <c r="AN179" s="893">
        <f t="shared" si="90"/>
        <v>10.5</v>
      </c>
      <c r="AO179" s="1347">
        <f t="shared" si="91"/>
        <v>10.39</v>
      </c>
      <c r="AP179" s="1347">
        <f t="shared" si="93"/>
        <v>10.39</v>
      </c>
      <c r="AQ179" s="1296" t="str">
        <f t="shared" si="74"/>
        <v/>
      </c>
      <c r="AR179" s="1298" t="str">
        <f t="shared" si="84"/>
        <v/>
      </c>
      <c r="AS179" s="952">
        <f t="shared" si="92"/>
        <v>1.0476190476190477</v>
      </c>
      <c r="AT179" s="954" t="s">
        <v>757</v>
      </c>
      <c r="AU179" s="1113">
        <v>1994</v>
      </c>
      <c r="AV179" s="1119" t="s">
        <v>3286</v>
      </c>
      <c r="AW179" s="1121">
        <v>56.901222455107998</v>
      </c>
      <c r="AX179" s="1121">
        <v>37.041569596253701</v>
      </c>
    </row>
    <row r="180" spans="1:50" ht="20.100000000000001" customHeight="1" x14ac:dyDescent="0.25">
      <c r="A180" s="84">
        <v>135</v>
      </c>
      <c r="B180" s="84">
        <v>25</v>
      </c>
      <c r="C180" s="84" t="s">
        <v>138</v>
      </c>
      <c r="D180" s="230">
        <v>2.5</v>
      </c>
      <c r="E180" s="229" t="s">
        <v>785</v>
      </c>
      <c r="F180" s="229">
        <v>2.5</v>
      </c>
      <c r="G180" s="229"/>
      <c r="H180" s="228"/>
      <c r="I180" s="229" t="str">
        <f t="shared" si="75"/>
        <v>2,5+2,5</v>
      </c>
      <c r="J180" s="895">
        <v>0.88</v>
      </c>
      <c r="K180" s="23">
        <v>0</v>
      </c>
      <c r="L180" s="90">
        <v>0</v>
      </c>
      <c r="M180" s="23">
        <f t="shared" si="85"/>
        <v>0.88</v>
      </c>
      <c r="N180" s="172">
        <v>0</v>
      </c>
      <c r="O180" s="893"/>
      <c r="P180" s="893">
        <f t="shared" si="86"/>
        <v>2.625</v>
      </c>
      <c r="Q180" s="23">
        <f t="shared" si="87"/>
        <v>1.7450000000000001</v>
      </c>
      <c r="R180" s="23">
        <f t="shared" si="82"/>
        <v>1.7450000000000001</v>
      </c>
      <c r="S180" s="768" t="str">
        <f t="shared" si="72"/>
        <v/>
      </c>
      <c r="T180" s="257" t="str">
        <f t="shared" si="83"/>
        <v/>
      </c>
      <c r="U180" s="768">
        <f t="shared" si="88"/>
        <v>33.523809523809526</v>
      </c>
      <c r="V180" s="1196" t="s">
        <v>3477</v>
      </c>
      <c r="W180" s="768" t="s">
        <v>3478</v>
      </c>
      <c r="X180" s="929"/>
      <c r="Y180" s="84">
        <v>135</v>
      </c>
      <c r="Z180" s="1338">
        <v>25</v>
      </c>
      <c r="AA180" s="1337" t="s">
        <v>138</v>
      </c>
      <c r="AB180" s="230">
        <f t="shared" si="76"/>
        <v>2.5</v>
      </c>
      <c r="AC180" s="1315" t="str">
        <f t="shared" si="77"/>
        <v>+</v>
      </c>
      <c r="AD180" s="1315">
        <f t="shared" si="78"/>
        <v>2.5</v>
      </c>
      <c r="AE180" s="1315"/>
      <c r="AF180" s="1316"/>
      <c r="AG180" s="1298" t="str">
        <f t="shared" si="79"/>
        <v>2,5+2,5</v>
      </c>
      <c r="AH180" s="1347">
        <f>'Зона КиЭс  '!L173</f>
        <v>7.4999999999999997E-2</v>
      </c>
      <c r="AI180" s="1347">
        <f t="shared" si="73"/>
        <v>0.95499999999999996</v>
      </c>
      <c r="AJ180" s="1304">
        <f t="shared" si="80"/>
        <v>0</v>
      </c>
      <c r="AK180" s="1298">
        <f t="shared" si="81"/>
        <v>0</v>
      </c>
      <c r="AL180" s="1304">
        <f t="shared" si="89"/>
        <v>0.95499999999999996</v>
      </c>
      <c r="AM180" s="1298">
        <v>0</v>
      </c>
      <c r="AN180" s="893">
        <f t="shared" si="90"/>
        <v>2.625</v>
      </c>
      <c r="AO180" s="1347">
        <f t="shared" si="91"/>
        <v>1.67</v>
      </c>
      <c r="AP180" s="1347">
        <f t="shared" si="93"/>
        <v>1.67</v>
      </c>
      <c r="AQ180" s="1296" t="str">
        <f t="shared" si="74"/>
        <v/>
      </c>
      <c r="AR180" s="1298" t="str">
        <f t="shared" si="84"/>
        <v/>
      </c>
      <c r="AS180" s="952">
        <f t="shared" si="92"/>
        <v>36.38095238095238</v>
      </c>
      <c r="AT180" s="954" t="s">
        <v>757</v>
      </c>
      <c r="AU180" s="1113">
        <v>1979</v>
      </c>
      <c r="AV180" s="1119" t="s">
        <v>3286</v>
      </c>
      <c r="AW180" s="1121">
        <v>57.3255850846136</v>
      </c>
      <c r="AX180" s="1121">
        <v>37.373048823625098</v>
      </c>
    </row>
    <row r="181" spans="1:50" ht="20.100000000000001" customHeight="1" x14ac:dyDescent="0.25">
      <c r="A181" s="84">
        <v>136</v>
      </c>
      <c r="B181" s="84">
        <v>26</v>
      </c>
      <c r="C181" s="84" t="s">
        <v>139</v>
      </c>
      <c r="D181" s="230">
        <v>25</v>
      </c>
      <c r="E181" s="229" t="s">
        <v>785</v>
      </c>
      <c r="F181" s="229">
        <v>25</v>
      </c>
      <c r="G181" s="229"/>
      <c r="H181" s="228"/>
      <c r="I181" s="229" t="str">
        <f t="shared" si="75"/>
        <v>25+25</v>
      </c>
      <c r="J181" s="895">
        <v>0.21</v>
      </c>
      <c r="K181" s="23">
        <v>0</v>
      </c>
      <c r="L181" s="90">
        <v>0</v>
      </c>
      <c r="M181" s="23">
        <f t="shared" si="85"/>
        <v>0.21</v>
      </c>
      <c r="N181" s="172">
        <v>0</v>
      </c>
      <c r="O181" s="893"/>
      <c r="P181" s="893">
        <f t="shared" si="86"/>
        <v>26.25</v>
      </c>
      <c r="Q181" s="23">
        <f t="shared" si="87"/>
        <v>26.04</v>
      </c>
      <c r="R181" s="23">
        <f t="shared" si="82"/>
        <v>26.04</v>
      </c>
      <c r="S181" s="768" t="str">
        <f t="shared" si="72"/>
        <v/>
      </c>
      <c r="T181" s="257" t="str">
        <f t="shared" si="83"/>
        <v/>
      </c>
      <c r="U181" s="768">
        <f t="shared" si="88"/>
        <v>0.8</v>
      </c>
      <c r="V181" s="1197">
        <v>0.2</v>
      </c>
      <c r="W181" s="768" t="s">
        <v>3088</v>
      </c>
      <c r="X181" s="929"/>
      <c r="Y181" s="84">
        <v>136</v>
      </c>
      <c r="Z181" s="1338">
        <v>26</v>
      </c>
      <c r="AA181" s="1337" t="s">
        <v>139</v>
      </c>
      <c r="AB181" s="230">
        <f t="shared" si="76"/>
        <v>25</v>
      </c>
      <c r="AC181" s="1315" t="str">
        <f t="shared" si="77"/>
        <v>+</v>
      </c>
      <c r="AD181" s="1315">
        <f t="shared" si="78"/>
        <v>25</v>
      </c>
      <c r="AE181" s="1315"/>
      <c r="AF181" s="1316"/>
      <c r="AG181" s="1298" t="str">
        <f t="shared" si="79"/>
        <v>25+25</v>
      </c>
      <c r="AH181" s="1347">
        <f>'Зона КиЭс  '!L175</f>
        <v>0</v>
      </c>
      <c r="AI181" s="1347">
        <f t="shared" si="73"/>
        <v>0.21</v>
      </c>
      <c r="AJ181" s="1304">
        <f t="shared" si="80"/>
        <v>0</v>
      </c>
      <c r="AK181" s="1298">
        <f t="shared" si="81"/>
        <v>0</v>
      </c>
      <c r="AL181" s="1304">
        <f t="shared" si="89"/>
        <v>0.21</v>
      </c>
      <c r="AM181" s="1298">
        <v>0</v>
      </c>
      <c r="AN181" s="893">
        <f t="shared" si="90"/>
        <v>26.25</v>
      </c>
      <c r="AO181" s="1347">
        <f t="shared" si="91"/>
        <v>26.04</v>
      </c>
      <c r="AP181" s="1347">
        <f t="shared" si="93"/>
        <v>26.04</v>
      </c>
      <c r="AQ181" s="1296" t="str">
        <f t="shared" si="74"/>
        <v/>
      </c>
      <c r="AR181" s="1298" t="str">
        <f t="shared" si="84"/>
        <v/>
      </c>
      <c r="AS181" s="952">
        <f t="shared" si="92"/>
        <v>0.8</v>
      </c>
      <c r="AT181" s="954" t="s">
        <v>757</v>
      </c>
      <c r="AU181" s="1113">
        <v>1982</v>
      </c>
      <c r="AV181" s="1119" t="s">
        <v>3286</v>
      </c>
      <c r="AW181" s="1121">
        <v>57.594402733937599</v>
      </c>
      <c r="AX181" s="1121">
        <v>37.209907777282098</v>
      </c>
    </row>
    <row r="182" spans="1:50" ht="20.100000000000001" customHeight="1" x14ac:dyDescent="0.25">
      <c r="A182" s="1375">
        <v>137</v>
      </c>
      <c r="B182" s="1375">
        <v>27</v>
      </c>
      <c r="C182" s="84" t="s">
        <v>140</v>
      </c>
      <c r="D182" s="230">
        <v>6.3</v>
      </c>
      <c r="E182" s="229" t="s">
        <v>785</v>
      </c>
      <c r="F182" s="229">
        <v>6.3</v>
      </c>
      <c r="G182" s="229"/>
      <c r="H182" s="228"/>
      <c r="I182" s="229" t="str">
        <f t="shared" si="75"/>
        <v>6,3+6,3</v>
      </c>
      <c r="J182" s="895">
        <v>0.12</v>
      </c>
      <c r="K182" s="23">
        <v>0</v>
      </c>
      <c r="L182" s="90">
        <v>0</v>
      </c>
      <c r="M182" s="23">
        <f t="shared" si="85"/>
        <v>0.12</v>
      </c>
      <c r="N182" s="172">
        <v>0</v>
      </c>
      <c r="O182" s="893"/>
      <c r="P182" s="893">
        <f t="shared" si="86"/>
        <v>6.6150000000000002</v>
      </c>
      <c r="Q182" s="23">
        <f t="shared" si="87"/>
        <v>6.4950000000000001</v>
      </c>
      <c r="R182" s="1380">
        <f>MIN(Q182:Q184)</f>
        <v>6.4950000000000001</v>
      </c>
      <c r="S182" s="1362" t="str">
        <f t="shared" si="72"/>
        <v/>
      </c>
      <c r="T182" s="257" t="str">
        <f t="shared" si="83"/>
        <v/>
      </c>
      <c r="U182" s="1362">
        <f t="shared" si="88"/>
        <v>1.8140589569160996</v>
      </c>
      <c r="V182" s="1197">
        <v>0.37</v>
      </c>
      <c r="W182" s="768" t="s">
        <v>3088</v>
      </c>
      <c r="X182" s="929"/>
      <c r="Y182" s="1375">
        <v>137</v>
      </c>
      <c r="Z182" s="1338">
        <v>27</v>
      </c>
      <c r="AA182" s="1337" t="s">
        <v>140</v>
      </c>
      <c r="AB182" s="230">
        <f t="shared" si="76"/>
        <v>6.3</v>
      </c>
      <c r="AC182" s="1315" t="str">
        <f t="shared" si="77"/>
        <v>+</v>
      </c>
      <c r="AD182" s="1315">
        <f t="shared" si="78"/>
        <v>6.3</v>
      </c>
      <c r="AE182" s="1315"/>
      <c r="AF182" s="1316"/>
      <c r="AG182" s="1298" t="str">
        <f t="shared" si="79"/>
        <v>6,3+6,3</v>
      </c>
      <c r="AH182" s="1347">
        <f>SUM(AH183:AH184)</f>
        <v>0</v>
      </c>
      <c r="AI182" s="1347">
        <f t="shared" si="73"/>
        <v>0.12</v>
      </c>
      <c r="AJ182" s="1304">
        <f t="shared" si="80"/>
        <v>0</v>
      </c>
      <c r="AK182" s="1298">
        <f t="shared" si="81"/>
        <v>0</v>
      </c>
      <c r="AL182" s="1304">
        <f t="shared" si="89"/>
        <v>0.12</v>
      </c>
      <c r="AM182" s="1298">
        <v>0</v>
      </c>
      <c r="AN182" s="893">
        <f t="shared" si="90"/>
        <v>6.6150000000000002</v>
      </c>
      <c r="AO182" s="1347">
        <f t="shared" si="91"/>
        <v>6.4950000000000001</v>
      </c>
      <c r="AP182" s="1333">
        <f>MIN(AO182:AO184)</f>
        <v>6.4950000000000001</v>
      </c>
      <c r="AQ182" s="1296" t="str">
        <f t="shared" si="74"/>
        <v/>
      </c>
      <c r="AR182" s="1298" t="str">
        <f t="shared" si="84"/>
        <v/>
      </c>
      <c r="AS182" s="1305">
        <f t="shared" si="92"/>
        <v>1.8140589569160996</v>
      </c>
      <c r="AT182" s="954" t="s">
        <v>757</v>
      </c>
      <c r="AU182" s="1113">
        <v>1983</v>
      </c>
      <c r="AV182" s="1119" t="s">
        <v>3286</v>
      </c>
      <c r="AW182" s="1121">
        <v>56.995250953051503</v>
      </c>
      <c r="AX182" s="1121">
        <v>37.062664254766702</v>
      </c>
    </row>
    <row r="183" spans="1:50" ht="20.100000000000001" customHeight="1" x14ac:dyDescent="0.25">
      <c r="A183" s="1375"/>
      <c r="B183" s="1375"/>
      <c r="C183" s="84" t="s">
        <v>1792</v>
      </c>
      <c r="D183" s="230">
        <v>6.3</v>
      </c>
      <c r="E183" s="229" t="s">
        <v>785</v>
      </c>
      <c r="F183" s="229">
        <v>6.3</v>
      </c>
      <c r="G183" s="229"/>
      <c r="H183" s="228"/>
      <c r="I183" s="229" t="str">
        <f t="shared" si="75"/>
        <v>6,3+6,3</v>
      </c>
      <c r="J183" s="895">
        <v>0</v>
      </c>
      <c r="K183" s="23">
        <v>0</v>
      </c>
      <c r="L183" s="90">
        <v>0</v>
      </c>
      <c r="M183" s="23">
        <f t="shared" si="85"/>
        <v>0</v>
      </c>
      <c r="N183" s="172">
        <v>0</v>
      </c>
      <c r="O183" s="893"/>
      <c r="P183" s="893">
        <f t="shared" si="86"/>
        <v>6.6150000000000002</v>
      </c>
      <c r="Q183" s="23">
        <f t="shared" si="87"/>
        <v>6.6150000000000002</v>
      </c>
      <c r="R183" s="1380"/>
      <c r="S183" s="1363" t="str">
        <f t="shared" si="72"/>
        <v/>
      </c>
      <c r="T183" s="257" t="str">
        <f>IF(R182&lt;0,"закрыт","")</f>
        <v/>
      </c>
      <c r="U183" s="1363"/>
      <c r="V183" s="257"/>
      <c r="W183" s="257"/>
      <c r="X183" s="929"/>
      <c r="Y183" s="1375"/>
      <c r="Z183" s="1338"/>
      <c r="AA183" s="1337" t="s">
        <v>1792</v>
      </c>
      <c r="AB183" s="230">
        <f t="shared" si="76"/>
        <v>6.3</v>
      </c>
      <c r="AC183" s="1315" t="str">
        <f t="shared" si="77"/>
        <v>+</v>
      </c>
      <c r="AD183" s="1315">
        <f t="shared" si="78"/>
        <v>6.3</v>
      </c>
      <c r="AE183" s="1315"/>
      <c r="AF183" s="1316"/>
      <c r="AG183" s="1298" t="str">
        <f t="shared" si="79"/>
        <v>6,3+6,3</v>
      </c>
      <c r="AH183" s="1347">
        <v>0</v>
      </c>
      <c r="AI183" s="1347">
        <f t="shared" si="73"/>
        <v>0</v>
      </c>
      <c r="AJ183" s="1304">
        <f t="shared" si="80"/>
        <v>0</v>
      </c>
      <c r="AK183" s="1298">
        <f t="shared" si="81"/>
        <v>0</v>
      </c>
      <c r="AL183" s="1304">
        <f t="shared" si="89"/>
        <v>0</v>
      </c>
      <c r="AM183" s="1298">
        <v>0</v>
      </c>
      <c r="AN183" s="893">
        <f t="shared" si="90"/>
        <v>6.6150000000000002</v>
      </c>
      <c r="AO183" s="1347">
        <f t="shared" si="91"/>
        <v>6.6150000000000002</v>
      </c>
      <c r="AP183" s="1334"/>
      <c r="AQ183" s="1297" t="str">
        <f t="shared" si="74"/>
        <v/>
      </c>
      <c r="AR183" s="1298" t="str">
        <f>IF(AP182&lt;0,"закрыт","")</f>
        <v/>
      </c>
      <c r="AS183" s="1306"/>
      <c r="AT183" s="954" t="s">
        <v>757</v>
      </c>
      <c r="AU183" s="1113">
        <v>1983</v>
      </c>
      <c r="AV183" s="1119" t="s">
        <v>3286</v>
      </c>
      <c r="AW183" s="1121">
        <v>56.995250953051503</v>
      </c>
      <c r="AX183" s="1121">
        <v>37.062664254766702</v>
      </c>
    </row>
    <row r="184" spans="1:50" ht="20.100000000000001" customHeight="1" x14ac:dyDescent="0.25">
      <c r="A184" s="1375"/>
      <c r="B184" s="1375"/>
      <c r="C184" s="84" t="s">
        <v>1791</v>
      </c>
      <c r="D184" s="230">
        <v>6.3</v>
      </c>
      <c r="E184" s="229" t="s">
        <v>785</v>
      </c>
      <c r="F184" s="229">
        <v>6.3</v>
      </c>
      <c r="G184" s="229"/>
      <c r="H184" s="228"/>
      <c r="I184" s="229" t="str">
        <f t="shared" si="75"/>
        <v>6,3+6,3</v>
      </c>
      <c r="J184" s="895">
        <v>0.12</v>
      </c>
      <c r="K184" s="23">
        <v>0</v>
      </c>
      <c r="L184" s="90">
        <v>0</v>
      </c>
      <c r="M184" s="23">
        <f t="shared" si="85"/>
        <v>0.12</v>
      </c>
      <c r="N184" s="172">
        <v>0</v>
      </c>
      <c r="O184" s="893"/>
      <c r="P184" s="893">
        <f t="shared" si="86"/>
        <v>6.6150000000000002</v>
      </c>
      <c r="Q184" s="23">
        <f t="shared" si="87"/>
        <v>6.4950000000000001</v>
      </c>
      <c r="R184" s="1380"/>
      <c r="S184" s="1363" t="str">
        <f t="shared" si="72"/>
        <v/>
      </c>
      <c r="T184" s="257" t="str">
        <f>IF(R182&lt;0,"закрыт","")</f>
        <v/>
      </c>
      <c r="U184" s="1363"/>
      <c r="V184" s="257"/>
      <c r="W184" s="257"/>
      <c r="X184" s="929"/>
      <c r="Y184" s="1375"/>
      <c r="Z184" s="1338"/>
      <c r="AA184" s="1337" t="s">
        <v>1791</v>
      </c>
      <c r="AB184" s="230">
        <f t="shared" si="76"/>
        <v>6.3</v>
      </c>
      <c r="AC184" s="1315" t="str">
        <f t="shared" si="77"/>
        <v>+</v>
      </c>
      <c r="AD184" s="1315">
        <f t="shared" si="78"/>
        <v>6.3</v>
      </c>
      <c r="AE184" s="1315"/>
      <c r="AF184" s="1316"/>
      <c r="AG184" s="1298" t="str">
        <f t="shared" si="79"/>
        <v>6,3+6,3</v>
      </c>
      <c r="AH184" s="1347">
        <f>'Зона КиЭс  '!L177</f>
        <v>0</v>
      </c>
      <c r="AI184" s="1347">
        <f t="shared" si="73"/>
        <v>0.12</v>
      </c>
      <c r="AJ184" s="1304">
        <f t="shared" si="80"/>
        <v>0</v>
      </c>
      <c r="AK184" s="1298">
        <f t="shared" si="81"/>
        <v>0</v>
      </c>
      <c r="AL184" s="1304">
        <f t="shared" si="89"/>
        <v>0.12</v>
      </c>
      <c r="AM184" s="1298">
        <v>0</v>
      </c>
      <c r="AN184" s="893">
        <f t="shared" si="90"/>
        <v>6.6150000000000002</v>
      </c>
      <c r="AO184" s="1347">
        <f t="shared" si="91"/>
        <v>6.4950000000000001</v>
      </c>
      <c r="AP184" s="1335"/>
      <c r="AQ184" s="1297" t="str">
        <f t="shared" si="74"/>
        <v/>
      </c>
      <c r="AR184" s="1298" t="str">
        <f>IF(AP182&lt;0,"закрыт","")</f>
        <v/>
      </c>
      <c r="AS184" s="1307"/>
      <c r="AT184" s="954" t="s">
        <v>757</v>
      </c>
      <c r="AU184" s="1113">
        <v>1983</v>
      </c>
      <c r="AV184" s="1119" t="s">
        <v>3286</v>
      </c>
      <c r="AW184" s="1121">
        <v>56.995250953051503</v>
      </c>
      <c r="AX184" s="1121">
        <v>37.062664254766702</v>
      </c>
    </row>
    <row r="185" spans="1:50" ht="20.100000000000001" customHeight="1" x14ac:dyDescent="0.25">
      <c r="A185" s="1375">
        <v>138</v>
      </c>
      <c r="B185" s="1375">
        <v>28</v>
      </c>
      <c r="C185" s="84" t="s">
        <v>141</v>
      </c>
      <c r="D185" s="230">
        <v>40</v>
      </c>
      <c r="E185" s="229" t="s">
        <v>785</v>
      </c>
      <c r="F185" s="229">
        <v>25</v>
      </c>
      <c r="G185" s="229"/>
      <c r="H185" s="228"/>
      <c r="I185" s="229" t="str">
        <f t="shared" si="75"/>
        <v>40+25</v>
      </c>
      <c r="J185" s="895">
        <v>22.98</v>
      </c>
      <c r="K185" s="23">
        <v>0</v>
      </c>
      <c r="L185" s="90">
        <v>0</v>
      </c>
      <c r="M185" s="23">
        <f t="shared" si="85"/>
        <v>22.98</v>
      </c>
      <c r="N185" s="172">
        <v>0</v>
      </c>
      <c r="O185" s="893"/>
      <c r="P185" s="893">
        <f>MIN(D185:F185)*1.05</f>
        <v>26.25</v>
      </c>
      <c r="Q185" s="23">
        <f t="shared" si="87"/>
        <v>3.2699999999999996</v>
      </c>
      <c r="R185" s="1380">
        <f>MIN(Q185:Q187)</f>
        <v>3.2699999999999996</v>
      </c>
      <c r="S185" s="1362" t="str">
        <f t="shared" si="72"/>
        <v/>
      </c>
      <c r="T185" s="257" t="str">
        <f>IF(R185&lt;0,"закрыт","")</f>
        <v/>
      </c>
      <c r="U185" s="1362">
        <f>(J185*100)/P185</f>
        <v>87.542857142857144</v>
      </c>
      <c r="V185" s="1196">
        <v>0.5</v>
      </c>
      <c r="W185" s="768" t="s">
        <v>3088</v>
      </c>
      <c r="X185" s="929"/>
      <c r="Y185" s="1375">
        <v>138</v>
      </c>
      <c r="Z185" s="1338">
        <v>28</v>
      </c>
      <c r="AA185" s="1337" t="s">
        <v>141</v>
      </c>
      <c r="AB185" s="230">
        <f t="shared" si="76"/>
        <v>40</v>
      </c>
      <c r="AC185" s="1315" t="str">
        <f t="shared" si="77"/>
        <v>+</v>
      </c>
      <c r="AD185" s="1315">
        <f t="shared" si="78"/>
        <v>25</v>
      </c>
      <c r="AE185" s="1315"/>
      <c r="AF185" s="1316"/>
      <c r="AG185" s="1298" t="str">
        <f t="shared" si="79"/>
        <v>40+25</v>
      </c>
      <c r="AH185" s="1347">
        <f>SUM(AH186:AH187)</f>
        <v>3.1112500000000001</v>
      </c>
      <c r="AI185" s="1347">
        <f t="shared" si="73"/>
        <v>26.091250000000002</v>
      </c>
      <c r="AJ185" s="1304">
        <f t="shared" si="80"/>
        <v>0</v>
      </c>
      <c r="AK185" s="1298">
        <f t="shared" si="81"/>
        <v>0</v>
      </c>
      <c r="AL185" s="1304">
        <f t="shared" si="89"/>
        <v>26.091250000000002</v>
      </c>
      <c r="AM185" s="1298">
        <v>0</v>
      </c>
      <c r="AN185" s="893">
        <f t="shared" si="90"/>
        <v>26.25</v>
      </c>
      <c r="AO185" s="1347">
        <f t="shared" si="91"/>
        <v>0.15874999999999773</v>
      </c>
      <c r="AP185" s="1333">
        <f>MIN(AO185:AO187)</f>
        <v>0.15874999999999773</v>
      </c>
      <c r="AQ185" s="1296" t="str">
        <f>AR185</f>
        <v/>
      </c>
      <c r="AR185" s="1298" t="str">
        <f>IF(AP185&lt;0,"закрыт","")</f>
        <v/>
      </c>
      <c r="AS185" s="1305">
        <f>(AI185*100)/AN185</f>
        <v>99.395238095238099</v>
      </c>
      <c r="AT185" s="954" t="s">
        <v>757</v>
      </c>
      <c r="AU185" s="1113">
        <v>1963</v>
      </c>
      <c r="AV185" s="1119" t="s">
        <v>3286</v>
      </c>
      <c r="AW185" s="1121">
        <v>56.823144738473701</v>
      </c>
      <c r="AX185" s="1121">
        <v>37.3579739629226</v>
      </c>
    </row>
    <row r="186" spans="1:50" ht="20.100000000000001" customHeight="1" x14ac:dyDescent="0.25">
      <c r="A186" s="1375"/>
      <c r="B186" s="1375"/>
      <c r="C186" s="84" t="s">
        <v>1792</v>
      </c>
      <c r="D186" s="230">
        <v>40</v>
      </c>
      <c r="E186" s="229" t="s">
        <v>785</v>
      </c>
      <c r="F186" s="229">
        <v>25</v>
      </c>
      <c r="G186" s="229"/>
      <c r="H186" s="228"/>
      <c r="I186" s="229" t="str">
        <f t="shared" si="75"/>
        <v>40+25</v>
      </c>
      <c r="J186" s="895">
        <v>19.87</v>
      </c>
      <c r="K186" s="23">
        <v>0</v>
      </c>
      <c r="L186" s="90">
        <v>0</v>
      </c>
      <c r="M186" s="23">
        <f t="shared" si="85"/>
        <v>19.87</v>
      </c>
      <c r="N186" s="172">
        <v>0</v>
      </c>
      <c r="O186" s="893"/>
      <c r="P186" s="893">
        <f t="shared" si="86"/>
        <v>26.25</v>
      </c>
      <c r="Q186" s="23">
        <f t="shared" si="87"/>
        <v>6.379999999999999</v>
      </c>
      <c r="R186" s="1380"/>
      <c r="S186" s="1363" t="str">
        <f t="shared" si="72"/>
        <v/>
      </c>
      <c r="T186" s="257" t="str">
        <f>IF(R185&lt;0,"закрыт","")</f>
        <v/>
      </c>
      <c r="U186" s="1363"/>
      <c r="V186" s="257"/>
      <c r="W186" s="257"/>
      <c r="X186" s="929"/>
      <c r="Y186" s="1375"/>
      <c r="Z186" s="1338"/>
      <c r="AA186" s="1337" t="s">
        <v>1792</v>
      </c>
      <c r="AB186" s="230">
        <f t="shared" si="76"/>
        <v>40</v>
      </c>
      <c r="AC186" s="1315" t="str">
        <f t="shared" si="77"/>
        <v>+</v>
      </c>
      <c r="AD186" s="1315">
        <f t="shared" si="78"/>
        <v>25</v>
      </c>
      <c r="AE186" s="1315"/>
      <c r="AF186" s="1316"/>
      <c r="AG186" s="1298" t="str">
        <f t="shared" si="79"/>
        <v>40+25</v>
      </c>
      <c r="AH186" s="1347">
        <f>SUM(AH158+AH160+AH166)</f>
        <v>2.1274999999999999</v>
      </c>
      <c r="AI186" s="1347">
        <f t="shared" si="73"/>
        <v>21.997500000000002</v>
      </c>
      <c r="AJ186" s="1304">
        <f t="shared" si="80"/>
        <v>0</v>
      </c>
      <c r="AK186" s="1298">
        <f t="shared" si="81"/>
        <v>0</v>
      </c>
      <c r="AL186" s="1304">
        <f t="shared" si="89"/>
        <v>21.997500000000002</v>
      </c>
      <c r="AM186" s="1298">
        <v>0</v>
      </c>
      <c r="AN186" s="893">
        <f t="shared" si="90"/>
        <v>26.25</v>
      </c>
      <c r="AO186" s="1347">
        <f t="shared" si="91"/>
        <v>4.2524999999999977</v>
      </c>
      <c r="AP186" s="1334"/>
      <c r="AQ186" s="1297"/>
      <c r="AR186" s="1298" t="str">
        <f>IF(AP185&lt;0,"закрыт","")</f>
        <v/>
      </c>
      <c r="AS186" s="1306"/>
      <c r="AT186" s="954" t="s">
        <v>757</v>
      </c>
      <c r="AU186" s="1113">
        <v>1963</v>
      </c>
      <c r="AV186" s="1119" t="s">
        <v>3286</v>
      </c>
      <c r="AW186" s="1121">
        <v>56.823144738473701</v>
      </c>
      <c r="AX186" s="1121">
        <v>37.3579739629226</v>
      </c>
    </row>
    <row r="187" spans="1:50" ht="20.100000000000001" customHeight="1" x14ac:dyDescent="0.25">
      <c r="A187" s="1375"/>
      <c r="B187" s="1375"/>
      <c r="C187" s="84" t="s">
        <v>1791</v>
      </c>
      <c r="D187" s="230">
        <v>40</v>
      </c>
      <c r="E187" s="229" t="s">
        <v>785</v>
      </c>
      <c r="F187" s="229">
        <v>25</v>
      </c>
      <c r="G187" s="229"/>
      <c r="H187" s="228"/>
      <c r="I187" s="229" t="str">
        <f t="shared" si="75"/>
        <v>40+25</v>
      </c>
      <c r="J187" s="895">
        <v>3.11</v>
      </c>
      <c r="K187" s="23">
        <v>0</v>
      </c>
      <c r="L187" s="90">
        <v>0</v>
      </c>
      <c r="M187" s="23">
        <f t="shared" si="85"/>
        <v>3.11</v>
      </c>
      <c r="N187" s="172">
        <v>0</v>
      </c>
      <c r="O187" s="893"/>
      <c r="P187" s="893">
        <f t="shared" si="86"/>
        <v>26.25</v>
      </c>
      <c r="Q187" s="23">
        <f t="shared" si="87"/>
        <v>23.14</v>
      </c>
      <c r="R187" s="1380"/>
      <c r="S187" s="1363" t="str">
        <f t="shared" si="72"/>
        <v/>
      </c>
      <c r="T187" s="257" t="str">
        <f>IF(R185&lt;0,"закрыт","")</f>
        <v/>
      </c>
      <c r="U187" s="1363"/>
      <c r="V187" s="257"/>
      <c r="W187" s="257"/>
      <c r="X187" s="929"/>
      <c r="Y187" s="1375"/>
      <c r="Z187" s="1338"/>
      <c r="AA187" s="1337" t="s">
        <v>1791</v>
      </c>
      <c r="AB187" s="230">
        <f t="shared" si="76"/>
        <v>40</v>
      </c>
      <c r="AC187" s="1315" t="str">
        <f t="shared" si="77"/>
        <v>+</v>
      </c>
      <c r="AD187" s="1315">
        <f t="shared" si="78"/>
        <v>25</v>
      </c>
      <c r="AE187" s="1315"/>
      <c r="AF187" s="1316"/>
      <c r="AG187" s="1298" t="str">
        <f t="shared" si="79"/>
        <v>40+25</v>
      </c>
      <c r="AH187" s="1347">
        <f>'Зона КиЭс  '!L186</f>
        <v>0.98375000000000001</v>
      </c>
      <c r="AI187" s="1347">
        <f t="shared" si="73"/>
        <v>4.09375</v>
      </c>
      <c r="AJ187" s="1304">
        <f t="shared" si="80"/>
        <v>0</v>
      </c>
      <c r="AK187" s="1298">
        <f t="shared" si="81"/>
        <v>0</v>
      </c>
      <c r="AL187" s="1304">
        <f t="shared" si="89"/>
        <v>4.09375</v>
      </c>
      <c r="AM187" s="1298">
        <v>0</v>
      </c>
      <c r="AN187" s="893">
        <f t="shared" si="90"/>
        <v>26.25</v>
      </c>
      <c r="AO187" s="1347">
        <f t="shared" si="91"/>
        <v>22.15625</v>
      </c>
      <c r="AP187" s="1335"/>
      <c r="AQ187" s="1297"/>
      <c r="AR187" s="1298" t="str">
        <f>IF(AP185&lt;0,"закрыт","")</f>
        <v/>
      </c>
      <c r="AS187" s="1307"/>
      <c r="AT187" s="954" t="s">
        <v>757</v>
      </c>
      <c r="AU187" s="1113">
        <v>1963</v>
      </c>
      <c r="AV187" s="1119" t="s">
        <v>3286</v>
      </c>
      <c r="AW187" s="1121">
        <v>56.823144738473701</v>
      </c>
      <c r="AX187" s="1121">
        <v>37.3579739629226</v>
      </c>
    </row>
    <row r="188" spans="1:50" ht="20.100000000000001" customHeight="1" x14ac:dyDescent="0.25">
      <c r="A188" s="1375">
        <v>139</v>
      </c>
      <c r="B188" s="1375">
        <v>29</v>
      </c>
      <c r="C188" s="84" t="s">
        <v>142</v>
      </c>
      <c r="D188" s="230">
        <v>6.3</v>
      </c>
      <c r="E188" s="229" t="s">
        <v>785</v>
      </c>
      <c r="F188" s="229">
        <v>6.3</v>
      </c>
      <c r="G188" s="229"/>
      <c r="H188" s="228"/>
      <c r="I188" s="229" t="str">
        <f t="shared" si="75"/>
        <v>6,3+6,3</v>
      </c>
      <c r="J188" s="895">
        <v>2.86</v>
      </c>
      <c r="K188" s="901">
        <v>2.57</v>
      </c>
      <c r="L188" s="84" t="s">
        <v>335</v>
      </c>
      <c r="M188" s="23">
        <f t="shared" si="85"/>
        <v>0.29000000000000004</v>
      </c>
      <c r="N188" s="172">
        <v>0</v>
      </c>
      <c r="O188" s="893"/>
      <c r="P188" s="893">
        <f t="shared" si="86"/>
        <v>6.6150000000000002</v>
      </c>
      <c r="Q188" s="23">
        <f t="shared" si="87"/>
        <v>6.3250000000000002</v>
      </c>
      <c r="R188" s="1380">
        <f>MIN(Q188:Q190)</f>
        <v>4.2750000000000004</v>
      </c>
      <c r="S188" s="1362" t="str">
        <f t="shared" si="72"/>
        <v/>
      </c>
      <c r="T188" s="257" t="str">
        <f>IF(R188&lt;0,"закрыт","")</f>
        <v/>
      </c>
      <c r="U188" s="1362">
        <f>(J188*100)/P188</f>
        <v>43.235071806500379</v>
      </c>
      <c r="V188" s="1197">
        <v>0.45</v>
      </c>
      <c r="W188" s="768" t="s">
        <v>3088</v>
      </c>
      <c r="X188" s="929"/>
      <c r="Y188" s="1375">
        <v>139</v>
      </c>
      <c r="Z188" s="1338">
        <v>29</v>
      </c>
      <c r="AA188" s="1337" t="s">
        <v>142</v>
      </c>
      <c r="AB188" s="230">
        <f t="shared" si="76"/>
        <v>6.3</v>
      </c>
      <c r="AC188" s="1315" t="str">
        <f t="shared" si="77"/>
        <v>+</v>
      </c>
      <c r="AD188" s="1315">
        <f t="shared" si="78"/>
        <v>6.3</v>
      </c>
      <c r="AE188" s="1315"/>
      <c r="AF188" s="1316"/>
      <c r="AG188" s="1298" t="str">
        <f t="shared" si="79"/>
        <v>6,3+6,3</v>
      </c>
      <c r="AH188" s="1347">
        <f>SUM(AH189:AH190)</f>
        <v>1.4762499999999998</v>
      </c>
      <c r="AI188" s="1347">
        <f t="shared" si="73"/>
        <v>4.3362499999999997</v>
      </c>
      <c r="AJ188" s="1304">
        <f t="shared" si="80"/>
        <v>2.57</v>
      </c>
      <c r="AK188" s="1298" t="str">
        <f t="shared" si="81"/>
        <v>1 сутки</v>
      </c>
      <c r="AL188" s="1304">
        <f t="shared" si="89"/>
        <v>1.7662499999999999</v>
      </c>
      <c r="AM188" s="1298">
        <v>0</v>
      </c>
      <c r="AN188" s="893">
        <f t="shared" si="90"/>
        <v>6.6150000000000002</v>
      </c>
      <c r="AO188" s="1347">
        <f t="shared" si="91"/>
        <v>4.8487500000000008</v>
      </c>
      <c r="AP188" s="1333">
        <f>MIN(AO188:AO190)</f>
        <v>4.0250000000000004</v>
      </c>
      <c r="AQ188" s="1296" t="str">
        <f t="shared" si="74"/>
        <v/>
      </c>
      <c r="AR188" s="1298" t="str">
        <f>IF(AP188&lt;0,"закрыт","")</f>
        <v/>
      </c>
      <c r="AS188" s="1305">
        <f>(AI188*100)/AN188</f>
        <v>65.551776266061978</v>
      </c>
      <c r="AT188" s="954" t="s">
        <v>757</v>
      </c>
      <c r="AU188" s="1113">
        <v>1960</v>
      </c>
      <c r="AV188" s="1119" t="s">
        <v>3286</v>
      </c>
      <c r="AW188" s="1121">
        <v>57.2552919177947</v>
      </c>
      <c r="AX188" s="1121">
        <v>37.140592446362398</v>
      </c>
    </row>
    <row r="189" spans="1:50" ht="20.100000000000001" customHeight="1" x14ac:dyDescent="0.25">
      <c r="A189" s="1375"/>
      <c r="B189" s="1375"/>
      <c r="C189" s="84" t="s">
        <v>1792</v>
      </c>
      <c r="D189" s="230">
        <v>6.3</v>
      </c>
      <c r="E189" s="229" t="s">
        <v>785</v>
      </c>
      <c r="F189" s="229">
        <v>6.3</v>
      </c>
      <c r="G189" s="229"/>
      <c r="H189" s="228"/>
      <c r="I189" s="229" t="str">
        <f t="shared" si="75"/>
        <v>6,3+6,3</v>
      </c>
      <c r="J189" s="895">
        <v>2.57</v>
      </c>
      <c r="K189" s="901">
        <v>2.57</v>
      </c>
      <c r="L189" s="84" t="s">
        <v>335</v>
      </c>
      <c r="M189" s="23">
        <f t="shared" ref="M189:M205" si="94">J189-K189</f>
        <v>0</v>
      </c>
      <c r="N189" s="172">
        <v>0</v>
      </c>
      <c r="O189" s="893"/>
      <c r="P189" s="893">
        <f t="shared" ref="P189:P205" si="95">MIN(D189:F189)*1.05</f>
        <v>6.6150000000000002</v>
      </c>
      <c r="Q189" s="23">
        <f t="shared" ref="Q189:Q205" si="96">P189-M189-N189</f>
        <v>6.6150000000000002</v>
      </c>
      <c r="R189" s="1380"/>
      <c r="S189" s="1363" t="str">
        <f t="shared" si="72"/>
        <v/>
      </c>
      <c r="T189" s="257" t="str">
        <f>IF(R188&lt;0,"закрыт","")</f>
        <v/>
      </c>
      <c r="U189" s="1363"/>
      <c r="V189" s="257"/>
      <c r="W189" s="257"/>
      <c r="X189" s="929"/>
      <c r="Y189" s="1375"/>
      <c r="Z189" s="1338"/>
      <c r="AA189" s="1337" t="s">
        <v>1792</v>
      </c>
      <c r="AB189" s="230">
        <f t="shared" si="76"/>
        <v>6.3</v>
      </c>
      <c r="AC189" s="1315" t="str">
        <f t="shared" si="77"/>
        <v>+</v>
      </c>
      <c r="AD189" s="1315">
        <f t="shared" si="78"/>
        <v>6.3</v>
      </c>
      <c r="AE189" s="1315"/>
      <c r="AF189" s="1316"/>
      <c r="AG189" s="1298" t="str">
        <f t="shared" si="79"/>
        <v>6,3+6,3</v>
      </c>
      <c r="AH189" s="1347">
        <f>SUM(AH173+AH169)</f>
        <v>1.2262499999999998</v>
      </c>
      <c r="AI189" s="1347">
        <f t="shared" si="73"/>
        <v>3.7962499999999997</v>
      </c>
      <c r="AJ189" s="1304">
        <f>K189</f>
        <v>2.57</v>
      </c>
      <c r="AK189" s="1298" t="str">
        <f t="shared" si="81"/>
        <v>1 сутки</v>
      </c>
      <c r="AL189" s="1304">
        <f t="shared" ref="AL189:AL205" si="97">AI189-AJ189</f>
        <v>1.2262499999999998</v>
      </c>
      <c r="AM189" s="1298">
        <v>0</v>
      </c>
      <c r="AN189" s="893">
        <f t="shared" ref="AN189:AN205" si="98">MIN(AB189:AF189)*1.05</f>
        <v>6.6150000000000002</v>
      </c>
      <c r="AO189" s="1347">
        <f t="shared" ref="AO189:AO205" si="99">AN189-AL189-AM189</f>
        <v>5.3887499999999999</v>
      </c>
      <c r="AP189" s="1334"/>
      <c r="AQ189" s="1297" t="str">
        <f t="shared" si="74"/>
        <v/>
      </c>
      <c r="AR189" s="1298" t="str">
        <f>IF(AP188&lt;0,"закрыт","")</f>
        <v/>
      </c>
      <c r="AS189" s="1306"/>
      <c r="AT189" s="954" t="s">
        <v>757</v>
      </c>
      <c r="AU189" s="1113">
        <v>1960</v>
      </c>
      <c r="AV189" s="1119" t="s">
        <v>3286</v>
      </c>
      <c r="AW189" s="1121">
        <v>57.2552919177947</v>
      </c>
      <c r="AX189" s="1121">
        <v>37.140592446362398</v>
      </c>
    </row>
    <row r="190" spans="1:50" ht="20.100000000000001" customHeight="1" x14ac:dyDescent="0.25">
      <c r="A190" s="1375"/>
      <c r="B190" s="1375"/>
      <c r="C190" s="84" t="s">
        <v>1791</v>
      </c>
      <c r="D190" s="230">
        <v>6.3</v>
      </c>
      <c r="E190" s="229" t="s">
        <v>785</v>
      </c>
      <c r="F190" s="229">
        <v>6.3</v>
      </c>
      <c r="G190" s="229"/>
      <c r="H190" s="228"/>
      <c r="I190" s="229" t="str">
        <f t="shared" si="75"/>
        <v>6,3+6,3</v>
      </c>
      <c r="J190" s="895">
        <v>2.34</v>
      </c>
      <c r="K190" s="23">
        <v>0</v>
      </c>
      <c r="L190" s="90">
        <v>0</v>
      </c>
      <c r="M190" s="23">
        <f t="shared" si="94"/>
        <v>2.34</v>
      </c>
      <c r="N190" s="172">
        <v>0</v>
      </c>
      <c r="O190" s="893"/>
      <c r="P190" s="893">
        <f t="shared" si="95"/>
        <v>6.6150000000000002</v>
      </c>
      <c r="Q190" s="23">
        <f t="shared" si="96"/>
        <v>4.2750000000000004</v>
      </c>
      <c r="R190" s="1380"/>
      <c r="S190" s="1363" t="str">
        <f t="shared" si="72"/>
        <v/>
      </c>
      <c r="T190" s="257" t="str">
        <f>IF(R188&lt;0,"закрыт","")</f>
        <v/>
      </c>
      <c r="U190" s="1363"/>
      <c r="V190" s="257"/>
      <c r="W190" s="257"/>
      <c r="X190" s="929"/>
      <c r="Y190" s="1375"/>
      <c r="Z190" s="1338"/>
      <c r="AA190" s="1337" t="s">
        <v>1791</v>
      </c>
      <c r="AB190" s="230">
        <f t="shared" si="76"/>
        <v>6.3</v>
      </c>
      <c r="AC190" s="1315" t="str">
        <f t="shared" si="77"/>
        <v>+</v>
      </c>
      <c r="AD190" s="1315">
        <f t="shared" si="78"/>
        <v>6.3</v>
      </c>
      <c r="AE190" s="1315"/>
      <c r="AF190" s="1316"/>
      <c r="AG190" s="1298" t="str">
        <f t="shared" si="79"/>
        <v>6,3+6,3</v>
      </c>
      <c r="AH190" s="1347">
        <f>'Зона КиЭс  '!L193</f>
        <v>0.25</v>
      </c>
      <c r="AI190" s="1347">
        <f t="shared" si="73"/>
        <v>2.59</v>
      </c>
      <c r="AJ190" s="1304">
        <f t="shared" si="80"/>
        <v>0</v>
      </c>
      <c r="AK190" s="1298">
        <f t="shared" si="81"/>
        <v>0</v>
      </c>
      <c r="AL190" s="1304">
        <f t="shared" si="97"/>
        <v>2.59</v>
      </c>
      <c r="AM190" s="1298">
        <v>0</v>
      </c>
      <c r="AN190" s="893">
        <f t="shared" si="98"/>
        <v>6.6150000000000002</v>
      </c>
      <c r="AO190" s="1347">
        <f t="shared" si="99"/>
        <v>4.0250000000000004</v>
      </c>
      <c r="AP190" s="1335"/>
      <c r="AQ190" s="1297" t="str">
        <f t="shared" si="74"/>
        <v/>
      </c>
      <c r="AR190" s="1298" t="str">
        <f>IF(AP188&lt;0,"закрыт","")</f>
        <v/>
      </c>
      <c r="AS190" s="1307"/>
      <c r="AT190" s="954" t="s">
        <v>757</v>
      </c>
      <c r="AU190" s="1113">
        <v>1960</v>
      </c>
      <c r="AV190" s="1119" t="s">
        <v>3286</v>
      </c>
      <c r="AW190" s="1121">
        <v>57.2552919177947</v>
      </c>
      <c r="AX190" s="1121">
        <v>37.140592446362398</v>
      </c>
    </row>
    <row r="191" spans="1:50" ht="20.100000000000001" customHeight="1" x14ac:dyDescent="0.25">
      <c r="A191" s="1375">
        <v>140</v>
      </c>
      <c r="B191" s="1375">
        <v>30</v>
      </c>
      <c r="C191" s="84" t="s">
        <v>143</v>
      </c>
      <c r="D191" s="230">
        <v>6.3</v>
      </c>
      <c r="E191" s="229" t="s">
        <v>785</v>
      </c>
      <c r="F191" s="229">
        <v>6.3</v>
      </c>
      <c r="G191" s="229"/>
      <c r="H191" s="228"/>
      <c r="I191" s="229" t="str">
        <f t="shared" si="75"/>
        <v>6,3+6,3</v>
      </c>
      <c r="J191" s="895">
        <v>2.29</v>
      </c>
      <c r="K191" s="901">
        <v>0.19</v>
      </c>
      <c r="L191" s="84" t="s">
        <v>335</v>
      </c>
      <c r="M191" s="23">
        <f t="shared" si="94"/>
        <v>2.1</v>
      </c>
      <c r="N191" s="172">
        <v>0</v>
      </c>
      <c r="O191" s="893"/>
      <c r="P191" s="893">
        <f t="shared" si="95"/>
        <v>6.6150000000000002</v>
      </c>
      <c r="Q191" s="23">
        <f t="shared" si="96"/>
        <v>4.5150000000000006</v>
      </c>
      <c r="R191" s="1380">
        <f>MIN(Q191:Q193)</f>
        <v>4.5150000000000006</v>
      </c>
      <c r="S191" s="1362" t="str">
        <f t="shared" si="72"/>
        <v/>
      </c>
      <c r="T191" s="257" t="str">
        <f>IF(R191&lt;0,"закрыт","")</f>
        <v/>
      </c>
      <c r="U191" s="1362">
        <f>(J191*100)/P191</f>
        <v>34.618291761148903</v>
      </c>
      <c r="V191" s="1197">
        <v>0.56999999999999995</v>
      </c>
      <c r="W191" s="768" t="s">
        <v>3088</v>
      </c>
      <c r="X191" s="929"/>
      <c r="Y191" s="1375">
        <v>140</v>
      </c>
      <c r="Z191" s="1338">
        <v>30</v>
      </c>
      <c r="AA191" s="1337" t="s">
        <v>143</v>
      </c>
      <c r="AB191" s="230">
        <f t="shared" si="76"/>
        <v>6.3</v>
      </c>
      <c r="AC191" s="1315" t="str">
        <f t="shared" si="77"/>
        <v>+</v>
      </c>
      <c r="AD191" s="1315">
        <f t="shared" si="78"/>
        <v>6.3</v>
      </c>
      <c r="AE191" s="1315"/>
      <c r="AF191" s="1316"/>
      <c r="AG191" s="1298" t="str">
        <f t="shared" si="79"/>
        <v>6,3+6,3</v>
      </c>
      <c r="AH191" s="1347">
        <f>SUM(AH192:AH193)</f>
        <v>0.92562500000000003</v>
      </c>
      <c r="AI191" s="1347">
        <f t="shared" si="73"/>
        <v>3.2156250000000002</v>
      </c>
      <c r="AJ191" s="1304">
        <f t="shared" si="80"/>
        <v>0.19</v>
      </c>
      <c r="AK191" s="1298" t="str">
        <f t="shared" si="81"/>
        <v>1 сутки</v>
      </c>
      <c r="AL191" s="1304">
        <f t="shared" si="97"/>
        <v>3.0256250000000002</v>
      </c>
      <c r="AM191" s="1298">
        <v>0</v>
      </c>
      <c r="AN191" s="893">
        <f t="shared" si="98"/>
        <v>6.6150000000000002</v>
      </c>
      <c r="AO191" s="1347">
        <f t="shared" si="99"/>
        <v>3.589375</v>
      </c>
      <c r="AP191" s="1333">
        <f>MIN(AO191:AO193)</f>
        <v>3.589375</v>
      </c>
      <c r="AQ191" s="1296" t="str">
        <f t="shared" si="74"/>
        <v/>
      </c>
      <c r="AR191" s="1298" t="str">
        <f>IF(AP191&lt;0,"закрыт","")</f>
        <v/>
      </c>
      <c r="AS191" s="1305">
        <f>(AI191*100)/AN191</f>
        <v>48.611111111111107</v>
      </c>
      <c r="AT191" s="954" t="s">
        <v>757</v>
      </c>
      <c r="AU191" s="1113">
        <v>1963</v>
      </c>
      <c r="AV191" s="1119" t="s">
        <v>3286</v>
      </c>
      <c r="AW191" s="1121">
        <v>57.156631058685001</v>
      </c>
      <c r="AX191" s="1121">
        <v>36.744036796905199</v>
      </c>
    </row>
    <row r="192" spans="1:50" ht="20.100000000000001" customHeight="1" x14ac:dyDescent="0.25">
      <c r="A192" s="1375"/>
      <c r="B192" s="1375"/>
      <c r="C192" s="84" t="s">
        <v>1792</v>
      </c>
      <c r="D192" s="230">
        <v>6.3</v>
      </c>
      <c r="E192" s="229" t="s">
        <v>785</v>
      </c>
      <c r="F192" s="229">
        <v>6.3</v>
      </c>
      <c r="G192" s="229"/>
      <c r="H192" s="228"/>
      <c r="I192" s="229" t="str">
        <f t="shared" si="75"/>
        <v>6,3+6,3</v>
      </c>
      <c r="J192" s="895">
        <v>0.19</v>
      </c>
      <c r="K192" s="901">
        <v>0.19</v>
      </c>
      <c r="L192" s="84" t="s">
        <v>335</v>
      </c>
      <c r="M192" s="23">
        <f t="shared" si="94"/>
        <v>0</v>
      </c>
      <c r="N192" s="172">
        <v>0</v>
      </c>
      <c r="O192" s="893"/>
      <c r="P192" s="893">
        <f t="shared" si="95"/>
        <v>6.6150000000000002</v>
      </c>
      <c r="Q192" s="23">
        <f t="shared" si="96"/>
        <v>6.6150000000000002</v>
      </c>
      <c r="R192" s="1380"/>
      <c r="S192" s="1363" t="str">
        <f t="shared" si="72"/>
        <v/>
      </c>
      <c r="T192" s="257" t="str">
        <f>IF(R191&lt;0,"закрыт","")</f>
        <v/>
      </c>
      <c r="U192" s="1363"/>
      <c r="V192" s="257"/>
      <c r="W192" s="257"/>
      <c r="X192" s="929"/>
      <c r="Y192" s="1375"/>
      <c r="Z192" s="1338"/>
      <c r="AA192" s="1337" t="s">
        <v>1792</v>
      </c>
      <c r="AB192" s="230">
        <f t="shared" si="76"/>
        <v>6.3</v>
      </c>
      <c r="AC192" s="1315" t="str">
        <f t="shared" si="77"/>
        <v>+</v>
      </c>
      <c r="AD192" s="1315">
        <f t="shared" si="78"/>
        <v>6.3</v>
      </c>
      <c r="AE192" s="1315"/>
      <c r="AF192" s="1316"/>
      <c r="AG192" s="1298" t="str">
        <f t="shared" si="79"/>
        <v>6,3+6,3</v>
      </c>
      <c r="AH192" s="1347">
        <f>SUM(AH174)</f>
        <v>0</v>
      </c>
      <c r="AI192" s="1347">
        <f t="shared" si="73"/>
        <v>0.19</v>
      </c>
      <c r="AJ192" s="1304">
        <f t="shared" si="80"/>
        <v>0.19</v>
      </c>
      <c r="AK192" s="1298" t="str">
        <f t="shared" si="81"/>
        <v>1 сутки</v>
      </c>
      <c r="AL192" s="1304">
        <f t="shared" si="97"/>
        <v>0</v>
      </c>
      <c r="AM192" s="1298">
        <v>0</v>
      </c>
      <c r="AN192" s="893">
        <f t="shared" si="98"/>
        <v>6.6150000000000002</v>
      </c>
      <c r="AO192" s="1347">
        <f t="shared" si="99"/>
        <v>6.6150000000000002</v>
      </c>
      <c r="AP192" s="1334"/>
      <c r="AQ192" s="1297" t="str">
        <f t="shared" si="74"/>
        <v/>
      </c>
      <c r="AR192" s="1298" t="str">
        <f>IF(AP191&lt;0,"закрыт","")</f>
        <v/>
      </c>
      <c r="AS192" s="1306"/>
      <c r="AT192" s="954" t="s">
        <v>757</v>
      </c>
      <c r="AU192" s="1113">
        <v>1963</v>
      </c>
      <c r="AV192" s="1119" t="s">
        <v>3286</v>
      </c>
      <c r="AW192" s="1121">
        <v>57.156631058685001</v>
      </c>
      <c r="AX192" s="1121">
        <v>36.744036796905199</v>
      </c>
    </row>
    <row r="193" spans="1:50" ht="20.100000000000001" customHeight="1" x14ac:dyDescent="0.25">
      <c r="A193" s="1375"/>
      <c r="B193" s="1375"/>
      <c r="C193" s="84" t="s">
        <v>1791</v>
      </c>
      <c r="D193" s="230">
        <v>6.3</v>
      </c>
      <c r="E193" s="229" t="s">
        <v>785</v>
      </c>
      <c r="F193" s="229">
        <v>6.3</v>
      </c>
      <c r="G193" s="229"/>
      <c r="H193" s="228"/>
      <c r="I193" s="229" t="str">
        <f t="shared" si="75"/>
        <v>6,3+6,3</v>
      </c>
      <c r="J193" s="895">
        <v>2.1</v>
      </c>
      <c r="K193" s="23">
        <v>0</v>
      </c>
      <c r="L193" s="90">
        <v>0</v>
      </c>
      <c r="M193" s="23">
        <f t="shared" si="94"/>
        <v>2.1</v>
      </c>
      <c r="N193" s="172">
        <v>0</v>
      </c>
      <c r="O193" s="893"/>
      <c r="P193" s="893">
        <f t="shared" si="95"/>
        <v>6.6150000000000002</v>
      </c>
      <c r="Q193" s="23">
        <f t="shared" si="96"/>
        <v>4.5150000000000006</v>
      </c>
      <c r="R193" s="1380"/>
      <c r="S193" s="1363" t="str">
        <f t="shared" si="72"/>
        <v/>
      </c>
      <c r="T193" s="257" t="str">
        <f>IF(R191&lt;0,"закрыт","")</f>
        <v/>
      </c>
      <c r="U193" s="1363"/>
      <c r="V193" s="257"/>
      <c r="W193" s="257"/>
      <c r="X193" s="929"/>
      <c r="Y193" s="1375"/>
      <c r="Z193" s="1338"/>
      <c r="AA193" s="1337" t="s">
        <v>1791</v>
      </c>
      <c r="AB193" s="230">
        <f t="shared" si="76"/>
        <v>6.3</v>
      </c>
      <c r="AC193" s="1315" t="str">
        <f t="shared" si="77"/>
        <v>+</v>
      </c>
      <c r="AD193" s="1315">
        <f t="shared" si="78"/>
        <v>6.3</v>
      </c>
      <c r="AE193" s="1315"/>
      <c r="AF193" s="1316"/>
      <c r="AG193" s="1298" t="str">
        <f t="shared" si="79"/>
        <v>6,3+6,3</v>
      </c>
      <c r="AH193" s="1347">
        <f>'Зона КиЭс  '!L197</f>
        <v>0.92562500000000003</v>
      </c>
      <c r="AI193" s="1347">
        <f t="shared" si="73"/>
        <v>3.0256250000000002</v>
      </c>
      <c r="AJ193" s="1304">
        <f t="shared" si="80"/>
        <v>0</v>
      </c>
      <c r="AK193" s="1298">
        <f t="shared" si="81"/>
        <v>0</v>
      </c>
      <c r="AL193" s="1304">
        <f t="shared" si="97"/>
        <v>3.0256250000000002</v>
      </c>
      <c r="AM193" s="1298">
        <v>0</v>
      </c>
      <c r="AN193" s="893">
        <f t="shared" si="98"/>
        <v>6.6150000000000002</v>
      </c>
      <c r="AO193" s="1347">
        <f t="shared" si="99"/>
        <v>3.589375</v>
      </c>
      <c r="AP193" s="1335"/>
      <c r="AQ193" s="1297" t="str">
        <f t="shared" si="74"/>
        <v/>
      </c>
      <c r="AR193" s="1298" t="str">
        <f>IF(AP191&lt;0,"закрыт","")</f>
        <v/>
      </c>
      <c r="AS193" s="1307"/>
      <c r="AT193" s="954" t="s">
        <v>757</v>
      </c>
      <c r="AU193" s="1113">
        <v>1963</v>
      </c>
      <c r="AV193" s="1119" t="s">
        <v>3286</v>
      </c>
      <c r="AW193" s="1121">
        <v>57.156631058685001</v>
      </c>
      <c r="AX193" s="1121">
        <v>36.744036796905199</v>
      </c>
    </row>
    <row r="194" spans="1:50" ht="20.100000000000001" customHeight="1" x14ac:dyDescent="0.25">
      <c r="A194" s="1375">
        <v>141</v>
      </c>
      <c r="B194" s="1375">
        <v>31</v>
      </c>
      <c r="C194" s="84" t="s">
        <v>144</v>
      </c>
      <c r="D194" s="230">
        <v>16</v>
      </c>
      <c r="E194" s="229" t="s">
        <v>785</v>
      </c>
      <c r="F194" s="229">
        <v>16</v>
      </c>
      <c r="G194" s="229"/>
      <c r="H194" s="228"/>
      <c r="I194" s="229" t="str">
        <f t="shared" si="75"/>
        <v>16+16</v>
      </c>
      <c r="J194" s="895">
        <v>18.18</v>
      </c>
      <c r="K194" s="901">
        <v>0</v>
      </c>
      <c r="L194" s="90">
        <v>0</v>
      </c>
      <c r="M194" s="23">
        <f t="shared" si="94"/>
        <v>18.18</v>
      </c>
      <c r="N194" s="172">
        <v>0</v>
      </c>
      <c r="O194" s="893"/>
      <c r="P194" s="893">
        <f t="shared" si="95"/>
        <v>16.8</v>
      </c>
      <c r="Q194" s="23">
        <f t="shared" si="96"/>
        <v>-1.379999999999999</v>
      </c>
      <c r="R194" s="1372">
        <f>MIN(Q194:Q196)</f>
        <v>-1.379999999999999</v>
      </c>
      <c r="S194" s="1362" t="str">
        <f>T194</f>
        <v>закрыт</v>
      </c>
      <c r="T194" s="257" t="str">
        <f>IF(R194&lt;0,"закрыт","")</f>
        <v>закрыт</v>
      </c>
      <c r="U194" s="1362">
        <f>(J194*100)/P194</f>
        <v>108.21428571428571</v>
      </c>
      <c r="V194" s="1194">
        <v>0.35</v>
      </c>
      <c r="W194" s="1195" t="s">
        <v>3088</v>
      </c>
      <c r="X194" s="929"/>
      <c r="Y194" s="1375">
        <v>141</v>
      </c>
      <c r="Z194" s="1338">
        <v>31</v>
      </c>
      <c r="AA194" s="1337" t="s">
        <v>144</v>
      </c>
      <c r="AB194" s="230">
        <f t="shared" si="76"/>
        <v>16</v>
      </c>
      <c r="AC194" s="1315" t="str">
        <f t="shared" si="77"/>
        <v>+</v>
      </c>
      <c r="AD194" s="1315">
        <f t="shared" si="78"/>
        <v>16</v>
      </c>
      <c r="AE194" s="1315"/>
      <c r="AF194" s="1316"/>
      <c r="AG194" s="1298" t="str">
        <f t="shared" si="79"/>
        <v>16+16</v>
      </c>
      <c r="AH194" s="1347">
        <f>SUM(AH195:AH196)</f>
        <v>4.0949999999999998</v>
      </c>
      <c r="AI194" s="1347">
        <f t="shared" si="73"/>
        <v>22.274999999999999</v>
      </c>
      <c r="AJ194" s="1304">
        <f t="shared" si="80"/>
        <v>0</v>
      </c>
      <c r="AK194" s="1298">
        <f t="shared" si="81"/>
        <v>0</v>
      </c>
      <c r="AL194" s="1304">
        <f t="shared" si="97"/>
        <v>22.274999999999999</v>
      </c>
      <c r="AM194" s="1298">
        <v>0</v>
      </c>
      <c r="AN194" s="893">
        <f t="shared" si="98"/>
        <v>16.8</v>
      </c>
      <c r="AO194" s="1347">
        <f t="shared" si="99"/>
        <v>-5.4749999999999979</v>
      </c>
      <c r="AP194" s="1333">
        <f>MIN(AO194:AO196)</f>
        <v>-5.4749999999999979</v>
      </c>
      <c r="AQ194" s="1299" t="str">
        <f>AR194</f>
        <v>закрыт</v>
      </c>
      <c r="AR194" s="1298" t="str">
        <f>IF(AP194&lt;0,"закрыт","")</f>
        <v>закрыт</v>
      </c>
      <c r="AS194" s="1305">
        <f>(AI194*100)/AN194</f>
        <v>132.58928571428572</v>
      </c>
      <c r="AT194" s="954" t="s">
        <v>757</v>
      </c>
      <c r="AU194" s="1113">
        <v>1982</v>
      </c>
      <c r="AV194" s="1119" t="s">
        <v>3286</v>
      </c>
      <c r="AW194" s="1121">
        <v>57.223869448804102</v>
      </c>
      <c r="AX194" s="1121">
        <v>37.802553604275602</v>
      </c>
    </row>
    <row r="195" spans="1:50" ht="20.100000000000001" customHeight="1" x14ac:dyDescent="0.25">
      <c r="A195" s="1375"/>
      <c r="B195" s="1375"/>
      <c r="C195" s="84" t="s">
        <v>1792</v>
      </c>
      <c r="D195" s="230">
        <v>16</v>
      </c>
      <c r="E195" s="229" t="s">
        <v>785</v>
      </c>
      <c r="F195" s="229">
        <v>16</v>
      </c>
      <c r="G195" s="229"/>
      <c r="H195" s="228"/>
      <c r="I195" s="229" t="str">
        <f t="shared" si="75"/>
        <v>16+16</v>
      </c>
      <c r="J195" s="895">
        <v>13.72</v>
      </c>
      <c r="K195" s="23">
        <v>0</v>
      </c>
      <c r="L195" s="90">
        <v>0</v>
      </c>
      <c r="M195" s="23">
        <f t="shared" si="94"/>
        <v>13.72</v>
      </c>
      <c r="N195" s="172">
        <v>0</v>
      </c>
      <c r="O195" s="893"/>
      <c r="P195" s="893">
        <f t="shared" si="95"/>
        <v>16.8</v>
      </c>
      <c r="Q195" s="23">
        <f t="shared" si="96"/>
        <v>3.08</v>
      </c>
      <c r="R195" s="1373"/>
      <c r="S195" s="1362"/>
      <c r="T195" s="257" t="str">
        <f>IF(R194&lt;0,"закрыт","")</f>
        <v>закрыт</v>
      </c>
      <c r="U195" s="1362"/>
      <c r="V195" s="1195"/>
      <c r="W195" s="1195"/>
      <c r="X195" s="929"/>
      <c r="Y195" s="1375"/>
      <c r="Z195" s="1338"/>
      <c r="AA195" s="1337" t="s">
        <v>1792</v>
      </c>
      <c r="AB195" s="230">
        <f t="shared" si="76"/>
        <v>16</v>
      </c>
      <c r="AC195" s="1315" t="str">
        <f t="shared" si="77"/>
        <v>+</v>
      </c>
      <c r="AD195" s="1315">
        <f t="shared" si="78"/>
        <v>16</v>
      </c>
      <c r="AE195" s="1315"/>
      <c r="AF195" s="1316"/>
      <c r="AG195" s="1298" t="str">
        <f t="shared" si="79"/>
        <v>16+16</v>
      </c>
      <c r="AH195" s="1347">
        <f>SUM(AH159+AH162+AH168+AH171+AH175)</f>
        <v>3.1312499999999996</v>
      </c>
      <c r="AI195" s="1347">
        <f t="shared" si="73"/>
        <v>16.85125</v>
      </c>
      <c r="AJ195" s="1304">
        <f t="shared" si="80"/>
        <v>0</v>
      </c>
      <c r="AK195" s="1298">
        <f t="shared" si="81"/>
        <v>0</v>
      </c>
      <c r="AL195" s="1304">
        <f t="shared" si="97"/>
        <v>16.85125</v>
      </c>
      <c r="AM195" s="1298">
        <v>0</v>
      </c>
      <c r="AN195" s="893">
        <f t="shared" si="98"/>
        <v>16.8</v>
      </c>
      <c r="AO195" s="1347">
        <f t="shared" si="99"/>
        <v>-5.1249999999999574E-2</v>
      </c>
      <c r="AP195" s="1334"/>
      <c r="AQ195" s="1302"/>
      <c r="AR195" s="1298" t="str">
        <f>IF(AP194&lt;0,"закрыт","")</f>
        <v>закрыт</v>
      </c>
      <c r="AS195" s="1306"/>
      <c r="AT195" s="954" t="s">
        <v>757</v>
      </c>
      <c r="AU195" s="1113">
        <v>1982</v>
      </c>
      <c r="AV195" s="1119" t="s">
        <v>3286</v>
      </c>
      <c r="AW195" s="1121">
        <v>57.223869448804102</v>
      </c>
      <c r="AX195" s="1121">
        <v>37.802553604275602</v>
      </c>
    </row>
    <row r="196" spans="1:50" ht="20.100000000000001" customHeight="1" x14ac:dyDescent="0.25">
      <c r="A196" s="1375"/>
      <c r="B196" s="1375"/>
      <c r="C196" s="84" t="s">
        <v>1791</v>
      </c>
      <c r="D196" s="230">
        <v>16</v>
      </c>
      <c r="E196" s="229" t="s">
        <v>785</v>
      </c>
      <c r="F196" s="229">
        <v>16</v>
      </c>
      <c r="G196" s="229"/>
      <c r="H196" s="228"/>
      <c r="I196" s="229" t="str">
        <f t="shared" si="75"/>
        <v>16+16</v>
      </c>
      <c r="J196" s="895">
        <v>4.46</v>
      </c>
      <c r="K196" s="23">
        <v>0</v>
      </c>
      <c r="L196" s="90">
        <v>0</v>
      </c>
      <c r="M196" s="23">
        <f t="shared" si="94"/>
        <v>4.46</v>
      </c>
      <c r="N196" s="172">
        <v>0</v>
      </c>
      <c r="O196" s="893"/>
      <c r="P196" s="893">
        <f t="shared" si="95"/>
        <v>16.8</v>
      </c>
      <c r="Q196" s="23">
        <f t="shared" si="96"/>
        <v>12.34</v>
      </c>
      <c r="R196" s="1374"/>
      <c r="S196" s="1362"/>
      <c r="T196" s="257" t="str">
        <f>IF(R194&lt;0,"закрыт","")</f>
        <v>закрыт</v>
      </c>
      <c r="U196" s="1362"/>
      <c r="V196" s="1195"/>
      <c r="W196" s="1195"/>
      <c r="X196" s="929"/>
      <c r="Y196" s="1375"/>
      <c r="Z196" s="1338"/>
      <c r="AA196" s="1337" t="s">
        <v>1791</v>
      </c>
      <c r="AB196" s="230">
        <f t="shared" si="76"/>
        <v>16</v>
      </c>
      <c r="AC196" s="1315" t="str">
        <f t="shared" si="77"/>
        <v>+</v>
      </c>
      <c r="AD196" s="1315">
        <f t="shared" si="78"/>
        <v>16</v>
      </c>
      <c r="AE196" s="1315"/>
      <c r="AF196" s="1316"/>
      <c r="AG196" s="1298" t="str">
        <f t="shared" si="79"/>
        <v>16+16</v>
      </c>
      <c r="AH196" s="1347">
        <f>'Зона КиЭс  '!L217</f>
        <v>0.96375</v>
      </c>
      <c r="AI196" s="1347">
        <f t="shared" si="73"/>
        <v>5.4237500000000001</v>
      </c>
      <c r="AJ196" s="1304">
        <f t="shared" si="80"/>
        <v>0</v>
      </c>
      <c r="AK196" s="1298">
        <f t="shared" si="81"/>
        <v>0</v>
      </c>
      <c r="AL196" s="1304">
        <f t="shared" si="97"/>
        <v>5.4237500000000001</v>
      </c>
      <c r="AM196" s="1298">
        <v>0</v>
      </c>
      <c r="AN196" s="893">
        <f t="shared" si="98"/>
        <v>16.8</v>
      </c>
      <c r="AO196" s="1347">
        <f t="shared" si="99"/>
        <v>11.376250000000001</v>
      </c>
      <c r="AP196" s="1335"/>
      <c r="AQ196" s="1303"/>
      <c r="AR196" s="1298" t="str">
        <f>IF(AP194&lt;0,"закрыт","")</f>
        <v>закрыт</v>
      </c>
      <c r="AS196" s="1307"/>
      <c r="AT196" s="954" t="s">
        <v>757</v>
      </c>
      <c r="AU196" s="1113">
        <v>1982</v>
      </c>
      <c r="AV196" s="1119" t="s">
        <v>3286</v>
      </c>
      <c r="AW196" s="1121">
        <v>57.223869448804102</v>
      </c>
      <c r="AX196" s="1121">
        <v>37.802553604275602</v>
      </c>
    </row>
    <row r="197" spans="1:50" ht="20.100000000000001" customHeight="1" x14ac:dyDescent="0.25">
      <c r="A197" s="1375">
        <v>142</v>
      </c>
      <c r="B197" s="1375">
        <v>32</v>
      </c>
      <c r="C197" s="84" t="s">
        <v>145</v>
      </c>
      <c r="D197" s="230">
        <v>25</v>
      </c>
      <c r="E197" s="229" t="s">
        <v>785</v>
      </c>
      <c r="F197" s="229">
        <v>25</v>
      </c>
      <c r="G197" s="229"/>
      <c r="H197" s="228"/>
      <c r="I197" s="229" t="str">
        <f t="shared" si="75"/>
        <v>25+25</v>
      </c>
      <c r="J197" s="895">
        <v>15.81</v>
      </c>
      <c r="K197" s="901">
        <v>0.28999999999999998</v>
      </c>
      <c r="L197" s="84" t="s">
        <v>335</v>
      </c>
      <c r="M197" s="23">
        <f t="shared" si="94"/>
        <v>15.520000000000001</v>
      </c>
      <c r="N197" s="172">
        <v>0</v>
      </c>
      <c r="O197" s="893"/>
      <c r="P197" s="893">
        <f t="shared" si="95"/>
        <v>26.25</v>
      </c>
      <c r="Q197" s="23">
        <f t="shared" si="96"/>
        <v>10.729999999999999</v>
      </c>
      <c r="R197" s="1380">
        <f>MIN(Q197:Q199)</f>
        <v>10.729999999999999</v>
      </c>
      <c r="S197" s="1362" t="str">
        <f t="shared" si="72"/>
        <v/>
      </c>
      <c r="T197" s="257" t="str">
        <f>IF(R197&lt;0,"закрыт","")</f>
        <v/>
      </c>
      <c r="U197" s="1362">
        <f>(J197*100)/P197</f>
        <v>60.228571428571428</v>
      </c>
      <c r="V197" s="1197">
        <v>0.51</v>
      </c>
      <c r="W197" s="768" t="s">
        <v>3088</v>
      </c>
      <c r="X197" s="929"/>
      <c r="Y197" s="1375">
        <v>142</v>
      </c>
      <c r="Z197" s="1338">
        <v>32</v>
      </c>
      <c r="AA197" s="1337" t="s">
        <v>145</v>
      </c>
      <c r="AB197" s="230">
        <f t="shared" si="76"/>
        <v>25</v>
      </c>
      <c r="AC197" s="1315" t="str">
        <f t="shared" si="77"/>
        <v>+</v>
      </c>
      <c r="AD197" s="1315">
        <f t="shared" si="78"/>
        <v>25</v>
      </c>
      <c r="AE197" s="1315"/>
      <c r="AF197" s="1316"/>
      <c r="AG197" s="1298" t="str">
        <f t="shared" si="79"/>
        <v>25+25</v>
      </c>
      <c r="AH197" s="1347">
        <f>SUM(AH198:AH199)</f>
        <v>3.1862499999999994</v>
      </c>
      <c r="AI197" s="1347">
        <f t="shared" si="73"/>
        <v>18.99625</v>
      </c>
      <c r="AJ197" s="1304">
        <f t="shared" si="80"/>
        <v>0.28999999999999998</v>
      </c>
      <c r="AK197" s="1298" t="str">
        <f t="shared" si="81"/>
        <v>1 сутки</v>
      </c>
      <c r="AL197" s="1304">
        <f t="shared" si="97"/>
        <v>18.706250000000001</v>
      </c>
      <c r="AM197" s="1298">
        <v>0</v>
      </c>
      <c r="AN197" s="893">
        <f t="shared" si="98"/>
        <v>26.25</v>
      </c>
      <c r="AO197" s="1347">
        <f t="shared" si="99"/>
        <v>7.5437499999999993</v>
      </c>
      <c r="AP197" s="1333">
        <f>MIN(AO197:AO199)</f>
        <v>7.5437499999999993</v>
      </c>
      <c r="AQ197" s="1296" t="str">
        <f t="shared" si="74"/>
        <v/>
      </c>
      <c r="AR197" s="1298" t="str">
        <f>IF(AP197&lt;0,"закрыт","")</f>
        <v/>
      </c>
      <c r="AS197" s="1305">
        <f>(AI197*100)/AN197</f>
        <v>72.36666666666666</v>
      </c>
      <c r="AT197" s="954" t="s">
        <v>757</v>
      </c>
      <c r="AU197" s="1113">
        <v>1963</v>
      </c>
      <c r="AV197" s="214">
        <v>2011</v>
      </c>
      <c r="AW197" s="1121">
        <v>57.351743114366101</v>
      </c>
      <c r="AX197" s="1121">
        <v>37.575931682148699</v>
      </c>
    </row>
    <row r="198" spans="1:50" ht="20.100000000000001" customHeight="1" x14ac:dyDescent="0.25">
      <c r="A198" s="1375"/>
      <c r="B198" s="1375"/>
      <c r="C198" s="84" t="s">
        <v>1792</v>
      </c>
      <c r="D198" s="230">
        <v>25</v>
      </c>
      <c r="E198" s="229" t="s">
        <v>785</v>
      </c>
      <c r="F198" s="229">
        <v>25</v>
      </c>
      <c r="G198" s="229"/>
      <c r="H198" s="228"/>
      <c r="I198" s="229" t="str">
        <f t="shared" si="75"/>
        <v>25+25</v>
      </c>
      <c r="J198" s="895">
        <v>5.98</v>
      </c>
      <c r="K198" s="23">
        <v>0.28999999999999998</v>
      </c>
      <c r="L198" s="84" t="s">
        <v>335</v>
      </c>
      <c r="M198" s="23">
        <f t="shared" si="94"/>
        <v>5.69</v>
      </c>
      <c r="N198" s="172">
        <v>0</v>
      </c>
      <c r="O198" s="893"/>
      <c r="P198" s="893">
        <f t="shared" si="95"/>
        <v>26.25</v>
      </c>
      <c r="Q198" s="23">
        <f t="shared" si="96"/>
        <v>20.56</v>
      </c>
      <c r="R198" s="1380"/>
      <c r="S198" s="1363" t="str">
        <f t="shared" si="72"/>
        <v/>
      </c>
      <c r="T198" s="257" t="str">
        <f>IF(R197&lt;0,"закрыт","")</f>
        <v/>
      </c>
      <c r="U198" s="1363"/>
      <c r="V198" s="257"/>
      <c r="W198" s="257"/>
      <c r="X198" s="929"/>
      <c r="Y198" s="1375"/>
      <c r="Z198" s="1338"/>
      <c r="AA198" s="1337" t="s">
        <v>1792</v>
      </c>
      <c r="AB198" s="230">
        <f t="shared" si="76"/>
        <v>25</v>
      </c>
      <c r="AC198" s="1315" t="str">
        <f t="shared" si="77"/>
        <v>+</v>
      </c>
      <c r="AD198" s="1315">
        <f t="shared" si="78"/>
        <v>25</v>
      </c>
      <c r="AE198" s="1315"/>
      <c r="AF198" s="1316"/>
      <c r="AG198" s="1298" t="str">
        <f t="shared" si="79"/>
        <v>25+25</v>
      </c>
      <c r="AH198" s="1347">
        <f>SUM(AH157+AH164+AH165+AH178)</f>
        <v>2.5424999999999995</v>
      </c>
      <c r="AI198" s="1347">
        <f t="shared" si="73"/>
        <v>8.5225000000000009</v>
      </c>
      <c r="AJ198" s="1304">
        <f t="shared" si="80"/>
        <v>0.28999999999999998</v>
      </c>
      <c r="AK198" s="1298" t="str">
        <f t="shared" si="81"/>
        <v>1 сутки</v>
      </c>
      <c r="AL198" s="1304">
        <f t="shared" si="97"/>
        <v>8.2325000000000017</v>
      </c>
      <c r="AM198" s="1298">
        <v>0</v>
      </c>
      <c r="AN198" s="893">
        <f t="shared" si="98"/>
        <v>26.25</v>
      </c>
      <c r="AO198" s="1347">
        <f t="shared" si="99"/>
        <v>18.017499999999998</v>
      </c>
      <c r="AP198" s="1334"/>
      <c r="AQ198" s="1297" t="str">
        <f t="shared" si="74"/>
        <v/>
      </c>
      <c r="AR198" s="1298" t="str">
        <f>IF(AP197&lt;0,"закрыт","")</f>
        <v/>
      </c>
      <c r="AS198" s="1306"/>
      <c r="AT198" s="954" t="s">
        <v>757</v>
      </c>
      <c r="AU198" s="1113">
        <v>1963</v>
      </c>
      <c r="AV198" s="214">
        <v>2011</v>
      </c>
      <c r="AW198" s="1121">
        <v>57.351743114366101</v>
      </c>
      <c r="AX198" s="1121">
        <v>37.575931682148699</v>
      </c>
    </row>
    <row r="199" spans="1:50" ht="20.100000000000001" customHeight="1" x14ac:dyDescent="0.25">
      <c r="A199" s="1375"/>
      <c r="B199" s="1375"/>
      <c r="C199" s="84" t="s">
        <v>1791</v>
      </c>
      <c r="D199" s="230">
        <v>25</v>
      </c>
      <c r="E199" s="229" t="s">
        <v>785</v>
      </c>
      <c r="F199" s="229">
        <v>25</v>
      </c>
      <c r="G199" s="229"/>
      <c r="H199" s="228"/>
      <c r="I199" s="229" t="str">
        <f t="shared" si="75"/>
        <v>25+25</v>
      </c>
      <c r="J199" s="895">
        <v>9.83</v>
      </c>
      <c r="K199" s="23">
        <v>0</v>
      </c>
      <c r="L199" s="90">
        <v>0</v>
      </c>
      <c r="M199" s="23">
        <f t="shared" si="94"/>
        <v>9.83</v>
      </c>
      <c r="N199" s="172">
        <v>0</v>
      </c>
      <c r="O199" s="893"/>
      <c r="P199" s="893">
        <f t="shared" si="95"/>
        <v>26.25</v>
      </c>
      <c r="Q199" s="23">
        <f t="shared" si="96"/>
        <v>16.420000000000002</v>
      </c>
      <c r="R199" s="1380"/>
      <c r="S199" s="1363" t="str">
        <f t="shared" si="72"/>
        <v/>
      </c>
      <c r="T199" s="257" t="str">
        <f>IF(R197&lt;0,"закрыт","")</f>
        <v/>
      </c>
      <c r="U199" s="1363"/>
      <c r="V199" s="257"/>
      <c r="W199" s="257"/>
      <c r="X199" s="929"/>
      <c r="Y199" s="1375"/>
      <c r="Z199" s="1338"/>
      <c r="AA199" s="1337" t="s">
        <v>1791</v>
      </c>
      <c r="AB199" s="230">
        <f t="shared" si="76"/>
        <v>25</v>
      </c>
      <c r="AC199" s="1315" t="str">
        <f t="shared" si="77"/>
        <v>+</v>
      </c>
      <c r="AD199" s="1315">
        <f t="shared" si="78"/>
        <v>25</v>
      </c>
      <c r="AE199" s="1315"/>
      <c r="AF199" s="1316"/>
      <c r="AG199" s="1298" t="str">
        <f t="shared" si="79"/>
        <v>25+25</v>
      </c>
      <c r="AH199" s="1347">
        <f>'Зона КиЭс  '!L229</f>
        <v>0.64374999999999982</v>
      </c>
      <c r="AI199" s="1347">
        <f t="shared" si="73"/>
        <v>10.473749999999999</v>
      </c>
      <c r="AJ199" s="1304">
        <f t="shared" si="80"/>
        <v>0</v>
      </c>
      <c r="AK199" s="1298">
        <f t="shared" si="81"/>
        <v>0</v>
      </c>
      <c r="AL199" s="1304">
        <f t="shared" si="97"/>
        <v>10.473749999999999</v>
      </c>
      <c r="AM199" s="1298">
        <v>0</v>
      </c>
      <c r="AN199" s="893">
        <f t="shared" si="98"/>
        <v>26.25</v>
      </c>
      <c r="AO199" s="1347">
        <f t="shared" si="99"/>
        <v>15.776250000000001</v>
      </c>
      <c r="AP199" s="1335"/>
      <c r="AQ199" s="1297" t="str">
        <f t="shared" si="74"/>
        <v/>
      </c>
      <c r="AR199" s="1298" t="str">
        <f>IF(AP197&lt;0,"закрыт","")</f>
        <v/>
      </c>
      <c r="AS199" s="1307"/>
      <c r="AT199" s="954" t="s">
        <v>757</v>
      </c>
      <c r="AU199" s="1113">
        <v>1963</v>
      </c>
      <c r="AV199" s="214">
        <v>2011</v>
      </c>
      <c r="AW199" s="1121">
        <v>57.351743114366101</v>
      </c>
      <c r="AX199" s="1121">
        <v>37.575931682148699</v>
      </c>
    </row>
    <row r="200" spans="1:50" ht="20.100000000000001" customHeight="1" x14ac:dyDescent="0.25">
      <c r="A200" s="1375">
        <v>143</v>
      </c>
      <c r="B200" s="1375">
        <v>33</v>
      </c>
      <c r="C200" s="84" t="s">
        <v>146</v>
      </c>
      <c r="D200" s="230">
        <v>40</v>
      </c>
      <c r="E200" s="229" t="s">
        <v>785</v>
      </c>
      <c r="F200" s="229">
        <v>25</v>
      </c>
      <c r="G200" s="229"/>
      <c r="H200" s="228"/>
      <c r="I200" s="229" t="str">
        <f t="shared" si="75"/>
        <v>40+25</v>
      </c>
      <c r="J200" s="895">
        <v>32.96</v>
      </c>
      <c r="K200" s="901">
        <v>0.19</v>
      </c>
      <c r="L200" s="84" t="s">
        <v>335</v>
      </c>
      <c r="M200" s="23">
        <f t="shared" si="94"/>
        <v>32.770000000000003</v>
      </c>
      <c r="N200" s="172">
        <v>0</v>
      </c>
      <c r="O200" s="893"/>
      <c r="P200" s="893">
        <f>MIN(D200:F200)*1.05</f>
        <v>26.25</v>
      </c>
      <c r="Q200" s="23">
        <f t="shared" si="96"/>
        <v>-6.5200000000000031</v>
      </c>
      <c r="R200" s="1372">
        <f>MIN(Q200:Q202)</f>
        <v>-6.5200000000000031</v>
      </c>
      <c r="S200" s="1362" t="str">
        <f>T200</f>
        <v>закрыт</v>
      </c>
      <c r="T200" s="257" t="str">
        <f>IF(R200&lt;0,"закрыт","")</f>
        <v>закрыт</v>
      </c>
      <c r="U200" s="1362">
        <f>(J200*100)/P200</f>
        <v>125.56190476190476</v>
      </c>
      <c r="V200" s="1194">
        <v>0.45</v>
      </c>
      <c r="W200" s="1195" t="s">
        <v>3088</v>
      </c>
      <c r="X200" s="929"/>
      <c r="Y200" s="1375">
        <v>143</v>
      </c>
      <c r="Z200" s="1338">
        <v>33</v>
      </c>
      <c r="AA200" s="1337" t="s">
        <v>146</v>
      </c>
      <c r="AB200" s="230">
        <f t="shared" si="76"/>
        <v>40</v>
      </c>
      <c r="AC200" s="1315" t="str">
        <f t="shared" si="77"/>
        <v>+</v>
      </c>
      <c r="AD200" s="1315">
        <f t="shared" si="78"/>
        <v>25</v>
      </c>
      <c r="AE200" s="1315"/>
      <c r="AF200" s="1316"/>
      <c r="AG200" s="1298" t="str">
        <f t="shared" si="79"/>
        <v>40+25</v>
      </c>
      <c r="AH200" s="1347">
        <f>SUM(AH201:AH202)</f>
        <v>6.8831249999999997</v>
      </c>
      <c r="AI200" s="1347">
        <f t="shared" ref="AI200:AI225" si="100">AH200+J200</f>
        <v>39.843125000000001</v>
      </c>
      <c r="AJ200" s="1304">
        <f t="shared" si="80"/>
        <v>0.19</v>
      </c>
      <c r="AK200" s="1298" t="str">
        <f t="shared" si="81"/>
        <v>1 сутки</v>
      </c>
      <c r="AL200" s="1304">
        <f t="shared" si="97"/>
        <v>39.653125000000003</v>
      </c>
      <c r="AM200" s="1298">
        <v>0</v>
      </c>
      <c r="AN200" s="893">
        <f t="shared" si="98"/>
        <v>26.25</v>
      </c>
      <c r="AO200" s="1347">
        <f t="shared" si="99"/>
        <v>-13.403125000000003</v>
      </c>
      <c r="AP200" s="1333">
        <f>MIN(AO200:AO202)</f>
        <v>-13.403125000000003</v>
      </c>
      <c r="AQ200" s="1299" t="str">
        <f>AR200</f>
        <v>закрыт</v>
      </c>
      <c r="AR200" s="1298" t="str">
        <f>IF(AP200&lt;0,"закрыт","")</f>
        <v>закрыт</v>
      </c>
      <c r="AS200" s="1305">
        <f>(AI200*100)/AN200</f>
        <v>151.78333333333333</v>
      </c>
      <c r="AT200" s="954" t="s">
        <v>757</v>
      </c>
      <c r="AU200" s="1113">
        <v>1980</v>
      </c>
      <c r="AV200" s="1119" t="s">
        <v>3286</v>
      </c>
      <c r="AW200" s="1121">
        <v>56.853632203928001</v>
      </c>
      <c r="AX200" s="1121">
        <v>37.335026857522202</v>
      </c>
    </row>
    <row r="201" spans="1:50" ht="20.100000000000001" customHeight="1" x14ac:dyDescent="0.25">
      <c r="A201" s="1375"/>
      <c r="B201" s="1375"/>
      <c r="C201" s="84" t="s">
        <v>1792</v>
      </c>
      <c r="D201" s="230">
        <v>40</v>
      </c>
      <c r="E201" s="229" t="s">
        <v>785</v>
      </c>
      <c r="F201" s="229">
        <v>25</v>
      </c>
      <c r="G201" s="229"/>
      <c r="H201" s="228"/>
      <c r="I201" s="229" t="str">
        <f t="shared" ref="I201:I264" si="101">CONCATENATE(D201,E201,F201,G201,H201)</f>
        <v>40+25</v>
      </c>
      <c r="J201" s="895">
        <v>22.64</v>
      </c>
      <c r="K201" s="23">
        <v>0.19</v>
      </c>
      <c r="L201" s="84" t="s">
        <v>335</v>
      </c>
      <c r="M201" s="23">
        <f t="shared" si="94"/>
        <v>22.45</v>
      </c>
      <c r="N201" s="172">
        <v>0</v>
      </c>
      <c r="O201" s="893"/>
      <c r="P201" s="893">
        <f t="shared" si="95"/>
        <v>26.25</v>
      </c>
      <c r="Q201" s="23">
        <f t="shared" si="96"/>
        <v>3.8000000000000007</v>
      </c>
      <c r="R201" s="1373"/>
      <c r="S201" s="1362"/>
      <c r="T201" s="258" t="str">
        <f>IF(R200&lt;0,"закрыт","")</f>
        <v>закрыт</v>
      </c>
      <c r="U201" s="1362"/>
      <c r="V201" s="1195"/>
      <c r="W201" s="1195"/>
      <c r="X201" s="929"/>
      <c r="Y201" s="1375"/>
      <c r="Z201" s="1338"/>
      <c r="AA201" s="1337" t="s">
        <v>1792</v>
      </c>
      <c r="AB201" s="230">
        <f t="shared" ref="AB201:AB264" si="102">D201</f>
        <v>40</v>
      </c>
      <c r="AC201" s="1315" t="str">
        <f t="shared" ref="AC201:AC264" si="103">E201</f>
        <v>+</v>
      </c>
      <c r="AD201" s="1315">
        <f t="shared" ref="AD201:AD264" si="104">F201</f>
        <v>25</v>
      </c>
      <c r="AE201" s="1315"/>
      <c r="AF201" s="1316"/>
      <c r="AG201" s="1298" t="str">
        <f t="shared" ref="AG201:AG266" si="105">CONCATENATE(AB201,AC201,AD201,AE201,AF201)</f>
        <v>40+25</v>
      </c>
      <c r="AH201" s="1347">
        <f>SUM(AH163+AH161+AH156)</f>
        <v>2.3824999999999998</v>
      </c>
      <c r="AI201" s="1347">
        <f t="shared" si="100"/>
        <v>25.022500000000001</v>
      </c>
      <c r="AJ201" s="1304">
        <f t="shared" ref="AJ201:AJ266" si="106">K201</f>
        <v>0.19</v>
      </c>
      <c r="AK201" s="1298" t="str">
        <f t="shared" ref="AK201:AK264" si="107">L201</f>
        <v>1 сутки</v>
      </c>
      <c r="AL201" s="1304">
        <f t="shared" si="97"/>
        <v>24.8325</v>
      </c>
      <c r="AM201" s="1298">
        <v>0</v>
      </c>
      <c r="AN201" s="893">
        <f t="shared" si="98"/>
        <v>26.25</v>
      </c>
      <c r="AO201" s="1347">
        <f t="shared" si="99"/>
        <v>1.4175000000000004</v>
      </c>
      <c r="AP201" s="1334"/>
      <c r="AQ201" s="1302"/>
      <c r="AR201" s="1304" t="str">
        <f>IF(AP200&lt;0,"закрыт","")</f>
        <v>закрыт</v>
      </c>
      <c r="AS201" s="1306"/>
      <c r="AT201" s="954" t="s">
        <v>757</v>
      </c>
      <c r="AU201" s="1113">
        <v>1980</v>
      </c>
      <c r="AV201" s="1119" t="s">
        <v>3286</v>
      </c>
      <c r="AW201" s="1121">
        <v>56.853632203928001</v>
      </c>
      <c r="AX201" s="1121">
        <v>37.335026857522202</v>
      </c>
    </row>
    <row r="202" spans="1:50" ht="20.100000000000001" customHeight="1" x14ac:dyDescent="0.25">
      <c r="A202" s="1375"/>
      <c r="B202" s="1375"/>
      <c r="C202" s="84" t="s">
        <v>1791</v>
      </c>
      <c r="D202" s="230">
        <v>40</v>
      </c>
      <c r="E202" s="229" t="s">
        <v>785</v>
      </c>
      <c r="F202" s="229">
        <v>25</v>
      </c>
      <c r="G202" s="229"/>
      <c r="H202" s="228"/>
      <c r="I202" s="229" t="str">
        <f t="shared" si="101"/>
        <v>40+25</v>
      </c>
      <c r="J202" s="895">
        <v>10.32</v>
      </c>
      <c r="K202" s="23">
        <v>0</v>
      </c>
      <c r="L202" s="90">
        <v>0</v>
      </c>
      <c r="M202" s="23">
        <f t="shared" si="94"/>
        <v>10.32</v>
      </c>
      <c r="N202" s="172">
        <v>0</v>
      </c>
      <c r="O202" s="893"/>
      <c r="P202" s="893">
        <f t="shared" si="95"/>
        <v>26.25</v>
      </c>
      <c r="Q202" s="23">
        <f t="shared" si="96"/>
        <v>15.93</v>
      </c>
      <c r="R202" s="1374"/>
      <c r="S202" s="1362"/>
      <c r="T202" s="257" t="str">
        <f>IF(R200&lt;0,"закрыт","")</f>
        <v>закрыт</v>
      </c>
      <c r="U202" s="1362"/>
      <c r="V202" s="1195"/>
      <c r="W202" s="1195"/>
      <c r="X202" s="929"/>
      <c r="Y202" s="1375"/>
      <c r="Z202" s="1338"/>
      <c r="AA202" s="1337" t="s">
        <v>1791</v>
      </c>
      <c r="AB202" s="230">
        <f t="shared" si="102"/>
        <v>40</v>
      </c>
      <c r="AC202" s="1315" t="str">
        <f t="shared" si="103"/>
        <v>+</v>
      </c>
      <c r="AD202" s="1315">
        <f t="shared" si="104"/>
        <v>25</v>
      </c>
      <c r="AE202" s="1315"/>
      <c r="AF202" s="1316"/>
      <c r="AG202" s="1298" t="str">
        <f t="shared" si="105"/>
        <v>40+25</v>
      </c>
      <c r="AH202" s="1347">
        <f>'Зона КиЭс  '!L251</f>
        <v>4.5006249999999994</v>
      </c>
      <c r="AI202" s="1347">
        <f t="shared" si="100"/>
        <v>14.820625</v>
      </c>
      <c r="AJ202" s="1304">
        <f t="shared" si="106"/>
        <v>0</v>
      </c>
      <c r="AK202" s="1298">
        <f t="shared" si="107"/>
        <v>0</v>
      </c>
      <c r="AL202" s="1304">
        <f t="shared" si="97"/>
        <v>14.820625</v>
      </c>
      <c r="AM202" s="1298">
        <v>0</v>
      </c>
      <c r="AN202" s="893">
        <f t="shared" si="98"/>
        <v>26.25</v>
      </c>
      <c r="AO202" s="1347">
        <f t="shared" si="99"/>
        <v>11.429375</v>
      </c>
      <c r="AP202" s="1335"/>
      <c r="AQ202" s="1303"/>
      <c r="AR202" s="1298" t="str">
        <f>IF(AP200&lt;0,"закрыт","")</f>
        <v>закрыт</v>
      </c>
      <c r="AS202" s="1307"/>
      <c r="AT202" s="954" t="s">
        <v>757</v>
      </c>
      <c r="AU202" s="1113">
        <v>1980</v>
      </c>
      <c r="AV202" s="1119" t="s">
        <v>3286</v>
      </c>
      <c r="AW202" s="1121">
        <v>56.853632203928001</v>
      </c>
      <c r="AX202" s="1121">
        <v>37.335026857522202</v>
      </c>
    </row>
    <row r="203" spans="1:50" ht="20.100000000000001" customHeight="1" x14ac:dyDescent="0.25">
      <c r="A203" s="1375">
        <v>144</v>
      </c>
      <c r="B203" s="1375">
        <v>34</v>
      </c>
      <c r="C203" s="84" t="s">
        <v>147</v>
      </c>
      <c r="D203" s="230">
        <v>10</v>
      </c>
      <c r="E203" s="229" t="s">
        <v>785</v>
      </c>
      <c r="F203" s="229">
        <v>10</v>
      </c>
      <c r="G203" s="229"/>
      <c r="H203" s="228"/>
      <c r="I203" s="229" t="str">
        <f t="shared" si="101"/>
        <v>10+10</v>
      </c>
      <c r="J203" s="895">
        <v>4.79</v>
      </c>
      <c r="K203" s="901">
        <v>0.17</v>
      </c>
      <c r="L203" s="84" t="s">
        <v>335</v>
      </c>
      <c r="M203" s="23">
        <f t="shared" si="94"/>
        <v>4.62</v>
      </c>
      <c r="N203" s="172">
        <v>0</v>
      </c>
      <c r="O203" s="893"/>
      <c r="P203" s="893">
        <f t="shared" si="95"/>
        <v>10.5</v>
      </c>
      <c r="Q203" s="23">
        <f t="shared" si="96"/>
        <v>5.88</v>
      </c>
      <c r="R203" s="1380">
        <f>MIN(Q203:Q205)</f>
        <v>5.88</v>
      </c>
      <c r="S203" s="1362" t="str">
        <f t="shared" ref="S203:S266" si="108">T203</f>
        <v/>
      </c>
      <c r="T203" s="257" t="str">
        <f>IF(R203&lt;0,"закрыт","")</f>
        <v/>
      </c>
      <c r="U203" s="1362">
        <f>(J203*100)/P203</f>
        <v>45.61904761904762</v>
      </c>
      <c r="V203" s="1197">
        <v>0.55000000000000004</v>
      </c>
      <c r="W203" s="768" t="s">
        <v>3088</v>
      </c>
      <c r="X203" s="929"/>
      <c r="Y203" s="1375">
        <v>144</v>
      </c>
      <c r="Z203" s="1338">
        <v>34</v>
      </c>
      <c r="AA203" s="1337" t="s">
        <v>147</v>
      </c>
      <c r="AB203" s="230">
        <f t="shared" si="102"/>
        <v>10</v>
      </c>
      <c r="AC203" s="1315" t="str">
        <f t="shared" si="103"/>
        <v>+</v>
      </c>
      <c r="AD203" s="1315">
        <f t="shared" si="104"/>
        <v>10</v>
      </c>
      <c r="AE203" s="1315"/>
      <c r="AF203" s="1316"/>
      <c r="AG203" s="1298" t="str">
        <f t="shared" si="105"/>
        <v>10+10</v>
      </c>
      <c r="AH203" s="1347">
        <f>SUM(AH204:AH205)</f>
        <v>0.63624999999999998</v>
      </c>
      <c r="AI203" s="1347">
        <f t="shared" si="100"/>
        <v>5.4262499999999996</v>
      </c>
      <c r="AJ203" s="1304">
        <f t="shared" si="106"/>
        <v>0.17</v>
      </c>
      <c r="AK203" s="1298" t="str">
        <f t="shared" si="107"/>
        <v>1 сутки</v>
      </c>
      <c r="AL203" s="1304">
        <f t="shared" si="97"/>
        <v>5.2562499999999996</v>
      </c>
      <c r="AM203" s="1298">
        <v>0</v>
      </c>
      <c r="AN203" s="893">
        <f t="shared" si="98"/>
        <v>10.5</v>
      </c>
      <c r="AO203" s="1347">
        <f t="shared" si="99"/>
        <v>5.2437500000000004</v>
      </c>
      <c r="AP203" s="1333">
        <f>MIN(AO203:AO205)</f>
        <v>5.2437500000000004</v>
      </c>
      <c r="AQ203" s="1296" t="str">
        <f t="shared" ref="AQ203:AQ266" si="109">AR203</f>
        <v/>
      </c>
      <c r="AR203" s="1298" t="str">
        <f>IF(AP203&lt;0,"закрыт","")</f>
        <v/>
      </c>
      <c r="AS203" s="1305">
        <f>(AI203*100)/AN203</f>
        <v>51.678571428571431</v>
      </c>
      <c r="AT203" s="954" t="s">
        <v>757</v>
      </c>
      <c r="AU203" s="1113">
        <v>1988</v>
      </c>
      <c r="AV203" s="1119" t="s">
        <v>3286</v>
      </c>
      <c r="AW203" s="1121">
        <v>57.595969576016401</v>
      </c>
      <c r="AX203" s="1121">
        <v>37.280950339091802</v>
      </c>
    </row>
    <row r="204" spans="1:50" ht="20.100000000000001" customHeight="1" x14ac:dyDescent="0.25">
      <c r="A204" s="1375"/>
      <c r="B204" s="1375"/>
      <c r="C204" s="84" t="s">
        <v>1792</v>
      </c>
      <c r="D204" s="230">
        <v>10</v>
      </c>
      <c r="E204" s="229" t="s">
        <v>785</v>
      </c>
      <c r="F204" s="229">
        <v>10</v>
      </c>
      <c r="G204" s="229"/>
      <c r="H204" s="228"/>
      <c r="I204" s="229" t="str">
        <f t="shared" si="101"/>
        <v>10+10</v>
      </c>
      <c r="J204" s="895">
        <v>1.01</v>
      </c>
      <c r="K204" s="23">
        <v>0.17</v>
      </c>
      <c r="L204" s="84" t="s">
        <v>335</v>
      </c>
      <c r="M204" s="23">
        <f t="shared" si="94"/>
        <v>0.84</v>
      </c>
      <c r="N204" s="172">
        <v>0</v>
      </c>
      <c r="O204" s="893"/>
      <c r="P204" s="893">
        <f t="shared" si="95"/>
        <v>10.5</v>
      </c>
      <c r="Q204" s="23">
        <f t="shared" si="96"/>
        <v>9.66</v>
      </c>
      <c r="R204" s="1380"/>
      <c r="S204" s="1363" t="str">
        <f t="shared" si="108"/>
        <v/>
      </c>
      <c r="T204" s="257" t="str">
        <f>IF(R203&lt;0,"закрыт","")</f>
        <v/>
      </c>
      <c r="U204" s="1363"/>
      <c r="V204" s="257"/>
      <c r="W204" s="257"/>
      <c r="X204" s="929"/>
      <c r="Y204" s="1375"/>
      <c r="Z204" s="1338"/>
      <c r="AA204" s="1337" t="s">
        <v>1792</v>
      </c>
      <c r="AB204" s="230">
        <f t="shared" si="102"/>
        <v>10</v>
      </c>
      <c r="AC204" s="1315" t="str">
        <f t="shared" si="103"/>
        <v>+</v>
      </c>
      <c r="AD204" s="1315">
        <f t="shared" si="104"/>
        <v>10</v>
      </c>
      <c r="AE204" s="1315"/>
      <c r="AF204" s="1316"/>
      <c r="AG204" s="1298" t="str">
        <f t="shared" si="105"/>
        <v>10+10</v>
      </c>
      <c r="AH204" s="1347">
        <f>SUM(AH177+AH176)</f>
        <v>0</v>
      </c>
      <c r="AI204" s="1347">
        <f t="shared" si="100"/>
        <v>1.01</v>
      </c>
      <c r="AJ204" s="1304">
        <f t="shared" si="106"/>
        <v>0.17</v>
      </c>
      <c r="AK204" s="1298" t="str">
        <f t="shared" si="107"/>
        <v>1 сутки</v>
      </c>
      <c r="AL204" s="1304">
        <f t="shared" si="97"/>
        <v>0.84</v>
      </c>
      <c r="AM204" s="1298">
        <v>0</v>
      </c>
      <c r="AN204" s="893">
        <f t="shared" si="98"/>
        <v>10.5</v>
      </c>
      <c r="AO204" s="1347">
        <f t="shared" si="99"/>
        <v>9.66</v>
      </c>
      <c r="AP204" s="1334"/>
      <c r="AQ204" s="1297" t="str">
        <f t="shared" si="109"/>
        <v/>
      </c>
      <c r="AR204" s="1298" t="str">
        <f>IF(AP203&lt;0,"закрыт","")</f>
        <v/>
      </c>
      <c r="AS204" s="1306"/>
      <c r="AT204" s="954" t="s">
        <v>757</v>
      </c>
      <c r="AU204" s="1113">
        <v>1988</v>
      </c>
      <c r="AV204" s="1119" t="s">
        <v>3286</v>
      </c>
      <c r="AW204" s="1121">
        <v>57.595969576016401</v>
      </c>
      <c r="AX204" s="1121">
        <v>37.280950339091802</v>
      </c>
    </row>
    <row r="205" spans="1:50" ht="20.100000000000001" customHeight="1" x14ac:dyDescent="0.25">
      <c r="A205" s="1375"/>
      <c r="B205" s="1375"/>
      <c r="C205" s="84" t="s">
        <v>1791</v>
      </c>
      <c r="D205" s="230">
        <v>10</v>
      </c>
      <c r="E205" s="229" t="s">
        <v>785</v>
      </c>
      <c r="F205" s="229">
        <v>10</v>
      </c>
      <c r="G205" s="229"/>
      <c r="H205" s="228"/>
      <c r="I205" s="229" t="str">
        <f t="shared" si="101"/>
        <v>10+10</v>
      </c>
      <c r="J205" s="895">
        <v>3.78</v>
      </c>
      <c r="K205" s="23">
        <v>0</v>
      </c>
      <c r="L205" s="90">
        <v>0</v>
      </c>
      <c r="M205" s="23">
        <f t="shared" si="94"/>
        <v>3.78</v>
      </c>
      <c r="N205" s="172">
        <v>0</v>
      </c>
      <c r="O205" s="893"/>
      <c r="P205" s="893">
        <f t="shared" si="95"/>
        <v>10.5</v>
      </c>
      <c r="Q205" s="23">
        <f t="shared" si="96"/>
        <v>6.7200000000000006</v>
      </c>
      <c r="R205" s="1380"/>
      <c r="S205" s="1363" t="str">
        <f t="shared" si="108"/>
        <v/>
      </c>
      <c r="T205" s="257" t="str">
        <f>IF(R203&lt;0,"закрыт","")</f>
        <v/>
      </c>
      <c r="U205" s="1363"/>
      <c r="V205" s="257"/>
      <c r="W205" s="257"/>
      <c r="X205" s="929"/>
      <c r="Y205" s="1375"/>
      <c r="Z205" s="1338"/>
      <c r="AA205" s="1337" t="s">
        <v>1791</v>
      </c>
      <c r="AB205" s="230">
        <f t="shared" si="102"/>
        <v>10</v>
      </c>
      <c r="AC205" s="1315" t="str">
        <f t="shared" si="103"/>
        <v>+</v>
      </c>
      <c r="AD205" s="1315">
        <f t="shared" si="104"/>
        <v>10</v>
      </c>
      <c r="AE205" s="1315"/>
      <c r="AF205" s="1316"/>
      <c r="AG205" s="1298" t="str">
        <f t="shared" si="105"/>
        <v>10+10</v>
      </c>
      <c r="AH205" s="1347">
        <f>'Зона КиЭс  '!L264</f>
        <v>0.63624999999999998</v>
      </c>
      <c r="AI205" s="1347">
        <f t="shared" si="100"/>
        <v>4.4162499999999998</v>
      </c>
      <c r="AJ205" s="1304">
        <f t="shared" si="106"/>
        <v>0</v>
      </c>
      <c r="AK205" s="1298">
        <f t="shared" si="107"/>
        <v>0</v>
      </c>
      <c r="AL205" s="1304">
        <f t="shared" si="97"/>
        <v>4.4162499999999998</v>
      </c>
      <c r="AM205" s="1298">
        <v>0</v>
      </c>
      <c r="AN205" s="893">
        <f t="shared" si="98"/>
        <v>10.5</v>
      </c>
      <c r="AO205" s="1347">
        <f t="shared" si="99"/>
        <v>6.0837500000000002</v>
      </c>
      <c r="AP205" s="1335"/>
      <c r="AQ205" s="1297" t="str">
        <f t="shared" si="109"/>
        <v/>
      </c>
      <c r="AR205" s="1298" t="str">
        <f>IF(AP203&lt;0,"закрыт","")</f>
        <v/>
      </c>
      <c r="AS205" s="1307"/>
      <c r="AT205" s="954" t="s">
        <v>757</v>
      </c>
      <c r="AU205" s="1113">
        <v>1988</v>
      </c>
      <c r="AV205" s="1119" t="s">
        <v>3286</v>
      </c>
      <c r="AW205" s="1121">
        <v>57.595969576016401</v>
      </c>
      <c r="AX205" s="1121">
        <v>37.280950339091802</v>
      </c>
    </row>
    <row r="206" spans="1:50" ht="20.100000000000001" customHeight="1" x14ac:dyDescent="0.25">
      <c r="A206" s="213">
        <v>145</v>
      </c>
      <c r="B206" s="213">
        <v>1</v>
      </c>
      <c r="C206" s="213" t="s">
        <v>1806</v>
      </c>
      <c r="D206" s="230">
        <v>2.5</v>
      </c>
      <c r="E206" s="229"/>
      <c r="F206" s="229"/>
      <c r="G206" s="229"/>
      <c r="H206" s="228"/>
      <c r="I206" s="229" t="str">
        <f t="shared" si="101"/>
        <v>2,5</v>
      </c>
      <c r="J206" s="895">
        <v>0.18337999999999999</v>
      </c>
      <c r="K206" s="172">
        <v>1.36</v>
      </c>
      <c r="L206" s="213" t="s">
        <v>1807</v>
      </c>
      <c r="M206" s="172">
        <f>K206</f>
        <v>1.36</v>
      </c>
      <c r="N206" s="172">
        <v>0</v>
      </c>
      <c r="O206" s="893"/>
      <c r="P206" s="893">
        <f t="shared" ref="P206:P221" si="110">M206-N206</f>
        <v>1.36</v>
      </c>
      <c r="Q206" s="172">
        <f t="shared" ref="Q206:Q221" si="111">P206-J206</f>
        <v>1.1766200000000002</v>
      </c>
      <c r="R206" s="172">
        <f t="shared" ref="R206:R230" si="112">Q206</f>
        <v>1.1766200000000002</v>
      </c>
      <c r="S206" s="768" t="str">
        <f t="shared" si="108"/>
        <v/>
      </c>
      <c r="T206" s="257" t="str">
        <f t="shared" ref="T206:T231" si="113">IF(R206&lt;0,"закрыт","")</f>
        <v/>
      </c>
      <c r="U206" s="768">
        <f t="shared" ref="U206:U221" si="114">(J206*100)/(I206*1.05)</f>
        <v>6.9859047619047612</v>
      </c>
      <c r="V206" s="768">
        <v>0.4</v>
      </c>
      <c r="W206" s="768" t="s">
        <v>3476</v>
      </c>
      <c r="X206" s="929"/>
      <c r="Y206" s="213">
        <v>145</v>
      </c>
      <c r="Z206" s="1316">
        <v>1</v>
      </c>
      <c r="AA206" s="1298" t="s">
        <v>1806</v>
      </c>
      <c r="AB206" s="230">
        <f t="shared" si="102"/>
        <v>2.5</v>
      </c>
      <c r="AC206" s="1315"/>
      <c r="AD206" s="1315"/>
      <c r="AE206" s="1315"/>
      <c r="AF206" s="1316"/>
      <c r="AG206" s="1298" t="str">
        <f t="shared" si="105"/>
        <v>2,5</v>
      </c>
      <c r="AH206" s="1304">
        <f>'Зона НЭс'!L9</f>
        <v>0</v>
      </c>
      <c r="AI206" s="1304">
        <f t="shared" si="100"/>
        <v>0.18337999999999999</v>
      </c>
      <c r="AJ206" s="1304">
        <f t="shared" si="106"/>
        <v>1.36</v>
      </c>
      <c r="AK206" s="1298" t="str">
        <f t="shared" si="107"/>
        <v>1сутки</v>
      </c>
      <c r="AL206" s="1304">
        <f t="shared" ref="AL206:AL221" si="115">AJ206</f>
        <v>1.36</v>
      </c>
      <c r="AM206" s="1298">
        <v>0</v>
      </c>
      <c r="AN206" s="893">
        <f t="shared" ref="AN206:AN221" si="116">AL206-AM206</f>
        <v>1.36</v>
      </c>
      <c r="AO206" s="1304">
        <f t="shared" ref="AO206:AO221" si="117">AN206-AI206</f>
        <v>1.1766200000000002</v>
      </c>
      <c r="AP206" s="1304">
        <f>AO206</f>
        <v>1.1766200000000002</v>
      </c>
      <c r="AQ206" s="1296" t="str">
        <f t="shared" si="109"/>
        <v/>
      </c>
      <c r="AR206" s="1298" t="str">
        <f t="shared" ref="AR206:AR231" si="118">IF(AP206&lt;0,"закрыт","")</f>
        <v/>
      </c>
      <c r="AS206" s="952">
        <f>(AI206*100)/(AG206*1.05)</f>
        <v>6.9859047619047612</v>
      </c>
      <c r="AT206" s="954" t="s">
        <v>95</v>
      </c>
      <c r="AU206" s="1113">
        <v>1979</v>
      </c>
      <c r="AV206" s="1119" t="s">
        <v>3286</v>
      </c>
      <c r="AW206" s="1121">
        <v>56.389174849860403</v>
      </c>
      <c r="AX206" s="1121">
        <v>32.317610468557497</v>
      </c>
    </row>
    <row r="207" spans="1:50" ht="20.100000000000001" customHeight="1" x14ac:dyDescent="0.25">
      <c r="A207" s="213">
        <v>146</v>
      </c>
      <c r="B207" s="213">
        <v>2</v>
      </c>
      <c r="C207" s="213" t="s">
        <v>1808</v>
      </c>
      <c r="D207" s="230">
        <v>1.6</v>
      </c>
      <c r="E207" s="229"/>
      <c r="F207" s="229"/>
      <c r="G207" s="229"/>
      <c r="H207" s="228"/>
      <c r="I207" s="229" t="str">
        <f t="shared" si="101"/>
        <v>1,6</v>
      </c>
      <c r="J207" s="895">
        <v>0.43595999999999996</v>
      </c>
      <c r="K207" s="172">
        <v>1.1399999999999999</v>
      </c>
      <c r="L207" s="213" t="s">
        <v>1807</v>
      </c>
      <c r="M207" s="172">
        <f t="shared" ref="M207:M221" si="119">K207</f>
        <v>1.1399999999999999</v>
      </c>
      <c r="N207" s="172">
        <v>0</v>
      </c>
      <c r="O207" s="893"/>
      <c r="P207" s="893">
        <f t="shared" si="110"/>
        <v>1.1399999999999999</v>
      </c>
      <c r="Q207" s="172">
        <f t="shared" si="111"/>
        <v>0.70404</v>
      </c>
      <c r="R207" s="172">
        <f t="shared" si="112"/>
        <v>0.70404</v>
      </c>
      <c r="S207" s="768" t="str">
        <f t="shared" si="108"/>
        <v/>
      </c>
      <c r="T207" s="257" t="str">
        <f t="shared" si="113"/>
        <v/>
      </c>
      <c r="U207" s="768">
        <f t="shared" si="114"/>
        <v>25.949999999999996</v>
      </c>
      <c r="V207" s="768"/>
      <c r="W207" s="768"/>
      <c r="X207" s="929"/>
      <c r="Y207" s="213">
        <v>146</v>
      </c>
      <c r="Z207" s="1316">
        <v>2</v>
      </c>
      <c r="AA207" s="1298" t="s">
        <v>1808</v>
      </c>
      <c r="AB207" s="230">
        <f t="shared" si="102"/>
        <v>1.6</v>
      </c>
      <c r="AC207" s="1315"/>
      <c r="AD207" s="1315"/>
      <c r="AE207" s="1315"/>
      <c r="AF207" s="1316"/>
      <c r="AG207" s="1298" t="str">
        <f t="shared" si="105"/>
        <v>1,6</v>
      </c>
      <c r="AH207" s="1304">
        <f>'Зона НЭс'!L11</f>
        <v>0</v>
      </c>
      <c r="AI207" s="1304">
        <f t="shared" si="100"/>
        <v>0.43595999999999996</v>
      </c>
      <c r="AJ207" s="1304">
        <f t="shared" si="106"/>
        <v>1.1399999999999999</v>
      </c>
      <c r="AK207" s="1298" t="str">
        <f t="shared" si="107"/>
        <v>1сутки</v>
      </c>
      <c r="AL207" s="1304">
        <f t="shared" si="115"/>
        <v>1.1399999999999999</v>
      </c>
      <c r="AM207" s="1298">
        <v>0</v>
      </c>
      <c r="AN207" s="893">
        <f t="shared" si="116"/>
        <v>1.1399999999999999</v>
      </c>
      <c r="AO207" s="1304">
        <f t="shared" si="117"/>
        <v>0.70404</v>
      </c>
      <c r="AP207" s="1304">
        <f t="shared" ref="AP207:AP221" si="120">AO207</f>
        <v>0.70404</v>
      </c>
      <c r="AQ207" s="1296" t="str">
        <f t="shared" si="109"/>
        <v/>
      </c>
      <c r="AR207" s="1298" t="str">
        <f t="shared" si="118"/>
        <v/>
      </c>
      <c r="AS207" s="952">
        <f t="shared" ref="AS207:AS221" si="121">(AI207*100)/(AG207*1.05)</f>
        <v>25.949999999999996</v>
      </c>
      <c r="AT207" s="954" t="s">
        <v>95</v>
      </c>
      <c r="AU207" s="1113">
        <v>1969</v>
      </c>
      <c r="AV207" s="1119" t="s">
        <v>3286</v>
      </c>
      <c r="AW207" s="1121">
        <v>56.4557735737027</v>
      </c>
      <c r="AX207" s="1121">
        <v>31.380672378859799</v>
      </c>
    </row>
    <row r="208" spans="1:50" ht="20.100000000000001" customHeight="1" x14ac:dyDescent="0.25">
      <c r="A208" s="213">
        <v>147</v>
      </c>
      <c r="B208" s="213">
        <v>3</v>
      </c>
      <c r="C208" s="213" t="s">
        <v>1809</v>
      </c>
      <c r="D208" s="230">
        <v>2.5</v>
      </c>
      <c r="E208" s="229"/>
      <c r="F208" s="229"/>
      <c r="G208" s="229"/>
      <c r="H208" s="228"/>
      <c r="I208" s="229" t="str">
        <f t="shared" si="101"/>
        <v>2,5</v>
      </c>
      <c r="J208" s="895">
        <v>0.19030000000000002</v>
      </c>
      <c r="K208" s="172">
        <v>0.97</v>
      </c>
      <c r="L208" s="213" t="s">
        <v>1807</v>
      </c>
      <c r="M208" s="172">
        <f t="shared" si="119"/>
        <v>0.97</v>
      </c>
      <c r="N208" s="172">
        <v>0</v>
      </c>
      <c r="O208" s="893"/>
      <c r="P208" s="893">
        <f t="shared" si="110"/>
        <v>0.97</v>
      </c>
      <c r="Q208" s="172">
        <f t="shared" si="111"/>
        <v>0.77969999999999995</v>
      </c>
      <c r="R208" s="172">
        <f t="shared" si="112"/>
        <v>0.77969999999999995</v>
      </c>
      <c r="S208" s="768" t="str">
        <f t="shared" si="108"/>
        <v/>
      </c>
      <c r="T208" s="257" t="str">
        <f t="shared" si="113"/>
        <v/>
      </c>
      <c r="U208" s="768">
        <f t="shared" si="114"/>
        <v>7.2495238095238097</v>
      </c>
      <c r="V208" s="768">
        <v>0.9</v>
      </c>
      <c r="W208" s="768" t="s">
        <v>3476</v>
      </c>
      <c r="X208" s="929"/>
      <c r="Y208" s="213">
        <v>147</v>
      </c>
      <c r="Z208" s="1316">
        <v>3</v>
      </c>
      <c r="AA208" s="1298" t="s">
        <v>1809</v>
      </c>
      <c r="AB208" s="230">
        <f t="shared" si="102"/>
        <v>2.5</v>
      </c>
      <c r="AC208" s="1315"/>
      <c r="AD208" s="1315"/>
      <c r="AE208" s="1315"/>
      <c r="AF208" s="1316"/>
      <c r="AG208" s="1298" t="str">
        <f t="shared" si="105"/>
        <v>2,5</v>
      </c>
      <c r="AH208" s="1304">
        <f>'Зона НЭс'!L13</f>
        <v>0</v>
      </c>
      <c r="AI208" s="1304">
        <f t="shared" si="100"/>
        <v>0.19030000000000002</v>
      </c>
      <c r="AJ208" s="1304">
        <f t="shared" si="106"/>
        <v>0.97</v>
      </c>
      <c r="AK208" s="1298" t="str">
        <f t="shared" si="107"/>
        <v>1сутки</v>
      </c>
      <c r="AL208" s="1304">
        <f t="shared" si="115"/>
        <v>0.97</v>
      </c>
      <c r="AM208" s="1298">
        <v>0</v>
      </c>
      <c r="AN208" s="893">
        <f t="shared" si="116"/>
        <v>0.97</v>
      </c>
      <c r="AO208" s="1304">
        <f t="shared" si="117"/>
        <v>0.77969999999999995</v>
      </c>
      <c r="AP208" s="1304">
        <f t="shared" si="120"/>
        <v>0.77969999999999995</v>
      </c>
      <c r="AQ208" s="1296" t="str">
        <f t="shared" si="109"/>
        <v/>
      </c>
      <c r="AR208" s="1298" t="str">
        <f t="shared" si="118"/>
        <v/>
      </c>
      <c r="AS208" s="952">
        <f t="shared" si="121"/>
        <v>7.2495238095238097</v>
      </c>
      <c r="AT208" s="954" t="s">
        <v>95</v>
      </c>
      <c r="AU208" s="1113">
        <v>1992</v>
      </c>
      <c r="AV208" s="1119" t="s">
        <v>3286</v>
      </c>
      <c r="AW208" s="1121">
        <v>56.366589376127301</v>
      </c>
      <c r="AX208" s="1121">
        <v>31.382266363149299</v>
      </c>
    </row>
    <row r="209" spans="1:50" ht="20.100000000000001" customHeight="1" x14ac:dyDescent="0.25">
      <c r="A209" s="213">
        <v>148</v>
      </c>
      <c r="B209" s="213">
        <v>4</v>
      </c>
      <c r="C209" s="213" t="s">
        <v>1810</v>
      </c>
      <c r="D209" s="230">
        <v>2.5</v>
      </c>
      <c r="E209" s="229"/>
      <c r="F209" s="229"/>
      <c r="G209" s="229"/>
      <c r="H209" s="228"/>
      <c r="I209" s="229" t="str">
        <f t="shared" si="101"/>
        <v>2,5</v>
      </c>
      <c r="J209" s="895">
        <v>0.22213199999999997</v>
      </c>
      <c r="K209" s="172">
        <v>0</v>
      </c>
      <c r="L209" s="213">
        <v>0</v>
      </c>
      <c r="M209" s="172">
        <f t="shared" si="119"/>
        <v>0</v>
      </c>
      <c r="N209" s="172">
        <v>0</v>
      </c>
      <c r="O209" s="893"/>
      <c r="P209" s="893">
        <f t="shared" si="110"/>
        <v>0</v>
      </c>
      <c r="Q209" s="172">
        <f t="shared" si="111"/>
        <v>-0.22213199999999997</v>
      </c>
      <c r="R209" s="172">
        <f t="shared" si="112"/>
        <v>-0.22213199999999997</v>
      </c>
      <c r="S209" s="213" t="str">
        <f t="shared" si="108"/>
        <v>закрыт</v>
      </c>
      <c r="T209" s="257" t="str">
        <f t="shared" si="113"/>
        <v>закрыт</v>
      </c>
      <c r="U209" s="768">
        <f t="shared" si="114"/>
        <v>8.4621714285714269</v>
      </c>
      <c r="V209" s="768">
        <v>0.8</v>
      </c>
      <c r="W209" s="768" t="s">
        <v>3476</v>
      </c>
      <c r="X209" s="929"/>
      <c r="Y209" s="213">
        <v>148</v>
      </c>
      <c r="Z209" s="1316">
        <v>4</v>
      </c>
      <c r="AA209" s="1298" t="s">
        <v>1810</v>
      </c>
      <c r="AB209" s="230">
        <f t="shared" si="102"/>
        <v>2.5</v>
      </c>
      <c r="AC209" s="1315"/>
      <c r="AD209" s="1315"/>
      <c r="AE209" s="1315"/>
      <c r="AF209" s="1316"/>
      <c r="AG209" s="1298" t="str">
        <f t="shared" si="105"/>
        <v>2,5</v>
      </c>
      <c r="AH209" s="1304">
        <f>'Зона НЭс'!L15</f>
        <v>0</v>
      </c>
      <c r="AI209" s="1304">
        <f t="shared" si="100"/>
        <v>0.22213199999999997</v>
      </c>
      <c r="AJ209" s="1304">
        <f t="shared" si="106"/>
        <v>0</v>
      </c>
      <c r="AK209" s="1298">
        <f t="shared" si="107"/>
        <v>0</v>
      </c>
      <c r="AL209" s="1304">
        <f t="shared" si="115"/>
        <v>0</v>
      </c>
      <c r="AM209" s="1298">
        <v>0</v>
      </c>
      <c r="AN209" s="893">
        <f t="shared" si="116"/>
        <v>0</v>
      </c>
      <c r="AO209" s="1304">
        <f t="shared" si="117"/>
        <v>-0.22213199999999997</v>
      </c>
      <c r="AP209" s="1304">
        <f t="shared" si="120"/>
        <v>-0.22213199999999997</v>
      </c>
      <c r="AQ209" s="1339" t="str">
        <f>AR209</f>
        <v>закрыт</v>
      </c>
      <c r="AR209" s="1298" t="str">
        <f t="shared" si="118"/>
        <v>закрыт</v>
      </c>
      <c r="AS209" s="952">
        <f t="shared" si="121"/>
        <v>8.4621714285714269</v>
      </c>
      <c r="AT209" s="954" t="s">
        <v>95</v>
      </c>
      <c r="AU209" s="1113">
        <v>1985</v>
      </c>
      <c r="AV209" s="1119" t="s">
        <v>3286</v>
      </c>
      <c r="AW209" s="1121">
        <v>55.815755702065999</v>
      </c>
      <c r="AX209" s="1121">
        <v>31.4666890538183</v>
      </c>
    </row>
    <row r="210" spans="1:50" ht="20.100000000000001" customHeight="1" x14ac:dyDescent="0.25">
      <c r="A210" s="213">
        <v>149</v>
      </c>
      <c r="B210" s="213">
        <v>5</v>
      </c>
      <c r="C210" s="213" t="s">
        <v>1811</v>
      </c>
      <c r="D210" s="230">
        <v>10</v>
      </c>
      <c r="E210" s="229"/>
      <c r="F210" s="229"/>
      <c r="G210" s="229"/>
      <c r="H210" s="228"/>
      <c r="I210" s="229" t="str">
        <f t="shared" si="101"/>
        <v>10</v>
      </c>
      <c r="J210" s="895">
        <v>2.3614499999999996</v>
      </c>
      <c r="K210" s="172">
        <v>0</v>
      </c>
      <c r="L210" s="213">
        <v>0</v>
      </c>
      <c r="M210" s="172">
        <f t="shared" si="119"/>
        <v>0</v>
      </c>
      <c r="N210" s="172">
        <v>0</v>
      </c>
      <c r="O210" s="893"/>
      <c r="P210" s="893">
        <f t="shared" si="110"/>
        <v>0</v>
      </c>
      <c r="Q210" s="172">
        <f t="shared" si="111"/>
        <v>-2.3614499999999996</v>
      </c>
      <c r="R210" s="172">
        <f t="shared" si="112"/>
        <v>-2.3614499999999996</v>
      </c>
      <c r="S210" s="213" t="str">
        <f t="shared" si="108"/>
        <v>закрыт</v>
      </c>
      <c r="T210" s="257" t="str">
        <f t="shared" si="113"/>
        <v>закрыт</v>
      </c>
      <c r="U210" s="768">
        <f t="shared" si="114"/>
        <v>22.489999999999995</v>
      </c>
      <c r="V210" s="768">
        <v>0.5</v>
      </c>
      <c r="W210" s="768" t="s">
        <v>3476</v>
      </c>
      <c r="X210" s="929"/>
      <c r="Y210" s="213">
        <v>149</v>
      </c>
      <c r="Z210" s="1316">
        <v>5</v>
      </c>
      <c r="AA210" s="1298" t="s">
        <v>1811</v>
      </c>
      <c r="AB210" s="230">
        <f t="shared" si="102"/>
        <v>10</v>
      </c>
      <c r="AC210" s="1315"/>
      <c r="AD210" s="1315"/>
      <c r="AE210" s="1315"/>
      <c r="AF210" s="1316"/>
      <c r="AG210" s="1298" t="str">
        <f t="shared" si="105"/>
        <v>10</v>
      </c>
      <c r="AH210" s="1304">
        <f>'Зона НЭс'!L20</f>
        <v>3.7499999999999999E-2</v>
      </c>
      <c r="AI210" s="1304">
        <f t="shared" si="100"/>
        <v>2.3989499999999997</v>
      </c>
      <c r="AJ210" s="1304">
        <f t="shared" si="106"/>
        <v>0</v>
      </c>
      <c r="AK210" s="1298">
        <f t="shared" si="107"/>
        <v>0</v>
      </c>
      <c r="AL210" s="1304">
        <f t="shared" si="115"/>
        <v>0</v>
      </c>
      <c r="AM210" s="1298">
        <v>0</v>
      </c>
      <c r="AN210" s="893">
        <f t="shared" si="116"/>
        <v>0</v>
      </c>
      <c r="AO210" s="1304">
        <f t="shared" si="117"/>
        <v>-2.3989499999999997</v>
      </c>
      <c r="AP210" s="1304">
        <f t="shared" si="120"/>
        <v>-2.3989499999999997</v>
      </c>
      <c r="AQ210" s="1339" t="str">
        <f>AR210</f>
        <v>закрыт</v>
      </c>
      <c r="AR210" s="1298" t="str">
        <f t="shared" si="118"/>
        <v>закрыт</v>
      </c>
      <c r="AS210" s="952">
        <f t="shared" si="121"/>
        <v>22.847142857142856</v>
      </c>
      <c r="AT210" s="954" t="s">
        <v>95</v>
      </c>
      <c r="AU210" s="1113">
        <v>1968</v>
      </c>
      <c r="AV210" s="1119" t="s">
        <v>3286</v>
      </c>
      <c r="AW210" s="1121">
        <v>55.863897874483001</v>
      </c>
      <c r="AX210" s="1121">
        <v>32.2785135593817</v>
      </c>
    </row>
    <row r="211" spans="1:50" ht="20.100000000000001" customHeight="1" x14ac:dyDescent="0.25">
      <c r="A211" s="213">
        <v>150</v>
      </c>
      <c r="B211" s="213">
        <v>6</v>
      </c>
      <c r="C211" s="213" t="s">
        <v>1812</v>
      </c>
      <c r="D211" s="230">
        <v>2.5</v>
      </c>
      <c r="E211" s="229"/>
      <c r="F211" s="229"/>
      <c r="G211" s="229"/>
      <c r="H211" s="228"/>
      <c r="I211" s="229" t="str">
        <f t="shared" si="101"/>
        <v>2,5</v>
      </c>
      <c r="J211" s="895">
        <v>0.70843499999999993</v>
      </c>
      <c r="K211" s="172">
        <v>1.5</v>
      </c>
      <c r="L211" s="213" t="s">
        <v>1807</v>
      </c>
      <c r="M211" s="172">
        <f>K211</f>
        <v>1.5</v>
      </c>
      <c r="N211" s="172">
        <v>0</v>
      </c>
      <c r="O211" s="893"/>
      <c r="P211" s="893">
        <f t="shared" si="110"/>
        <v>1.5</v>
      </c>
      <c r="Q211" s="172">
        <f t="shared" si="111"/>
        <v>0.79156500000000007</v>
      </c>
      <c r="R211" s="172">
        <f t="shared" si="112"/>
        <v>0.79156500000000007</v>
      </c>
      <c r="S211" s="213" t="str">
        <f t="shared" si="108"/>
        <v/>
      </c>
      <c r="T211" s="257" t="str">
        <f t="shared" si="113"/>
        <v/>
      </c>
      <c r="U211" s="768">
        <f t="shared" si="114"/>
        <v>26.987999999999996</v>
      </c>
      <c r="V211" s="768">
        <v>0.5</v>
      </c>
      <c r="W211" s="768" t="s">
        <v>3476</v>
      </c>
      <c r="X211" s="929"/>
      <c r="Y211" s="213">
        <v>150</v>
      </c>
      <c r="Z211" s="1316">
        <v>6</v>
      </c>
      <c r="AA211" s="1298" t="s">
        <v>1812</v>
      </c>
      <c r="AB211" s="230">
        <f t="shared" si="102"/>
        <v>2.5</v>
      </c>
      <c r="AC211" s="1315"/>
      <c r="AD211" s="1315"/>
      <c r="AE211" s="1315"/>
      <c r="AF211" s="1316"/>
      <c r="AG211" s="1298" t="str">
        <f t="shared" si="105"/>
        <v>2,5</v>
      </c>
      <c r="AH211" s="1304">
        <f>'Зона НЭс'!L23</f>
        <v>0</v>
      </c>
      <c r="AI211" s="1304">
        <f t="shared" si="100"/>
        <v>0.70843499999999993</v>
      </c>
      <c r="AJ211" s="1304">
        <f t="shared" si="106"/>
        <v>1.5</v>
      </c>
      <c r="AK211" s="1298" t="str">
        <f t="shared" si="107"/>
        <v>1сутки</v>
      </c>
      <c r="AL211" s="1304">
        <f t="shared" si="115"/>
        <v>1.5</v>
      </c>
      <c r="AM211" s="1298">
        <v>0</v>
      </c>
      <c r="AN211" s="893">
        <f t="shared" si="116"/>
        <v>1.5</v>
      </c>
      <c r="AO211" s="1304">
        <f t="shared" si="117"/>
        <v>0.79156500000000007</v>
      </c>
      <c r="AP211" s="1304">
        <f t="shared" si="120"/>
        <v>0.79156500000000007</v>
      </c>
      <c r="AQ211" s="1339" t="str">
        <f>AR211</f>
        <v/>
      </c>
      <c r="AR211" s="1298" t="str">
        <f t="shared" si="118"/>
        <v/>
      </c>
      <c r="AS211" s="952">
        <f t="shared" si="121"/>
        <v>26.987999999999996</v>
      </c>
      <c r="AT211" s="954" t="s">
        <v>95</v>
      </c>
      <c r="AU211" s="1113">
        <v>1969</v>
      </c>
      <c r="AV211" s="1119" t="s">
        <v>3286</v>
      </c>
      <c r="AW211" s="1121">
        <v>56.258005847280003</v>
      </c>
      <c r="AX211" s="1121">
        <v>32.358977418513398</v>
      </c>
    </row>
    <row r="212" spans="1:50" ht="20.100000000000001" customHeight="1" x14ac:dyDescent="0.25">
      <c r="A212" s="213">
        <v>151</v>
      </c>
      <c r="B212" s="213">
        <v>7</v>
      </c>
      <c r="C212" s="213" t="s">
        <v>1813</v>
      </c>
      <c r="D212" s="230">
        <v>2.5</v>
      </c>
      <c r="E212" s="229"/>
      <c r="F212" s="229"/>
      <c r="G212" s="229"/>
      <c r="H212" s="228"/>
      <c r="I212" s="229" t="str">
        <f t="shared" si="101"/>
        <v>2,5</v>
      </c>
      <c r="J212" s="895">
        <v>0.20552400000000004</v>
      </c>
      <c r="K212" s="172">
        <v>0.45</v>
      </c>
      <c r="L212" s="213" t="s">
        <v>1807</v>
      </c>
      <c r="M212" s="172">
        <f>K212</f>
        <v>0.45</v>
      </c>
      <c r="N212" s="172">
        <v>0</v>
      </c>
      <c r="O212" s="893"/>
      <c r="P212" s="893">
        <f t="shared" si="110"/>
        <v>0.45</v>
      </c>
      <c r="Q212" s="172">
        <f t="shared" si="111"/>
        <v>0.24447599999999997</v>
      </c>
      <c r="R212" s="172">
        <f t="shared" si="112"/>
        <v>0.24447599999999997</v>
      </c>
      <c r="S212" s="213" t="str">
        <f t="shared" si="108"/>
        <v/>
      </c>
      <c r="T212" s="257" t="str">
        <f t="shared" si="113"/>
        <v/>
      </c>
      <c r="U212" s="768">
        <f t="shared" si="114"/>
        <v>7.8294857142857168</v>
      </c>
      <c r="V212" s="768"/>
      <c r="W212" s="768"/>
      <c r="X212" s="929"/>
      <c r="Y212" s="213">
        <v>151</v>
      </c>
      <c r="Z212" s="1316">
        <v>7</v>
      </c>
      <c r="AA212" s="1298" t="s">
        <v>1813</v>
      </c>
      <c r="AB212" s="230">
        <f t="shared" si="102"/>
        <v>2.5</v>
      </c>
      <c r="AC212" s="1315"/>
      <c r="AD212" s="1315"/>
      <c r="AE212" s="1315"/>
      <c r="AF212" s="1316"/>
      <c r="AG212" s="1298" t="str">
        <f t="shared" si="105"/>
        <v>2,5</v>
      </c>
      <c r="AH212" s="1304">
        <f>'Зона НЭс'!L25</f>
        <v>0</v>
      </c>
      <c r="AI212" s="1304">
        <f t="shared" si="100"/>
        <v>0.20552400000000004</v>
      </c>
      <c r="AJ212" s="1304">
        <f t="shared" si="106"/>
        <v>0.45</v>
      </c>
      <c r="AK212" s="1298" t="str">
        <f t="shared" si="107"/>
        <v>1сутки</v>
      </c>
      <c r="AL212" s="1304">
        <f t="shared" si="115"/>
        <v>0.45</v>
      </c>
      <c r="AM212" s="1298">
        <v>0</v>
      </c>
      <c r="AN212" s="893">
        <f t="shared" si="116"/>
        <v>0.45</v>
      </c>
      <c r="AO212" s="1304">
        <f t="shared" si="117"/>
        <v>0.24447599999999997</v>
      </c>
      <c r="AP212" s="1304">
        <f t="shared" si="120"/>
        <v>0.24447599999999997</v>
      </c>
      <c r="AQ212" s="1339" t="str">
        <f t="shared" si="109"/>
        <v/>
      </c>
      <c r="AR212" s="1298" t="str">
        <f t="shared" si="118"/>
        <v/>
      </c>
      <c r="AS212" s="952">
        <f t="shared" si="121"/>
        <v>7.8294857142857168</v>
      </c>
      <c r="AT212" s="954" t="s">
        <v>95</v>
      </c>
      <c r="AU212" s="1113">
        <v>1982</v>
      </c>
      <c r="AV212" s="1119" t="s">
        <v>3286</v>
      </c>
      <c r="AW212" s="1121">
        <v>56.396138368713501</v>
      </c>
      <c r="AX212" s="1121">
        <v>32.790010688667003</v>
      </c>
    </row>
    <row r="213" spans="1:50" ht="20.100000000000001" customHeight="1" x14ac:dyDescent="0.25">
      <c r="A213" s="213">
        <v>152</v>
      </c>
      <c r="B213" s="213">
        <v>8</v>
      </c>
      <c r="C213" s="213" t="s">
        <v>1814</v>
      </c>
      <c r="D213" s="230">
        <v>1.6</v>
      </c>
      <c r="E213" s="229"/>
      <c r="F213" s="229"/>
      <c r="G213" s="229"/>
      <c r="H213" s="228"/>
      <c r="I213" s="229" t="str">
        <f t="shared" si="101"/>
        <v>1,6</v>
      </c>
      <c r="J213" s="895">
        <v>0.42177399999999993</v>
      </c>
      <c r="K213" s="172">
        <v>0.77</v>
      </c>
      <c r="L213" s="213" t="s">
        <v>1807</v>
      </c>
      <c r="M213" s="172">
        <f>K213</f>
        <v>0.77</v>
      </c>
      <c r="N213" s="172">
        <v>0</v>
      </c>
      <c r="O213" s="893"/>
      <c r="P213" s="893">
        <f t="shared" si="110"/>
        <v>0.77</v>
      </c>
      <c r="Q213" s="172">
        <f t="shared" si="111"/>
        <v>0.34822600000000009</v>
      </c>
      <c r="R213" s="172">
        <f t="shared" si="112"/>
        <v>0.34822600000000009</v>
      </c>
      <c r="S213" s="213" t="str">
        <f t="shared" si="108"/>
        <v/>
      </c>
      <c r="T213" s="257" t="str">
        <f t="shared" si="113"/>
        <v/>
      </c>
      <c r="U213" s="768">
        <f t="shared" si="114"/>
        <v>25.10559523809523</v>
      </c>
      <c r="V213" s="768"/>
      <c r="W213" s="768"/>
      <c r="X213" s="929"/>
      <c r="Y213" s="213">
        <v>152</v>
      </c>
      <c r="Z213" s="1316">
        <v>8</v>
      </c>
      <c r="AA213" s="1298" t="s">
        <v>1814</v>
      </c>
      <c r="AB213" s="230">
        <f t="shared" si="102"/>
        <v>1.6</v>
      </c>
      <c r="AC213" s="1315"/>
      <c r="AD213" s="1315"/>
      <c r="AE213" s="1315"/>
      <c r="AF213" s="1316"/>
      <c r="AG213" s="1298" t="str">
        <f t="shared" si="105"/>
        <v>1,6</v>
      </c>
      <c r="AH213" s="1304">
        <f>'Зона НЭс'!L27</f>
        <v>0</v>
      </c>
      <c r="AI213" s="1304">
        <f t="shared" si="100"/>
        <v>0.42177399999999993</v>
      </c>
      <c r="AJ213" s="1304">
        <f t="shared" si="106"/>
        <v>0.77</v>
      </c>
      <c r="AK213" s="1298" t="str">
        <f t="shared" si="107"/>
        <v>1сутки</v>
      </c>
      <c r="AL213" s="1304">
        <f t="shared" si="115"/>
        <v>0.77</v>
      </c>
      <c r="AM213" s="1298">
        <v>0</v>
      </c>
      <c r="AN213" s="893">
        <f t="shared" si="116"/>
        <v>0.77</v>
      </c>
      <c r="AO213" s="1304">
        <f t="shared" si="117"/>
        <v>0.34822600000000009</v>
      </c>
      <c r="AP213" s="1304">
        <f t="shared" si="120"/>
        <v>0.34822600000000009</v>
      </c>
      <c r="AQ213" s="1339" t="str">
        <f t="shared" si="109"/>
        <v/>
      </c>
      <c r="AR213" s="1298" t="str">
        <f t="shared" si="118"/>
        <v/>
      </c>
      <c r="AS213" s="952">
        <f t="shared" si="121"/>
        <v>25.10559523809523</v>
      </c>
      <c r="AT213" s="954" t="s">
        <v>95</v>
      </c>
      <c r="AU213" s="1113">
        <v>1977</v>
      </c>
      <c r="AV213" s="1119" t="s">
        <v>3286</v>
      </c>
      <c r="AW213" s="1121">
        <v>56.085486214999698</v>
      </c>
      <c r="AX213" s="1121">
        <v>31.859428192368</v>
      </c>
    </row>
    <row r="214" spans="1:50" ht="20.100000000000001" customHeight="1" x14ac:dyDescent="0.25">
      <c r="A214" s="213">
        <v>153</v>
      </c>
      <c r="B214" s="213">
        <v>9</v>
      </c>
      <c r="C214" s="213" t="s">
        <v>1815</v>
      </c>
      <c r="D214" s="230">
        <v>6.3</v>
      </c>
      <c r="E214" s="229"/>
      <c r="F214" s="229"/>
      <c r="G214" s="229"/>
      <c r="H214" s="228"/>
      <c r="I214" s="229" t="str">
        <f t="shared" si="101"/>
        <v>6,3</v>
      </c>
      <c r="J214" s="895">
        <v>1.19889</v>
      </c>
      <c r="K214" s="172">
        <v>2.57</v>
      </c>
      <c r="L214" s="213" t="s">
        <v>1807</v>
      </c>
      <c r="M214" s="172">
        <f t="shared" si="119"/>
        <v>2.57</v>
      </c>
      <c r="N214" s="172">
        <v>0</v>
      </c>
      <c r="O214" s="893"/>
      <c r="P214" s="893">
        <f t="shared" si="110"/>
        <v>2.57</v>
      </c>
      <c r="Q214" s="172">
        <f t="shared" si="111"/>
        <v>1.3711099999999998</v>
      </c>
      <c r="R214" s="172">
        <f t="shared" si="112"/>
        <v>1.3711099999999998</v>
      </c>
      <c r="S214" s="213" t="str">
        <f t="shared" si="108"/>
        <v/>
      </c>
      <c r="T214" s="257" t="str">
        <f t="shared" si="113"/>
        <v/>
      </c>
      <c r="U214" s="768">
        <f t="shared" si="114"/>
        <v>18.123809523809523</v>
      </c>
      <c r="V214" s="768">
        <v>0.5</v>
      </c>
      <c r="W214" s="768" t="s">
        <v>3476</v>
      </c>
      <c r="X214" s="929"/>
      <c r="Y214" s="213">
        <v>153</v>
      </c>
      <c r="Z214" s="1316">
        <v>9</v>
      </c>
      <c r="AA214" s="1298" t="s">
        <v>1815</v>
      </c>
      <c r="AB214" s="230">
        <f t="shared" si="102"/>
        <v>6.3</v>
      </c>
      <c r="AC214" s="1315"/>
      <c r="AD214" s="1315"/>
      <c r="AE214" s="1315"/>
      <c r="AF214" s="1316"/>
      <c r="AG214" s="1298" t="str">
        <f t="shared" si="105"/>
        <v>6,3</v>
      </c>
      <c r="AH214" s="1304">
        <f>'Зона НЭс'!L31</f>
        <v>0</v>
      </c>
      <c r="AI214" s="1304">
        <f t="shared" si="100"/>
        <v>1.19889</v>
      </c>
      <c r="AJ214" s="1304">
        <f t="shared" si="106"/>
        <v>2.57</v>
      </c>
      <c r="AK214" s="1298" t="str">
        <f t="shared" si="107"/>
        <v>1сутки</v>
      </c>
      <c r="AL214" s="1304">
        <f t="shared" si="115"/>
        <v>2.57</v>
      </c>
      <c r="AM214" s="1298">
        <v>0</v>
      </c>
      <c r="AN214" s="893">
        <f t="shared" si="116"/>
        <v>2.57</v>
      </c>
      <c r="AO214" s="1304">
        <f t="shared" si="117"/>
        <v>1.3711099999999998</v>
      </c>
      <c r="AP214" s="1304">
        <f t="shared" si="120"/>
        <v>1.3711099999999998</v>
      </c>
      <c r="AQ214" s="1339" t="str">
        <f t="shared" si="109"/>
        <v/>
      </c>
      <c r="AR214" s="1298" t="str">
        <f t="shared" si="118"/>
        <v/>
      </c>
      <c r="AS214" s="952">
        <f t="shared" si="121"/>
        <v>18.123809523809523</v>
      </c>
      <c r="AT214" s="954" t="s">
        <v>95</v>
      </c>
      <c r="AU214" s="1113">
        <v>1969</v>
      </c>
      <c r="AV214" s="1119" t="s">
        <v>3286</v>
      </c>
      <c r="AW214" s="1121">
        <v>56.067237629597599</v>
      </c>
      <c r="AX214" s="1121">
        <v>32.8443175433923</v>
      </c>
    </row>
    <row r="215" spans="1:50" ht="20.100000000000001" customHeight="1" x14ac:dyDescent="0.25">
      <c r="A215" s="213">
        <v>154</v>
      </c>
      <c r="B215" s="213">
        <v>10</v>
      </c>
      <c r="C215" s="213" t="s">
        <v>1816</v>
      </c>
      <c r="D215" s="230">
        <v>1</v>
      </c>
      <c r="E215" s="229"/>
      <c r="F215" s="229"/>
      <c r="G215" s="229"/>
      <c r="H215" s="228"/>
      <c r="I215" s="229" t="str">
        <f t="shared" si="101"/>
        <v>1</v>
      </c>
      <c r="J215" s="895">
        <v>0.18337999999999999</v>
      </c>
      <c r="K215" s="172">
        <v>0.64</v>
      </c>
      <c r="L215" s="213" t="s">
        <v>1807</v>
      </c>
      <c r="M215" s="172">
        <f t="shared" si="119"/>
        <v>0.64</v>
      </c>
      <c r="N215" s="172">
        <v>0</v>
      </c>
      <c r="O215" s="893"/>
      <c r="P215" s="893">
        <f t="shared" si="110"/>
        <v>0.64</v>
      </c>
      <c r="Q215" s="172">
        <f t="shared" si="111"/>
        <v>0.45662000000000003</v>
      </c>
      <c r="R215" s="172">
        <f t="shared" si="112"/>
        <v>0.45662000000000003</v>
      </c>
      <c r="S215" s="213" t="str">
        <f t="shared" si="108"/>
        <v/>
      </c>
      <c r="T215" s="257" t="str">
        <f t="shared" si="113"/>
        <v/>
      </c>
      <c r="U215" s="768">
        <f t="shared" si="114"/>
        <v>17.4647619047619</v>
      </c>
      <c r="V215" s="768">
        <v>0.3</v>
      </c>
      <c r="W215" s="768" t="s">
        <v>3476</v>
      </c>
      <c r="X215" s="929"/>
      <c r="Y215" s="213">
        <v>154</v>
      </c>
      <c r="Z215" s="1316">
        <v>10</v>
      </c>
      <c r="AA215" s="1298" t="s">
        <v>1816</v>
      </c>
      <c r="AB215" s="230">
        <f t="shared" si="102"/>
        <v>1</v>
      </c>
      <c r="AC215" s="1315"/>
      <c r="AD215" s="1315"/>
      <c r="AE215" s="1315"/>
      <c r="AF215" s="1316"/>
      <c r="AG215" s="1298" t="str">
        <f t="shared" si="105"/>
        <v>1</v>
      </c>
      <c r="AH215" s="1304">
        <f>'Зона НЭс'!L33</f>
        <v>0</v>
      </c>
      <c r="AI215" s="1304">
        <f t="shared" si="100"/>
        <v>0.18337999999999999</v>
      </c>
      <c r="AJ215" s="1304">
        <f t="shared" si="106"/>
        <v>0.64</v>
      </c>
      <c r="AK215" s="1298" t="str">
        <f t="shared" si="107"/>
        <v>1сутки</v>
      </c>
      <c r="AL215" s="1304">
        <f t="shared" si="115"/>
        <v>0.64</v>
      </c>
      <c r="AM215" s="1298">
        <v>0</v>
      </c>
      <c r="AN215" s="893">
        <f t="shared" si="116"/>
        <v>0.64</v>
      </c>
      <c r="AO215" s="1304">
        <f t="shared" si="117"/>
        <v>0.45662000000000003</v>
      </c>
      <c r="AP215" s="1304">
        <f t="shared" si="120"/>
        <v>0.45662000000000003</v>
      </c>
      <c r="AQ215" s="1339" t="str">
        <f t="shared" si="109"/>
        <v/>
      </c>
      <c r="AR215" s="1298" t="str">
        <f t="shared" si="118"/>
        <v/>
      </c>
      <c r="AS215" s="952">
        <f t="shared" si="121"/>
        <v>17.4647619047619</v>
      </c>
      <c r="AT215" s="954" t="s">
        <v>95</v>
      </c>
      <c r="AU215" s="1113">
        <v>1987</v>
      </c>
      <c r="AV215" s="214">
        <v>2011</v>
      </c>
      <c r="AW215" s="1121">
        <v>56.511311336791501</v>
      </c>
      <c r="AX215" s="1121">
        <v>31.116721048774298</v>
      </c>
    </row>
    <row r="216" spans="1:50" ht="20.100000000000001" customHeight="1" x14ac:dyDescent="0.25">
      <c r="A216" s="213">
        <v>155</v>
      </c>
      <c r="B216" s="213">
        <v>11</v>
      </c>
      <c r="C216" s="213" t="s">
        <v>1817</v>
      </c>
      <c r="D216" s="230">
        <v>1.6</v>
      </c>
      <c r="E216" s="229"/>
      <c r="F216" s="229"/>
      <c r="G216" s="229"/>
      <c r="H216" s="228"/>
      <c r="I216" s="229" t="str">
        <f t="shared" si="101"/>
        <v>1,6</v>
      </c>
      <c r="J216" s="895">
        <v>0.41865999999999998</v>
      </c>
      <c r="K216" s="172">
        <v>0.72</v>
      </c>
      <c r="L216" s="213" t="s">
        <v>1807</v>
      </c>
      <c r="M216" s="172">
        <f t="shared" si="119"/>
        <v>0.72</v>
      </c>
      <c r="N216" s="172">
        <v>0</v>
      </c>
      <c r="O216" s="893"/>
      <c r="P216" s="893">
        <f t="shared" si="110"/>
        <v>0.72</v>
      </c>
      <c r="Q216" s="172">
        <f t="shared" si="111"/>
        <v>0.30134</v>
      </c>
      <c r="R216" s="172">
        <f t="shared" si="112"/>
        <v>0.30134</v>
      </c>
      <c r="S216" s="213" t="str">
        <f t="shared" si="108"/>
        <v/>
      </c>
      <c r="T216" s="257" t="str">
        <f t="shared" si="113"/>
        <v/>
      </c>
      <c r="U216" s="768">
        <f t="shared" si="114"/>
        <v>24.920238095238094</v>
      </c>
      <c r="V216" s="768">
        <v>0.9</v>
      </c>
      <c r="W216" s="768" t="s">
        <v>3476</v>
      </c>
      <c r="X216" s="929"/>
      <c r="Y216" s="213">
        <v>155</v>
      </c>
      <c r="Z216" s="1316">
        <v>11</v>
      </c>
      <c r="AA216" s="1298" t="s">
        <v>1817</v>
      </c>
      <c r="AB216" s="230">
        <f t="shared" si="102"/>
        <v>1.6</v>
      </c>
      <c r="AC216" s="1315"/>
      <c r="AD216" s="1315"/>
      <c r="AE216" s="1315"/>
      <c r="AF216" s="1316"/>
      <c r="AG216" s="1298" t="str">
        <f t="shared" si="105"/>
        <v>1,6</v>
      </c>
      <c r="AH216" s="1304">
        <f>'Зона НЭс'!L35</f>
        <v>0</v>
      </c>
      <c r="AI216" s="1304">
        <f t="shared" si="100"/>
        <v>0.41865999999999998</v>
      </c>
      <c r="AJ216" s="1304">
        <f t="shared" si="106"/>
        <v>0.72</v>
      </c>
      <c r="AK216" s="1298" t="str">
        <f t="shared" si="107"/>
        <v>1сутки</v>
      </c>
      <c r="AL216" s="1304">
        <f t="shared" si="115"/>
        <v>0.72</v>
      </c>
      <c r="AM216" s="1298">
        <v>0</v>
      </c>
      <c r="AN216" s="893">
        <f t="shared" si="116"/>
        <v>0.72</v>
      </c>
      <c r="AO216" s="1304">
        <f t="shared" si="117"/>
        <v>0.30134</v>
      </c>
      <c r="AP216" s="1304">
        <f t="shared" si="120"/>
        <v>0.30134</v>
      </c>
      <c r="AQ216" s="1339" t="str">
        <f t="shared" si="109"/>
        <v/>
      </c>
      <c r="AR216" s="1298" t="str">
        <f t="shared" si="118"/>
        <v/>
      </c>
      <c r="AS216" s="952">
        <f t="shared" si="121"/>
        <v>24.920238095238094</v>
      </c>
      <c r="AT216" s="954" t="s">
        <v>95</v>
      </c>
      <c r="AU216" s="1113">
        <v>1981</v>
      </c>
      <c r="AV216" s="1119" t="s">
        <v>3286</v>
      </c>
      <c r="AW216" s="1121">
        <v>56.656234881491301</v>
      </c>
      <c r="AX216" s="1121">
        <v>31.40388826337</v>
      </c>
    </row>
    <row r="217" spans="1:50" ht="20.100000000000001" customHeight="1" x14ac:dyDescent="0.25">
      <c r="A217" s="213">
        <v>156</v>
      </c>
      <c r="B217" s="213">
        <v>12</v>
      </c>
      <c r="C217" s="213" t="s">
        <v>1818</v>
      </c>
      <c r="D217" s="230">
        <v>1.6</v>
      </c>
      <c r="E217" s="229"/>
      <c r="F217" s="229"/>
      <c r="G217" s="229"/>
      <c r="H217" s="228"/>
      <c r="I217" s="229" t="str">
        <f t="shared" si="101"/>
        <v>1,6</v>
      </c>
      <c r="J217" s="895">
        <v>0.5</v>
      </c>
      <c r="K217" s="172">
        <v>1.73</v>
      </c>
      <c r="L217" s="213" t="s">
        <v>1807</v>
      </c>
      <c r="M217" s="172">
        <f t="shared" si="119"/>
        <v>1.73</v>
      </c>
      <c r="N217" s="172">
        <v>0</v>
      </c>
      <c r="O217" s="893"/>
      <c r="P217" s="893">
        <f t="shared" si="110"/>
        <v>1.73</v>
      </c>
      <c r="Q217" s="172">
        <f t="shared" si="111"/>
        <v>1.23</v>
      </c>
      <c r="R217" s="172">
        <f t="shared" si="112"/>
        <v>1.23</v>
      </c>
      <c r="S217" s="213" t="str">
        <f t="shared" si="108"/>
        <v/>
      </c>
      <c r="T217" s="257" t="str">
        <f t="shared" si="113"/>
        <v/>
      </c>
      <c r="U217" s="768">
        <f t="shared" si="114"/>
        <v>29.761904761904759</v>
      </c>
      <c r="V217" s="768">
        <v>0.7</v>
      </c>
      <c r="W217" s="768" t="s">
        <v>3476</v>
      </c>
      <c r="X217" s="929"/>
      <c r="Y217" s="213">
        <v>156</v>
      </c>
      <c r="Z217" s="1316">
        <v>12</v>
      </c>
      <c r="AA217" s="1298" t="s">
        <v>1818</v>
      </c>
      <c r="AB217" s="230">
        <f t="shared" si="102"/>
        <v>1.6</v>
      </c>
      <c r="AC217" s="1315"/>
      <c r="AD217" s="1315"/>
      <c r="AE217" s="1315"/>
      <c r="AF217" s="1316"/>
      <c r="AG217" s="1298" t="str">
        <f t="shared" si="105"/>
        <v>1,6</v>
      </c>
      <c r="AH217" s="1304">
        <f>'Зона НЭс'!L37</f>
        <v>0</v>
      </c>
      <c r="AI217" s="1304">
        <f t="shared" si="100"/>
        <v>0.5</v>
      </c>
      <c r="AJ217" s="1304">
        <f t="shared" si="106"/>
        <v>1.73</v>
      </c>
      <c r="AK217" s="1298" t="str">
        <f t="shared" si="107"/>
        <v>1сутки</v>
      </c>
      <c r="AL217" s="1304">
        <f t="shared" si="115"/>
        <v>1.73</v>
      </c>
      <c r="AM217" s="1298">
        <v>0</v>
      </c>
      <c r="AN217" s="893">
        <f t="shared" si="116"/>
        <v>1.73</v>
      </c>
      <c r="AO217" s="1304">
        <f t="shared" si="117"/>
        <v>1.23</v>
      </c>
      <c r="AP217" s="1304">
        <f t="shared" si="120"/>
        <v>1.23</v>
      </c>
      <c r="AQ217" s="1339" t="str">
        <f t="shared" si="109"/>
        <v/>
      </c>
      <c r="AR217" s="1298" t="str">
        <f t="shared" si="118"/>
        <v/>
      </c>
      <c r="AS217" s="952">
        <f t="shared" si="121"/>
        <v>29.761904761904759</v>
      </c>
      <c r="AT217" s="954" t="s">
        <v>95</v>
      </c>
      <c r="AU217" s="1113">
        <v>1960</v>
      </c>
      <c r="AV217" s="1119" t="s">
        <v>3286</v>
      </c>
      <c r="AW217" s="1121">
        <v>56.221509931686597</v>
      </c>
      <c r="AX217" s="1121">
        <v>32.748808156639399</v>
      </c>
    </row>
    <row r="218" spans="1:50" ht="20.100000000000001" customHeight="1" x14ac:dyDescent="0.25">
      <c r="A218" s="213">
        <v>157</v>
      </c>
      <c r="B218" s="213">
        <v>13</v>
      </c>
      <c r="C218" s="213" t="s">
        <v>1819</v>
      </c>
      <c r="D218" s="230">
        <v>2.5</v>
      </c>
      <c r="E218" s="229"/>
      <c r="F218" s="229"/>
      <c r="G218" s="229"/>
      <c r="H218" s="228"/>
      <c r="I218" s="229" t="str">
        <f t="shared" si="101"/>
        <v>2,5</v>
      </c>
      <c r="J218" s="895">
        <v>0.34842199999999995</v>
      </c>
      <c r="K218" s="172">
        <v>2.2599999999999998</v>
      </c>
      <c r="L218" s="213" t="s">
        <v>1807</v>
      </c>
      <c r="M218" s="172">
        <f t="shared" si="119"/>
        <v>2.2599999999999998</v>
      </c>
      <c r="N218" s="172">
        <v>0</v>
      </c>
      <c r="O218" s="893"/>
      <c r="P218" s="893">
        <f t="shared" si="110"/>
        <v>2.2599999999999998</v>
      </c>
      <c r="Q218" s="172">
        <f t="shared" si="111"/>
        <v>1.9115779999999998</v>
      </c>
      <c r="R218" s="172">
        <f t="shared" si="112"/>
        <v>1.9115779999999998</v>
      </c>
      <c r="S218" s="213" t="str">
        <f t="shared" si="108"/>
        <v/>
      </c>
      <c r="T218" s="257" t="str">
        <f t="shared" si="113"/>
        <v/>
      </c>
      <c r="U218" s="768">
        <f t="shared" si="114"/>
        <v>13.273219047619047</v>
      </c>
      <c r="V218" s="768">
        <v>0.6</v>
      </c>
      <c r="W218" s="768" t="s">
        <v>3476</v>
      </c>
      <c r="X218" s="929"/>
      <c r="Y218" s="213">
        <v>157</v>
      </c>
      <c r="Z218" s="1316">
        <v>13</v>
      </c>
      <c r="AA218" s="1298" t="s">
        <v>1819</v>
      </c>
      <c r="AB218" s="230">
        <f t="shared" si="102"/>
        <v>2.5</v>
      </c>
      <c r="AC218" s="1315"/>
      <c r="AD218" s="1315"/>
      <c r="AE218" s="1315"/>
      <c r="AF218" s="1316"/>
      <c r="AG218" s="1298" t="str">
        <f t="shared" si="105"/>
        <v>2,5</v>
      </c>
      <c r="AH218" s="1304">
        <f>'Зона НЭс'!L39</f>
        <v>0</v>
      </c>
      <c r="AI218" s="1304">
        <f t="shared" si="100"/>
        <v>0.34842199999999995</v>
      </c>
      <c r="AJ218" s="1304">
        <f t="shared" si="106"/>
        <v>2.2599999999999998</v>
      </c>
      <c r="AK218" s="1298" t="str">
        <f t="shared" si="107"/>
        <v>1сутки</v>
      </c>
      <c r="AL218" s="1304">
        <f t="shared" si="115"/>
        <v>2.2599999999999998</v>
      </c>
      <c r="AM218" s="1298">
        <v>0</v>
      </c>
      <c r="AN218" s="893">
        <f t="shared" si="116"/>
        <v>2.2599999999999998</v>
      </c>
      <c r="AO218" s="1304">
        <f t="shared" si="117"/>
        <v>1.9115779999999998</v>
      </c>
      <c r="AP218" s="1304">
        <f t="shared" si="120"/>
        <v>1.9115779999999998</v>
      </c>
      <c r="AQ218" s="1339" t="str">
        <f t="shared" si="109"/>
        <v/>
      </c>
      <c r="AR218" s="1298" t="str">
        <f t="shared" si="118"/>
        <v/>
      </c>
      <c r="AS218" s="952">
        <f t="shared" si="121"/>
        <v>13.273219047619047</v>
      </c>
      <c r="AT218" s="954" t="s">
        <v>95</v>
      </c>
      <c r="AU218" s="1113">
        <v>1987</v>
      </c>
      <c r="AV218" s="1119" t="s">
        <v>3286</v>
      </c>
      <c r="AW218" s="1121">
        <v>56.489109448289803</v>
      </c>
      <c r="AX218" s="1121">
        <v>31.843254812482002</v>
      </c>
    </row>
    <row r="219" spans="1:50" ht="20.100000000000001" customHeight="1" x14ac:dyDescent="0.25">
      <c r="A219" s="213">
        <v>158</v>
      </c>
      <c r="B219" s="213">
        <v>14</v>
      </c>
      <c r="C219" s="213" t="s">
        <v>1820</v>
      </c>
      <c r="D219" s="230">
        <v>1</v>
      </c>
      <c r="E219" s="229"/>
      <c r="F219" s="229"/>
      <c r="G219" s="229"/>
      <c r="H219" s="228"/>
      <c r="I219" s="229" t="str">
        <f t="shared" si="101"/>
        <v>1</v>
      </c>
      <c r="J219" s="895">
        <v>0.56311500000000003</v>
      </c>
      <c r="K219" s="172">
        <v>0.65</v>
      </c>
      <c r="L219" s="213" t="s">
        <v>1807</v>
      </c>
      <c r="M219" s="172">
        <f t="shared" si="119"/>
        <v>0.65</v>
      </c>
      <c r="N219" s="172">
        <v>0</v>
      </c>
      <c r="O219" s="893"/>
      <c r="P219" s="893">
        <f t="shared" si="110"/>
        <v>0.65</v>
      </c>
      <c r="Q219" s="172">
        <f t="shared" si="111"/>
        <v>8.688499999999999E-2</v>
      </c>
      <c r="R219" s="172">
        <f t="shared" si="112"/>
        <v>8.688499999999999E-2</v>
      </c>
      <c r="S219" s="213" t="str">
        <f t="shared" si="108"/>
        <v/>
      </c>
      <c r="T219" s="257" t="str">
        <f t="shared" si="113"/>
        <v/>
      </c>
      <c r="U219" s="768">
        <f t="shared" si="114"/>
        <v>53.63</v>
      </c>
      <c r="V219" s="768"/>
      <c r="W219" s="768"/>
      <c r="X219" s="929"/>
      <c r="Y219" s="213">
        <v>158</v>
      </c>
      <c r="Z219" s="1316">
        <v>14</v>
      </c>
      <c r="AA219" s="1298" t="s">
        <v>1820</v>
      </c>
      <c r="AB219" s="230">
        <f t="shared" si="102"/>
        <v>1</v>
      </c>
      <c r="AC219" s="1315"/>
      <c r="AD219" s="1315"/>
      <c r="AE219" s="1315"/>
      <c r="AF219" s="1316"/>
      <c r="AG219" s="1298" t="str">
        <f t="shared" si="105"/>
        <v>1</v>
      </c>
      <c r="AH219" s="1304">
        <f>'Зона НЭс'!L44</f>
        <v>7.4999999999999997E-2</v>
      </c>
      <c r="AI219" s="1304">
        <f t="shared" si="100"/>
        <v>0.63811499999999999</v>
      </c>
      <c r="AJ219" s="1304">
        <f t="shared" si="106"/>
        <v>0.65</v>
      </c>
      <c r="AK219" s="1298" t="str">
        <f t="shared" si="107"/>
        <v>1сутки</v>
      </c>
      <c r="AL219" s="1304">
        <f t="shared" si="115"/>
        <v>0.65</v>
      </c>
      <c r="AM219" s="1298">
        <v>0</v>
      </c>
      <c r="AN219" s="893">
        <f t="shared" si="116"/>
        <v>0.65</v>
      </c>
      <c r="AO219" s="1304">
        <f t="shared" si="117"/>
        <v>1.1885000000000034E-2</v>
      </c>
      <c r="AP219" s="1304">
        <f t="shared" si="120"/>
        <v>1.1885000000000034E-2</v>
      </c>
      <c r="AQ219" s="1339" t="str">
        <f t="shared" si="109"/>
        <v/>
      </c>
      <c r="AR219" s="1298" t="str">
        <f t="shared" si="118"/>
        <v/>
      </c>
      <c r="AS219" s="952">
        <f t="shared" si="121"/>
        <v>60.772857142857134</v>
      </c>
      <c r="AT219" s="954" t="s">
        <v>95</v>
      </c>
      <c r="AU219" s="1113">
        <v>1968</v>
      </c>
      <c r="AV219" s="1119" t="s">
        <v>3286</v>
      </c>
      <c r="AW219" s="1121">
        <v>56.898108803443201</v>
      </c>
      <c r="AX219" s="1121">
        <v>32.077245840508198</v>
      </c>
    </row>
    <row r="220" spans="1:50" ht="20.100000000000001" customHeight="1" x14ac:dyDescent="0.25">
      <c r="A220" s="213">
        <v>159</v>
      </c>
      <c r="B220" s="213">
        <v>15</v>
      </c>
      <c r="C220" s="213" t="s">
        <v>1821</v>
      </c>
      <c r="D220" s="230">
        <v>1.6</v>
      </c>
      <c r="E220" s="229"/>
      <c r="F220" s="229"/>
      <c r="G220" s="229"/>
      <c r="H220" s="228"/>
      <c r="I220" s="229" t="str">
        <f t="shared" si="101"/>
        <v>1,6</v>
      </c>
      <c r="J220" s="895">
        <v>0.31468699999999994</v>
      </c>
      <c r="K220" s="172">
        <v>0</v>
      </c>
      <c r="L220" s="213">
        <v>0</v>
      </c>
      <c r="M220" s="172">
        <f t="shared" si="119"/>
        <v>0</v>
      </c>
      <c r="N220" s="172">
        <v>0</v>
      </c>
      <c r="O220" s="893"/>
      <c r="P220" s="893">
        <f t="shared" si="110"/>
        <v>0</v>
      </c>
      <c r="Q220" s="172">
        <f t="shared" si="111"/>
        <v>-0.31468699999999994</v>
      </c>
      <c r="R220" s="172">
        <f t="shared" si="112"/>
        <v>-0.31468699999999994</v>
      </c>
      <c r="S220" s="213" t="str">
        <f>T220</f>
        <v>закрыт</v>
      </c>
      <c r="T220" s="257" t="str">
        <f t="shared" si="113"/>
        <v>закрыт</v>
      </c>
      <c r="U220" s="768">
        <f t="shared" si="114"/>
        <v>18.731369047619044</v>
      </c>
      <c r="V220" s="768"/>
      <c r="W220" s="768"/>
      <c r="X220" s="929"/>
      <c r="Y220" s="213">
        <v>159</v>
      </c>
      <c r="Z220" s="1316">
        <v>15</v>
      </c>
      <c r="AA220" s="1298" t="s">
        <v>1821</v>
      </c>
      <c r="AB220" s="230">
        <f t="shared" si="102"/>
        <v>1.6</v>
      </c>
      <c r="AC220" s="1315"/>
      <c r="AD220" s="1315"/>
      <c r="AE220" s="1315"/>
      <c r="AF220" s="1316"/>
      <c r="AG220" s="1298" t="str">
        <f t="shared" si="105"/>
        <v>1,6</v>
      </c>
      <c r="AH220" s="1304">
        <f>'Зона НЭс'!L47</f>
        <v>0</v>
      </c>
      <c r="AI220" s="1304">
        <f t="shared" si="100"/>
        <v>0.31468699999999994</v>
      </c>
      <c r="AJ220" s="1304">
        <f t="shared" si="106"/>
        <v>0</v>
      </c>
      <c r="AK220" s="1298">
        <f t="shared" si="107"/>
        <v>0</v>
      </c>
      <c r="AL220" s="1304">
        <f t="shared" si="115"/>
        <v>0</v>
      </c>
      <c r="AM220" s="1298">
        <v>0</v>
      </c>
      <c r="AN220" s="893">
        <f t="shared" si="116"/>
        <v>0</v>
      </c>
      <c r="AO220" s="1304">
        <f t="shared" si="117"/>
        <v>-0.31468699999999994</v>
      </c>
      <c r="AP220" s="1304">
        <f t="shared" si="120"/>
        <v>-0.31468699999999994</v>
      </c>
      <c r="AQ220" s="1339" t="str">
        <f t="shared" si="109"/>
        <v>закрыт</v>
      </c>
      <c r="AR220" s="1298" t="str">
        <f t="shared" si="118"/>
        <v>закрыт</v>
      </c>
      <c r="AS220" s="952">
        <f t="shared" si="121"/>
        <v>18.731369047619044</v>
      </c>
      <c r="AT220" s="954" t="s">
        <v>95</v>
      </c>
      <c r="AU220" s="1113">
        <v>1980</v>
      </c>
      <c r="AV220" s="1119" t="s">
        <v>3286</v>
      </c>
      <c r="AW220" s="1121">
        <v>56.275572606468899</v>
      </c>
      <c r="AX220" s="1121">
        <v>31.9360874224983</v>
      </c>
    </row>
    <row r="221" spans="1:50" ht="20.100000000000001" customHeight="1" x14ac:dyDescent="0.25">
      <c r="A221" s="213">
        <v>160</v>
      </c>
      <c r="B221" s="213">
        <v>16</v>
      </c>
      <c r="C221" s="213" t="s">
        <v>1835</v>
      </c>
      <c r="D221" s="230">
        <v>2.5</v>
      </c>
      <c r="E221" s="229"/>
      <c r="F221" s="229"/>
      <c r="G221" s="229"/>
      <c r="H221" s="228"/>
      <c r="I221" s="229" t="str">
        <f t="shared" si="101"/>
        <v>2,5</v>
      </c>
      <c r="J221" s="895">
        <v>0.18165000000000001</v>
      </c>
      <c r="K221" s="172">
        <v>1.73</v>
      </c>
      <c r="L221" s="213" t="s">
        <v>1807</v>
      </c>
      <c r="M221" s="172">
        <f t="shared" si="119"/>
        <v>1.73</v>
      </c>
      <c r="N221" s="172">
        <v>0</v>
      </c>
      <c r="O221" s="893"/>
      <c r="P221" s="893">
        <f t="shared" si="110"/>
        <v>1.73</v>
      </c>
      <c r="Q221" s="172">
        <f t="shared" si="111"/>
        <v>1.5483499999999999</v>
      </c>
      <c r="R221" s="172">
        <f t="shared" si="112"/>
        <v>1.5483499999999999</v>
      </c>
      <c r="S221" s="768" t="str">
        <f t="shared" si="108"/>
        <v/>
      </c>
      <c r="T221" s="257" t="str">
        <f t="shared" si="113"/>
        <v/>
      </c>
      <c r="U221" s="768">
        <f t="shared" si="114"/>
        <v>6.92</v>
      </c>
      <c r="V221" s="768">
        <v>0.7</v>
      </c>
      <c r="W221" s="768" t="s">
        <v>3476</v>
      </c>
      <c r="X221" s="929"/>
      <c r="Y221" s="213">
        <v>160</v>
      </c>
      <c r="Z221" s="1316">
        <v>16</v>
      </c>
      <c r="AA221" s="1298" t="s">
        <v>1835</v>
      </c>
      <c r="AB221" s="230">
        <f t="shared" si="102"/>
        <v>2.5</v>
      </c>
      <c r="AC221" s="1315"/>
      <c r="AD221" s="1315"/>
      <c r="AE221" s="1315"/>
      <c r="AF221" s="1316"/>
      <c r="AG221" s="1298" t="str">
        <f t="shared" si="105"/>
        <v>2,5</v>
      </c>
      <c r="AH221" s="1304">
        <f>'Зона НЭс'!L49</f>
        <v>0</v>
      </c>
      <c r="AI221" s="1304">
        <f t="shared" si="100"/>
        <v>0.18165000000000001</v>
      </c>
      <c r="AJ221" s="1304">
        <f t="shared" si="106"/>
        <v>1.73</v>
      </c>
      <c r="AK221" s="1298" t="str">
        <f t="shared" si="107"/>
        <v>1сутки</v>
      </c>
      <c r="AL221" s="1304">
        <f t="shared" si="115"/>
        <v>1.73</v>
      </c>
      <c r="AM221" s="1298">
        <v>0</v>
      </c>
      <c r="AN221" s="893">
        <f t="shared" si="116"/>
        <v>1.73</v>
      </c>
      <c r="AO221" s="1304">
        <f t="shared" si="117"/>
        <v>1.5483499999999999</v>
      </c>
      <c r="AP221" s="1304">
        <f t="shared" si="120"/>
        <v>1.5483499999999999</v>
      </c>
      <c r="AQ221" s="1296" t="str">
        <f t="shared" si="109"/>
        <v/>
      </c>
      <c r="AR221" s="1298" t="str">
        <f t="shared" si="118"/>
        <v/>
      </c>
      <c r="AS221" s="952">
        <f t="shared" si="121"/>
        <v>6.92</v>
      </c>
      <c r="AT221" s="954" t="s">
        <v>95</v>
      </c>
      <c r="AU221" s="1113">
        <v>1979</v>
      </c>
      <c r="AV221" s="1119" t="s">
        <v>3286</v>
      </c>
      <c r="AW221" s="1121">
        <v>55.801832313897698</v>
      </c>
      <c r="AX221" s="1121">
        <v>33.105341542915497</v>
      </c>
    </row>
    <row r="222" spans="1:50" ht="20.100000000000001" customHeight="1" x14ac:dyDescent="0.25">
      <c r="A222" s="213">
        <v>161</v>
      </c>
      <c r="B222" s="213">
        <v>17</v>
      </c>
      <c r="C222" s="213" t="s">
        <v>1822</v>
      </c>
      <c r="D222" s="230">
        <v>1.6</v>
      </c>
      <c r="E222" s="229" t="s">
        <v>785</v>
      </c>
      <c r="F222" s="229">
        <v>2.5</v>
      </c>
      <c r="G222" s="229"/>
      <c r="H222" s="228"/>
      <c r="I222" s="229" t="str">
        <f t="shared" si="101"/>
        <v>1,6+2,5</v>
      </c>
      <c r="J222" s="895">
        <v>0.67210500000000006</v>
      </c>
      <c r="K222" s="172">
        <v>0.23</v>
      </c>
      <c r="L222" s="213">
        <v>120</v>
      </c>
      <c r="M222" s="172">
        <f t="shared" ref="M222:M242" si="122">J222-K222</f>
        <v>0.44210500000000008</v>
      </c>
      <c r="N222" s="172">
        <v>0</v>
      </c>
      <c r="O222" s="893"/>
      <c r="P222" s="893">
        <f t="shared" ref="P222:P242" si="123">MIN(D222:F222)*1.05</f>
        <v>1.6800000000000002</v>
      </c>
      <c r="Q222" s="172">
        <f t="shared" ref="Q222:Q242" si="124">P222-M222-N222</f>
        <v>1.237895</v>
      </c>
      <c r="R222" s="172">
        <f t="shared" si="112"/>
        <v>1.237895</v>
      </c>
      <c r="S222" s="768" t="str">
        <f t="shared" si="108"/>
        <v/>
      </c>
      <c r="T222" s="257" t="str">
        <f t="shared" si="113"/>
        <v/>
      </c>
      <c r="U222" s="768">
        <f t="shared" ref="U222:U231" si="125">(J222*100)/P222</f>
        <v>40.006250000000001</v>
      </c>
      <c r="V222" s="768"/>
      <c r="W222" s="768"/>
      <c r="X222" s="929"/>
      <c r="Y222" s="213">
        <v>161</v>
      </c>
      <c r="Z222" s="1316">
        <v>17</v>
      </c>
      <c r="AA222" s="1298" t="s">
        <v>1822</v>
      </c>
      <c r="AB222" s="230">
        <f t="shared" si="102"/>
        <v>1.6</v>
      </c>
      <c r="AC222" s="1315" t="str">
        <f t="shared" si="103"/>
        <v>+</v>
      </c>
      <c r="AD222" s="1315">
        <f t="shared" si="104"/>
        <v>2.5</v>
      </c>
      <c r="AE222" s="1315"/>
      <c r="AF222" s="1316"/>
      <c r="AG222" s="1298" t="str">
        <f t="shared" si="105"/>
        <v>1,6+2,5</v>
      </c>
      <c r="AH222" s="1304">
        <f>'Зона НЭс'!L55</f>
        <v>0</v>
      </c>
      <c r="AI222" s="1304">
        <f t="shared" si="100"/>
        <v>0.67210500000000006</v>
      </c>
      <c r="AJ222" s="1304">
        <f t="shared" si="106"/>
        <v>0.23</v>
      </c>
      <c r="AK222" s="1298">
        <f t="shared" si="107"/>
        <v>120</v>
      </c>
      <c r="AL222" s="1304">
        <f t="shared" ref="AL222:AL242" si="126">AI222-AJ222</f>
        <v>0.44210500000000008</v>
      </c>
      <c r="AM222" s="1298">
        <v>0</v>
      </c>
      <c r="AN222" s="893">
        <f t="shared" ref="AN222:AN242" si="127">MIN(AB222:AF222)*1.05</f>
        <v>1.6800000000000002</v>
      </c>
      <c r="AO222" s="1304">
        <f t="shared" ref="AO222:AO242" si="128">AN222-AL222-AM222</f>
        <v>1.237895</v>
      </c>
      <c r="AP222" s="1304">
        <f>AO222</f>
        <v>1.237895</v>
      </c>
      <c r="AQ222" s="1296" t="str">
        <f t="shared" si="109"/>
        <v/>
      </c>
      <c r="AR222" s="1298" t="str">
        <f t="shared" si="118"/>
        <v/>
      </c>
      <c r="AS222" s="952">
        <f t="shared" ref="AS222:AS231" si="129">(AI222*100)/AN222</f>
        <v>40.006250000000001</v>
      </c>
      <c r="AT222" s="954" t="s">
        <v>95</v>
      </c>
      <c r="AU222" s="1113">
        <v>1969</v>
      </c>
      <c r="AV222" s="1119" t="s">
        <v>3286</v>
      </c>
      <c r="AW222" s="1121">
        <v>56.888937668135398</v>
      </c>
      <c r="AX222" s="1121">
        <v>31.711828797538999</v>
      </c>
    </row>
    <row r="223" spans="1:50" ht="20.100000000000001" customHeight="1" x14ac:dyDescent="0.25">
      <c r="A223" s="213">
        <v>162</v>
      </c>
      <c r="B223" s="213">
        <v>18</v>
      </c>
      <c r="C223" s="213" t="s">
        <v>1823</v>
      </c>
      <c r="D223" s="230">
        <v>1</v>
      </c>
      <c r="E223" s="229" t="s">
        <v>785</v>
      </c>
      <c r="F223" s="229">
        <v>2.5</v>
      </c>
      <c r="G223" s="229"/>
      <c r="H223" s="228"/>
      <c r="I223" s="229" t="str">
        <f t="shared" si="101"/>
        <v>1+2,5</v>
      </c>
      <c r="J223" s="895">
        <v>0.14532</v>
      </c>
      <c r="K223" s="172">
        <v>0.11</v>
      </c>
      <c r="L223" s="213">
        <v>120</v>
      </c>
      <c r="M223" s="172">
        <f t="shared" si="122"/>
        <v>3.5320000000000004E-2</v>
      </c>
      <c r="N223" s="172">
        <v>0</v>
      </c>
      <c r="O223" s="893"/>
      <c r="P223" s="893">
        <f t="shared" si="123"/>
        <v>1.05</v>
      </c>
      <c r="Q223" s="172">
        <f t="shared" si="124"/>
        <v>1.01468</v>
      </c>
      <c r="R223" s="172">
        <f t="shared" si="112"/>
        <v>1.01468</v>
      </c>
      <c r="S223" s="768" t="str">
        <f t="shared" si="108"/>
        <v/>
      </c>
      <c r="T223" s="257" t="str">
        <f t="shared" si="113"/>
        <v/>
      </c>
      <c r="U223" s="768">
        <f t="shared" si="125"/>
        <v>13.84</v>
      </c>
      <c r="V223" s="768">
        <v>0.9</v>
      </c>
      <c r="W223" s="768" t="s">
        <v>3476</v>
      </c>
      <c r="X223" s="929"/>
      <c r="Y223" s="213">
        <v>162</v>
      </c>
      <c r="Z223" s="1316">
        <v>18</v>
      </c>
      <c r="AA223" s="1298" t="s">
        <v>1823</v>
      </c>
      <c r="AB223" s="230">
        <f t="shared" si="102"/>
        <v>1</v>
      </c>
      <c r="AC223" s="1315" t="str">
        <f t="shared" si="103"/>
        <v>+</v>
      </c>
      <c r="AD223" s="1315">
        <f t="shared" si="104"/>
        <v>2.5</v>
      </c>
      <c r="AE223" s="1315"/>
      <c r="AF223" s="1316"/>
      <c r="AG223" s="1298" t="str">
        <f t="shared" si="105"/>
        <v>1+2,5</v>
      </c>
      <c r="AH223" s="1304">
        <f>'Зона НЭс'!L57</f>
        <v>0</v>
      </c>
      <c r="AI223" s="1304">
        <f t="shared" si="100"/>
        <v>0.14532</v>
      </c>
      <c r="AJ223" s="1304">
        <f t="shared" si="106"/>
        <v>0.11</v>
      </c>
      <c r="AK223" s="1298">
        <f t="shared" si="107"/>
        <v>120</v>
      </c>
      <c r="AL223" s="1304">
        <f t="shared" si="126"/>
        <v>3.5320000000000004E-2</v>
      </c>
      <c r="AM223" s="1298">
        <v>0</v>
      </c>
      <c r="AN223" s="893">
        <f t="shared" si="127"/>
        <v>1.05</v>
      </c>
      <c r="AO223" s="1304">
        <f t="shared" si="128"/>
        <v>1.01468</v>
      </c>
      <c r="AP223" s="1304">
        <f t="shared" ref="AP223:AP230" si="130">AO223</f>
        <v>1.01468</v>
      </c>
      <c r="AQ223" s="1296" t="str">
        <f t="shared" si="109"/>
        <v/>
      </c>
      <c r="AR223" s="1298" t="str">
        <f t="shared" si="118"/>
        <v/>
      </c>
      <c r="AS223" s="952">
        <f t="shared" si="129"/>
        <v>13.84</v>
      </c>
      <c r="AT223" s="954" t="s">
        <v>95</v>
      </c>
      <c r="AU223" s="1113">
        <v>1967</v>
      </c>
      <c r="AV223" s="1119" t="s">
        <v>3286</v>
      </c>
      <c r="AW223" s="1121">
        <v>55.901399261597497</v>
      </c>
      <c r="AX223" s="1121">
        <v>33.376600993077801</v>
      </c>
    </row>
    <row r="224" spans="1:50" ht="20.100000000000001" customHeight="1" x14ac:dyDescent="0.25">
      <c r="A224" s="213">
        <v>163</v>
      </c>
      <c r="B224" s="213">
        <v>19</v>
      </c>
      <c r="C224" s="213" t="s">
        <v>1824</v>
      </c>
      <c r="D224" s="230">
        <v>1.6</v>
      </c>
      <c r="E224" s="229" t="s">
        <v>785</v>
      </c>
      <c r="F224" s="229">
        <v>1.6</v>
      </c>
      <c r="G224" s="229"/>
      <c r="H224" s="228"/>
      <c r="I224" s="229" t="str">
        <f t="shared" si="101"/>
        <v>1,6+1,6</v>
      </c>
      <c r="J224" s="895">
        <v>0.42177399999999993</v>
      </c>
      <c r="K224" s="172">
        <v>0.37</v>
      </c>
      <c r="L224" s="213">
        <v>120</v>
      </c>
      <c r="M224" s="172">
        <f t="shared" si="122"/>
        <v>5.1773999999999931E-2</v>
      </c>
      <c r="N224" s="172">
        <v>0</v>
      </c>
      <c r="O224" s="893"/>
      <c r="P224" s="893">
        <f t="shared" si="123"/>
        <v>1.6800000000000002</v>
      </c>
      <c r="Q224" s="172">
        <f t="shared" si="124"/>
        <v>1.6282260000000002</v>
      </c>
      <c r="R224" s="172">
        <f t="shared" si="112"/>
        <v>1.6282260000000002</v>
      </c>
      <c r="S224" s="768" t="str">
        <f t="shared" si="108"/>
        <v/>
      </c>
      <c r="T224" s="257" t="str">
        <f t="shared" si="113"/>
        <v/>
      </c>
      <c r="U224" s="768">
        <f t="shared" si="125"/>
        <v>25.10559523809523</v>
      </c>
      <c r="V224" s="768"/>
      <c r="W224" s="768"/>
      <c r="X224" s="929"/>
      <c r="Y224" s="213">
        <v>163</v>
      </c>
      <c r="Z224" s="1316">
        <v>19</v>
      </c>
      <c r="AA224" s="1298" t="s">
        <v>1824</v>
      </c>
      <c r="AB224" s="230">
        <f t="shared" si="102"/>
        <v>1.6</v>
      </c>
      <c r="AC224" s="1315" t="str">
        <f t="shared" si="103"/>
        <v>+</v>
      </c>
      <c r="AD224" s="1315">
        <f t="shared" si="104"/>
        <v>1.6</v>
      </c>
      <c r="AE224" s="1315"/>
      <c r="AF224" s="1316"/>
      <c r="AG224" s="1298" t="str">
        <f t="shared" si="105"/>
        <v>1,6+1,6</v>
      </c>
      <c r="AH224" s="1304">
        <f>'Зона НЭс'!L59</f>
        <v>0</v>
      </c>
      <c r="AI224" s="1304">
        <f t="shared" si="100"/>
        <v>0.42177399999999993</v>
      </c>
      <c r="AJ224" s="1304">
        <f t="shared" si="106"/>
        <v>0.37</v>
      </c>
      <c r="AK224" s="1298">
        <f t="shared" si="107"/>
        <v>120</v>
      </c>
      <c r="AL224" s="1304">
        <f t="shared" si="126"/>
        <v>5.1773999999999931E-2</v>
      </c>
      <c r="AM224" s="1298">
        <v>0</v>
      </c>
      <c r="AN224" s="893">
        <f t="shared" si="127"/>
        <v>1.6800000000000002</v>
      </c>
      <c r="AO224" s="1304">
        <f t="shared" si="128"/>
        <v>1.6282260000000002</v>
      </c>
      <c r="AP224" s="1304">
        <f t="shared" si="130"/>
        <v>1.6282260000000002</v>
      </c>
      <c r="AQ224" s="1296" t="str">
        <f t="shared" si="109"/>
        <v/>
      </c>
      <c r="AR224" s="1298" t="str">
        <f t="shared" si="118"/>
        <v/>
      </c>
      <c r="AS224" s="952">
        <f t="shared" si="129"/>
        <v>25.10559523809523</v>
      </c>
      <c r="AT224" s="954" t="s">
        <v>95</v>
      </c>
      <c r="AU224" s="1113">
        <v>1963</v>
      </c>
      <c r="AV224" s="1119" t="s">
        <v>3286</v>
      </c>
      <c r="AW224" s="1121">
        <v>56.645553124979401</v>
      </c>
      <c r="AX224" s="1121">
        <v>31.7581185050953</v>
      </c>
    </row>
    <row r="225" spans="1:50" ht="20.100000000000001" customHeight="1" x14ac:dyDescent="0.25">
      <c r="A225" s="213">
        <v>164</v>
      </c>
      <c r="B225" s="213">
        <v>20</v>
      </c>
      <c r="C225" s="213" t="s">
        <v>1825</v>
      </c>
      <c r="D225" s="230">
        <v>2.5</v>
      </c>
      <c r="E225" s="229" t="s">
        <v>785</v>
      </c>
      <c r="F225" s="229">
        <v>2.5</v>
      </c>
      <c r="G225" s="229"/>
      <c r="H225" s="228"/>
      <c r="I225" s="229" t="str">
        <f t="shared" si="101"/>
        <v>2,5+2,5</v>
      </c>
      <c r="J225" s="895">
        <v>1.540392</v>
      </c>
      <c r="K225" s="172">
        <v>0.22</v>
      </c>
      <c r="L225" s="213">
        <v>120</v>
      </c>
      <c r="M225" s="172">
        <f t="shared" si="122"/>
        <v>1.320392</v>
      </c>
      <c r="N225" s="172">
        <v>0</v>
      </c>
      <c r="O225" s="893"/>
      <c r="P225" s="893">
        <f>MIN(D225:F225)*1.05</f>
        <v>2.625</v>
      </c>
      <c r="Q225" s="172">
        <f t="shared" si="124"/>
        <v>1.304608</v>
      </c>
      <c r="R225" s="172">
        <f>Q225</f>
        <v>1.304608</v>
      </c>
      <c r="S225" s="768" t="str">
        <f t="shared" si="108"/>
        <v/>
      </c>
      <c r="T225" s="257" t="str">
        <f t="shared" si="113"/>
        <v/>
      </c>
      <c r="U225" s="768">
        <f t="shared" si="125"/>
        <v>58.681599999999996</v>
      </c>
      <c r="V225" s="768">
        <v>0.5</v>
      </c>
      <c r="W225" s="768" t="s">
        <v>3476</v>
      </c>
      <c r="X225" s="929"/>
      <c r="Y225" s="213">
        <v>164</v>
      </c>
      <c r="Z225" s="1316">
        <v>20</v>
      </c>
      <c r="AA225" s="1298" t="s">
        <v>1825</v>
      </c>
      <c r="AB225" s="230">
        <f t="shared" si="102"/>
        <v>2.5</v>
      </c>
      <c r="AC225" s="1315" t="str">
        <f t="shared" si="103"/>
        <v>+</v>
      </c>
      <c r="AD225" s="1315">
        <f t="shared" si="104"/>
        <v>2.5</v>
      </c>
      <c r="AE225" s="1315"/>
      <c r="AF225" s="1316"/>
      <c r="AG225" s="1298" t="str">
        <f t="shared" si="105"/>
        <v>2,5+2,5</v>
      </c>
      <c r="AH225" s="1304">
        <f>'Зона НЭс'!L61</f>
        <v>0</v>
      </c>
      <c r="AI225" s="1304">
        <f t="shared" si="100"/>
        <v>1.540392</v>
      </c>
      <c r="AJ225" s="1304">
        <f t="shared" si="106"/>
        <v>0.22</v>
      </c>
      <c r="AK225" s="1298">
        <f t="shared" si="107"/>
        <v>120</v>
      </c>
      <c r="AL225" s="1304">
        <f t="shared" si="126"/>
        <v>1.320392</v>
      </c>
      <c r="AM225" s="1298">
        <v>0</v>
      </c>
      <c r="AN225" s="893">
        <f t="shared" si="127"/>
        <v>2.625</v>
      </c>
      <c r="AO225" s="1304">
        <f>AN225-AL225-AM225</f>
        <v>1.304608</v>
      </c>
      <c r="AP225" s="1304">
        <f t="shared" si="130"/>
        <v>1.304608</v>
      </c>
      <c r="AQ225" s="1296" t="str">
        <f t="shared" si="109"/>
        <v/>
      </c>
      <c r="AR225" s="1298" t="str">
        <f t="shared" si="118"/>
        <v/>
      </c>
      <c r="AS225" s="952">
        <f t="shared" si="129"/>
        <v>58.681599999999996</v>
      </c>
      <c r="AT225" s="954" t="s">
        <v>95</v>
      </c>
      <c r="AU225" s="1113">
        <v>1988</v>
      </c>
      <c r="AV225" s="1119" t="s">
        <v>3286</v>
      </c>
      <c r="AW225" s="1121">
        <v>56.536975825665102</v>
      </c>
      <c r="AX225" s="1121">
        <v>31.6038603641646</v>
      </c>
    </row>
    <row r="226" spans="1:50" ht="20.100000000000001" customHeight="1" x14ac:dyDescent="0.25">
      <c r="A226" s="213">
        <v>165</v>
      </c>
      <c r="B226" s="213"/>
      <c r="C226" s="213" t="s">
        <v>2785</v>
      </c>
      <c r="D226" s="230">
        <v>25</v>
      </c>
      <c r="E226" s="229" t="s">
        <v>785</v>
      </c>
      <c r="F226" s="229">
        <v>25</v>
      </c>
      <c r="G226" s="229"/>
      <c r="H226" s="228"/>
      <c r="I226" s="229" t="str">
        <f>CONCATENATE(D226,E226,F226,G226,H226)</f>
        <v>25+25</v>
      </c>
      <c r="J226" s="895">
        <v>3.03</v>
      </c>
      <c r="K226" s="172">
        <v>0</v>
      </c>
      <c r="L226" s="213">
        <v>0</v>
      </c>
      <c r="M226" s="882">
        <f>J226-K226</f>
        <v>3.03</v>
      </c>
      <c r="N226" s="172">
        <v>0</v>
      </c>
      <c r="O226" s="893"/>
      <c r="P226" s="893">
        <f>MIN(D226:F226)*1.05</f>
        <v>26.25</v>
      </c>
      <c r="Q226" s="172">
        <f>P226-M226-N226</f>
        <v>23.22</v>
      </c>
      <c r="R226" s="172">
        <f>Q226</f>
        <v>23.22</v>
      </c>
      <c r="S226" s="768" t="str">
        <f>T226</f>
        <v/>
      </c>
      <c r="T226" s="257" t="str">
        <f t="shared" si="113"/>
        <v/>
      </c>
      <c r="U226" s="768">
        <f>(J226*100)/P226</f>
        <v>11.542857142857143</v>
      </c>
      <c r="V226" s="768"/>
      <c r="W226" s="768"/>
      <c r="X226" s="929"/>
      <c r="Y226" s="213">
        <v>165</v>
      </c>
      <c r="Z226" s="1316"/>
      <c r="AA226" s="1298" t="s">
        <v>2785</v>
      </c>
      <c r="AB226" s="230">
        <f t="shared" si="102"/>
        <v>25</v>
      </c>
      <c r="AC226" s="1315" t="str">
        <f t="shared" si="103"/>
        <v>+</v>
      </c>
      <c r="AD226" s="1315">
        <f t="shared" si="104"/>
        <v>25</v>
      </c>
      <c r="AE226" s="1315"/>
      <c r="AF226" s="1316"/>
      <c r="AG226" s="1298" t="str">
        <f t="shared" si="105"/>
        <v>25+25</v>
      </c>
      <c r="AH226" s="1304">
        <f>'Зона НЭс'!L63</f>
        <v>0</v>
      </c>
      <c r="AI226" s="1304">
        <v>0</v>
      </c>
      <c r="AJ226" s="1304">
        <f>K226</f>
        <v>0</v>
      </c>
      <c r="AK226" s="1298">
        <f t="shared" si="107"/>
        <v>0</v>
      </c>
      <c r="AL226" s="1304">
        <f t="shared" si="126"/>
        <v>0</v>
      </c>
      <c r="AM226" s="1298">
        <v>0</v>
      </c>
      <c r="AN226" s="893">
        <f>MIN(AB226:AF226)*1.05</f>
        <v>26.25</v>
      </c>
      <c r="AO226" s="1304">
        <f>AN226-AL226-AM226</f>
        <v>26.25</v>
      </c>
      <c r="AP226" s="1304">
        <f>AO226</f>
        <v>26.25</v>
      </c>
      <c r="AQ226" s="1296" t="str">
        <f>AR226</f>
        <v/>
      </c>
      <c r="AR226" s="1298" t="str">
        <f t="shared" si="118"/>
        <v/>
      </c>
      <c r="AS226" s="952">
        <f t="shared" si="129"/>
        <v>0</v>
      </c>
      <c r="AT226" s="954" t="s">
        <v>95</v>
      </c>
      <c r="AU226" s="1113">
        <v>1980</v>
      </c>
      <c r="AV226" s="1119" t="s">
        <v>3286</v>
      </c>
      <c r="AW226" s="1121">
        <v>56.530764656413403</v>
      </c>
      <c r="AX226" s="1121">
        <v>32.178893279207301</v>
      </c>
    </row>
    <row r="227" spans="1:50" ht="20.100000000000001" customHeight="1" x14ac:dyDescent="0.25">
      <c r="A227" s="213">
        <v>166</v>
      </c>
      <c r="B227" s="213">
        <v>21</v>
      </c>
      <c r="C227" s="213" t="s">
        <v>1826</v>
      </c>
      <c r="D227" s="230">
        <v>1.6</v>
      </c>
      <c r="E227" s="229" t="s">
        <v>785</v>
      </c>
      <c r="F227" s="229">
        <v>2.5</v>
      </c>
      <c r="G227" s="229"/>
      <c r="H227" s="228"/>
      <c r="I227" s="229" t="str">
        <f t="shared" si="101"/>
        <v>1,6+2,5</v>
      </c>
      <c r="J227" s="895">
        <v>0.98090999999999995</v>
      </c>
      <c r="K227" s="172">
        <v>0.42</v>
      </c>
      <c r="L227" s="213">
        <v>120</v>
      </c>
      <c r="M227" s="172">
        <f t="shared" si="122"/>
        <v>0.56091000000000002</v>
      </c>
      <c r="N227" s="172">
        <v>0</v>
      </c>
      <c r="O227" s="893"/>
      <c r="P227" s="893">
        <f t="shared" si="123"/>
        <v>1.6800000000000002</v>
      </c>
      <c r="Q227" s="172">
        <f t="shared" si="124"/>
        <v>1.1190900000000001</v>
      </c>
      <c r="R227" s="172">
        <f t="shared" si="112"/>
        <v>1.1190900000000001</v>
      </c>
      <c r="S227" s="768" t="str">
        <f t="shared" si="108"/>
        <v/>
      </c>
      <c r="T227" s="257" t="str">
        <f t="shared" si="113"/>
        <v/>
      </c>
      <c r="U227" s="768">
        <f t="shared" si="125"/>
        <v>58.387499999999989</v>
      </c>
      <c r="V227" s="768">
        <v>0.8</v>
      </c>
      <c r="W227" s="768" t="s">
        <v>3476</v>
      </c>
      <c r="X227" s="929"/>
      <c r="Y227" s="213">
        <v>166</v>
      </c>
      <c r="Z227" s="1316">
        <v>21</v>
      </c>
      <c r="AA227" s="1298" t="s">
        <v>1826</v>
      </c>
      <c r="AB227" s="230">
        <f t="shared" si="102"/>
        <v>1.6</v>
      </c>
      <c r="AC227" s="1315" t="str">
        <f t="shared" si="103"/>
        <v>+</v>
      </c>
      <c r="AD227" s="1315">
        <f t="shared" si="104"/>
        <v>2.5</v>
      </c>
      <c r="AE227" s="1315"/>
      <c r="AF227" s="1316"/>
      <c r="AG227" s="1298" t="str">
        <f t="shared" si="105"/>
        <v>1,6+2,5</v>
      </c>
      <c r="AH227" s="1304">
        <f>'Зона НЭс'!L65</f>
        <v>0</v>
      </c>
      <c r="AI227" s="1304">
        <f t="shared" ref="AI227:AI258" si="131">AH227+J227</f>
        <v>0.98090999999999995</v>
      </c>
      <c r="AJ227" s="1304">
        <f t="shared" si="106"/>
        <v>0.42</v>
      </c>
      <c r="AK227" s="1298">
        <f t="shared" si="107"/>
        <v>120</v>
      </c>
      <c r="AL227" s="1304">
        <f t="shared" si="126"/>
        <v>0.56091000000000002</v>
      </c>
      <c r="AM227" s="1298">
        <v>0</v>
      </c>
      <c r="AN227" s="893">
        <f t="shared" si="127"/>
        <v>1.6800000000000002</v>
      </c>
      <c r="AO227" s="1304">
        <f t="shared" si="128"/>
        <v>1.1190900000000001</v>
      </c>
      <c r="AP227" s="1304">
        <f t="shared" si="130"/>
        <v>1.1190900000000001</v>
      </c>
      <c r="AQ227" s="1296" t="str">
        <f t="shared" si="109"/>
        <v/>
      </c>
      <c r="AR227" s="1298" t="str">
        <f t="shared" si="118"/>
        <v/>
      </c>
      <c r="AS227" s="952">
        <f t="shared" si="129"/>
        <v>58.387499999999989</v>
      </c>
      <c r="AT227" s="954" t="s">
        <v>95</v>
      </c>
      <c r="AU227" s="1113">
        <v>1967</v>
      </c>
      <c r="AV227" s="1119" t="s">
        <v>3286</v>
      </c>
      <c r="AW227" s="1121">
        <v>55.947945073946201</v>
      </c>
      <c r="AX227" s="1121">
        <v>31.685826846532901</v>
      </c>
    </row>
    <row r="228" spans="1:50" ht="20.100000000000001" customHeight="1" x14ac:dyDescent="0.25">
      <c r="A228" s="213">
        <v>167</v>
      </c>
      <c r="B228" s="213">
        <v>22</v>
      </c>
      <c r="C228" s="213" t="s">
        <v>1827</v>
      </c>
      <c r="D228" s="230">
        <v>3.2</v>
      </c>
      <c r="E228" s="229" t="s">
        <v>785</v>
      </c>
      <c r="F228" s="229">
        <v>4</v>
      </c>
      <c r="G228" s="229"/>
      <c r="H228" s="228"/>
      <c r="I228" s="229" t="str">
        <f t="shared" si="101"/>
        <v>3,2+4</v>
      </c>
      <c r="J228" s="895">
        <v>0.85635000000000006</v>
      </c>
      <c r="K228" s="172">
        <v>0.5</v>
      </c>
      <c r="L228" s="213">
        <v>120</v>
      </c>
      <c r="M228" s="172">
        <f t="shared" si="122"/>
        <v>0.35635000000000006</v>
      </c>
      <c r="N228" s="172">
        <v>0</v>
      </c>
      <c r="O228" s="893"/>
      <c r="P228" s="893">
        <f t="shared" si="123"/>
        <v>3.3600000000000003</v>
      </c>
      <c r="Q228" s="172">
        <f t="shared" si="124"/>
        <v>3.0036500000000004</v>
      </c>
      <c r="R228" s="172">
        <f t="shared" si="112"/>
        <v>3.0036500000000004</v>
      </c>
      <c r="S228" s="768" t="str">
        <f t="shared" si="108"/>
        <v/>
      </c>
      <c r="T228" s="257" t="str">
        <f t="shared" si="113"/>
        <v/>
      </c>
      <c r="U228" s="768">
        <f t="shared" si="125"/>
        <v>25.486607142857142</v>
      </c>
      <c r="V228" s="768"/>
      <c r="W228" s="768"/>
      <c r="X228" s="929"/>
      <c r="Y228" s="213">
        <v>167</v>
      </c>
      <c r="Z228" s="1316">
        <v>22</v>
      </c>
      <c r="AA228" s="1298" t="s">
        <v>1827</v>
      </c>
      <c r="AB228" s="230">
        <f t="shared" si="102"/>
        <v>3.2</v>
      </c>
      <c r="AC228" s="1315" t="str">
        <f t="shared" si="103"/>
        <v>+</v>
      </c>
      <c r="AD228" s="1315">
        <f t="shared" si="104"/>
        <v>4</v>
      </c>
      <c r="AE228" s="1315"/>
      <c r="AF228" s="1316"/>
      <c r="AG228" s="1298" t="str">
        <f t="shared" si="105"/>
        <v>3,2+4</v>
      </c>
      <c r="AH228" s="1304">
        <f>'Зона НЭс'!L69</f>
        <v>0</v>
      </c>
      <c r="AI228" s="1304">
        <f t="shared" si="131"/>
        <v>0.85635000000000006</v>
      </c>
      <c r="AJ228" s="1304">
        <f t="shared" si="106"/>
        <v>0.5</v>
      </c>
      <c r="AK228" s="1298">
        <f t="shared" si="107"/>
        <v>120</v>
      </c>
      <c r="AL228" s="1304">
        <f t="shared" si="126"/>
        <v>0.35635000000000006</v>
      </c>
      <c r="AM228" s="1298">
        <v>0</v>
      </c>
      <c r="AN228" s="893">
        <f t="shared" si="127"/>
        <v>3.3600000000000003</v>
      </c>
      <c r="AO228" s="1304">
        <f t="shared" si="128"/>
        <v>3.0036500000000004</v>
      </c>
      <c r="AP228" s="1304">
        <f t="shared" si="130"/>
        <v>3.0036500000000004</v>
      </c>
      <c r="AQ228" s="1296" t="str">
        <f t="shared" si="109"/>
        <v/>
      </c>
      <c r="AR228" s="1298" t="str">
        <f t="shared" si="118"/>
        <v/>
      </c>
      <c r="AS228" s="952">
        <f t="shared" si="129"/>
        <v>25.486607142857142</v>
      </c>
      <c r="AT228" s="954" t="s">
        <v>95</v>
      </c>
      <c r="AU228" s="1113">
        <v>1965</v>
      </c>
      <c r="AV228" s="1119">
        <v>2011</v>
      </c>
      <c r="AW228" s="1121">
        <v>56.786929104754201</v>
      </c>
      <c r="AX228" s="1121">
        <v>31.259684304533</v>
      </c>
    </row>
    <row r="229" spans="1:50" ht="20.100000000000001" customHeight="1" x14ac:dyDescent="0.25">
      <c r="A229" s="213">
        <v>168</v>
      </c>
      <c r="B229" s="213">
        <v>23</v>
      </c>
      <c r="C229" s="213" t="s">
        <v>1828</v>
      </c>
      <c r="D229" s="230">
        <v>5.6</v>
      </c>
      <c r="E229" s="229" t="s">
        <v>785</v>
      </c>
      <c r="F229" s="229">
        <v>5.6</v>
      </c>
      <c r="G229" s="229"/>
      <c r="H229" s="228"/>
      <c r="I229" s="229" t="str">
        <f t="shared" si="101"/>
        <v>5,6+5,6</v>
      </c>
      <c r="J229" s="895">
        <v>3.97</v>
      </c>
      <c r="K229" s="172">
        <v>0.32</v>
      </c>
      <c r="L229" s="213">
        <v>120</v>
      </c>
      <c r="M229" s="172">
        <f t="shared" si="122"/>
        <v>3.6500000000000004</v>
      </c>
      <c r="N229" s="172">
        <v>0</v>
      </c>
      <c r="O229" s="893"/>
      <c r="P229" s="893">
        <f t="shared" si="123"/>
        <v>5.88</v>
      </c>
      <c r="Q229" s="172">
        <f t="shared" si="124"/>
        <v>2.2299999999999995</v>
      </c>
      <c r="R229" s="172">
        <f t="shared" si="112"/>
        <v>2.2299999999999995</v>
      </c>
      <c r="S229" s="768" t="str">
        <f t="shared" si="108"/>
        <v/>
      </c>
      <c r="T229" s="257" t="str">
        <f t="shared" si="113"/>
        <v/>
      </c>
      <c r="U229" s="768">
        <f t="shared" si="125"/>
        <v>67.517006802721085</v>
      </c>
      <c r="V229" s="768">
        <v>0.6</v>
      </c>
      <c r="W229" s="768" t="s">
        <v>3476</v>
      </c>
      <c r="X229" s="929"/>
      <c r="Y229" s="213">
        <v>168</v>
      </c>
      <c r="Z229" s="1316">
        <v>23</v>
      </c>
      <c r="AA229" s="1298" t="s">
        <v>1828</v>
      </c>
      <c r="AB229" s="230">
        <f t="shared" si="102"/>
        <v>5.6</v>
      </c>
      <c r="AC229" s="1315" t="str">
        <f t="shared" si="103"/>
        <v>+</v>
      </c>
      <c r="AD229" s="1315">
        <f t="shared" si="104"/>
        <v>5.6</v>
      </c>
      <c r="AE229" s="1315"/>
      <c r="AF229" s="1316"/>
      <c r="AG229" s="1298" t="str">
        <f t="shared" si="105"/>
        <v>5,6+5,6</v>
      </c>
      <c r="AH229" s="1304">
        <f>'Зона НЭс'!L72</f>
        <v>0</v>
      </c>
      <c r="AI229" s="1304">
        <f t="shared" si="131"/>
        <v>3.97</v>
      </c>
      <c r="AJ229" s="1304">
        <f t="shared" si="106"/>
        <v>0.32</v>
      </c>
      <c r="AK229" s="1298">
        <f t="shared" si="107"/>
        <v>120</v>
      </c>
      <c r="AL229" s="1304">
        <f t="shared" si="126"/>
        <v>3.6500000000000004</v>
      </c>
      <c r="AM229" s="1298">
        <v>0</v>
      </c>
      <c r="AN229" s="893">
        <f t="shared" si="127"/>
        <v>5.88</v>
      </c>
      <c r="AO229" s="1304">
        <f t="shared" si="128"/>
        <v>2.2299999999999995</v>
      </c>
      <c r="AP229" s="1304">
        <f t="shared" si="130"/>
        <v>2.2299999999999995</v>
      </c>
      <c r="AQ229" s="1296" t="str">
        <f t="shared" si="109"/>
        <v/>
      </c>
      <c r="AR229" s="1298" t="str">
        <f t="shared" si="118"/>
        <v/>
      </c>
      <c r="AS229" s="952">
        <f t="shared" si="129"/>
        <v>67.517006802721085</v>
      </c>
      <c r="AT229" s="954" t="s">
        <v>95</v>
      </c>
      <c r="AU229" s="1113">
        <v>1960</v>
      </c>
      <c r="AV229" s="1119" t="s">
        <v>3286</v>
      </c>
      <c r="AW229" s="1121">
        <v>56.221509931686597</v>
      </c>
      <c r="AX229" s="1121">
        <v>32.748808156639399</v>
      </c>
    </row>
    <row r="230" spans="1:50" ht="20.100000000000001" customHeight="1" x14ac:dyDescent="0.25">
      <c r="A230" s="213">
        <v>169</v>
      </c>
      <c r="B230" s="213">
        <v>24</v>
      </c>
      <c r="C230" s="213" t="s">
        <v>1829</v>
      </c>
      <c r="D230" s="230">
        <v>4</v>
      </c>
      <c r="E230" s="229" t="s">
        <v>785</v>
      </c>
      <c r="F230" s="229">
        <v>4</v>
      </c>
      <c r="G230" s="229"/>
      <c r="H230" s="228"/>
      <c r="I230" s="229" t="str">
        <f t="shared" si="101"/>
        <v>4+4</v>
      </c>
      <c r="J230" s="895">
        <v>2.25</v>
      </c>
      <c r="K230" s="172">
        <v>0</v>
      </c>
      <c r="L230" s="213">
        <v>0</v>
      </c>
      <c r="M230" s="172">
        <f t="shared" si="122"/>
        <v>2.25</v>
      </c>
      <c r="N230" s="172">
        <v>0</v>
      </c>
      <c r="O230" s="893"/>
      <c r="P230" s="893">
        <f t="shared" si="123"/>
        <v>4.2</v>
      </c>
      <c r="Q230" s="172">
        <f t="shared" si="124"/>
        <v>1.9500000000000002</v>
      </c>
      <c r="R230" s="172">
        <f t="shared" si="112"/>
        <v>1.9500000000000002</v>
      </c>
      <c r="S230" s="768" t="str">
        <f t="shared" si="108"/>
        <v/>
      </c>
      <c r="T230" s="257" t="str">
        <f t="shared" si="113"/>
        <v/>
      </c>
      <c r="U230" s="768">
        <f t="shared" si="125"/>
        <v>53.571428571428569</v>
      </c>
      <c r="V230" s="768"/>
      <c r="W230" s="768"/>
      <c r="X230" s="929"/>
      <c r="Y230" s="213">
        <v>169</v>
      </c>
      <c r="Z230" s="1316">
        <v>24</v>
      </c>
      <c r="AA230" s="1298" t="s">
        <v>1829</v>
      </c>
      <c r="AB230" s="230">
        <f t="shared" si="102"/>
        <v>4</v>
      </c>
      <c r="AC230" s="1315" t="str">
        <f t="shared" si="103"/>
        <v>+</v>
      </c>
      <c r="AD230" s="1315">
        <f t="shared" si="104"/>
        <v>4</v>
      </c>
      <c r="AE230" s="1315"/>
      <c r="AF230" s="1316"/>
      <c r="AG230" s="1298" t="str">
        <f t="shared" si="105"/>
        <v>4+4</v>
      </c>
      <c r="AH230" s="1304">
        <f>'Зона НЭс'!L76</f>
        <v>0.16375000000000001</v>
      </c>
      <c r="AI230" s="1304">
        <f t="shared" si="131"/>
        <v>2.4137499999999998</v>
      </c>
      <c r="AJ230" s="1304">
        <f t="shared" si="106"/>
        <v>0</v>
      </c>
      <c r="AK230" s="1298">
        <f t="shared" si="107"/>
        <v>0</v>
      </c>
      <c r="AL230" s="1304">
        <f t="shared" si="126"/>
        <v>2.4137499999999998</v>
      </c>
      <c r="AM230" s="1298">
        <v>0</v>
      </c>
      <c r="AN230" s="893">
        <f t="shared" si="127"/>
        <v>4.2</v>
      </c>
      <c r="AO230" s="1304">
        <f t="shared" si="128"/>
        <v>1.7862500000000003</v>
      </c>
      <c r="AP230" s="1304">
        <f t="shared" si="130"/>
        <v>1.7862500000000003</v>
      </c>
      <c r="AQ230" s="1296" t="str">
        <f t="shared" si="109"/>
        <v/>
      </c>
      <c r="AR230" s="1298" t="str">
        <f t="shared" si="118"/>
        <v/>
      </c>
      <c r="AS230" s="952">
        <f t="shared" si="129"/>
        <v>57.470238095238088</v>
      </c>
      <c r="AT230" s="954" t="s">
        <v>95</v>
      </c>
      <c r="AU230" s="1113">
        <v>1964</v>
      </c>
      <c r="AV230" s="1119" t="s">
        <v>3286</v>
      </c>
      <c r="AW230" s="1121">
        <v>56.2802978042156</v>
      </c>
      <c r="AX230" s="1121">
        <v>31.6780277611938</v>
      </c>
    </row>
    <row r="231" spans="1:50" ht="20.100000000000001" customHeight="1" x14ac:dyDescent="0.25">
      <c r="A231" s="1371">
        <v>170</v>
      </c>
      <c r="B231" s="1371">
        <v>25</v>
      </c>
      <c r="C231" s="213" t="s">
        <v>1830</v>
      </c>
      <c r="D231" s="230">
        <v>10</v>
      </c>
      <c r="E231" s="229" t="s">
        <v>785</v>
      </c>
      <c r="F231" s="229">
        <v>10</v>
      </c>
      <c r="G231" s="229"/>
      <c r="H231" s="228"/>
      <c r="I231" s="229" t="str">
        <f t="shared" si="101"/>
        <v>10+10</v>
      </c>
      <c r="J231" s="895">
        <v>8.7899999999999991</v>
      </c>
      <c r="K231" s="172">
        <v>0.8</v>
      </c>
      <c r="L231" s="213">
        <v>120</v>
      </c>
      <c r="M231" s="901">
        <f t="shared" si="122"/>
        <v>7.9899999999999993</v>
      </c>
      <c r="N231" s="172">
        <v>0</v>
      </c>
      <c r="O231" s="893"/>
      <c r="P231" s="893">
        <f t="shared" si="123"/>
        <v>10.5</v>
      </c>
      <c r="Q231" s="172">
        <f t="shared" si="124"/>
        <v>2.5100000000000007</v>
      </c>
      <c r="R231" s="1379">
        <f>MIN(Q231:Q233)</f>
        <v>2.5100000000000007</v>
      </c>
      <c r="S231" s="1362" t="str">
        <f t="shared" si="108"/>
        <v/>
      </c>
      <c r="T231" s="257" t="str">
        <f t="shared" si="113"/>
        <v/>
      </c>
      <c r="U231" s="1362">
        <f t="shared" si="125"/>
        <v>83.714285714285708</v>
      </c>
      <c r="V231" s="1362"/>
      <c r="W231" s="768"/>
      <c r="X231" s="929"/>
      <c r="Y231" s="1371">
        <v>170</v>
      </c>
      <c r="Z231" s="1316">
        <v>25</v>
      </c>
      <c r="AA231" s="1298" t="s">
        <v>1830</v>
      </c>
      <c r="AB231" s="230">
        <f t="shared" si="102"/>
        <v>10</v>
      </c>
      <c r="AC231" s="1315" t="str">
        <f t="shared" si="103"/>
        <v>+</v>
      </c>
      <c r="AD231" s="1315">
        <f t="shared" si="104"/>
        <v>10</v>
      </c>
      <c r="AE231" s="1315"/>
      <c r="AF231" s="1316"/>
      <c r="AG231" s="1298" t="str">
        <f t="shared" si="105"/>
        <v>10+10</v>
      </c>
      <c r="AH231" s="1304">
        <f>SUM(AH232:AH233)</f>
        <v>9.375E-2</v>
      </c>
      <c r="AI231" s="1304">
        <f t="shared" si="131"/>
        <v>8.8837499999999991</v>
      </c>
      <c r="AJ231" s="1304">
        <f t="shared" si="106"/>
        <v>0.8</v>
      </c>
      <c r="AK231" s="1298">
        <f t="shared" si="107"/>
        <v>120</v>
      </c>
      <c r="AL231" s="1304">
        <f t="shared" si="126"/>
        <v>8.0837499999999984</v>
      </c>
      <c r="AM231" s="1298">
        <v>0</v>
      </c>
      <c r="AN231" s="893">
        <f t="shared" si="127"/>
        <v>10.5</v>
      </c>
      <c r="AO231" s="1304">
        <f t="shared" si="128"/>
        <v>2.4162500000000016</v>
      </c>
      <c r="AP231" s="1308">
        <f>MIN(AO231:AO233)</f>
        <v>2.4162500000000016</v>
      </c>
      <c r="AQ231" s="1296" t="str">
        <f>AR231</f>
        <v/>
      </c>
      <c r="AR231" s="1298" t="str">
        <f t="shared" si="118"/>
        <v/>
      </c>
      <c r="AS231" s="1305">
        <f t="shared" si="129"/>
        <v>84.607142857142847</v>
      </c>
      <c r="AT231" s="954" t="s">
        <v>95</v>
      </c>
      <c r="AU231" s="1113">
        <v>1966</v>
      </c>
      <c r="AV231" s="1119" t="s">
        <v>3286</v>
      </c>
      <c r="AW231" s="1121">
        <v>56.664000059644898</v>
      </c>
      <c r="AX231" s="1121">
        <v>32.2818454985253</v>
      </c>
    </row>
    <row r="232" spans="1:50" ht="20.100000000000001" customHeight="1" x14ac:dyDescent="0.25">
      <c r="A232" s="1371"/>
      <c r="B232" s="1371"/>
      <c r="C232" s="7" t="s">
        <v>1792</v>
      </c>
      <c r="D232" s="230">
        <v>10</v>
      </c>
      <c r="E232" s="229" t="s">
        <v>785</v>
      </c>
      <c r="F232" s="229">
        <v>10</v>
      </c>
      <c r="G232" s="229"/>
      <c r="H232" s="228"/>
      <c r="I232" s="229" t="str">
        <f t="shared" si="101"/>
        <v>10+10</v>
      </c>
      <c r="J232" s="895">
        <v>2.73</v>
      </c>
      <c r="K232" s="901">
        <v>0</v>
      </c>
      <c r="L232" s="7">
        <v>0</v>
      </c>
      <c r="M232" s="901">
        <f t="shared" si="122"/>
        <v>2.73</v>
      </c>
      <c r="N232" s="172">
        <v>0</v>
      </c>
      <c r="O232" s="893"/>
      <c r="P232" s="893">
        <f t="shared" si="123"/>
        <v>10.5</v>
      </c>
      <c r="Q232" s="172">
        <f t="shared" si="124"/>
        <v>7.77</v>
      </c>
      <c r="R232" s="1379"/>
      <c r="S232" s="1363" t="str">
        <f t="shared" si="108"/>
        <v/>
      </c>
      <c r="T232" s="257" t="str">
        <f>IF(R231&lt;0,"закрыт","")</f>
        <v/>
      </c>
      <c r="U232" s="1363"/>
      <c r="V232" s="1363"/>
      <c r="W232" s="768"/>
      <c r="X232" s="929"/>
      <c r="Y232" s="1371"/>
      <c r="Z232" s="1316"/>
      <c r="AA232" s="7" t="s">
        <v>1792</v>
      </c>
      <c r="AB232" s="230">
        <f t="shared" si="102"/>
        <v>10</v>
      </c>
      <c r="AC232" s="1315" t="str">
        <f t="shared" si="103"/>
        <v>+</v>
      </c>
      <c r="AD232" s="1315">
        <f t="shared" si="104"/>
        <v>10</v>
      </c>
      <c r="AE232" s="1315"/>
      <c r="AF232" s="1316"/>
      <c r="AG232" s="1298" t="str">
        <f t="shared" si="105"/>
        <v>10+10</v>
      </c>
      <c r="AH232" s="1304">
        <f>SUM(AH219+AH222)+SUM(AH396+AH397+AH395)</f>
        <v>9.375E-2</v>
      </c>
      <c r="AI232" s="1304">
        <f t="shared" si="131"/>
        <v>2.82375</v>
      </c>
      <c r="AJ232" s="1304">
        <f t="shared" si="106"/>
        <v>0</v>
      </c>
      <c r="AK232" s="1298">
        <f t="shared" si="107"/>
        <v>0</v>
      </c>
      <c r="AL232" s="1304">
        <f t="shared" si="126"/>
        <v>2.82375</v>
      </c>
      <c r="AM232" s="1298">
        <v>0</v>
      </c>
      <c r="AN232" s="893">
        <f t="shared" si="127"/>
        <v>10.5</v>
      </c>
      <c r="AO232" s="1304">
        <f t="shared" si="128"/>
        <v>7.6762499999999996</v>
      </c>
      <c r="AP232" s="1309"/>
      <c r="AQ232" s="1297"/>
      <c r="AR232" s="1298" t="str">
        <f>IF(AP231&lt;0,"закрыт","")</f>
        <v/>
      </c>
      <c r="AS232" s="1306"/>
      <c r="AT232" s="954" t="s">
        <v>95</v>
      </c>
      <c r="AU232" s="1113">
        <v>1966</v>
      </c>
      <c r="AV232" s="1119" t="s">
        <v>3286</v>
      </c>
      <c r="AW232" s="1121">
        <v>56.664000059644898</v>
      </c>
      <c r="AX232" s="1121">
        <v>32.2818454985253</v>
      </c>
    </row>
    <row r="233" spans="1:50" ht="20.100000000000001" customHeight="1" x14ac:dyDescent="0.25">
      <c r="A233" s="1371"/>
      <c r="B233" s="1371"/>
      <c r="C233" s="7" t="s">
        <v>1791</v>
      </c>
      <c r="D233" s="230">
        <v>10</v>
      </c>
      <c r="E233" s="229" t="s">
        <v>785</v>
      </c>
      <c r="F233" s="229">
        <v>10</v>
      </c>
      <c r="G233" s="229"/>
      <c r="H233" s="228"/>
      <c r="I233" s="229" t="str">
        <f t="shared" si="101"/>
        <v>10+10</v>
      </c>
      <c r="J233" s="895">
        <v>6.06</v>
      </c>
      <c r="K233" s="901">
        <v>0.8</v>
      </c>
      <c r="L233" s="213">
        <v>120</v>
      </c>
      <c r="M233" s="901">
        <f t="shared" si="122"/>
        <v>5.26</v>
      </c>
      <c r="N233" s="172">
        <v>0</v>
      </c>
      <c r="O233" s="893"/>
      <c r="P233" s="893">
        <f t="shared" si="123"/>
        <v>10.5</v>
      </c>
      <c r="Q233" s="172">
        <f t="shared" si="124"/>
        <v>5.24</v>
      </c>
      <c r="R233" s="1379"/>
      <c r="S233" s="1363" t="str">
        <f t="shared" si="108"/>
        <v/>
      </c>
      <c r="T233" s="257" t="str">
        <f>IF(R231&lt;0,"закрыт","")</f>
        <v/>
      </c>
      <c r="U233" s="1363"/>
      <c r="V233" s="1363"/>
      <c r="W233" s="257"/>
      <c r="X233" s="929"/>
      <c r="Y233" s="1371"/>
      <c r="Z233" s="1316"/>
      <c r="AA233" s="7" t="s">
        <v>1791</v>
      </c>
      <c r="AB233" s="230">
        <f t="shared" si="102"/>
        <v>10</v>
      </c>
      <c r="AC233" s="1315" t="str">
        <f t="shared" si="103"/>
        <v>+</v>
      </c>
      <c r="AD233" s="1315">
        <f t="shared" si="104"/>
        <v>10</v>
      </c>
      <c r="AE233" s="1315"/>
      <c r="AF233" s="1316"/>
      <c r="AG233" s="1298" t="str">
        <f t="shared" si="105"/>
        <v>10+10</v>
      </c>
      <c r="AH233" s="1304">
        <f>'Зона НЭс'!L86</f>
        <v>0</v>
      </c>
      <c r="AI233" s="1304">
        <f t="shared" si="131"/>
        <v>6.06</v>
      </c>
      <c r="AJ233" s="1304">
        <f t="shared" si="106"/>
        <v>0.8</v>
      </c>
      <c r="AK233" s="1298">
        <f t="shared" si="107"/>
        <v>120</v>
      </c>
      <c r="AL233" s="1304">
        <f t="shared" si="126"/>
        <v>5.26</v>
      </c>
      <c r="AM233" s="1298">
        <v>0</v>
      </c>
      <c r="AN233" s="893">
        <f t="shared" si="127"/>
        <v>10.5</v>
      </c>
      <c r="AO233" s="1304">
        <f t="shared" si="128"/>
        <v>5.24</v>
      </c>
      <c r="AP233" s="1310"/>
      <c r="AQ233" s="1297"/>
      <c r="AR233" s="1298" t="str">
        <f>IF(AP231&lt;0,"закрыт","")</f>
        <v/>
      </c>
      <c r="AS233" s="1307"/>
      <c r="AT233" s="954" t="s">
        <v>95</v>
      </c>
      <c r="AU233" s="1113">
        <v>1966</v>
      </c>
      <c r="AV233" s="1119" t="s">
        <v>3286</v>
      </c>
      <c r="AW233" s="1121">
        <v>56.664000059644898</v>
      </c>
      <c r="AX233" s="1121">
        <v>32.2818454985253</v>
      </c>
    </row>
    <row r="234" spans="1:50" ht="20.100000000000001" customHeight="1" x14ac:dyDescent="0.25">
      <c r="A234" s="1371">
        <v>171</v>
      </c>
      <c r="B234" s="1371">
        <v>26</v>
      </c>
      <c r="C234" s="213" t="s">
        <v>1831</v>
      </c>
      <c r="D234" s="230">
        <v>16</v>
      </c>
      <c r="E234" s="229" t="s">
        <v>785</v>
      </c>
      <c r="F234" s="229">
        <v>10</v>
      </c>
      <c r="G234" s="229"/>
      <c r="H234" s="228"/>
      <c r="I234" s="229" t="str">
        <f t="shared" si="101"/>
        <v>16+10</v>
      </c>
      <c r="J234" s="895">
        <v>5.54</v>
      </c>
      <c r="K234" s="172">
        <v>1.5</v>
      </c>
      <c r="L234" s="213">
        <v>120</v>
      </c>
      <c r="M234" s="901">
        <f t="shared" si="122"/>
        <v>4.04</v>
      </c>
      <c r="N234" s="172">
        <v>0</v>
      </c>
      <c r="O234" s="893"/>
      <c r="P234" s="893">
        <f t="shared" si="123"/>
        <v>10.5</v>
      </c>
      <c r="Q234" s="172">
        <f t="shared" si="124"/>
        <v>6.46</v>
      </c>
      <c r="R234" s="1379">
        <f>MIN(Q234:Q236)</f>
        <v>6.46</v>
      </c>
      <c r="S234" s="1362" t="str">
        <f t="shared" si="108"/>
        <v/>
      </c>
      <c r="T234" s="257" t="str">
        <f>IF(R234&lt;0,"закрыт","")</f>
        <v/>
      </c>
      <c r="U234" s="1362">
        <f>(J234*100)/P234</f>
        <v>52.761904761904759</v>
      </c>
      <c r="V234" s="1362">
        <v>0.5</v>
      </c>
      <c r="W234" s="768"/>
      <c r="X234" s="929"/>
      <c r="Y234" s="1371">
        <v>171</v>
      </c>
      <c r="Z234" s="1316">
        <v>26</v>
      </c>
      <c r="AA234" s="1298" t="s">
        <v>1831</v>
      </c>
      <c r="AB234" s="230">
        <f t="shared" si="102"/>
        <v>16</v>
      </c>
      <c r="AC234" s="1315" t="str">
        <f t="shared" si="103"/>
        <v>+</v>
      </c>
      <c r="AD234" s="1315">
        <f t="shared" si="104"/>
        <v>10</v>
      </c>
      <c r="AE234" s="1315"/>
      <c r="AF234" s="1316"/>
      <c r="AG234" s="1298" t="str">
        <f t="shared" si="105"/>
        <v>16+10</v>
      </c>
      <c r="AH234" s="1304">
        <f>SUM(AH235:AH236)</f>
        <v>0.34207499999999996</v>
      </c>
      <c r="AI234" s="1304">
        <f t="shared" si="131"/>
        <v>5.8820750000000004</v>
      </c>
      <c r="AJ234" s="1304">
        <f t="shared" si="106"/>
        <v>1.5</v>
      </c>
      <c r="AK234" s="1298">
        <f t="shared" si="107"/>
        <v>120</v>
      </c>
      <c r="AL234" s="1304">
        <f t="shared" si="126"/>
        <v>4.3820750000000004</v>
      </c>
      <c r="AM234" s="1298">
        <v>0</v>
      </c>
      <c r="AN234" s="893">
        <f t="shared" si="127"/>
        <v>10.5</v>
      </c>
      <c r="AO234" s="1304">
        <f t="shared" si="128"/>
        <v>6.1179249999999996</v>
      </c>
      <c r="AP234" s="1308">
        <f>MIN(AO234:AO236)</f>
        <v>6.1179249999999996</v>
      </c>
      <c r="AQ234" s="1296" t="str">
        <f t="shared" si="109"/>
        <v/>
      </c>
      <c r="AR234" s="1298" t="str">
        <f>IF(AP234&lt;0,"закрыт","")</f>
        <v/>
      </c>
      <c r="AS234" s="1305">
        <f>(AI234*100)/AN234</f>
        <v>56.0197619047619</v>
      </c>
      <c r="AT234" s="954" t="s">
        <v>95</v>
      </c>
      <c r="AU234" s="1113">
        <v>1990</v>
      </c>
      <c r="AV234" s="1119" t="s">
        <v>3286</v>
      </c>
      <c r="AW234" s="1121">
        <v>55.866963548747997</v>
      </c>
      <c r="AX234" s="1121">
        <v>32.951118740095502</v>
      </c>
    </row>
    <row r="235" spans="1:50" ht="20.100000000000001" customHeight="1" x14ac:dyDescent="0.25">
      <c r="A235" s="1371"/>
      <c r="B235" s="1371"/>
      <c r="C235" s="7" t="s">
        <v>1792</v>
      </c>
      <c r="D235" s="230">
        <v>16</v>
      </c>
      <c r="E235" s="229" t="s">
        <v>785</v>
      </c>
      <c r="F235" s="229">
        <v>10</v>
      </c>
      <c r="G235" s="229"/>
      <c r="H235" s="228"/>
      <c r="I235" s="229" t="str">
        <f t="shared" si="101"/>
        <v>16+10</v>
      </c>
      <c r="J235" s="895">
        <v>2.78</v>
      </c>
      <c r="K235" s="901">
        <v>0</v>
      </c>
      <c r="L235" s="7">
        <v>0</v>
      </c>
      <c r="M235" s="901">
        <f t="shared" si="122"/>
        <v>2.78</v>
      </c>
      <c r="N235" s="172">
        <v>0</v>
      </c>
      <c r="O235" s="893"/>
      <c r="P235" s="893">
        <f t="shared" si="123"/>
        <v>10.5</v>
      </c>
      <c r="Q235" s="172">
        <f t="shared" si="124"/>
        <v>7.7200000000000006</v>
      </c>
      <c r="R235" s="1379"/>
      <c r="S235" s="1363" t="str">
        <f t="shared" si="108"/>
        <v/>
      </c>
      <c r="T235" s="257" t="str">
        <f>IF(R234&lt;0,"закрыт","")</f>
        <v/>
      </c>
      <c r="U235" s="1363"/>
      <c r="V235" s="1363"/>
      <c r="W235" s="768" t="s">
        <v>3476</v>
      </c>
      <c r="X235" s="929"/>
      <c r="Y235" s="1371"/>
      <c r="Z235" s="1316"/>
      <c r="AA235" s="7" t="s">
        <v>1792</v>
      </c>
      <c r="AB235" s="230">
        <f t="shared" si="102"/>
        <v>16</v>
      </c>
      <c r="AC235" s="1315" t="str">
        <f t="shared" si="103"/>
        <v>+</v>
      </c>
      <c r="AD235" s="1315">
        <f t="shared" si="104"/>
        <v>10</v>
      </c>
      <c r="AE235" s="1315"/>
      <c r="AF235" s="1316"/>
      <c r="AG235" s="1298" t="str">
        <f t="shared" si="105"/>
        <v>16+10</v>
      </c>
      <c r="AH235" s="1304">
        <f>SUM(AH210+AH223)</f>
        <v>3.7499999999999999E-2</v>
      </c>
      <c r="AI235" s="1304">
        <f t="shared" si="131"/>
        <v>2.8174999999999999</v>
      </c>
      <c r="AJ235" s="1304">
        <f t="shared" si="106"/>
        <v>0</v>
      </c>
      <c r="AK235" s="1298">
        <f t="shared" si="107"/>
        <v>0</v>
      </c>
      <c r="AL235" s="1304">
        <f t="shared" si="126"/>
        <v>2.8174999999999999</v>
      </c>
      <c r="AM235" s="1298">
        <v>0</v>
      </c>
      <c r="AN235" s="893">
        <f t="shared" si="127"/>
        <v>10.5</v>
      </c>
      <c r="AO235" s="1304">
        <f t="shared" si="128"/>
        <v>7.6825000000000001</v>
      </c>
      <c r="AP235" s="1309"/>
      <c r="AQ235" s="1297" t="str">
        <f t="shared" si="109"/>
        <v/>
      </c>
      <c r="AR235" s="1298" t="str">
        <f>IF(AP234&lt;0,"закрыт","")</f>
        <v/>
      </c>
      <c r="AS235" s="1306"/>
      <c r="AT235" s="954" t="s">
        <v>95</v>
      </c>
      <c r="AU235" s="1113">
        <v>1990</v>
      </c>
      <c r="AV235" s="1119" t="s">
        <v>3286</v>
      </c>
      <c r="AW235" s="1121">
        <v>55.866963548747997</v>
      </c>
      <c r="AX235" s="1121">
        <v>32.951118740095502</v>
      </c>
    </row>
    <row r="236" spans="1:50" ht="20.100000000000001" customHeight="1" x14ac:dyDescent="0.25">
      <c r="A236" s="1371"/>
      <c r="B236" s="1371"/>
      <c r="C236" s="7" t="s">
        <v>1791</v>
      </c>
      <c r="D236" s="230">
        <v>16</v>
      </c>
      <c r="E236" s="229" t="s">
        <v>785</v>
      </c>
      <c r="F236" s="229">
        <v>10</v>
      </c>
      <c r="G236" s="229"/>
      <c r="H236" s="228"/>
      <c r="I236" s="229" t="str">
        <f t="shared" si="101"/>
        <v>16+10</v>
      </c>
      <c r="J236" s="895">
        <v>2.76</v>
      </c>
      <c r="K236" s="901">
        <v>1.5</v>
      </c>
      <c r="L236" s="213">
        <v>120</v>
      </c>
      <c r="M236" s="901">
        <f t="shared" si="122"/>
        <v>1.2599999999999998</v>
      </c>
      <c r="N236" s="172">
        <v>0</v>
      </c>
      <c r="O236" s="893"/>
      <c r="P236" s="893">
        <f t="shared" si="123"/>
        <v>10.5</v>
      </c>
      <c r="Q236" s="172">
        <f t="shared" si="124"/>
        <v>9.24</v>
      </c>
      <c r="R236" s="1379"/>
      <c r="S236" s="1363" t="str">
        <f t="shared" si="108"/>
        <v/>
      </c>
      <c r="T236" s="257" t="str">
        <f>IF(R234&lt;0,"закрыт","")</f>
        <v/>
      </c>
      <c r="U236" s="1363"/>
      <c r="V236" s="1363"/>
      <c r="W236" s="257"/>
      <c r="X236" s="929"/>
      <c r="Y236" s="1371"/>
      <c r="Z236" s="1316"/>
      <c r="AA236" s="7" t="s">
        <v>1791</v>
      </c>
      <c r="AB236" s="230">
        <f t="shared" si="102"/>
        <v>16</v>
      </c>
      <c r="AC236" s="1315" t="str">
        <f t="shared" si="103"/>
        <v>+</v>
      </c>
      <c r="AD236" s="1315">
        <f t="shared" si="104"/>
        <v>10</v>
      </c>
      <c r="AE236" s="1315"/>
      <c r="AF236" s="1316"/>
      <c r="AG236" s="1298" t="str">
        <f t="shared" si="105"/>
        <v>16+10</v>
      </c>
      <c r="AH236" s="1304">
        <f>'Зона НЭс'!L96</f>
        <v>0.30457499999999998</v>
      </c>
      <c r="AI236" s="1304">
        <f t="shared" si="131"/>
        <v>3.0645749999999996</v>
      </c>
      <c r="AJ236" s="1304">
        <f t="shared" si="106"/>
        <v>1.5</v>
      </c>
      <c r="AK236" s="1298">
        <f t="shared" si="107"/>
        <v>120</v>
      </c>
      <c r="AL236" s="1304">
        <f t="shared" si="126"/>
        <v>1.5645749999999996</v>
      </c>
      <c r="AM236" s="1298">
        <v>0</v>
      </c>
      <c r="AN236" s="893">
        <f t="shared" si="127"/>
        <v>10.5</v>
      </c>
      <c r="AO236" s="1304">
        <f t="shared" si="128"/>
        <v>8.9354250000000004</v>
      </c>
      <c r="AP236" s="1310"/>
      <c r="AQ236" s="1297" t="str">
        <f t="shared" si="109"/>
        <v/>
      </c>
      <c r="AR236" s="1298" t="str">
        <f>IF(AP234&lt;0,"закрыт","")</f>
        <v/>
      </c>
      <c r="AS236" s="1307"/>
      <c r="AT236" s="954" t="s">
        <v>95</v>
      </c>
      <c r="AU236" s="1113">
        <v>1990</v>
      </c>
      <c r="AV236" s="1119" t="s">
        <v>3286</v>
      </c>
      <c r="AW236" s="1121">
        <v>55.866963548747997</v>
      </c>
      <c r="AX236" s="1121">
        <v>32.951118740095502</v>
      </c>
    </row>
    <row r="237" spans="1:50" ht="20.100000000000001" customHeight="1" x14ac:dyDescent="0.25">
      <c r="A237" s="1371">
        <v>172</v>
      </c>
      <c r="B237" s="1371">
        <v>27</v>
      </c>
      <c r="C237" s="213" t="s">
        <v>1832</v>
      </c>
      <c r="D237" s="230">
        <v>10</v>
      </c>
      <c r="E237" s="229" t="s">
        <v>785</v>
      </c>
      <c r="F237" s="229">
        <v>10</v>
      </c>
      <c r="G237" s="229"/>
      <c r="H237" s="228"/>
      <c r="I237" s="229" t="str">
        <f t="shared" si="101"/>
        <v>10+10</v>
      </c>
      <c r="J237" s="895">
        <v>12</v>
      </c>
      <c r="K237" s="172">
        <v>2.4</v>
      </c>
      <c r="L237" s="213">
        <v>120</v>
      </c>
      <c r="M237" s="901">
        <f t="shared" si="122"/>
        <v>9.6</v>
      </c>
      <c r="N237" s="172">
        <v>0</v>
      </c>
      <c r="O237" s="893"/>
      <c r="P237" s="893">
        <f t="shared" si="123"/>
        <v>10.5</v>
      </c>
      <c r="Q237" s="172">
        <f t="shared" si="124"/>
        <v>0.90000000000000036</v>
      </c>
      <c r="R237" s="1379">
        <f>MIN(Q237:Q239)</f>
        <v>0.90000000000000036</v>
      </c>
      <c r="S237" s="1362" t="str">
        <f t="shared" si="108"/>
        <v/>
      </c>
      <c r="T237" s="257" t="str">
        <f>IF(R237&lt;0,"закрыт","")</f>
        <v/>
      </c>
      <c r="U237" s="1362">
        <f>(J237*100)/P237</f>
        <v>114.28571428571429</v>
      </c>
      <c r="V237" s="1362">
        <v>0.4</v>
      </c>
      <c r="W237" s="768"/>
      <c r="X237" s="929"/>
      <c r="Y237" s="1371">
        <v>172</v>
      </c>
      <c r="Z237" s="1316">
        <v>27</v>
      </c>
      <c r="AA237" s="1298" t="s">
        <v>1832</v>
      </c>
      <c r="AB237" s="230">
        <f t="shared" si="102"/>
        <v>10</v>
      </c>
      <c r="AC237" s="1315" t="str">
        <f t="shared" si="103"/>
        <v>+</v>
      </c>
      <c r="AD237" s="1315">
        <f t="shared" si="104"/>
        <v>10</v>
      </c>
      <c r="AE237" s="1315"/>
      <c r="AF237" s="1316"/>
      <c r="AG237" s="1298" t="str">
        <f t="shared" si="105"/>
        <v>10+10</v>
      </c>
      <c r="AH237" s="1304">
        <f>SUM(AH238:AH239)</f>
        <v>0.20125000000000001</v>
      </c>
      <c r="AI237" s="1304">
        <f t="shared" si="131"/>
        <v>12.20125</v>
      </c>
      <c r="AJ237" s="1304">
        <f t="shared" si="106"/>
        <v>2.4</v>
      </c>
      <c r="AK237" s="1298">
        <f t="shared" si="107"/>
        <v>120</v>
      </c>
      <c r="AL237" s="1304">
        <f t="shared" si="126"/>
        <v>9.8012499999999996</v>
      </c>
      <c r="AM237" s="1298">
        <v>0</v>
      </c>
      <c r="AN237" s="893">
        <f t="shared" si="127"/>
        <v>10.5</v>
      </c>
      <c r="AO237" s="1304">
        <f t="shared" si="128"/>
        <v>0.69875000000000043</v>
      </c>
      <c r="AP237" s="1308">
        <f>MIN(AO237:AO239)</f>
        <v>0.69875000000000043</v>
      </c>
      <c r="AQ237" s="1296" t="str">
        <f t="shared" si="109"/>
        <v/>
      </c>
      <c r="AR237" s="1298" t="str">
        <f>IF(AP237&lt;0,"закрыт","")</f>
        <v/>
      </c>
      <c r="AS237" s="1305">
        <f>(AI237*100)/AN237</f>
        <v>116.20238095238095</v>
      </c>
      <c r="AT237" s="954" t="s">
        <v>95</v>
      </c>
      <c r="AU237" s="1113">
        <v>1962</v>
      </c>
      <c r="AV237" s="1119" t="s">
        <v>3286</v>
      </c>
      <c r="AW237" s="1121">
        <v>56.251399351168097</v>
      </c>
      <c r="AX237" s="1121">
        <v>32.0903693373739</v>
      </c>
    </row>
    <row r="238" spans="1:50" ht="20.100000000000001" customHeight="1" x14ac:dyDescent="0.25">
      <c r="A238" s="1371"/>
      <c r="B238" s="1371"/>
      <c r="C238" s="7" t="s">
        <v>1792</v>
      </c>
      <c r="D238" s="230">
        <v>10</v>
      </c>
      <c r="E238" s="229" t="s">
        <v>785</v>
      </c>
      <c r="F238" s="229">
        <v>10</v>
      </c>
      <c r="G238" s="229"/>
      <c r="H238" s="228"/>
      <c r="I238" s="229" t="str">
        <f t="shared" si="101"/>
        <v>10+10</v>
      </c>
      <c r="J238" s="895">
        <v>3.92</v>
      </c>
      <c r="K238" s="901">
        <v>1.4</v>
      </c>
      <c r="L238" s="7">
        <v>120</v>
      </c>
      <c r="M238" s="901">
        <f t="shared" si="122"/>
        <v>2.52</v>
      </c>
      <c r="N238" s="172">
        <v>0</v>
      </c>
      <c r="O238" s="893"/>
      <c r="P238" s="893">
        <f t="shared" si="123"/>
        <v>10.5</v>
      </c>
      <c r="Q238" s="172">
        <f t="shared" si="124"/>
        <v>7.98</v>
      </c>
      <c r="R238" s="1379"/>
      <c r="S238" s="1363" t="str">
        <f t="shared" si="108"/>
        <v/>
      </c>
      <c r="T238" s="257" t="str">
        <f>IF(R237&lt;0,"закрыт","")</f>
        <v/>
      </c>
      <c r="U238" s="1363"/>
      <c r="V238" s="1363"/>
      <c r="W238" s="768" t="s">
        <v>3476</v>
      </c>
      <c r="X238" s="929"/>
      <c r="Y238" s="1371"/>
      <c r="Z238" s="1316"/>
      <c r="AA238" s="7" t="s">
        <v>1792</v>
      </c>
      <c r="AB238" s="230">
        <f t="shared" si="102"/>
        <v>10</v>
      </c>
      <c r="AC238" s="1315" t="str">
        <f t="shared" si="103"/>
        <v>+</v>
      </c>
      <c r="AD238" s="1315">
        <f t="shared" si="104"/>
        <v>10</v>
      </c>
      <c r="AE238" s="1315"/>
      <c r="AF238" s="1316"/>
      <c r="AG238" s="1298" t="str">
        <f t="shared" si="105"/>
        <v>10+10</v>
      </c>
      <c r="AH238" s="1304">
        <f>SUM(AH230+AH220+AH213+AH209+AH211+AH227)</f>
        <v>0.16375000000000001</v>
      </c>
      <c r="AI238" s="1304">
        <f t="shared" si="131"/>
        <v>4.0837500000000002</v>
      </c>
      <c r="AJ238" s="1304">
        <f t="shared" si="106"/>
        <v>1.4</v>
      </c>
      <c r="AK238" s="1298">
        <f t="shared" si="107"/>
        <v>120</v>
      </c>
      <c r="AL238" s="1304">
        <f t="shared" si="126"/>
        <v>2.6837500000000003</v>
      </c>
      <c r="AM238" s="1298">
        <v>0</v>
      </c>
      <c r="AN238" s="893">
        <f t="shared" si="127"/>
        <v>10.5</v>
      </c>
      <c r="AO238" s="1304">
        <f t="shared" si="128"/>
        <v>7.8162500000000001</v>
      </c>
      <c r="AP238" s="1309"/>
      <c r="AQ238" s="1297" t="str">
        <f t="shared" si="109"/>
        <v/>
      </c>
      <c r="AR238" s="1298" t="str">
        <f>IF(AP237&lt;0,"закрыт","")</f>
        <v/>
      </c>
      <c r="AS238" s="1306"/>
      <c r="AT238" s="954" t="s">
        <v>95</v>
      </c>
      <c r="AU238" s="1113">
        <v>1962</v>
      </c>
      <c r="AV238" s="1119" t="s">
        <v>3286</v>
      </c>
      <c r="AW238" s="1121">
        <v>56.251399351168097</v>
      </c>
      <c r="AX238" s="1121">
        <v>32.0903693373739</v>
      </c>
    </row>
    <row r="239" spans="1:50" ht="20.100000000000001" customHeight="1" x14ac:dyDescent="0.25">
      <c r="A239" s="1371"/>
      <c r="B239" s="1371"/>
      <c r="C239" s="7" t="s">
        <v>1791</v>
      </c>
      <c r="D239" s="230">
        <v>10</v>
      </c>
      <c r="E239" s="229" t="s">
        <v>785</v>
      </c>
      <c r="F239" s="229">
        <v>10</v>
      </c>
      <c r="G239" s="229"/>
      <c r="H239" s="228"/>
      <c r="I239" s="229" t="str">
        <f t="shared" si="101"/>
        <v>10+10</v>
      </c>
      <c r="J239" s="895">
        <v>8.08</v>
      </c>
      <c r="K239" s="901">
        <v>1</v>
      </c>
      <c r="L239" s="213">
        <v>0</v>
      </c>
      <c r="M239" s="901">
        <f t="shared" si="122"/>
        <v>7.08</v>
      </c>
      <c r="N239" s="172">
        <v>0</v>
      </c>
      <c r="O239" s="893"/>
      <c r="P239" s="893">
        <f t="shared" si="123"/>
        <v>10.5</v>
      </c>
      <c r="Q239" s="172">
        <f t="shared" si="124"/>
        <v>3.42</v>
      </c>
      <c r="R239" s="1379"/>
      <c r="S239" s="1363" t="str">
        <f t="shared" si="108"/>
        <v/>
      </c>
      <c r="T239" s="257" t="str">
        <f>IF(R237&lt;0,"закрыт","")</f>
        <v/>
      </c>
      <c r="U239" s="1363"/>
      <c r="V239" s="1363"/>
      <c r="W239" s="257"/>
      <c r="X239" s="929"/>
      <c r="Y239" s="1371"/>
      <c r="Z239" s="1316"/>
      <c r="AA239" s="7" t="s">
        <v>1791</v>
      </c>
      <c r="AB239" s="230">
        <f t="shared" si="102"/>
        <v>10</v>
      </c>
      <c r="AC239" s="1315" t="str">
        <f t="shared" si="103"/>
        <v>+</v>
      </c>
      <c r="AD239" s="1315">
        <f t="shared" si="104"/>
        <v>10</v>
      </c>
      <c r="AE239" s="1315"/>
      <c r="AF239" s="1316"/>
      <c r="AG239" s="1298" t="str">
        <f t="shared" si="105"/>
        <v>10+10</v>
      </c>
      <c r="AH239" s="1304">
        <f>'Зона НЭс'!L108</f>
        <v>3.7499999999999999E-2</v>
      </c>
      <c r="AI239" s="1304">
        <f t="shared" si="131"/>
        <v>8.1174999999999997</v>
      </c>
      <c r="AJ239" s="1304">
        <f t="shared" si="106"/>
        <v>1</v>
      </c>
      <c r="AK239" s="1298">
        <f t="shared" si="107"/>
        <v>0</v>
      </c>
      <c r="AL239" s="1304">
        <f t="shared" si="126"/>
        <v>7.1174999999999997</v>
      </c>
      <c r="AM239" s="1298">
        <v>0</v>
      </c>
      <c r="AN239" s="893">
        <f t="shared" si="127"/>
        <v>10.5</v>
      </c>
      <c r="AO239" s="1304">
        <f t="shared" si="128"/>
        <v>3.3825000000000003</v>
      </c>
      <c r="AP239" s="1310"/>
      <c r="AQ239" s="1297" t="str">
        <f t="shared" si="109"/>
        <v/>
      </c>
      <c r="AR239" s="1298" t="str">
        <f>IF(AP237&lt;0,"закрыт","")</f>
        <v/>
      </c>
      <c r="AS239" s="1307"/>
      <c r="AT239" s="954" t="s">
        <v>95</v>
      </c>
      <c r="AU239" s="1113">
        <v>1962</v>
      </c>
      <c r="AV239" s="1119" t="s">
        <v>3286</v>
      </c>
      <c r="AW239" s="1121">
        <v>56.251399351168097</v>
      </c>
      <c r="AX239" s="1121">
        <v>32.0903693373739</v>
      </c>
    </row>
    <row r="240" spans="1:50" ht="20.100000000000001" customHeight="1" x14ac:dyDescent="0.25">
      <c r="A240" s="1371">
        <v>173</v>
      </c>
      <c r="B240" s="1371">
        <v>28</v>
      </c>
      <c r="C240" s="213" t="s">
        <v>1833</v>
      </c>
      <c r="D240" s="230">
        <v>25</v>
      </c>
      <c r="E240" s="229" t="s">
        <v>785</v>
      </c>
      <c r="F240" s="229">
        <v>25</v>
      </c>
      <c r="G240" s="229"/>
      <c r="H240" s="228"/>
      <c r="I240" s="229" t="str">
        <f t="shared" si="101"/>
        <v>25+25</v>
      </c>
      <c r="J240" s="895">
        <v>20.32</v>
      </c>
      <c r="K240" s="172">
        <v>2.2000000000000002</v>
      </c>
      <c r="L240" s="213">
        <v>120</v>
      </c>
      <c r="M240" s="901">
        <f t="shared" si="122"/>
        <v>18.12</v>
      </c>
      <c r="N240" s="172">
        <v>0</v>
      </c>
      <c r="O240" s="893"/>
      <c r="P240" s="893">
        <f t="shared" si="123"/>
        <v>26.25</v>
      </c>
      <c r="Q240" s="172">
        <f t="shared" si="124"/>
        <v>8.129999999999999</v>
      </c>
      <c r="R240" s="1364">
        <f>MIN(Q240:Q242)</f>
        <v>8.129999999999999</v>
      </c>
      <c r="S240" s="1362" t="str">
        <f>T240</f>
        <v/>
      </c>
      <c r="T240" s="257" t="str">
        <f>IF(R240&lt;0,"закрыт","")</f>
        <v/>
      </c>
      <c r="U240" s="1362">
        <f>(J240*100)/P240</f>
        <v>77.409523809523805</v>
      </c>
      <c r="V240" s="1362">
        <v>0.5</v>
      </c>
      <c r="W240" s="768"/>
      <c r="X240" s="929"/>
      <c r="Y240" s="1371">
        <v>173</v>
      </c>
      <c r="Z240" s="1316">
        <v>28</v>
      </c>
      <c r="AA240" s="1298" t="s">
        <v>1833</v>
      </c>
      <c r="AB240" s="230">
        <f t="shared" si="102"/>
        <v>25</v>
      </c>
      <c r="AC240" s="1315" t="str">
        <f t="shared" si="103"/>
        <v>+</v>
      </c>
      <c r="AD240" s="1315">
        <f t="shared" si="104"/>
        <v>25</v>
      </c>
      <c r="AE240" s="1315"/>
      <c r="AF240" s="1316"/>
      <c r="AG240" s="1298" t="str">
        <f t="shared" si="105"/>
        <v>25+25</v>
      </c>
      <c r="AH240" s="1304">
        <f>SUM(AH241:AH242)</f>
        <v>0.39124999999999999</v>
      </c>
      <c r="AI240" s="1304">
        <f t="shared" si="131"/>
        <v>20.71125</v>
      </c>
      <c r="AJ240" s="1304">
        <f t="shared" si="106"/>
        <v>2.2000000000000002</v>
      </c>
      <c r="AK240" s="1298">
        <f t="shared" si="107"/>
        <v>120</v>
      </c>
      <c r="AL240" s="1304">
        <f t="shared" si="126"/>
        <v>18.51125</v>
      </c>
      <c r="AM240" s="1298">
        <v>0</v>
      </c>
      <c r="AN240" s="893">
        <f t="shared" si="127"/>
        <v>26.25</v>
      </c>
      <c r="AO240" s="1304">
        <f t="shared" si="128"/>
        <v>7.7387499999999996</v>
      </c>
      <c r="AP240" s="1308">
        <f>MIN(AO240:AO242)</f>
        <v>7.7387499999999996</v>
      </c>
      <c r="AQ240" s="1296" t="str">
        <f>AR240</f>
        <v/>
      </c>
      <c r="AR240" s="1298" t="str">
        <f>IF(AP240&lt;0,"закрыт","")</f>
        <v/>
      </c>
      <c r="AS240" s="1305">
        <f>(AI240*100)/AN240</f>
        <v>78.900000000000006</v>
      </c>
      <c r="AT240" s="954" t="s">
        <v>95</v>
      </c>
      <c r="AU240" s="1113">
        <v>1989</v>
      </c>
      <c r="AV240" s="214">
        <v>2011</v>
      </c>
      <c r="AW240" s="1121">
        <v>56.493515565355203</v>
      </c>
      <c r="AX240" s="1121">
        <v>31.640055859206502</v>
      </c>
    </row>
    <row r="241" spans="1:50" ht="20.100000000000001" customHeight="1" x14ac:dyDescent="0.25">
      <c r="A241" s="1371"/>
      <c r="B241" s="1371"/>
      <c r="C241" s="7" t="s">
        <v>1792</v>
      </c>
      <c r="D241" s="230">
        <v>25</v>
      </c>
      <c r="E241" s="229" t="s">
        <v>785</v>
      </c>
      <c r="F241" s="229">
        <v>25</v>
      </c>
      <c r="G241" s="229"/>
      <c r="H241" s="228"/>
      <c r="I241" s="229" t="str">
        <f t="shared" si="101"/>
        <v>25+25</v>
      </c>
      <c r="J241" s="895">
        <v>6.08</v>
      </c>
      <c r="K241" s="901">
        <v>1.2</v>
      </c>
      <c r="L241" s="7">
        <v>120</v>
      </c>
      <c r="M241" s="901">
        <f t="shared" si="122"/>
        <v>4.88</v>
      </c>
      <c r="N241" s="172">
        <v>0</v>
      </c>
      <c r="O241" s="893"/>
      <c r="P241" s="893">
        <f t="shared" si="123"/>
        <v>26.25</v>
      </c>
      <c r="Q241" s="172">
        <f t="shared" si="124"/>
        <v>21.37</v>
      </c>
      <c r="R241" s="1365"/>
      <c r="S241" s="1362"/>
      <c r="T241" s="257" t="str">
        <f>IF(R240&lt;0,"закрыт","")</f>
        <v/>
      </c>
      <c r="U241" s="1362"/>
      <c r="V241" s="1362"/>
      <c r="W241" s="768" t="s">
        <v>3476</v>
      </c>
      <c r="X241" s="929"/>
      <c r="Y241" s="1371"/>
      <c r="Z241" s="1316"/>
      <c r="AA241" s="7" t="s">
        <v>1792</v>
      </c>
      <c r="AB241" s="230">
        <f t="shared" si="102"/>
        <v>25</v>
      </c>
      <c r="AC241" s="1315" t="str">
        <f t="shared" si="103"/>
        <v>+</v>
      </c>
      <c r="AD241" s="1315">
        <f t="shared" si="104"/>
        <v>25</v>
      </c>
      <c r="AE241" s="1315"/>
      <c r="AF241" s="1316"/>
      <c r="AG241" s="1298" t="str">
        <f t="shared" si="105"/>
        <v>25+25</v>
      </c>
      <c r="AH241" s="1304">
        <f>SUM(AH207+AH215+AH216+AH228+AH225+AH224)</f>
        <v>0</v>
      </c>
      <c r="AI241" s="1304">
        <f t="shared" si="131"/>
        <v>6.08</v>
      </c>
      <c r="AJ241" s="1304">
        <f t="shared" si="106"/>
        <v>1.2</v>
      </c>
      <c r="AK241" s="1298">
        <f t="shared" si="107"/>
        <v>120</v>
      </c>
      <c r="AL241" s="1304">
        <f t="shared" si="126"/>
        <v>4.88</v>
      </c>
      <c r="AM241" s="1298">
        <v>0</v>
      </c>
      <c r="AN241" s="893">
        <f t="shared" si="127"/>
        <v>26.25</v>
      </c>
      <c r="AO241" s="1304">
        <f t="shared" si="128"/>
        <v>21.37</v>
      </c>
      <c r="AP241" s="1309"/>
      <c r="AQ241" s="1296"/>
      <c r="AR241" s="1298" t="str">
        <f>IF(AP240&lt;0,"закрыт","")</f>
        <v/>
      </c>
      <c r="AS241" s="1306"/>
      <c r="AT241" s="954" t="s">
        <v>95</v>
      </c>
      <c r="AU241" s="1113">
        <v>1989</v>
      </c>
      <c r="AV241" s="214">
        <v>2011</v>
      </c>
      <c r="AW241" s="1121">
        <v>56.493515565355203</v>
      </c>
      <c r="AX241" s="1121">
        <v>31.640055859206502</v>
      </c>
    </row>
    <row r="242" spans="1:50" ht="20.100000000000001" customHeight="1" x14ac:dyDescent="0.25">
      <c r="A242" s="1371"/>
      <c r="B242" s="1371"/>
      <c r="C242" s="7" t="s">
        <v>1791</v>
      </c>
      <c r="D242" s="230">
        <v>25</v>
      </c>
      <c r="E242" s="229" t="s">
        <v>785</v>
      </c>
      <c r="F242" s="229">
        <v>25</v>
      </c>
      <c r="G242" s="229"/>
      <c r="H242" s="228"/>
      <c r="I242" s="229" t="str">
        <f t="shared" si="101"/>
        <v>25+25</v>
      </c>
      <c r="J242" s="895">
        <v>14.24</v>
      </c>
      <c r="K242" s="901">
        <v>1</v>
      </c>
      <c r="L242" s="213">
        <v>120</v>
      </c>
      <c r="M242" s="901">
        <f t="shared" si="122"/>
        <v>13.24</v>
      </c>
      <c r="N242" s="172">
        <v>0</v>
      </c>
      <c r="O242" s="893"/>
      <c r="P242" s="893">
        <f t="shared" si="123"/>
        <v>26.25</v>
      </c>
      <c r="Q242" s="172">
        <f t="shared" si="124"/>
        <v>13.01</v>
      </c>
      <c r="R242" s="1366"/>
      <c r="S242" s="1362"/>
      <c r="T242" s="257" t="str">
        <f>IF(R240&lt;0,"закрыт","")</f>
        <v/>
      </c>
      <c r="U242" s="1362"/>
      <c r="V242" s="1362"/>
      <c r="W242" s="768"/>
      <c r="X242" s="929"/>
      <c r="Y242" s="1371"/>
      <c r="Z242" s="1316"/>
      <c r="AA242" s="7" t="s">
        <v>1791</v>
      </c>
      <c r="AB242" s="230">
        <f t="shared" si="102"/>
        <v>25</v>
      </c>
      <c r="AC242" s="1315" t="str">
        <f t="shared" si="103"/>
        <v>+</v>
      </c>
      <c r="AD242" s="1315">
        <f t="shared" si="104"/>
        <v>25</v>
      </c>
      <c r="AE242" s="1315"/>
      <c r="AF242" s="1316"/>
      <c r="AG242" s="1298" t="str">
        <f t="shared" si="105"/>
        <v>25+25</v>
      </c>
      <c r="AH242" s="1308">
        <f>'Зона НЭс'!L121</f>
        <v>0.39124999999999999</v>
      </c>
      <c r="AI242" s="1304">
        <f t="shared" si="131"/>
        <v>14.63125</v>
      </c>
      <c r="AJ242" s="1304">
        <f t="shared" si="106"/>
        <v>1</v>
      </c>
      <c r="AK242" s="1298">
        <f t="shared" si="107"/>
        <v>120</v>
      </c>
      <c r="AL242" s="1304">
        <f t="shared" si="126"/>
        <v>13.63125</v>
      </c>
      <c r="AM242" s="1298">
        <v>0</v>
      </c>
      <c r="AN242" s="893">
        <f t="shared" si="127"/>
        <v>26.25</v>
      </c>
      <c r="AO242" s="1304">
        <f t="shared" si="128"/>
        <v>12.61875</v>
      </c>
      <c r="AP242" s="1310"/>
      <c r="AQ242" s="1296"/>
      <c r="AR242" s="1298" t="str">
        <f>IF(AP240&lt;0,"закрыт","")</f>
        <v/>
      </c>
      <c r="AS242" s="1307"/>
      <c r="AT242" s="954" t="s">
        <v>95</v>
      </c>
      <c r="AU242" s="1113">
        <v>1989</v>
      </c>
      <c r="AV242" s="214">
        <v>2011</v>
      </c>
      <c r="AW242" s="1121">
        <v>56.493515565355203</v>
      </c>
      <c r="AX242" s="1121">
        <v>31.640055859206502</v>
      </c>
    </row>
    <row r="243" spans="1:50" ht="20.100000000000001" customHeight="1" x14ac:dyDescent="0.25">
      <c r="A243" s="213">
        <v>174</v>
      </c>
      <c r="B243" s="213">
        <v>1</v>
      </c>
      <c r="C243" s="213" t="s">
        <v>149</v>
      </c>
      <c r="D243" s="230">
        <v>2.5</v>
      </c>
      <c r="E243" s="229"/>
      <c r="F243" s="229"/>
      <c r="G243" s="229"/>
      <c r="H243" s="228"/>
      <c r="I243" s="229" t="str">
        <f t="shared" si="101"/>
        <v>2,5</v>
      </c>
      <c r="J243" s="895">
        <v>0.46557525707485165</v>
      </c>
      <c r="K243" s="172">
        <v>0.91</v>
      </c>
      <c r="L243" s="213">
        <v>120</v>
      </c>
      <c r="M243" s="172">
        <f t="shared" ref="M243:M253" si="132">K243</f>
        <v>0.91</v>
      </c>
      <c r="N243" s="172">
        <v>0</v>
      </c>
      <c r="O243" s="893"/>
      <c r="P243" s="893">
        <f t="shared" ref="P243:P253" si="133">M243-N243</f>
        <v>0.91</v>
      </c>
      <c r="Q243" s="172">
        <f t="shared" ref="Q243:Q253" si="134">P243-J243</f>
        <v>0.44442474292514839</v>
      </c>
      <c r="R243" s="172">
        <f t="shared" ref="R243:R266" si="135">Q243</f>
        <v>0.44442474292514839</v>
      </c>
      <c r="S243" s="768" t="str">
        <f t="shared" si="108"/>
        <v/>
      </c>
      <c r="T243" s="257" t="str">
        <f t="shared" ref="T243:T257" si="136">IF(R243&lt;0,"закрыт","")</f>
        <v/>
      </c>
      <c r="U243" s="768">
        <f t="shared" ref="U243:U253" si="137">(J243*100)/(I243*1.05)</f>
        <v>17.736200269518157</v>
      </c>
      <c r="V243" s="768"/>
      <c r="W243" s="256" t="s">
        <v>3087</v>
      </c>
      <c r="X243" s="929"/>
      <c r="Y243" s="213">
        <v>174</v>
      </c>
      <c r="Z243" s="1316">
        <v>1</v>
      </c>
      <c r="AA243" s="1298" t="s">
        <v>149</v>
      </c>
      <c r="AB243" s="230">
        <f t="shared" si="102"/>
        <v>2.5</v>
      </c>
      <c r="AC243" s="1315"/>
      <c r="AD243" s="1315"/>
      <c r="AE243" s="1315"/>
      <c r="AF243" s="1316"/>
      <c r="AG243" s="1298" t="str">
        <f t="shared" si="105"/>
        <v>2,5</v>
      </c>
      <c r="AH243" s="1304">
        <f>'Зона РжЭс'!L11</f>
        <v>0.25</v>
      </c>
      <c r="AI243" s="1304">
        <f t="shared" si="131"/>
        <v>0.7155752570748517</v>
      </c>
      <c r="AJ243" s="1304">
        <f t="shared" si="106"/>
        <v>0.91</v>
      </c>
      <c r="AK243" s="1298">
        <f t="shared" si="107"/>
        <v>120</v>
      </c>
      <c r="AL243" s="1304">
        <f t="shared" ref="AL243:AL253" si="138">AJ243</f>
        <v>0.91</v>
      </c>
      <c r="AM243" s="1298">
        <v>0</v>
      </c>
      <c r="AN243" s="893">
        <f t="shared" ref="AN243:AN253" si="139">AL243-AM243</f>
        <v>0.91</v>
      </c>
      <c r="AO243" s="1304">
        <f t="shared" ref="AO243:AO253" si="140">AN243-AI243</f>
        <v>0.19442474292514833</v>
      </c>
      <c r="AP243" s="1304">
        <f t="shared" ref="AP243:AP266" si="141">AO243</f>
        <v>0.19442474292514833</v>
      </c>
      <c r="AQ243" s="1339" t="str">
        <f t="shared" si="109"/>
        <v/>
      </c>
      <c r="AR243" s="1298" t="str">
        <f t="shared" ref="AR243:AR258" si="142">IF(AP243&lt;0,"закрыт","")</f>
        <v/>
      </c>
      <c r="AS243" s="952">
        <f>(AI243*100)/(AG243*1.05)</f>
        <v>27.260009793327683</v>
      </c>
      <c r="AT243" s="954" t="s">
        <v>758</v>
      </c>
      <c r="AU243" s="1113">
        <v>1983</v>
      </c>
      <c r="AV243" s="1119" t="s">
        <v>3286</v>
      </c>
      <c r="AW243" s="1121">
        <v>56.373681951001402</v>
      </c>
      <c r="AX243" s="1121">
        <v>34.036245105198198</v>
      </c>
    </row>
    <row r="244" spans="1:50" ht="20.100000000000001" customHeight="1" x14ac:dyDescent="0.25">
      <c r="A244" s="213">
        <v>175</v>
      </c>
      <c r="B244" s="213">
        <v>2</v>
      </c>
      <c r="C244" s="213" t="s">
        <v>150</v>
      </c>
      <c r="D244" s="230">
        <v>2.5</v>
      </c>
      <c r="E244" s="229"/>
      <c r="F244" s="229"/>
      <c r="G244" s="229"/>
      <c r="H244" s="228"/>
      <c r="I244" s="229" t="str">
        <f t="shared" si="101"/>
        <v>2,5</v>
      </c>
      <c r="J244" s="895">
        <v>0.14946212828673353</v>
      </c>
      <c r="K244" s="172">
        <v>0.15</v>
      </c>
      <c r="L244" s="213">
        <v>240</v>
      </c>
      <c r="M244" s="172">
        <f t="shared" si="132"/>
        <v>0.15</v>
      </c>
      <c r="N244" s="172">
        <v>0</v>
      </c>
      <c r="O244" s="893"/>
      <c r="P244" s="893">
        <f t="shared" si="133"/>
        <v>0.15</v>
      </c>
      <c r="Q244" s="172">
        <f t="shared" si="134"/>
        <v>5.3787171326646899E-4</v>
      </c>
      <c r="R244" s="172">
        <f t="shared" si="135"/>
        <v>5.3787171326646899E-4</v>
      </c>
      <c r="S244" s="768" t="str">
        <f t="shared" si="108"/>
        <v/>
      </c>
      <c r="T244" s="257" t="str">
        <f t="shared" si="136"/>
        <v/>
      </c>
      <c r="U244" s="768">
        <f t="shared" si="137"/>
        <v>5.6937953633041349</v>
      </c>
      <c r="V244" s="768">
        <v>0.55000000000000004</v>
      </c>
      <c r="W244" s="768" t="s">
        <v>3088</v>
      </c>
      <c r="X244" s="929"/>
      <c r="Y244" s="213">
        <v>175</v>
      </c>
      <c r="Z244" s="1316">
        <v>2</v>
      </c>
      <c r="AA244" s="1298" t="s">
        <v>150</v>
      </c>
      <c r="AB244" s="230">
        <f t="shared" si="102"/>
        <v>2.5</v>
      </c>
      <c r="AC244" s="1315"/>
      <c r="AD244" s="1315"/>
      <c r="AE244" s="1315"/>
      <c r="AF244" s="1316"/>
      <c r="AG244" s="1298" t="str">
        <f t="shared" si="105"/>
        <v>2,5</v>
      </c>
      <c r="AH244" s="1304">
        <f>'Зона РжЭс'!L13</f>
        <v>0</v>
      </c>
      <c r="AI244" s="1304">
        <f t="shared" si="131"/>
        <v>0.14946212828673353</v>
      </c>
      <c r="AJ244" s="1304">
        <f t="shared" si="106"/>
        <v>0.15</v>
      </c>
      <c r="AK244" s="1298">
        <f t="shared" si="107"/>
        <v>240</v>
      </c>
      <c r="AL244" s="1304">
        <f t="shared" si="138"/>
        <v>0.15</v>
      </c>
      <c r="AM244" s="1298">
        <v>0</v>
      </c>
      <c r="AN244" s="893">
        <f t="shared" si="139"/>
        <v>0.15</v>
      </c>
      <c r="AO244" s="1304">
        <f t="shared" si="140"/>
        <v>5.3787171326646899E-4</v>
      </c>
      <c r="AP244" s="1304">
        <f t="shared" si="141"/>
        <v>5.3787171326646899E-4</v>
      </c>
      <c r="AQ244" s="1339" t="str">
        <f t="shared" si="109"/>
        <v/>
      </c>
      <c r="AR244" s="1298" t="str">
        <f t="shared" si="142"/>
        <v/>
      </c>
      <c r="AS244" s="952">
        <f t="shared" ref="AS244:AS253" si="143">(AI244*100)/(AG244*1.05)</f>
        <v>5.6937953633041349</v>
      </c>
      <c r="AT244" s="954" t="s">
        <v>758</v>
      </c>
      <c r="AU244" s="1113">
        <v>1981</v>
      </c>
      <c r="AV244" s="1119" t="s">
        <v>3286</v>
      </c>
      <c r="AW244" s="1121">
        <v>56.0863419334366</v>
      </c>
      <c r="AX244" s="1121">
        <v>34.033279301544297</v>
      </c>
    </row>
    <row r="245" spans="1:50" ht="20.100000000000001" customHeight="1" x14ac:dyDescent="0.25">
      <c r="A245" s="213">
        <v>176</v>
      </c>
      <c r="B245" s="213">
        <v>3</v>
      </c>
      <c r="C245" s="213" t="s">
        <v>148</v>
      </c>
      <c r="D245" s="230">
        <v>1.6</v>
      </c>
      <c r="E245" s="229"/>
      <c r="F245" s="229"/>
      <c r="G245" s="229"/>
      <c r="H245" s="228"/>
      <c r="I245" s="229" t="str">
        <f t="shared" si="101"/>
        <v>1,6</v>
      </c>
      <c r="J245" s="895">
        <v>0.70972513890904021</v>
      </c>
      <c r="K245" s="172">
        <v>0</v>
      </c>
      <c r="L245" s="213">
        <v>0</v>
      </c>
      <c r="M245" s="172">
        <f t="shared" si="132"/>
        <v>0</v>
      </c>
      <c r="N245" s="172">
        <v>0</v>
      </c>
      <c r="O245" s="893"/>
      <c r="P245" s="893">
        <f t="shared" si="133"/>
        <v>0</v>
      </c>
      <c r="Q245" s="172">
        <f t="shared" si="134"/>
        <v>-0.70972513890904021</v>
      </c>
      <c r="R245" s="172">
        <f>Q245</f>
        <v>-0.70972513890904021</v>
      </c>
      <c r="S245" s="768" t="str">
        <f>T245</f>
        <v>закрыт</v>
      </c>
      <c r="T245" s="257" t="str">
        <f t="shared" si="136"/>
        <v>закрыт</v>
      </c>
      <c r="U245" s="768">
        <f t="shared" si="137"/>
        <v>42.245543982680964</v>
      </c>
      <c r="V245" s="768"/>
      <c r="W245" s="768" t="s">
        <v>3087</v>
      </c>
      <c r="X245" s="929"/>
      <c r="Y245" s="213">
        <v>176</v>
      </c>
      <c r="Z245" s="1316">
        <v>3</v>
      </c>
      <c r="AA245" s="1298" t="s">
        <v>148</v>
      </c>
      <c r="AB245" s="230">
        <f t="shared" si="102"/>
        <v>1.6</v>
      </c>
      <c r="AC245" s="1315"/>
      <c r="AD245" s="1315"/>
      <c r="AE245" s="1315"/>
      <c r="AF245" s="1316"/>
      <c r="AG245" s="1298" t="str">
        <f t="shared" si="105"/>
        <v>1,6</v>
      </c>
      <c r="AH245" s="1304">
        <f>'Зона РжЭс'!L18</f>
        <v>0.125</v>
      </c>
      <c r="AI245" s="1304">
        <f t="shared" si="131"/>
        <v>0.83472513890904021</v>
      </c>
      <c r="AJ245" s="1304">
        <f t="shared" si="106"/>
        <v>0</v>
      </c>
      <c r="AK245" s="1298">
        <f t="shared" si="107"/>
        <v>0</v>
      </c>
      <c r="AL245" s="1304">
        <f t="shared" si="138"/>
        <v>0</v>
      </c>
      <c r="AM245" s="1298">
        <v>0</v>
      </c>
      <c r="AN245" s="893">
        <f t="shared" si="139"/>
        <v>0</v>
      </c>
      <c r="AO245" s="1304">
        <f t="shared" si="140"/>
        <v>-0.83472513890904021</v>
      </c>
      <c r="AP245" s="1304">
        <f t="shared" si="141"/>
        <v>-0.83472513890904021</v>
      </c>
      <c r="AQ245" s="1339" t="str">
        <f>AR245</f>
        <v>закрыт</v>
      </c>
      <c r="AR245" s="1298" t="str">
        <f t="shared" si="142"/>
        <v>закрыт</v>
      </c>
      <c r="AS245" s="952">
        <f t="shared" si="143"/>
        <v>49.686020173157154</v>
      </c>
      <c r="AT245" s="954" t="s">
        <v>758</v>
      </c>
      <c r="AU245" s="1113">
        <v>1983</v>
      </c>
      <c r="AV245" s="1119" t="s">
        <v>3286</v>
      </c>
      <c r="AW245" s="1121">
        <v>56.012565407189101</v>
      </c>
      <c r="AX245" s="1121">
        <v>34.547977153853402</v>
      </c>
    </row>
    <row r="246" spans="1:50" ht="20.100000000000001" customHeight="1" x14ac:dyDescent="0.25">
      <c r="A246" s="213">
        <v>177</v>
      </c>
      <c r="B246" s="213">
        <v>4</v>
      </c>
      <c r="C246" s="213" t="s">
        <v>152</v>
      </c>
      <c r="D246" s="230">
        <v>2.5</v>
      </c>
      <c r="E246" s="229"/>
      <c r="F246" s="229"/>
      <c r="G246" s="229"/>
      <c r="H246" s="228"/>
      <c r="I246" s="229" t="str">
        <f t="shared" si="101"/>
        <v>2,5</v>
      </c>
      <c r="J246" s="895">
        <v>2.132778082408096</v>
      </c>
      <c r="K246" s="172">
        <v>0</v>
      </c>
      <c r="L246" s="213">
        <v>0</v>
      </c>
      <c r="M246" s="172">
        <f>K246</f>
        <v>0</v>
      </c>
      <c r="N246" s="172">
        <v>0</v>
      </c>
      <c r="O246" s="893"/>
      <c r="P246" s="893">
        <f t="shared" si="133"/>
        <v>0</v>
      </c>
      <c r="Q246" s="172">
        <f t="shared" si="134"/>
        <v>-2.132778082408096</v>
      </c>
      <c r="R246" s="172">
        <f>Q246</f>
        <v>-2.132778082408096</v>
      </c>
      <c r="S246" s="768" t="str">
        <f>T246</f>
        <v>закрыт</v>
      </c>
      <c r="T246" s="257" t="str">
        <f t="shared" si="136"/>
        <v>закрыт</v>
      </c>
      <c r="U246" s="768">
        <f t="shared" si="137"/>
        <v>81.248688853641752</v>
      </c>
      <c r="V246" s="768"/>
      <c r="W246" s="768" t="s">
        <v>3087</v>
      </c>
      <c r="X246" s="929"/>
      <c r="Y246" s="213">
        <v>177</v>
      </c>
      <c r="Z246" s="1316">
        <v>4</v>
      </c>
      <c r="AA246" s="1298" t="s">
        <v>152</v>
      </c>
      <c r="AB246" s="230">
        <f t="shared" si="102"/>
        <v>2.5</v>
      </c>
      <c r="AC246" s="1315"/>
      <c r="AD246" s="1315"/>
      <c r="AE246" s="1315"/>
      <c r="AF246" s="1316"/>
      <c r="AG246" s="1298" t="str">
        <f t="shared" si="105"/>
        <v>2,5</v>
      </c>
      <c r="AH246" s="1304">
        <f>'Зона РжЭс'!L33</f>
        <v>0.74564999999999992</v>
      </c>
      <c r="AI246" s="1304">
        <f t="shared" si="131"/>
        <v>2.8784280824080959</v>
      </c>
      <c r="AJ246" s="1304">
        <f t="shared" si="106"/>
        <v>0</v>
      </c>
      <c r="AK246" s="1298">
        <f t="shared" si="107"/>
        <v>0</v>
      </c>
      <c r="AL246" s="1304">
        <f t="shared" si="138"/>
        <v>0</v>
      </c>
      <c r="AM246" s="1298">
        <v>0</v>
      </c>
      <c r="AN246" s="893">
        <f t="shared" si="139"/>
        <v>0</v>
      </c>
      <c r="AO246" s="1304">
        <f t="shared" si="140"/>
        <v>-2.8784280824080959</v>
      </c>
      <c r="AP246" s="1304">
        <f t="shared" si="141"/>
        <v>-2.8784280824080959</v>
      </c>
      <c r="AQ246" s="1339" t="str">
        <f>AR246</f>
        <v>закрыт</v>
      </c>
      <c r="AR246" s="1298" t="str">
        <f t="shared" si="142"/>
        <v>закрыт</v>
      </c>
      <c r="AS246" s="952">
        <f t="shared" si="143"/>
        <v>109.65440313935603</v>
      </c>
      <c r="AT246" s="954" t="s">
        <v>758</v>
      </c>
      <c r="AU246" s="1113">
        <v>1975</v>
      </c>
      <c r="AV246" s="1119" t="s">
        <v>3286</v>
      </c>
      <c r="AW246" s="1121">
        <v>56.092405546294501</v>
      </c>
      <c r="AX246" s="1121">
        <v>35.237888736973503</v>
      </c>
    </row>
    <row r="247" spans="1:50" ht="20.100000000000001" customHeight="1" x14ac:dyDescent="0.25">
      <c r="A247" s="213">
        <v>178</v>
      </c>
      <c r="B247" s="213">
        <v>5</v>
      </c>
      <c r="C247" s="213" t="s">
        <v>151</v>
      </c>
      <c r="D247" s="230">
        <v>2.5</v>
      </c>
      <c r="E247" s="229"/>
      <c r="F247" s="229"/>
      <c r="G247" s="229"/>
      <c r="H247" s="228"/>
      <c r="I247" s="229" t="str">
        <f t="shared" si="101"/>
        <v>2,5</v>
      </c>
      <c r="J247" s="895">
        <v>0.8069971122630023</v>
      </c>
      <c r="K247" s="172">
        <v>0</v>
      </c>
      <c r="L247" s="213">
        <v>0</v>
      </c>
      <c r="M247" s="172">
        <f t="shared" si="132"/>
        <v>0</v>
      </c>
      <c r="N247" s="172">
        <v>0</v>
      </c>
      <c r="O247" s="893"/>
      <c r="P247" s="893">
        <f t="shared" si="133"/>
        <v>0</v>
      </c>
      <c r="Q247" s="172">
        <f t="shared" si="134"/>
        <v>-0.8069971122630023</v>
      </c>
      <c r="R247" s="172">
        <f>Q247</f>
        <v>-0.8069971122630023</v>
      </c>
      <c r="S247" s="768" t="str">
        <f>T247</f>
        <v>закрыт</v>
      </c>
      <c r="T247" s="257" t="str">
        <f t="shared" si="136"/>
        <v>закрыт</v>
      </c>
      <c r="U247" s="768">
        <f t="shared" si="137"/>
        <v>30.742747133828658</v>
      </c>
      <c r="V247" s="768">
        <v>0.49</v>
      </c>
      <c r="W247" s="768" t="s">
        <v>3088</v>
      </c>
      <c r="X247" s="929"/>
      <c r="Y247" s="213">
        <v>178</v>
      </c>
      <c r="Z247" s="1316">
        <v>5</v>
      </c>
      <c r="AA247" s="1298" t="s">
        <v>151</v>
      </c>
      <c r="AB247" s="230">
        <f t="shared" si="102"/>
        <v>2.5</v>
      </c>
      <c r="AC247" s="1315"/>
      <c r="AD247" s="1315"/>
      <c r="AE247" s="1315"/>
      <c r="AF247" s="1316"/>
      <c r="AG247" s="1298" t="str">
        <f t="shared" si="105"/>
        <v>2,5</v>
      </c>
      <c r="AH247" s="1304">
        <f>'Зона РжЭс'!L37</f>
        <v>0</v>
      </c>
      <c r="AI247" s="1304">
        <f t="shared" si="131"/>
        <v>0.8069971122630023</v>
      </c>
      <c r="AJ247" s="1304">
        <f t="shared" si="106"/>
        <v>0</v>
      </c>
      <c r="AK247" s="1298">
        <f t="shared" si="107"/>
        <v>0</v>
      </c>
      <c r="AL247" s="1304">
        <f t="shared" si="138"/>
        <v>0</v>
      </c>
      <c r="AM247" s="1298">
        <v>0</v>
      </c>
      <c r="AN247" s="893">
        <f t="shared" si="139"/>
        <v>0</v>
      </c>
      <c r="AO247" s="1304">
        <f t="shared" si="140"/>
        <v>-0.8069971122630023</v>
      </c>
      <c r="AP247" s="1304">
        <f t="shared" si="141"/>
        <v>-0.8069971122630023</v>
      </c>
      <c r="AQ247" s="1339" t="str">
        <f>AR247</f>
        <v>закрыт</v>
      </c>
      <c r="AR247" s="1298" t="str">
        <f t="shared" si="142"/>
        <v>закрыт</v>
      </c>
      <c r="AS247" s="952">
        <f t="shared" si="143"/>
        <v>30.742747133828658</v>
      </c>
      <c r="AT247" s="954" t="s">
        <v>758</v>
      </c>
      <c r="AU247" s="1113">
        <v>1979</v>
      </c>
      <c r="AV247" s="1119" t="s">
        <v>3286</v>
      </c>
      <c r="AW247" s="1121">
        <v>56.280328609213797</v>
      </c>
      <c r="AX247" s="1121">
        <v>35.081330928058399</v>
      </c>
    </row>
    <row r="248" spans="1:50" ht="20.100000000000001" customHeight="1" x14ac:dyDescent="0.25">
      <c r="A248" s="213">
        <v>179</v>
      </c>
      <c r="B248" s="213">
        <v>6</v>
      </c>
      <c r="C248" s="213" t="s">
        <v>153</v>
      </c>
      <c r="D248" s="230">
        <v>2.5</v>
      </c>
      <c r="E248" s="229"/>
      <c r="F248" s="229"/>
      <c r="G248" s="229"/>
      <c r="H248" s="228"/>
      <c r="I248" s="229" t="str">
        <f t="shared" si="101"/>
        <v>2,5</v>
      </c>
      <c r="J248" s="895">
        <v>0.14289419162458833</v>
      </c>
      <c r="K248" s="172">
        <v>0.15</v>
      </c>
      <c r="L248" s="213">
        <v>120</v>
      </c>
      <c r="M248" s="172">
        <f t="shared" si="132"/>
        <v>0.15</v>
      </c>
      <c r="N248" s="172">
        <v>0</v>
      </c>
      <c r="O248" s="893"/>
      <c r="P248" s="893">
        <f t="shared" si="133"/>
        <v>0.15</v>
      </c>
      <c r="Q248" s="172">
        <f t="shared" si="134"/>
        <v>7.1058083754116652E-3</v>
      </c>
      <c r="R248" s="172">
        <f t="shared" si="135"/>
        <v>7.1058083754116652E-3</v>
      </c>
      <c r="S248" s="768" t="str">
        <f t="shared" si="108"/>
        <v/>
      </c>
      <c r="T248" s="257" t="str">
        <f t="shared" si="136"/>
        <v/>
      </c>
      <c r="U248" s="768">
        <f t="shared" si="137"/>
        <v>5.4435882523652692</v>
      </c>
      <c r="V248" s="768"/>
      <c r="W248" s="768" t="s">
        <v>3087</v>
      </c>
      <c r="X248" s="929"/>
      <c r="Y248" s="213">
        <v>179</v>
      </c>
      <c r="Z248" s="1316">
        <v>6</v>
      </c>
      <c r="AA248" s="1298" t="s">
        <v>153</v>
      </c>
      <c r="AB248" s="230">
        <f t="shared" si="102"/>
        <v>2.5</v>
      </c>
      <c r="AC248" s="1315"/>
      <c r="AD248" s="1315"/>
      <c r="AE248" s="1315"/>
      <c r="AF248" s="1316"/>
      <c r="AG248" s="1298" t="str">
        <f t="shared" si="105"/>
        <v>2,5</v>
      </c>
      <c r="AH248" s="1304">
        <f>'Зона РжЭс'!L39</f>
        <v>0</v>
      </c>
      <c r="AI248" s="1304">
        <f t="shared" si="131"/>
        <v>0.14289419162458833</v>
      </c>
      <c r="AJ248" s="1304">
        <f t="shared" si="106"/>
        <v>0.15</v>
      </c>
      <c r="AK248" s="1298">
        <f t="shared" si="107"/>
        <v>120</v>
      </c>
      <c r="AL248" s="1304">
        <f t="shared" si="138"/>
        <v>0.15</v>
      </c>
      <c r="AM248" s="1298">
        <v>0</v>
      </c>
      <c r="AN248" s="893">
        <f t="shared" si="139"/>
        <v>0.15</v>
      </c>
      <c r="AO248" s="1304">
        <f t="shared" si="140"/>
        <v>7.1058083754116652E-3</v>
      </c>
      <c r="AP248" s="1304">
        <f t="shared" si="141"/>
        <v>7.1058083754116652E-3</v>
      </c>
      <c r="AQ248" s="1339" t="str">
        <f t="shared" si="109"/>
        <v/>
      </c>
      <c r="AR248" s="1298" t="str">
        <f t="shared" si="142"/>
        <v/>
      </c>
      <c r="AS248" s="952">
        <f t="shared" si="143"/>
        <v>5.4435882523652692</v>
      </c>
      <c r="AT248" s="954" t="s">
        <v>758</v>
      </c>
      <c r="AU248" s="1113">
        <v>1980</v>
      </c>
      <c r="AV248" s="1119" t="s">
        <v>3286</v>
      </c>
      <c r="AW248" s="1121">
        <v>56.100005884001497</v>
      </c>
      <c r="AX248" s="1121">
        <v>33.338437811307998</v>
      </c>
    </row>
    <row r="249" spans="1:50" ht="20.100000000000001" customHeight="1" x14ac:dyDescent="0.25">
      <c r="A249" s="213">
        <v>180</v>
      </c>
      <c r="B249" s="213">
        <v>7</v>
      </c>
      <c r="C249" s="213" t="s">
        <v>154</v>
      </c>
      <c r="D249" s="230">
        <v>2.5</v>
      </c>
      <c r="E249" s="229"/>
      <c r="F249" s="229"/>
      <c r="G249" s="229"/>
      <c r="H249" s="228"/>
      <c r="I249" s="229" t="str">
        <f t="shared" si="101"/>
        <v>2,5</v>
      </c>
      <c r="J249" s="895">
        <v>0.28370992227995573</v>
      </c>
      <c r="K249" s="172">
        <v>0.28999999999999998</v>
      </c>
      <c r="L249" s="213">
        <v>120</v>
      </c>
      <c r="M249" s="172">
        <f t="shared" si="132"/>
        <v>0.28999999999999998</v>
      </c>
      <c r="N249" s="172">
        <v>0</v>
      </c>
      <c r="O249" s="893"/>
      <c r="P249" s="893">
        <f t="shared" si="133"/>
        <v>0.28999999999999998</v>
      </c>
      <c r="Q249" s="172">
        <f t="shared" si="134"/>
        <v>6.2900777200442515E-3</v>
      </c>
      <c r="R249" s="172">
        <f t="shared" si="135"/>
        <v>6.2900777200442515E-3</v>
      </c>
      <c r="S249" s="768" t="str">
        <f t="shared" si="108"/>
        <v/>
      </c>
      <c r="T249" s="257" t="str">
        <f t="shared" si="136"/>
        <v/>
      </c>
      <c r="U249" s="768">
        <f t="shared" si="137"/>
        <v>10.807997039236408</v>
      </c>
      <c r="V249" s="768"/>
      <c r="W249" s="768" t="s">
        <v>3087</v>
      </c>
      <c r="X249" s="929"/>
      <c r="Y249" s="213">
        <v>180</v>
      </c>
      <c r="Z249" s="1316">
        <v>7</v>
      </c>
      <c r="AA249" s="1298" t="s">
        <v>154</v>
      </c>
      <c r="AB249" s="230">
        <f t="shared" si="102"/>
        <v>2.5</v>
      </c>
      <c r="AC249" s="1315"/>
      <c r="AD249" s="1315"/>
      <c r="AE249" s="1315"/>
      <c r="AF249" s="1316"/>
      <c r="AG249" s="1298" t="str">
        <f t="shared" si="105"/>
        <v>2,5</v>
      </c>
      <c r="AH249" s="1304">
        <f>'Зона РжЭс'!L41</f>
        <v>0</v>
      </c>
      <c r="AI249" s="1304">
        <f t="shared" si="131"/>
        <v>0.28370992227995573</v>
      </c>
      <c r="AJ249" s="1304">
        <f t="shared" si="106"/>
        <v>0.28999999999999998</v>
      </c>
      <c r="AK249" s="1298">
        <f t="shared" si="107"/>
        <v>120</v>
      </c>
      <c r="AL249" s="1304">
        <f t="shared" si="138"/>
        <v>0.28999999999999998</v>
      </c>
      <c r="AM249" s="1298">
        <v>0</v>
      </c>
      <c r="AN249" s="893">
        <f t="shared" si="139"/>
        <v>0.28999999999999998</v>
      </c>
      <c r="AO249" s="1304">
        <f t="shared" si="140"/>
        <v>6.2900777200442515E-3</v>
      </c>
      <c r="AP249" s="1304">
        <f>AO249</f>
        <v>6.2900777200442515E-3</v>
      </c>
      <c r="AQ249" s="1339" t="str">
        <f t="shared" si="109"/>
        <v/>
      </c>
      <c r="AR249" s="1298" t="str">
        <f t="shared" si="142"/>
        <v/>
      </c>
      <c r="AS249" s="952">
        <f t="shared" si="143"/>
        <v>10.807997039236408</v>
      </c>
      <c r="AT249" s="954" t="s">
        <v>758</v>
      </c>
      <c r="AU249" s="1113">
        <v>1964</v>
      </c>
      <c r="AV249" s="1119" t="s">
        <v>3286</v>
      </c>
      <c r="AW249" s="1121">
        <v>56.406923791126303</v>
      </c>
      <c r="AX249" s="1121">
        <v>33.605148246052103</v>
      </c>
    </row>
    <row r="250" spans="1:50" ht="20.100000000000001" customHeight="1" x14ac:dyDescent="0.25">
      <c r="A250" s="213">
        <v>181</v>
      </c>
      <c r="B250" s="213">
        <v>8</v>
      </c>
      <c r="C250" s="213" t="s">
        <v>155</v>
      </c>
      <c r="D250" s="230">
        <v>2.5</v>
      </c>
      <c r="E250" s="229"/>
      <c r="F250" s="229"/>
      <c r="G250" s="229"/>
      <c r="H250" s="228"/>
      <c r="I250" s="229" t="str">
        <f t="shared" si="101"/>
        <v>2,5</v>
      </c>
      <c r="J250" s="895">
        <v>0.22655224563000917</v>
      </c>
      <c r="K250" s="172">
        <v>0.23</v>
      </c>
      <c r="L250" s="213">
        <v>120</v>
      </c>
      <c r="M250" s="172">
        <f t="shared" si="132"/>
        <v>0.23</v>
      </c>
      <c r="N250" s="172">
        <v>0</v>
      </c>
      <c r="O250" s="893"/>
      <c r="P250" s="893">
        <f t="shared" si="133"/>
        <v>0.23</v>
      </c>
      <c r="Q250" s="172">
        <f t="shared" si="134"/>
        <v>3.4477543699908408E-3</v>
      </c>
      <c r="R250" s="172">
        <f t="shared" si="135"/>
        <v>3.4477543699908408E-3</v>
      </c>
      <c r="S250" s="768" t="str">
        <f t="shared" si="108"/>
        <v/>
      </c>
      <c r="T250" s="257" t="str">
        <f t="shared" si="136"/>
        <v/>
      </c>
      <c r="U250" s="768">
        <f t="shared" si="137"/>
        <v>8.6305617382860635</v>
      </c>
      <c r="V250" s="768"/>
      <c r="W250" s="768" t="s">
        <v>3087</v>
      </c>
      <c r="X250" s="929"/>
      <c r="Y250" s="213">
        <v>181</v>
      </c>
      <c r="Z250" s="1316">
        <v>8</v>
      </c>
      <c r="AA250" s="1298" t="s">
        <v>155</v>
      </c>
      <c r="AB250" s="230">
        <f t="shared" si="102"/>
        <v>2.5</v>
      </c>
      <c r="AC250" s="1315"/>
      <c r="AD250" s="1315"/>
      <c r="AE250" s="1315"/>
      <c r="AF250" s="1316"/>
      <c r="AG250" s="1298" t="str">
        <f t="shared" si="105"/>
        <v>2,5</v>
      </c>
      <c r="AH250" s="1304">
        <f>'Зона РжЭс'!L43</f>
        <v>0</v>
      </c>
      <c r="AI250" s="1304">
        <f t="shared" si="131"/>
        <v>0.22655224563000917</v>
      </c>
      <c r="AJ250" s="1304">
        <f t="shared" si="106"/>
        <v>0.23</v>
      </c>
      <c r="AK250" s="1298">
        <f t="shared" si="107"/>
        <v>120</v>
      </c>
      <c r="AL250" s="1304">
        <f t="shared" si="138"/>
        <v>0.23</v>
      </c>
      <c r="AM250" s="1298">
        <v>0</v>
      </c>
      <c r="AN250" s="893">
        <f t="shared" si="139"/>
        <v>0.23</v>
      </c>
      <c r="AO250" s="1304">
        <f t="shared" si="140"/>
        <v>3.4477543699908408E-3</v>
      </c>
      <c r="AP250" s="1304">
        <f t="shared" si="141"/>
        <v>3.4477543699908408E-3</v>
      </c>
      <c r="AQ250" s="1339" t="str">
        <f t="shared" si="109"/>
        <v/>
      </c>
      <c r="AR250" s="1298" t="str">
        <f t="shared" si="142"/>
        <v/>
      </c>
      <c r="AS250" s="952">
        <f t="shared" si="143"/>
        <v>8.6305617382860635</v>
      </c>
      <c r="AT250" s="954" t="s">
        <v>758</v>
      </c>
      <c r="AU250" s="1113">
        <v>1982</v>
      </c>
      <c r="AV250" s="1119" t="s">
        <v>3286</v>
      </c>
      <c r="AW250" s="1121">
        <v>56.341619562858902</v>
      </c>
      <c r="AX250" s="1121">
        <v>33.490870341268398</v>
      </c>
    </row>
    <row r="251" spans="1:50" ht="20.100000000000001" customHeight="1" x14ac:dyDescent="0.25">
      <c r="A251" s="213">
        <v>182</v>
      </c>
      <c r="B251" s="213">
        <v>9</v>
      </c>
      <c r="C251" s="213" t="s">
        <v>156</v>
      </c>
      <c r="D251" s="230">
        <v>1</v>
      </c>
      <c r="E251" s="229"/>
      <c r="F251" s="229"/>
      <c r="G251" s="229"/>
      <c r="H251" s="228"/>
      <c r="I251" s="229" t="str">
        <f t="shared" si="101"/>
        <v>1</v>
      </c>
      <c r="J251" s="895">
        <v>0.20905853247356349</v>
      </c>
      <c r="K251" s="172">
        <v>0.21</v>
      </c>
      <c r="L251" s="213">
        <v>120</v>
      </c>
      <c r="M251" s="172">
        <f t="shared" si="132"/>
        <v>0.21</v>
      </c>
      <c r="N251" s="172">
        <v>0</v>
      </c>
      <c r="O251" s="893"/>
      <c r="P251" s="893">
        <f t="shared" si="133"/>
        <v>0.21</v>
      </c>
      <c r="Q251" s="172">
        <f t="shared" si="134"/>
        <v>9.4146752643650689E-4</v>
      </c>
      <c r="R251" s="172">
        <f t="shared" si="135"/>
        <v>9.4146752643650689E-4</v>
      </c>
      <c r="S251" s="768" t="str">
        <f t="shared" si="108"/>
        <v/>
      </c>
      <c r="T251" s="257" t="str">
        <f t="shared" si="136"/>
        <v/>
      </c>
      <c r="U251" s="768">
        <f t="shared" si="137"/>
        <v>19.910336426053664</v>
      </c>
      <c r="V251" s="768">
        <v>0.74</v>
      </c>
      <c r="W251" s="768" t="s">
        <v>3088</v>
      </c>
      <c r="X251" s="929"/>
      <c r="Y251" s="213">
        <v>182</v>
      </c>
      <c r="Z251" s="1316">
        <v>9</v>
      </c>
      <c r="AA251" s="1298" t="s">
        <v>156</v>
      </c>
      <c r="AB251" s="230">
        <f t="shared" si="102"/>
        <v>1</v>
      </c>
      <c r="AC251" s="1315"/>
      <c r="AD251" s="1315"/>
      <c r="AE251" s="1315"/>
      <c r="AF251" s="1316"/>
      <c r="AG251" s="1298" t="str">
        <f t="shared" si="105"/>
        <v>1</v>
      </c>
      <c r="AH251" s="1304">
        <f>'Зона РжЭс'!L45</f>
        <v>0</v>
      </c>
      <c r="AI251" s="1304">
        <f t="shared" si="131"/>
        <v>0.20905853247356349</v>
      </c>
      <c r="AJ251" s="1304">
        <f t="shared" si="106"/>
        <v>0.21</v>
      </c>
      <c r="AK251" s="1298">
        <f t="shared" si="107"/>
        <v>120</v>
      </c>
      <c r="AL251" s="1304">
        <f t="shared" si="138"/>
        <v>0.21</v>
      </c>
      <c r="AM251" s="1298">
        <v>0</v>
      </c>
      <c r="AN251" s="893">
        <f t="shared" si="139"/>
        <v>0.21</v>
      </c>
      <c r="AO251" s="1304">
        <f t="shared" si="140"/>
        <v>9.4146752643650689E-4</v>
      </c>
      <c r="AP251" s="1304">
        <f t="shared" si="141"/>
        <v>9.4146752643650689E-4</v>
      </c>
      <c r="AQ251" s="1339" t="str">
        <f t="shared" si="109"/>
        <v/>
      </c>
      <c r="AR251" s="1298" t="str">
        <f t="shared" si="142"/>
        <v/>
      </c>
      <c r="AS251" s="952">
        <f t="shared" si="143"/>
        <v>19.910336426053664</v>
      </c>
      <c r="AT251" s="954" t="s">
        <v>758</v>
      </c>
      <c r="AU251" s="1113">
        <v>1988</v>
      </c>
      <c r="AV251" s="1119" t="s">
        <v>3286</v>
      </c>
      <c r="AW251" s="1121">
        <v>56.413413259235703</v>
      </c>
      <c r="AX251" s="1121">
        <v>33.307302681525599</v>
      </c>
    </row>
    <row r="252" spans="1:50" ht="20.100000000000001" customHeight="1" x14ac:dyDescent="0.25">
      <c r="A252" s="213">
        <v>183</v>
      </c>
      <c r="B252" s="213">
        <v>10</v>
      </c>
      <c r="C252" s="213" t="s">
        <v>157</v>
      </c>
      <c r="D252" s="230">
        <v>2.5</v>
      </c>
      <c r="E252" s="229"/>
      <c r="F252" s="229"/>
      <c r="G252" s="229"/>
      <c r="H252" s="228"/>
      <c r="I252" s="229" t="str">
        <f t="shared" si="101"/>
        <v>2,5</v>
      </c>
      <c r="J252" s="895">
        <v>0.67078863675584965</v>
      </c>
      <c r="K252" s="172">
        <v>0.7</v>
      </c>
      <c r="L252" s="213">
        <v>120</v>
      </c>
      <c r="M252" s="172">
        <f t="shared" si="132"/>
        <v>0.7</v>
      </c>
      <c r="N252" s="172">
        <v>0</v>
      </c>
      <c r="O252" s="893"/>
      <c r="P252" s="893">
        <f t="shared" si="133"/>
        <v>0.7</v>
      </c>
      <c r="Q252" s="172">
        <f t="shared" si="134"/>
        <v>2.9211363244150301E-2</v>
      </c>
      <c r="R252" s="172">
        <f t="shared" si="135"/>
        <v>2.9211363244150301E-2</v>
      </c>
      <c r="S252" s="768" t="str">
        <f t="shared" si="108"/>
        <v/>
      </c>
      <c r="T252" s="257" t="str">
        <f t="shared" si="136"/>
        <v/>
      </c>
      <c r="U252" s="768">
        <f t="shared" si="137"/>
        <v>25.553852828794273</v>
      </c>
      <c r="V252" s="768"/>
      <c r="W252" s="768" t="s">
        <v>3087</v>
      </c>
      <c r="X252" s="929"/>
      <c r="Y252" s="213">
        <v>183</v>
      </c>
      <c r="Z252" s="1316">
        <v>10</v>
      </c>
      <c r="AA252" s="1298" t="s">
        <v>157</v>
      </c>
      <c r="AB252" s="230">
        <f t="shared" si="102"/>
        <v>2.5</v>
      </c>
      <c r="AC252" s="1315"/>
      <c r="AD252" s="1315"/>
      <c r="AE252" s="1315"/>
      <c r="AF252" s="1316"/>
      <c r="AG252" s="1298" t="str">
        <f t="shared" si="105"/>
        <v>2,5</v>
      </c>
      <c r="AH252" s="1304">
        <f>'Зона РжЭс'!L49</f>
        <v>0</v>
      </c>
      <c r="AI252" s="1304">
        <f t="shared" si="131"/>
        <v>0.67078863675584965</v>
      </c>
      <c r="AJ252" s="1304">
        <f t="shared" si="106"/>
        <v>0.7</v>
      </c>
      <c r="AK252" s="1298">
        <f t="shared" si="107"/>
        <v>120</v>
      </c>
      <c r="AL252" s="1304">
        <f t="shared" si="138"/>
        <v>0.7</v>
      </c>
      <c r="AM252" s="1298">
        <v>0</v>
      </c>
      <c r="AN252" s="893">
        <f t="shared" si="139"/>
        <v>0.7</v>
      </c>
      <c r="AO252" s="1304">
        <f t="shared" si="140"/>
        <v>2.9211363244150301E-2</v>
      </c>
      <c r="AP252" s="1304">
        <f t="shared" si="141"/>
        <v>2.9211363244150301E-2</v>
      </c>
      <c r="AQ252" s="1339" t="str">
        <f>AR252</f>
        <v/>
      </c>
      <c r="AR252" s="1298" t="str">
        <f t="shared" si="142"/>
        <v/>
      </c>
      <c r="AS252" s="952">
        <f t="shared" si="143"/>
        <v>25.553852828794273</v>
      </c>
      <c r="AT252" s="954" t="s">
        <v>758</v>
      </c>
      <c r="AU252" s="1113">
        <v>1981</v>
      </c>
      <c r="AV252" s="1119" t="s">
        <v>3286</v>
      </c>
      <c r="AW252" s="1121">
        <v>56.383859066518198</v>
      </c>
      <c r="AX252" s="1121">
        <v>34.902575835611401</v>
      </c>
    </row>
    <row r="253" spans="1:50" ht="20.100000000000001" customHeight="1" x14ac:dyDescent="0.25">
      <c r="A253" s="213">
        <v>184</v>
      </c>
      <c r="B253" s="213">
        <v>11</v>
      </c>
      <c r="C253" s="213" t="s">
        <v>158</v>
      </c>
      <c r="D253" s="230">
        <v>1.6</v>
      </c>
      <c r="E253" s="229"/>
      <c r="F253" s="229"/>
      <c r="G253" s="229"/>
      <c r="H253" s="228"/>
      <c r="I253" s="229" t="str">
        <f t="shared" si="101"/>
        <v>1,6</v>
      </c>
      <c r="J253" s="895">
        <v>0.64910336064826901</v>
      </c>
      <c r="K253" s="172">
        <v>0.04</v>
      </c>
      <c r="L253" s="213">
        <v>120</v>
      </c>
      <c r="M253" s="172">
        <f t="shared" si="132"/>
        <v>0.04</v>
      </c>
      <c r="N253" s="172">
        <v>0</v>
      </c>
      <c r="O253" s="893"/>
      <c r="P253" s="893">
        <f t="shared" si="133"/>
        <v>0.04</v>
      </c>
      <c r="Q253" s="172">
        <f t="shared" si="134"/>
        <v>-0.60910336064826898</v>
      </c>
      <c r="R253" s="172">
        <f>Q253</f>
        <v>-0.60910336064826898</v>
      </c>
      <c r="S253" s="768" t="str">
        <f>T253</f>
        <v>закрыт</v>
      </c>
      <c r="T253" s="257" t="str">
        <f t="shared" si="136"/>
        <v>закрыт</v>
      </c>
      <c r="U253" s="768">
        <f t="shared" si="137"/>
        <v>38.637104800492203</v>
      </c>
      <c r="V253" s="768"/>
      <c r="W253" s="768" t="s">
        <v>3087</v>
      </c>
      <c r="X253" s="929"/>
      <c r="Y253" s="213">
        <v>184</v>
      </c>
      <c r="Z253" s="1316">
        <v>11</v>
      </c>
      <c r="AA253" s="1298" t="s">
        <v>158</v>
      </c>
      <c r="AB253" s="230">
        <f t="shared" si="102"/>
        <v>1.6</v>
      </c>
      <c r="AC253" s="1315"/>
      <c r="AD253" s="1315"/>
      <c r="AE253" s="1315"/>
      <c r="AF253" s="1316"/>
      <c r="AG253" s="1298" t="str">
        <f t="shared" si="105"/>
        <v>1,6</v>
      </c>
      <c r="AH253" s="1304">
        <f>'Зона РжЭс'!L51</f>
        <v>0</v>
      </c>
      <c r="AI253" s="1304">
        <f t="shared" si="131"/>
        <v>0.64910336064826901</v>
      </c>
      <c r="AJ253" s="1304">
        <f t="shared" si="106"/>
        <v>0.04</v>
      </c>
      <c r="AK253" s="1298">
        <f t="shared" si="107"/>
        <v>120</v>
      </c>
      <c r="AL253" s="1304">
        <f t="shared" si="138"/>
        <v>0.04</v>
      </c>
      <c r="AM253" s="1298">
        <v>0</v>
      </c>
      <c r="AN253" s="893">
        <f t="shared" si="139"/>
        <v>0.04</v>
      </c>
      <c r="AO253" s="1304">
        <f t="shared" si="140"/>
        <v>-0.60910336064826898</v>
      </c>
      <c r="AP253" s="1304">
        <f t="shared" si="141"/>
        <v>-0.60910336064826898</v>
      </c>
      <c r="AQ253" s="1339" t="str">
        <f>AR253</f>
        <v>закрыт</v>
      </c>
      <c r="AR253" s="1298" t="str">
        <f t="shared" si="142"/>
        <v>закрыт</v>
      </c>
      <c r="AS253" s="952">
        <f t="shared" si="143"/>
        <v>38.637104800492203</v>
      </c>
      <c r="AT253" s="954" t="s">
        <v>758</v>
      </c>
      <c r="AU253" s="1113">
        <v>1979</v>
      </c>
      <c r="AV253" s="1119" t="s">
        <v>3286</v>
      </c>
      <c r="AW253" s="1121">
        <v>56.674827484590097</v>
      </c>
      <c r="AX253" s="1121">
        <v>34.713152769420098</v>
      </c>
    </row>
    <row r="254" spans="1:50" ht="20.100000000000001" customHeight="1" x14ac:dyDescent="0.25">
      <c r="A254" s="213">
        <v>185</v>
      </c>
      <c r="B254" s="213">
        <v>12</v>
      </c>
      <c r="C254" s="213" t="s">
        <v>159</v>
      </c>
      <c r="D254" s="230">
        <v>10</v>
      </c>
      <c r="E254" s="229" t="s">
        <v>785</v>
      </c>
      <c r="F254" s="229">
        <v>10</v>
      </c>
      <c r="G254" s="229"/>
      <c r="H254" s="228"/>
      <c r="I254" s="229" t="str">
        <f t="shared" si="101"/>
        <v>10+10</v>
      </c>
      <c r="J254" s="895">
        <v>15.19</v>
      </c>
      <c r="K254" s="172">
        <v>3.62</v>
      </c>
      <c r="L254" s="213">
        <v>240</v>
      </c>
      <c r="M254" s="172">
        <f t="shared" ref="M254:M281" si="144">J254-K254</f>
        <v>11.57</v>
      </c>
      <c r="N254" s="172">
        <v>0</v>
      </c>
      <c r="O254" s="893"/>
      <c r="P254" s="893">
        <f t="shared" ref="P254:P281" si="145">MIN(D254:F254)*1.05</f>
        <v>10.5</v>
      </c>
      <c r="Q254" s="172">
        <f>P254-N254-M254</f>
        <v>-1.0700000000000003</v>
      </c>
      <c r="R254" s="172">
        <f t="shared" si="135"/>
        <v>-1.0700000000000003</v>
      </c>
      <c r="S254" s="768" t="str">
        <f t="shared" si="108"/>
        <v>закрыт</v>
      </c>
      <c r="T254" s="257" t="str">
        <f t="shared" si="136"/>
        <v>закрыт</v>
      </c>
      <c r="U254" s="768">
        <f>(J254*100)/P254</f>
        <v>144.66666666666666</v>
      </c>
      <c r="V254" s="768">
        <v>0.35</v>
      </c>
      <c r="W254" s="768" t="s">
        <v>3088</v>
      </c>
      <c r="X254" s="929"/>
      <c r="Y254" s="213">
        <v>185</v>
      </c>
      <c r="Z254" s="1316">
        <v>12</v>
      </c>
      <c r="AA254" s="1298" t="s">
        <v>159</v>
      </c>
      <c r="AB254" s="230">
        <f t="shared" si="102"/>
        <v>10</v>
      </c>
      <c r="AC254" s="1315" t="str">
        <f t="shared" si="103"/>
        <v>+</v>
      </c>
      <c r="AD254" s="1315">
        <f t="shared" si="104"/>
        <v>10</v>
      </c>
      <c r="AE254" s="1315"/>
      <c r="AF254" s="1316"/>
      <c r="AG254" s="1298" t="str">
        <f t="shared" si="105"/>
        <v>10+10</v>
      </c>
      <c r="AH254" s="1304">
        <f>'Зона РжЭс'!L57</f>
        <v>0.73749999999999993</v>
      </c>
      <c r="AI254" s="1304">
        <f t="shared" si="131"/>
        <v>15.9275</v>
      </c>
      <c r="AJ254" s="1304">
        <f t="shared" si="106"/>
        <v>3.62</v>
      </c>
      <c r="AK254" s="1298">
        <f t="shared" si="107"/>
        <v>240</v>
      </c>
      <c r="AL254" s="1304">
        <f t="shared" ref="AL254:AL281" si="146">AI254-AJ254</f>
        <v>12.307500000000001</v>
      </c>
      <c r="AM254" s="1298">
        <v>0</v>
      </c>
      <c r="AN254" s="893">
        <f t="shared" ref="AN254:AN281" si="147">MIN(AB254:AF254)*1.05</f>
        <v>10.5</v>
      </c>
      <c r="AO254" s="1304">
        <f>AN254-AM254-AL254</f>
        <v>-1.807500000000001</v>
      </c>
      <c r="AP254" s="1304">
        <f t="shared" si="141"/>
        <v>-1.807500000000001</v>
      </c>
      <c r="AQ254" s="1339" t="str">
        <f t="shared" si="109"/>
        <v>закрыт</v>
      </c>
      <c r="AR254" s="1298" t="str">
        <f t="shared" si="142"/>
        <v>закрыт</v>
      </c>
      <c r="AS254" s="952">
        <f>(AI254*100)/AN254</f>
        <v>151.6904761904762</v>
      </c>
      <c r="AT254" s="954" t="s">
        <v>758</v>
      </c>
      <c r="AU254" s="1113">
        <v>1976</v>
      </c>
      <c r="AV254" s="1119" t="s">
        <v>3286</v>
      </c>
      <c r="AW254" s="1121">
        <v>56.266524758189703</v>
      </c>
      <c r="AX254" s="1121">
        <v>34.270968538802499</v>
      </c>
    </row>
    <row r="255" spans="1:50" ht="20.100000000000001" customHeight="1" x14ac:dyDescent="0.25">
      <c r="A255" s="213">
        <v>186</v>
      </c>
      <c r="B255" s="213">
        <v>13</v>
      </c>
      <c r="C255" s="213" t="s">
        <v>160</v>
      </c>
      <c r="D255" s="230">
        <v>2.5</v>
      </c>
      <c r="E255" s="229" t="s">
        <v>785</v>
      </c>
      <c r="F255" s="229">
        <v>2.5</v>
      </c>
      <c r="G255" s="229"/>
      <c r="H255" s="228"/>
      <c r="I255" s="229" t="str">
        <f t="shared" si="101"/>
        <v>2,5+2,5</v>
      </c>
      <c r="J255" s="895">
        <v>0.48</v>
      </c>
      <c r="K255" s="172">
        <v>0</v>
      </c>
      <c r="L255" s="213">
        <v>0</v>
      </c>
      <c r="M255" s="172">
        <f t="shared" si="144"/>
        <v>0.48</v>
      </c>
      <c r="N255" s="172">
        <v>0</v>
      </c>
      <c r="O255" s="893"/>
      <c r="P255" s="893">
        <f t="shared" si="145"/>
        <v>2.625</v>
      </c>
      <c r="Q255" s="172">
        <f>P255-N255-M255</f>
        <v>2.145</v>
      </c>
      <c r="R255" s="172">
        <f t="shared" si="135"/>
        <v>2.145</v>
      </c>
      <c r="S255" s="768" t="str">
        <f t="shared" si="108"/>
        <v/>
      </c>
      <c r="T255" s="257" t="str">
        <f t="shared" si="136"/>
        <v/>
      </c>
      <c r="U255" s="768">
        <f>(J255*100)/P255</f>
        <v>18.285714285714285</v>
      </c>
      <c r="V255" s="768"/>
      <c r="W255" s="768" t="s">
        <v>3087</v>
      </c>
      <c r="X255" s="929"/>
      <c r="Y255" s="213">
        <v>186</v>
      </c>
      <c r="Z255" s="1316">
        <v>13</v>
      </c>
      <c r="AA255" s="1298" t="s">
        <v>160</v>
      </c>
      <c r="AB255" s="230">
        <f t="shared" si="102"/>
        <v>2.5</v>
      </c>
      <c r="AC255" s="1315" t="str">
        <f t="shared" si="103"/>
        <v>+</v>
      </c>
      <c r="AD255" s="1315">
        <f t="shared" si="104"/>
        <v>2.5</v>
      </c>
      <c r="AE255" s="1315"/>
      <c r="AF255" s="1316"/>
      <c r="AG255" s="1298" t="str">
        <f t="shared" si="105"/>
        <v>2,5+2,5</v>
      </c>
      <c r="AH255" s="1304">
        <f>'Зона РжЭс'!L59</f>
        <v>0</v>
      </c>
      <c r="AI255" s="1304">
        <f t="shared" si="131"/>
        <v>0.48</v>
      </c>
      <c r="AJ255" s="1304">
        <f t="shared" si="106"/>
        <v>0</v>
      </c>
      <c r="AK255" s="1298">
        <f t="shared" si="107"/>
        <v>0</v>
      </c>
      <c r="AL255" s="1304">
        <f t="shared" si="146"/>
        <v>0.48</v>
      </c>
      <c r="AM255" s="1298">
        <v>0</v>
      </c>
      <c r="AN255" s="893">
        <f t="shared" si="147"/>
        <v>2.625</v>
      </c>
      <c r="AO255" s="1304">
        <f>AN255-AM255-AL255</f>
        <v>2.145</v>
      </c>
      <c r="AP255" s="1304">
        <f t="shared" si="141"/>
        <v>2.145</v>
      </c>
      <c r="AQ255" s="1339" t="str">
        <f t="shared" si="109"/>
        <v/>
      </c>
      <c r="AR255" s="1298" t="str">
        <f t="shared" si="142"/>
        <v/>
      </c>
      <c r="AS255" s="952">
        <f>(AI255*100)/AN255</f>
        <v>18.285714285714285</v>
      </c>
      <c r="AT255" s="954" t="s">
        <v>758</v>
      </c>
      <c r="AU255" s="1113">
        <v>1972</v>
      </c>
      <c r="AV255" s="1119" t="s">
        <v>3286</v>
      </c>
      <c r="AW255" s="1121">
        <v>56.0238544268759</v>
      </c>
      <c r="AX255" s="1121">
        <v>34.311537677285699</v>
      </c>
    </row>
    <row r="256" spans="1:50" ht="20.100000000000001" customHeight="1" x14ac:dyDescent="0.25">
      <c r="A256" s="213">
        <v>187</v>
      </c>
      <c r="B256" s="213">
        <v>14</v>
      </c>
      <c r="C256" s="213" t="s">
        <v>161</v>
      </c>
      <c r="D256" s="230">
        <v>2.5</v>
      </c>
      <c r="E256" s="229" t="s">
        <v>785</v>
      </c>
      <c r="F256" s="229">
        <v>3.2</v>
      </c>
      <c r="G256" s="229"/>
      <c r="H256" s="228"/>
      <c r="I256" s="229" t="str">
        <f t="shared" si="101"/>
        <v>2,5+3,2</v>
      </c>
      <c r="J256" s="895">
        <v>0.78</v>
      </c>
      <c r="K256" s="172">
        <v>0</v>
      </c>
      <c r="L256" s="213">
        <v>0</v>
      </c>
      <c r="M256" s="172">
        <f t="shared" si="144"/>
        <v>0.78</v>
      </c>
      <c r="N256" s="172">
        <v>0</v>
      </c>
      <c r="O256" s="893"/>
      <c r="P256" s="893">
        <f t="shared" si="145"/>
        <v>2.625</v>
      </c>
      <c r="Q256" s="172">
        <f>P256-N256-M256</f>
        <v>1.845</v>
      </c>
      <c r="R256" s="172">
        <f t="shared" si="135"/>
        <v>1.845</v>
      </c>
      <c r="S256" s="768" t="str">
        <f t="shared" si="108"/>
        <v/>
      </c>
      <c r="T256" s="257" t="str">
        <f t="shared" si="136"/>
        <v/>
      </c>
      <c r="U256" s="768">
        <f>(J256*100)/P256</f>
        <v>29.714285714285715</v>
      </c>
      <c r="V256" s="768"/>
      <c r="W256" s="768" t="s">
        <v>3087</v>
      </c>
      <c r="X256" s="929"/>
      <c r="Y256" s="213">
        <v>187</v>
      </c>
      <c r="Z256" s="1316">
        <v>14</v>
      </c>
      <c r="AA256" s="1298" t="s">
        <v>161</v>
      </c>
      <c r="AB256" s="230">
        <f t="shared" si="102"/>
        <v>2.5</v>
      </c>
      <c r="AC256" s="1315" t="str">
        <f t="shared" si="103"/>
        <v>+</v>
      </c>
      <c r="AD256" s="1315">
        <f t="shared" si="104"/>
        <v>3.2</v>
      </c>
      <c r="AE256" s="1315"/>
      <c r="AF256" s="1316"/>
      <c r="AG256" s="1298" t="str">
        <f t="shared" si="105"/>
        <v>2,5+3,2</v>
      </c>
      <c r="AH256" s="1304">
        <f>'Зона РжЭс'!L66</f>
        <v>0.28499999999999998</v>
      </c>
      <c r="AI256" s="1304">
        <f t="shared" si="131"/>
        <v>1.0649999999999999</v>
      </c>
      <c r="AJ256" s="1304">
        <f t="shared" si="106"/>
        <v>0</v>
      </c>
      <c r="AK256" s="1298">
        <f t="shared" si="107"/>
        <v>0</v>
      </c>
      <c r="AL256" s="1304">
        <f t="shared" si="146"/>
        <v>1.0649999999999999</v>
      </c>
      <c r="AM256" s="1298">
        <v>0</v>
      </c>
      <c r="AN256" s="893">
        <f t="shared" si="147"/>
        <v>2.625</v>
      </c>
      <c r="AO256" s="1304">
        <f>AN256-AM256-AL256</f>
        <v>1.56</v>
      </c>
      <c r="AP256" s="1304">
        <f t="shared" si="141"/>
        <v>1.56</v>
      </c>
      <c r="AQ256" s="1339" t="str">
        <f>AR256</f>
        <v/>
      </c>
      <c r="AR256" s="1298" t="str">
        <f t="shared" si="142"/>
        <v/>
      </c>
      <c r="AS256" s="952">
        <f>(AI256*100)/AN256</f>
        <v>40.571428571428569</v>
      </c>
      <c r="AT256" s="954" t="s">
        <v>758</v>
      </c>
      <c r="AU256" s="1113">
        <v>1960</v>
      </c>
      <c r="AV256" s="1119" t="s">
        <v>3286</v>
      </c>
      <c r="AW256" s="1121">
        <v>56.465882846709498</v>
      </c>
      <c r="AX256" s="1121">
        <v>34.035018695647601</v>
      </c>
    </row>
    <row r="257" spans="1:50" ht="20.100000000000001" customHeight="1" x14ac:dyDescent="0.25">
      <c r="A257" s="213">
        <v>188</v>
      </c>
      <c r="B257" s="213">
        <v>15</v>
      </c>
      <c r="C257" s="213" t="s">
        <v>162</v>
      </c>
      <c r="D257" s="230">
        <v>4</v>
      </c>
      <c r="E257" s="229" t="s">
        <v>785</v>
      </c>
      <c r="F257" s="229">
        <v>4</v>
      </c>
      <c r="G257" s="229"/>
      <c r="H257" s="228"/>
      <c r="I257" s="229" t="str">
        <f t="shared" si="101"/>
        <v>4+4</v>
      </c>
      <c r="J257" s="895">
        <v>1.24</v>
      </c>
      <c r="K257" s="172">
        <v>1.18</v>
      </c>
      <c r="L257" s="213">
        <v>180</v>
      </c>
      <c r="M257" s="172">
        <f t="shared" si="144"/>
        <v>6.0000000000000053E-2</v>
      </c>
      <c r="N257" s="172">
        <v>0</v>
      </c>
      <c r="O257" s="893"/>
      <c r="P257" s="893">
        <f t="shared" si="145"/>
        <v>4.2</v>
      </c>
      <c r="Q257" s="172">
        <f>P257-N257-M257</f>
        <v>4.1400000000000006</v>
      </c>
      <c r="R257" s="172">
        <f t="shared" si="135"/>
        <v>4.1400000000000006</v>
      </c>
      <c r="S257" s="768" t="str">
        <f t="shared" si="108"/>
        <v/>
      </c>
      <c r="T257" s="257" t="str">
        <f t="shared" si="136"/>
        <v/>
      </c>
      <c r="U257" s="768">
        <f>(J257*100)/P257</f>
        <v>29.523809523809522</v>
      </c>
      <c r="V257" s="768"/>
      <c r="W257" s="768" t="s">
        <v>3087</v>
      </c>
      <c r="X257" s="929"/>
      <c r="Y257" s="213">
        <v>188</v>
      </c>
      <c r="Z257" s="1316">
        <v>15</v>
      </c>
      <c r="AA257" s="1298" t="s">
        <v>162</v>
      </c>
      <c r="AB257" s="230">
        <f t="shared" si="102"/>
        <v>4</v>
      </c>
      <c r="AC257" s="1315" t="str">
        <f t="shared" si="103"/>
        <v>+</v>
      </c>
      <c r="AD257" s="1315">
        <f t="shared" si="104"/>
        <v>4</v>
      </c>
      <c r="AE257" s="1315"/>
      <c r="AF257" s="1316"/>
      <c r="AG257" s="1298" t="str">
        <f t="shared" si="105"/>
        <v>4+4</v>
      </c>
      <c r="AH257" s="1304">
        <f>'Зона РжЭс'!L76</f>
        <v>2.5</v>
      </c>
      <c r="AI257" s="1304">
        <f t="shared" si="131"/>
        <v>3.74</v>
      </c>
      <c r="AJ257" s="1304">
        <f t="shared" si="106"/>
        <v>1.18</v>
      </c>
      <c r="AK257" s="1298">
        <f t="shared" si="107"/>
        <v>180</v>
      </c>
      <c r="AL257" s="1304">
        <f t="shared" si="146"/>
        <v>2.5600000000000005</v>
      </c>
      <c r="AM257" s="1298">
        <v>0</v>
      </c>
      <c r="AN257" s="893">
        <f t="shared" si="147"/>
        <v>4.2</v>
      </c>
      <c r="AO257" s="1304">
        <f>AN257-AM257-AL257</f>
        <v>1.6399999999999997</v>
      </c>
      <c r="AP257" s="1304">
        <f t="shared" si="141"/>
        <v>1.6399999999999997</v>
      </c>
      <c r="AQ257" s="1339" t="str">
        <f t="shared" si="109"/>
        <v/>
      </c>
      <c r="AR257" s="1298" t="str">
        <f t="shared" si="142"/>
        <v/>
      </c>
      <c r="AS257" s="952">
        <f>(AI257*100)/AN257</f>
        <v>89.047619047619037</v>
      </c>
      <c r="AT257" s="954" t="s">
        <v>758</v>
      </c>
      <c r="AU257" s="1113">
        <v>1973</v>
      </c>
      <c r="AV257" s="1119" t="s">
        <v>3286</v>
      </c>
      <c r="AW257" s="1121">
        <v>56.265401748841903</v>
      </c>
      <c r="AX257" s="1121">
        <v>34.4570924679253</v>
      </c>
    </row>
    <row r="258" spans="1:50" ht="20.100000000000001" customHeight="1" x14ac:dyDescent="0.25">
      <c r="A258" s="1371">
        <v>189</v>
      </c>
      <c r="B258" s="1371">
        <v>16</v>
      </c>
      <c r="C258" s="213" t="s">
        <v>3075</v>
      </c>
      <c r="D258" s="230">
        <v>25</v>
      </c>
      <c r="E258" s="229" t="s">
        <v>785</v>
      </c>
      <c r="F258" s="229">
        <v>25</v>
      </c>
      <c r="G258" s="229"/>
      <c r="H258" s="228"/>
      <c r="I258" s="229" t="str">
        <f t="shared" si="101"/>
        <v>25+25</v>
      </c>
      <c r="J258" s="895">
        <v>20.18</v>
      </c>
      <c r="K258" s="902">
        <v>8.5399999999999991</v>
      </c>
      <c r="L258" s="124">
        <v>240</v>
      </c>
      <c r="M258" s="172">
        <f t="shared" si="144"/>
        <v>11.64</v>
      </c>
      <c r="N258" s="172">
        <v>0</v>
      </c>
      <c r="O258" s="893"/>
      <c r="P258" s="893">
        <f t="shared" si="145"/>
        <v>26.25</v>
      </c>
      <c r="Q258" s="172">
        <f>P258-N258-M258</f>
        <v>14.61</v>
      </c>
      <c r="R258" s="1364">
        <f>MIN(Q258:Q260)</f>
        <v>0</v>
      </c>
      <c r="S258" s="1364" t="str">
        <f>T258</f>
        <v/>
      </c>
      <c r="T258" s="257" t="str">
        <f>IF(Q258&lt;0,"закрыт","")</f>
        <v/>
      </c>
      <c r="U258" s="1362">
        <f>(J258*100)/P258</f>
        <v>76.876190476190473</v>
      </c>
      <c r="V258" s="1362">
        <v>0.32</v>
      </c>
      <c r="W258" s="768"/>
      <c r="X258" s="929"/>
      <c r="Y258" s="1371">
        <v>189</v>
      </c>
      <c r="Z258" s="1316">
        <v>16</v>
      </c>
      <c r="AA258" s="1298" t="s">
        <v>3075</v>
      </c>
      <c r="AB258" s="230">
        <f t="shared" si="102"/>
        <v>25</v>
      </c>
      <c r="AC258" s="1315" t="str">
        <f t="shared" si="103"/>
        <v>+</v>
      </c>
      <c r="AD258" s="1315">
        <f t="shared" si="104"/>
        <v>25</v>
      </c>
      <c r="AE258" s="1315"/>
      <c r="AF258" s="1316"/>
      <c r="AG258" s="1298" t="str">
        <f t="shared" si="105"/>
        <v>25+25</v>
      </c>
      <c r="AH258" s="1304">
        <f>SUM(AH259:AH260)</f>
        <v>1.2774999999999999</v>
      </c>
      <c r="AI258" s="1304">
        <f t="shared" si="131"/>
        <v>21.4575</v>
      </c>
      <c r="AJ258" s="1304">
        <f>K258</f>
        <v>8.5399999999999991</v>
      </c>
      <c r="AK258" s="1298">
        <f t="shared" si="107"/>
        <v>240</v>
      </c>
      <c r="AL258" s="1304">
        <f t="shared" si="146"/>
        <v>12.9175</v>
      </c>
      <c r="AM258" s="1298">
        <v>0</v>
      </c>
      <c r="AN258" s="893">
        <f>MIN(AB258:AF258)*1.05</f>
        <v>26.25</v>
      </c>
      <c r="AO258" s="1304">
        <f>AN258-AM258-AL258</f>
        <v>13.3325</v>
      </c>
      <c r="AP258" s="1308">
        <f t="shared" si="141"/>
        <v>13.3325</v>
      </c>
      <c r="AQ258" s="1308" t="str">
        <f>AR258</f>
        <v/>
      </c>
      <c r="AR258" s="1298" t="str">
        <f t="shared" si="142"/>
        <v/>
      </c>
      <c r="AS258" s="952">
        <f>(AI258*100)/AN258</f>
        <v>81.742857142857147</v>
      </c>
      <c r="AT258" s="954" t="s">
        <v>758</v>
      </c>
      <c r="AU258" s="1113">
        <v>1975</v>
      </c>
      <c r="AV258" s="1119" t="s">
        <v>3286</v>
      </c>
      <c r="AW258" s="1121">
        <v>56.172469954641201</v>
      </c>
      <c r="AX258" s="1121">
        <v>34.5756604961677</v>
      </c>
    </row>
    <row r="259" spans="1:50" ht="20.100000000000001" customHeight="1" x14ac:dyDescent="0.25">
      <c r="A259" s="1371"/>
      <c r="B259" s="1371"/>
      <c r="C259" s="7" t="s">
        <v>1834</v>
      </c>
      <c r="D259" s="230">
        <v>25</v>
      </c>
      <c r="E259" s="229" t="s">
        <v>785</v>
      </c>
      <c r="F259" s="229">
        <v>25</v>
      </c>
      <c r="G259" s="229"/>
      <c r="H259" s="228"/>
      <c r="I259" s="229" t="str">
        <f t="shared" si="101"/>
        <v>25+25</v>
      </c>
      <c r="J259" s="895">
        <v>10.14</v>
      </c>
      <c r="K259" s="902">
        <v>6.79</v>
      </c>
      <c r="L259" s="124">
        <v>240</v>
      </c>
      <c r="M259" s="172">
        <f t="shared" si="144"/>
        <v>3.3500000000000005</v>
      </c>
      <c r="N259" s="172">
        <v>0</v>
      </c>
      <c r="O259" s="893"/>
      <c r="P259" s="893">
        <v>0</v>
      </c>
      <c r="Q259" s="172">
        <v>0</v>
      </c>
      <c r="R259" s="1365"/>
      <c r="S259" s="1365"/>
      <c r="T259" s="913" t="str">
        <f>IF(Q259&lt;0,"закрыт","")</f>
        <v/>
      </c>
      <c r="U259" s="1362"/>
      <c r="V259" s="1362"/>
      <c r="W259" s="768" t="s">
        <v>3088</v>
      </c>
      <c r="X259" s="929"/>
      <c r="Y259" s="1371"/>
      <c r="Z259" s="1316"/>
      <c r="AA259" s="7" t="s">
        <v>1834</v>
      </c>
      <c r="AB259" s="230">
        <f t="shared" si="102"/>
        <v>25</v>
      </c>
      <c r="AC259" s="1315" t="str">
        <f t="shared" si="103"/>
        <v>+</v>
      </c>
      <c r="AD259" s="1315">
        <f t="shared" si="104"/>
        <v>25</v>
      </c>
      <c r="AE259" s="1315"/>
      <c r="AF259" s="1316"/>
      <c r="AG259" s="1298" t="str">
        <f t="shared" si="105"/>
        <v>25+25</v>
      </c>
      <c r="AH259" s="1304">
        <f>SUM(AH260)</f>
        <v>0.63874999999999993</v>
      </c>
      <c r="AI259" s="1314">
        <v>0</v>
      </c>
      <c r="AJ259" s="902">
        <v>0</v>
      </c>
      <c r="AK259" s="1298">
        <f t="shared" si="107"/>
        <v>240</v>
      </c>
      <c r="AL259" s="1304">
        <f t="shared" si="146"/>
        <v>0</v>
      </c>
      <c r="AM259" s="1298">
        <v>0</v>
      </c>
      <c r="AN259" s="893">
        <f>MIN(AB259:AF259)*1.05</f>
        <v>26.25</v>
      </c>
      <c r="AO259" s="1304">
        <v>0</v>
      </c>
      <c r="AP259" s="1309"/>
      <c r="AQ259" s="1309"/>
      <c r="AR259" s="1298" t="str">
        <f>IF(AP258&lt;0,"закрыт","")</f>
        <v/>
      </c>
      <c r="AS259" s="952"/>
      <c r="AT259" s="954" t="s">
        <v>758</v>
      </c>
      <c r="AU259" s="1113">
        <v>1975</v>
      </c>
      <c r="AV259" s="1119" t="s">
        <v>3286</v>
      </c>
      <c r="AW259" s="1121">
        <v>56.172469954641201</v>
      </c>
      <c r="AX259" s="1121">
        <v>34.5756604961677</v>
      </c>
    </row>
    <row r="260" spans="1:50" ht="20.100000000000001" customHeight="1" x14ac:dyDescent="0.25">
      <c r="A260" s="1371"/>
      <c r="B260" s="1371"/>
      <c r="C260" s="7" t="s">
        <v>1791</v>
      </c>
      <c r="D260" s="230">
        <v>25</v>
      </c>
      <c r="E260" s="229" t="s">
        <v>785</v>
      </c>
      <c r="F260" s="229">
        <v>25</v>
      </c>
      <c r="G260" s="229"/>
      <c r="H260" s="228"/>
      <c r="I260" s="229" t="str">
        <f t="shared" si="101"/>
        <v>25+25</v>
      </c>
      <c r="J260" s="895">
        <v>10.039999999999999</v>
      </c>
      <c r="K260" s="902">
        <v>1.75</v>
      </c>
      <c r="L260" s="124">
        <v>120</v>
      </c>
      <c r="M260" s="172">
        <f t="shared" si="144"/>
        <v>8.2899999999999991</v>
      </c>
      <c r="N260" s="172">
        <v>0</v>
      </c>
      <c r="O260" s="893"/>
      <c r="P260" s="893">
        <f>MIN(D260:F260)*1.05</f>
        <v>26.25</v>
      </c>
      <c r="Q260" s="172">
        <v>0</v>
      </c>
      <c r="R260" s="1366"/>
      <c r="S260" s="1366"/>
      <c r="T260" s="913" t="str">
        <f>IF(Q260&lt;0,"закрыт","")</f>
        <v/>
      </c>
      <c r="U260" s="1362"/>
      <c r="V260" s="1362"/>
      <c r="W260" s="768" t="s">
        <v>3088</v>
      </c>
      <c r="X260" s="929"/>
      <c r="Y260" s="1371"/>
      <c r="Z260" s="1316"/>
      <c r="AA260" s="7" t="s">
        <v>1791</v>
      </c>
      <c r="AB260" s="230">
        <f t="shared" si="102"/>
        <v>25</v>
      </c>
      <c r="AC260" s="1315" t="str">
        <f t="shared" si="103"/>
        <v>+</v>
      </c>
      <c r="AD260" s="1315">
        <f t="shared" si="104"/>
        <v>25</v>
      </c>
      <c r="AE260" s="1315"/>
      <c r="AF260" s="1316"/>
      <c r="AG260" s="1298" t="str">
        <f t="shared" si="105"/>
        <v>25+25</v>
      </c>
      <c r="AH260" s="1304">
        <f>'Зона РжЭс'!L95</f>
        <v>0.63874999999999993</v>
      </c>
      <c r="AI260" s="895">
        <f>J260+AH260</f>
        <v>10.678749999999999</v>
      </c>
      <c r="AJ260" s="902">
        <f>K260</f>
        <v>1.75</v>
      </c>
      <c r="AK260" s="1298">
        <f t="shared" si="107"/>
        <v>120</v>
      </c>
      <c r="AL260" s="1304">
        <f t="shared" si="146"/>
        <v>8.9287499999999991</v>
      </c>
      <c r="AM260" s="1298">
        <v>0</v>
      </c>
      <c r="AN260" s="893">
        <f>MIN(AB260:AF260)*1.05</f>
        <v>26.25</v>
      </c>
      <c r="AO260" s="1304">
        <f t="shared" ref="AO260:AO266" si="148">AN260-AM260-AL260</f>
        <v>17.321249999999999</v>
      </c>
      <c r="AP260" s="1310"/>
      <c r="AQ260" s="1310"/>
      <c r="AR260" s="1298" t="str">
        <f>IF(AP258&lt;0,"закрыт","")</f>
        <v/>
      </c>
      <c r="AS260" s="952"/>
      <c r="AT260" s="954" t="s">
        <v>758</v>
      </c>
      <c r="AU260" s="1113">
        <v>1975</v>
      </c>
      <c r="AV260" s="1119" t="s">
        <v>3286</v>
      </c>
      <c r="AW260" s="1121">
        <v>56.172469954641201</v>
      </c>
      <c r="AX260" s="1121">
        <v>34.5756604961677</v>
      </c>
    </row>
    <row r="261" spans="1:50" ht="20.100000000000001" customHeight="1" x14ac:dyDescent="0.25">
      <c r="A261" s="213">
        <v>190</v>
      </c>
      <c r="B261" s="213">
        <v>17</v>
      </c>
      <c r="C261" s="213" t="s">
        <v>163</v>
      </c>
      <c r="D261" s="230">
        <v>5.6</v>
      </c>
      <c r="E261" s="229" t="s">
        <v>785</v>
      </c>
      <c r="F261" s="229">
        <v>5.6</v>
      </c>
      <c r="G261" s="229"/>
      <c r="H261" s="228"/>
      <c r="I261" s="229" t="str">
        <f t="shared" si="101"/>
        <v>5,6+5,6</v>
      </c>
      <c r="J261" s="895">
        <v>7.14</v>
      </c>
      <c r="K261" s="172">
        <v>1.79</v>
      </c>
      <c r="L261" s="213">
        <v>240</v>
      </c>
      <c r="M261" s="172">
        <f t="shared" si="144"/>
        <v>5.35</v>
      </c>
      <c r="N261" s="172">
        <v>0</v>
      </c>
      <c r="O261" s="893"/>
      <c r="P261" s="893">
        <f t="shared" si="145"/>
        <v>5.88</v>
      </c>
      <c r="Q261" s="172">
        <f t="shared" ref="Q261:Q266" si="149">P261-N261-M261</f>
        <v>0.53000000000000025</v>
      </c>
      <c r="R261" s="172">
        <f t="shared" si="135"/>
        <v>0.53000000000000025</v>
      </c>
      <c r="S261" s="768" t="str">
        <f t="shared" si="108"/>
        <v/>
      </c>
      <c r="T261" s="257" t="str">
        <f t="shared" ref="T261:T267" si="150">IF(R261&lt;0,"закрыт","")</f>
        <v/>
      </c>
      <c r="U261" s="768">
        <f t="shared" ref="U261:U267" si="151">(J261*100)/P261</f>
        <v>121.42857142857143</v>
      </c>
      <c r="V261" s="768"/>
      <c r="W261" s="768" t="s">
        <v>3087</v>
      </c>
      <c r="X261" s="929"/>
      <c r="Y261" s="213">
        <v>190</v>
      </c>
      <c r="Z261" s="1316">
        <v>17</v>
      </c>
      <c r="AA261" s="1298" t="s">
        <v>163</v>
      </c>
      <c r="AB261" s="230">
        <f t="shared" si="102"/>
        <v>5.6</v>
      </c>
      <c r="AC261" s="1315" t="str">
        <f t="shared" si="103"/>
        <v>+</v>
      </c>
      <c r="AD261" s="1315">
        <f t="shared" si="104"/>
        <v>5.6</v>
      </c>
      <c r="AE261" s="1315"/>
      <c r="AF261" s="1316"/>
      <c r="AG261" s="1298" t="str">
        <f t="shared" si="105"/>
        <v>5,6+5,6</v>
      </c>
      <c r="AH261" s="1304">
        <f>'Зона РжЭс'!L105</f>
        <v>0.31574999999999998</v>
      </c>
      <c r="AI261" s="1304">
        <f t="shared" ref="AI261:AI292" si="152">AH261+J261</f>
        <v>7.4557500000000001</v>
      </c>
      <c r="AJ261" s="1304">
        <f t="shared" si="106"/>
        <v>1.79</v>
      </c>
      <c r="AK261" s="1298">
        <f t="shared" si="107"/>
        <v>240</v>
      </c>
      <c r="AL261" s="1304">
        <f t="shared" si="146"/>
        <v>5.6657500000000001</v>
      </c>
      <c r="AM261" s="1298">
        <v>0</v>
      </c>
      <c r="AN261" s="893">
        <f t="shared" si="147"/>
        <v>5.88</v>
      </c>
      <c r="AO261" s="1304">
        <f t="shared" si="148"/>
        <v>0.21424999999999983</v>
      </c>
      <c r="AP261" s="1304">
        <f t="shared" si="141"/>
        <v>0.21424999999999983</v>
      </c>
      <c r="AQ261" s="1304" t="str">
        <f t="shared" si="109"/>
        <v/>
      </c>
      <c r="AR261" s="1298" t="str">
        <f t="shared" ref="AR261:AR267" si="153">IF(AP261&lt;0,"закрыт","")</f>
        <v/>
      </c>
      <c r="AS261" s="952">
        <f t="shared" ref="AS261:AS267" si="154">(AI261*100)/AN261</f>
        <v>126.79846938775511</v>
      </c>
      <c r="AT261" s="954" t="s">
        <v>758</v>
      </c>
      <c r="AU261" s="1113">
        <v>1975</v>
      </c>
      <c r="AV261" s="1119" t="s">
        <v>3286</v>
      </c>
      <c r="AW261" s="1121">
        <v>56.132142444197598</v>
      </c>
      <c r="AX261" s="1121">
        <v>34.898052747883298</v>
      </c>
    </row>
    <row r="262" spans="1:50" ht="20.100000000000001" customHeight="1" x14ac:dyDescent="0.25">
      <c r="A262" s="213">
        <v>191</v>
      </c>
      <c r="B262" s="213">
        <v>18</v>
      </c>
      <c r="C262" s="213" t="s">
        <v>164</v>
      </c>
      <c r="D262" s="230">
        <v>4</v>
      </c>
      <c r="E262" s="229" t="s">
        <v>785</v>
      </c>
      <c r="F262" s="229">
        <v>4</v>
      </c>
      <c r="G262" s="229"/>
      <c r="H262" s="228"/>
      <c r="I262" s="229" t="str">
        <f t="shared" si="101"/>
        <v>4+4</v>
      </c>
      <c r="J262" s="895">
        <v>1.55</v>
      </c>
      <c r="K262" s="172">
        <v>0</v>
      </c>
      <c r="L262" s="213">
        <v>0</v>
      </c>
      <c r="M262" s="172">
        <f t="shared" si="144"/>
        <v>1.55</v>
      </c>
      <c r="N262" s="172">
        <v>0</v>
      </c>
      <c r="O262" s="893"/>
      <c r="P262" s="893">
        <f t="shared" si="145"/>
        <v>4.2</v>
      </c>
      <c r="Q262" s="172">
        <f t="shared" si="149"/>
        <v>2.6500000000000004</v>
      </c>
      <c r="R262" s="172">
        <f t="shared" si="135"/>
        <v>2.6500000000000004</v>
      </c>
      <c r="S262" s="768" t="str">
        <f t="shared" si="108"/>
        <v/>
      </c>
      <c r="T262" s="257" t="str">
        <f t="shared" si="150"/>
        <v/>
      </c>
      <c r="U262" s="768">
        <f t="shared" si="151"/>
        <v>36.904761904761905</v>
      </c>
      <c r="V262" s="768"/>
      <c r="W262" s="768" t="s">
        <v>3087</v>
      </c>
      <c r="X262" s="929"/>
      <c r="Y262" s="213">
        <v>191</v>
      </c>
      <c r="Z262" s="1316">
        <v>18</v>
      </c>
      <c r="AA262" s="1298" t="s">
        <v>164</v>
      </c>
      <c r="AB262" s="230">
        <f t="shared" si="102"/>
        <v>4</v>
      </c>
      <c r="AC262" s="1315" t="str">
        <f t="shared" si="103"/>
        <v>+</v>
      </c>
      <c r="AD262" s="1315">
        <f t="shared" si="104"/>
        <v>4</v>
      </c>
      <c r="AE262" s="1315"/>
      <c r="AF262" s="1316"/>
      <c r="AG262" s="1298" t="str">
        <f t="shared" si="105"/>
        <v>4+4</v>
      </c>
      <c r="AH262" s="1304">
        <f>'Зона РжЭс'!L109</f>
        <v>0.39774999999999994</v>
      </c>
      <c r="AI262" s="1304">
        <f t="shared" si="152"/>
        <v>1.9477500000000001</v>
      </c>
      <c r="AJ262" s="1304">
        <f t="shared" si="106"/>
        <v>0</v>
      </c>
      <c r="AK262" s="1298">
        <f t="shared" si="107"/>
        <v>0</v>
      </c>
      <c r="AL262" s="1304">
        <f t="shared" si="146"/>
        <v>1.9477500000000001</v>
      </c>
      <c r="AM262" s="1298">
        <v>0</v>
      </c>
      <c r="AN262" s="893">
        <f t="shared" si="147"/>
        <v>4.2</v>
      </c>
      <c r="AO262" s="1304">
        <f t="shared" si="148"/>
        <v>2.2522500000000001</v>
      </c>
      <c r="AP262" s="1304">
        <f t="shared" si="141"/>
        <v>2.2522500000000001</v>
      </c>
      <c r="AQ262" s="1304" t="str">
        <f t="shared" si="109"/>
        <v/>
      </c>
      <c r="AR262" s="1298" t="str">
        <f t="shared" si="153"/>
        <v/>
      </c>
      <c r="AS262" s="952">
        <f t="shared" si="154"/>
        <v>46.375</v>
      </c>
      <c r="AT262" s="954" t="s">
        <v>758</v>
      </c>
      <c r="AU262" s="1113">
        <v>1963</v>
      </c>
      <c r="AV262" s="1119" t="s">
        <v>3286</v>
      </c>
      <c r="AW262" s="1121">
        <v>56.394427552252402</v>
      </c>
      <c r="AX262" s="1121">
        <v>35.251126767343401</v>
      </c>
    </row>
    <row r="263" spans="1:50" ht="20.100000000000001" customHeight="1" x14ac:dyDescent="0.25">
      <c r="A263" s="213">
        <v>192</v>
      </c>
      <c r="B263" s="213">
        <v>19</v>
      </c>
      <c r="C263" s="213" t="s">
        <v>165</v>
      </c>
      <c r="D263" s="230">
        <v>2.5</v>
      </c>
      <c r="E263" s="229" t="s">
        <v>785</v>
      </c>
      <c r="F263" s="229">
        <v>2.5</v>
      </c>
      <c r="G263" s="229"/>
      <c r="H263" s="228"/>
      <c r="I263" s="229" t="str">
        <f t="shared" si="101"/>
        <v>2,5+2,5</v>
      </c>
      <c r="J263" s="895">
        <v>0.64</v>
      </c>
      <c r="K263" s="172">
        <v>0.62</v>
      </c>
      <c r="L263" s="213">
        <v>240</v>
      </c>
      <c r="M263" s="172">
        <f t="shared" si="144"/>
        <v>2.0000000000000018E-2</v>
      </c>
      <c r="N263" s="172">
        <v>0</v>
      </c>
      <c r="O263" s="893"/>
      <c r="P263" s="893">
        <f t="shared" si="145"/>
        <v>2.625</v>
      </c>
      <c r="Q263" s="172">
        <f t="shared" si="149"/>
        <v>2.605</v>
      </c>
      <c r="R263" s="172">
        <f t="shared" si="135"/>
        <v>2.605</v>
      </c>
      <c r="S263" s="768" t="str">
        <f t="shared" si="108"/>
        <v/>
      </c>
      <c r="T263" s="257" t="str">
        <f t="shared" si="150"/>
        <v/>
      </c>
      <c r="U263" s="768">
        <f t="shared" si="151"/>
        <v>24.38095238095238</v>
      </c>
      <c r="V263" s="768"/>
      <c r="W263" s="768" t="s">
        <v>3087</v>
      </c>
      <c r="X263" s="929"/>
      <c r="Y263" s="213">
        <v>192</v>
      </c>
      <c r="Z263" s="1316">
        <v>19</v>
      </c>
      <c r="AA263" s="1298" t="s">
        <v>165</v>
      </c>
      <c r="AB263" s="230">
        <f t="shared" si="102"/>
        <v>2.5</v>
      </c>
      <c r="AC263" s="1315" t="str">
        <f t="shared" si="103"/>
        <v>+</v>
      </c>
      <c r="AD263" s="1315">
        <f t="shared" si="104"/>
        <v>2.5</v>
      </c>
      <c r="AE263" s="1315"/>
      <c r="AF263" s="1316"/>
      <c r="AG263" s="1298" t="str">
        <f t="shared" si="105"/>
        <v>2,5+2,5</v>
      </c>
      <c r="AH263" s="1304">
        <f>'Зона РжЭс'!L111</f>
        <v>0</v>
      </c>
      <c r="AI263" s="1304">
        <f t="shared" si="152"/>
        <v>0.64</v>
      </c>
      <c r="AJ263" s="1304">
        <f t="shared" si="106"/>
        <v>0.62</v>
      </c>
      <c r="AK263" s="1298">
        <f t="shared" si="107"/>
        <v>240</v>
      </c>
      <c r="AL263" s="1304">
        <f t="shared" si="146"/>
        <v>2.0000000000000018E-2</v>
      </c>
      <c r="AM263" s="1298">
        <v>0</v>
      </c>
      <c r="AN263" s="893">
        <f t="shared" si="147"/>
        <v>2.625</v>
      </c>
      <c r="AO263" s="1304">
        <f t="shared" si="148"/>
        <v>2.605</v>
      </c>
      <c r="AP263" s="1304">
        <f t="shared" si="141"/>
        <v>2.605</v>
      </c>
      <c r="AQ263" s="1304" t="str">
        <f t="shared" si="109"/>
        <v/>
      </c>
      <c r="AR263" s="1298" t="str">
        <f t="shared" si="153"/>
        <v/>
      </c>
      <c r="AS263" s="952">
        <f t="shared" si="154"/>
        <v>24.38095238095238</v>
      </c>
      <c r="AT263" s="954" t="s">
        <v>758</v>
      </c>
      <c r="AU263" s="1113">
        <v>1979</v>
      </c>
      <c r="AV263" s="1119" t="s">
        <v>3286</v>
      </c>
      <c r="AW263" s="1121">
        <v>56.591538770162003</v>
      </c>
      <c r="AX263" s="1121">
        <v>34.628120493828902</v>
      </c>
    </row>
    <row r="264" spans="1:50" ht="20.100000000000001" customHeight="1" x14ac:dyDescent="0.25">
      <c r="A264" s="213">
        <v>193</v>
      </c>
      <c r="B264" s="213">
        <v>20</v>
      </c>
      <c r="C264" s="213" t="s">
        <v>166</v>
      </c>
      <c r="D264" s="230">
        <v>4</v>
      </c>
      <c r="E264" s="229" t="s">
        <v>785</v>
      </c>
      <c r="F264" s="229">
        <v>2.5</v>
      </c>
      <c r="G264" s="229"/>
      <c r="H264" s="228"/>
      <c r="I264" s="229" t="str">
        <f t="shared" si="101"/>
        <v>4+2,5</v>
      </c>
      <c r="J264" s="895">
        <v>1.22</v>
      </c>
      <c r="K264" s="172">
        <v>0</v>
      </c>
      <c r="L264" s="213">
        <v>0</v>
      </c>
      <c r="M264" s="172">
        <f t="shared" si="144"/>
        <v>1.22</v>
      </c>
      <c r="N264" s="172">
        <v>0</v>
      </c>
      <c r="O264" s="893"/>
      <c r="P264" s="893">
        <f t="shared" si="145"/>
        <v>2.625</v>
      </c>
      <c r="Q264" s="172">
        <f t="shared" si="149"/>
        <v>1.405</v>
      </c>
      <c r="R264" s="172">
        <f t="shared" si="135"/>
        <v>1.405</v>
      </c>
      <c r="S264" s="768" t="str">
        <f t="shared" si="108"/>
        <v/>
      </c>
      <c r="T264" s="257" t="str">
        <f t="shared" si="150"/>
        <v/>
      </c>
      <c r="U264" s="768">
        <f t="shared" si="151"/>
        <v>46.476190476190474</v>
      </c>
      <c r="V264" s="768">
        <v>0.34</v>
      </c>
      <c r="W264" s="768" t="s">
        <v>3088</v>
      </c>
      <c r="X264" s="929"/>
      <c r="Y264" s="213">
        <v>193</v>
      </c>
      <c r="Z264" s="1316">
        <v>20</v>
      </c>
      <c r="AA264" s="1298" t="s">
        <v>166</v>
      </c>
      <c r="AB264" s="230">
        <f t="shared" si="102"/>
        <v>4</v>
      </c>
      <c r="AC264" s="1315" t="str">
        <f t="shared" si="103"/>
        <v>+</v>
      </c>
      <c r="AD264" s="1315">
        <f t="shared" si="104"/>
        <v>2.5</v>
      </c>
      <c r="AE264" s="1315"/>
      <c r="AF264" s="1316"/>
      <c r="AG264" s="1298" t="str">
        <f t="shared" si="105"/>
        <v>4+2,5</v>
      </c>
      <c r="AH264" s="1304">
        <f>'Зона РжЭс'!L113</f>
        <v>0</v>
      </c>
      <c r="AI264" s="1304">
        <f t="shared" si="152"/>
        <v>1.22</v>
      </c>
      <c r="AJ264" s="1304">
        <f t="shared" si="106"/>
        <v>0</v>
      </c>
      <c r="AK264" s="1298">
        <f t="shared" si="107"/>
        <v>0</v>
      </c>
      <c r="AL264" s="1304">
        <f t="shared" si="146"/>
        <v>1.22</v>
      </c>
      <c r="AM264" s="1298">
        <v>0</v>
      </c>
      <c r="AN264" s="893">
        <f t="shared" si="147"/>
        <v>2.625</v>
      </c>
      <c r="AO264" s="1304">
        <f t="shared" si="148"/>
        <v>1.405</v>
      </c>
      <c r="AP264" s="1304">
        <f t="shared" si="141"/>
        <v>1.405</v>
      </c>
      <c r="AQ264" s="1304" t="str">
        <f t="shared" si="109"/>
        <v/>
      </c>
      <c r="AR264" s="1298" t="str">
        <f t="shared" si="153"/>
        <v/>
      </c>
      <c r="AS264" s="952">
        <f t="shared" si="154"/>
        <v>46.476190476190474</v>
      </c>
      <c r="AT264" s="954" t="s">
        <v>758</v>
      </c>
      <c r="AU264" s="1113">
        <v>1971</v>
      </c>
      <c r="AV264" s="1119" t="s">
        <v>3286</v>
      </c>
      <c r="AW264" s="1121">
        <v>56.652683647502002</v>
      </c>
      <c r="AX264" s="1121">
        <v>34.374451510960498</v>
      </c>
    </row>
    <row r="265" spans="1:50" ht="20.100000000000001" customHeight="1" x14ac:dyDescent="0.25">
      <c r="A265" s="213">
        <v>194</v>
      </c>
      <c r="B265" s="213">
        <v>21</v>
      </c>
      <c r="C265" s="213" t="s">
        <v>167</v>
      </c>
      <c r="D265" s="230">
        <v>6.3</v>
      </c>
      <c r="E265" s="229" t="s">
        <v>785</v>
      </c>
      <c r="F265" s="229">
        <v>6.3</v>
      </c>
      <c r="G265" s="229"/>
      <c r="H265" s="228"/>
      <c r="I265" s="229" t="str">
        <f t="shared" ref="I265:I328" si="155">CONCATENATE(D265,E265,F265,G265,H265)</f>
        <v>6,3+6,3</v>
      </c>
      <c r="J265" s="895">
        <v>2.33</v>
      </c>
      <c r="K265" s="172">
        <v>0.74</v>
      </c>
      <c r="L265" s="213">
        <v>120</v>
      </c>
      <c r="M265" s="172">
        <f t="shared" si="144"/>
        <v>1.59</v>
      </c>
      <c r="N265" s="172">
        <v>0</v>
      </c>
      <c r="O265" s="893"/>
      <c r="P265" s="893">
        <f t="shared" si="145"/>
        <v>6.6150000000000002</v>
      </c>
      <c r="Q265" s="172">
        <f t="shared" si="149"/>
        <v>5.0250000000000004</v>
      </c>
      <c r="R265" s="172">
        <f t="shared" si="135"/>
        <v>5.0250000000000004</v>
      </c>
      <c r="S265" s="768" t="str">
        <f t="shared" si="108"/>
        <v/>
      </c>
      <c r="T265" s="257" t="str">
        <f t="shared" si="150"/>
        <v/>
      </c>
      <c r="U265" s="768">
        <f t="shared" si="151"/>
        <v>35.222978080120939</v>
      </c>
      <c r="V265" s="768">
        <v>0.64</v>
      </c>
      <c r="W265" s="768" t="s">
        <v>3088</v>
      </c>
      <c r="X265" s="929"/>
      <c r="Y265" s="213">
        <v>194</v>
      </c>
      <c r="Z265" s="1316">
        <v>21</v>
      </c>
      <c r="AA265" s="1298" t="s">
        <v>167</v>
      </c>
      <c r="AB265" s="230">
        <f t="shared" ref="AB265:AB328" si="156">D265</f>
        <v>6.3</v>
      </c>
      <c r="AC265" s="1315" t="str">
        <f t="shared" ref="AC265:AC328" si="157">E265</f>
        <v>+</v>
      </c>
      <c r="AD265" s="1315">
        <f t="shared" ref="AD265:AD328" si="158">F265</f>
        <v>6.3</v>
      </c>
      <c r="AE265" s="1315"/>
      <c r="AF265" s="1316"/>
      <c r="AG265" s="1298" t="str">
        <f t="shared" si="105"/>
        <v>6,3+6,3</v>
      </c>
      <c r="AH265" s="1304">
        <f>'Зона РжЭс'!L118</f>
        <v>0</v>
      </c>
      <c r="AI265" s="1304">
        <f t="shared" si="152"/>
        <v>2.33</v>
      </c>
      <c r="AJ265" s="1304">
        <f t="shared" si="106"/>
        <v>0.74</v>
      </c>
      <c r="AK265" s="1298">
        <f t="shared" ref="AK265:AK328" si="159">L265</f>
        <v>120</v>
      </c>
      <c r="AL265" s="1304">
        <f t="shared" si="146"/>
        <v>1.59</v>
      </c>
      <c r="AM265" s="1298">
        <v>0</v>
      </c>
      <c r="AN265" s="893">
        <f t="shared" si="147"/>
        <v>6.6150000000000002</v>
      </c>
      <c r="AO265" s="1304">
        <f t="shared" si="148"/>
        <v>5.0250000000000004</v>
      </c>
      <c r="AP265" s="1304">
        <f t="shared" si="141"/>
        <v>5.0250000000000004</v>
      </c>
      <c r="AQ265" s="1304" t="str">
        <f t="shared" si="109"/>
        <v/>
      </c>
      <c r="AR265" s="1298" t="str">
        <f t="shared" si="153"/>
        <v/>
      </c>
      <c r="AS265" s="952">
        <f t="shared" si="154"/>
        <v>35.222978080120939</v>
      </c>
      <c r="AT265" s="954" t="s">
        <v>758</v>
      </c>
      <c r="AU265" s="1113">
        <v>1978</v>
      </c>
      <c r="AV265" s="1119" t="s">
        <v>3286</v>
      </c>
      <c r="AW265" s="1121">
        <v>56.206704218121203</v>
      </c>
      <c r="AX265" s="1121">
        <v>34.214144919244497</v>
      </c>
    </row>
    <row r="266" spans="1:50" ht="20.100000000000001" customHeight="1" x14ac:dyDescent="0.25">
      <c r="A266" s="213">
        <v>195</v>
      </c>
      <c r="B266" s="213">
        <v>22</v>
      </c>
      <c r="C266" s="213" t="s">
        <v>168</v>
      </c>
      <c r="D266" s="230">
        <v>6.3</v>
      </c>
      <c r="E266" s="229" t="s">
        <v>785</v>
      </c>
      <c r="F266" s="229">
        <v>6.3</v>
      </c>
      <c r="G266" s="229"/>
      <c r="H266" s="228"/>
      <c r="I266" s="229" t="str">
        <f t="shared" si="155"/>
        <v>6,3+6,3</v>
      </c>
      <c r="J266" s="895">
        <v>1.62</v>
      </c>
      <c r="K266" s="172">
        <v>0.33999999999999997</v>
      </c>
      <c r="L266" s="213">
        <v>240</v>
      </c>
      <c r="M266" s="172">
        <f t="shared" si="144"/>
        <v>1.2800000000000002</v>
      </c>
      <c r="N266" s="172">
        <v>0</v>
      </c>
      <c r="O266" s="893"/>
      <c r="P266" s="893">
        <f t="shared" si="145"/>
        <v>6.6150000000000002</v>
      </c>
      <c r="Q266" s="172">
        <f t="shared" si="149"/>
        <v>5.335</v>
      </c>
      <c r="R266" s="172">
        <f t="shared" si="135"/>
        <v>5.335</v>
      </c>
      <c r="S266" s="768" t="str">
        <f t="shared" si="108"/>
        <v/>
      </c>
      <c r="T266" s="257" t="str">
        <f t="shared" si="150"/>
        <v/>
      </c>
      <c r="U266" s="768">
        <f t="shared" si="151"/>
        <v>24.489795918367346</v>
      </c>
      <c r="V266" s="768">
        <v>0.59</v>
      </c>
      <c r="W266" s="768" t="s">
        <v>3088</v>
      </c>
      <c r="X266" s="929"/>
      <c r="Y266" s="213">
        <v>195</v>
      </c>
      <c r="Z266" s="1316">
        <v>22</v>
      </c>
      <c r="AA266" s="1298" t="s">
        <v>168</v>
      </c>
      <c r="AB266" s="230">
        <f t="shared" si="156"/>
        <v>6.3</v>
      </c>
      <c r="AC266" s="1315" t="str">
        <f t="shared" si="157"/>
        <v>+</v>
      </c>
      <c r="AD266" s="1315">
        <f t="shared" si="158"/>
        <v>6.3</v>
      </c>
      <c r="AE266" s="1315"/>
      <c r="AF266" s="1316"/>
      <c r="AG266" s="1298" t="str">
        <f t="shared" si="105"/>
        <v>6,3+6,3</v>
      </c>
      <c r="AH266" s="1304">
        <f>'Зона РжЭс'!L125</f>
        <v>2.3749999999999997E-2</v>
      </c>
      <c r="AI266" s="1304">
        <f t="shared" si="152"/>
        <v>1.64375</v>
      </c>
      <c r="AJ266" s="1304">
        <f t="shared" si="106"/>
        <v>0.33999999999999997</v>
      </c>
      <c r="AK266" s="1298">
        <f t="shared" si="159"/>
        <v>240</v>
      </c>
      <c r="AL266" s="1304">
        <f t="shared" si="146"/>
        <v>1.30375</v>
      </c>
      <c r="AM266" s="1298">
        <v>0</v>
      </c>
      <c r="AN266" s="893">
        <f t="shared" si="147"/>
        <v>6.6150000000000002</v>
      </c>
      <c r="AO266" s="1304">
        <f t="shared" si="148"/>
        <v>5.3112500000000002</v>
      </c>
      <c r="AP266" s="1304">
        <f t="shared" si="141"/>
        <v>5.3112500000000002</v>
      </c>
      <c r="AQ266" s="1304" t="str">
        <f t="shared" si="109"/>
        <v/>
      </c>
      <c r="AR266" s="1298" t="str">
        <f t="shared" si="153"/>
        <v/>
      </c>
      <c r="AS266" s="952">
        <f t="shared" si="154"/>
        <v>24.848828420256989</v>
      </c>
      <c r="AT266" s="954" t="s">
        <v>758</v>
      </c>
      <c r="AU266" s="1113">
        <v>1962</v>
      </c>
      <c r="AV266" s="1119" t="s">
        <v>3286</v>
      </c>
      <c r="AW266" s="1121">
        <v>56.240181355065701</v>
      </c>
      <c r="AX266" s="1121">
        <v>33.158507404212401</v>
      </c>
    </row>
    <row r="267" spans="1:50" ht="20.100000000000001" customHeight="1" x14ac:dyDescent="0.25">
      <c r="A267" s="1371">
        <v>196</v>
      </c>
      <c r="B267" s="1371">
        <v>23</v>
      </c>
      <c r="C267" s="213" t="s">
        <v>169</v>
      </c>
      <c r="D267" s="230">
        <v>40.5</v>
      </c>
      <c r="E267" s="229" t="s">
        <v>785</v>
      </c>
      <c r="F267" s="229">
        <v>40</v>
      </c>
      <c r="G267" s="229"/>
      <c r="H267" s="228"/>
      <c r="I267" s="229" t="str">
        <f t="shared" si="155"/>
        <v>40,5+40</v>
      </c>
      <c r="J267" s="895">
        <v>32.03</v>
      </c>
      <c r="K267" s="172">
        <v>5.8690177313673662</v>
      </c>
      <c r="L267" s="213">
        <v>120</v>
      </c>
      <c r="M267" s="901">
        <f t="shared" si="144"/>
        <v>26.160982268632637</v>
      </c>
      <c r="N267" s="172">
        <v>0</v>
      </c>
      <c r="O267" s="893"/>
      <c r="P267" s="893">
        <f>MIN(D267:F267)*1.05</f>
        <v>42</v>
      </c>
      <c r="Q267" s="172">
        <f t="shared" ref="Q267:Q281" si="160">P267-M267-N267</f>
        <v>15.839017731367363</v>
      </c>
      <c r="R267" s="1364">
        <f>MIN(Q267:Q269)</f>
        <v>15.839017731367363</v>
      </c>
      <c r="S267" s="1362" t="str">
        <f>T267</f>
        <v/>
      </c>
      <c r="T267" s="257" t="str">
        <f t="shared" si="150"/>
        <v/>
      </c>
      <c r="U267" s="1362">
        <f t="shared" si="151"/>
        <v>76.261904761904759</v>
      </c>
      <c r="V267" s="1362">
        <v>0.36</v>
      </c>
      <c r="W267" s="768"/>
      <c r="X267" s="929"/>
      <c r="Y267" s="1371">
        <v>196</v>
      </c>
      <c r="Z267" s="1316">
        <v>23</v>
      </c>
      <c r="AA267" s="1298" t="s">
        <v>169</v>
      </c>
      <c r="AB267" s="230">
        <f t="shared" si="156"/>
        <v>40.5</v>
      </c>
      <c r="AC267" s="1315" t="str">
        <f t="shared" si="157"/>
        <v>+</v>
      </c>
      <c r="AD267" s="1315">
        <f t="shared" si="158"/>
        <v>40</v>
      </c>
      <c r="AE267" s="1315"/>
      <c r="AF267" s="1316"/>
      <c r="AG267" s="1298" t="str">
        <f t="shared" ref="AG267:AG330" si="161">CONCATENATE(AB267,AC267,AD267,AE267,AF267)</f>
        <v>40,5+40</v>
      </c>
      <c r="AH267" s="1304">
        <f>SUM(AH268:AH269)</f>
        <v>5.21265</v>
      </c>
      <c r="AI267" s="1304">
        <f t="shared" si="152"/>
        <v>37.242649999999998</v>
      </c>
      <c r="AJ267" s="1304">
        <f>K267</f>
        <v>5.8690177313673662</v>
      </c>
      <c r="AK267" s="1298">
        <f t="shared" si="159"/>
        <v>120</v>
      </c>
      <c r="AL267" s="1304">
        <f t="shared" si="146"/>
        <v>31.373632268632633</v>
      </c>
      <c r="AM267" s="1298">
        <v>0</v>
      </c>
      <c r="AN267" s="893">
        <f t="shared" si="147"/>
        <v>42</v>
      </c>
      <c r="AO267" s="1304">
        <f t="shared" ref="AO267:AO281" si="162">AN267-AL267-AM267</f>
        <v>10.626367731367367</v>
      </c>
      <c r="AP267" s="1308">
        <f>MIN(AO267:AO269)</f>
        <v>10.626367731367367</v>
      </c>
      <c r="AQ267" s="1308" t="str">
        <f>AR267</f>
        <v/>
      </c>
      <c r="AR267" s="1298" t="str">
        <f t="shared" si="153"/>
        <v/>
      </c>
      <c r="AS267" s="1305">
        <f t="shared" si="154"/>
        <v>88.672976190476192</v>
      </c>
      <c r="AT267" s="954" t="s">
        <v>758</v>
      </c>
      <c r="AU267" s="1113">
        <v>1960</v>
      </c>
      <c r="AV267" s="1119" t="s">
        <v>3286</v>
      </c>
      <c r="AW267" s="1121">
        <v>56.2411116350114</v>
      </c>
      <c r="AX267" s="1121">
        <v>34.312113844013503</v>
      </c>
    </row>
    <row r="268" spans="1:50" ht="20.100000000000001" customHeight="1" x14ac:dyDescent="0.25">
      <c r="A268" s="1371"/>
      <c r="B268" s="1371"/>
      <c r="C268" s="7" t="s">
        <v>1834</v>
      </c>
      <c r="D268" s="230">
        <v>40.5</v>
      </c>
      <c r="E268" s="229" t="s">
        <v>785</v>
      </c>
      <c r="F268" s="229">
        <v>40</v>
      </c>
      <c r="G268" s="229"/>
      <c r="H268" s="228"/>
      <c r="I268" s="229" t="str">
        <f t="shared" si="155"/>
        <v>40,5+40</v>
      </c>
      <c r="J268" s="895">
        <v>16.79</v>
      </c>
      <c r="K268" s="172">
        <v>1.5890177313673663</v>
      </c>
      <c r="L268" s="213">
        <v>120</v>
      </c>
      <c r="M268" s="901">
        <f t="shared" si="144"/>
        <v>15.200982268632632</v>
      </c>
      <c r="N268" s="172">
        <v>0</v>
      </c>
      <c r="O268" s="893"/>
      <c r="P268" s="893">
        <f>MIN(D268:F268)*1.05</f>
        <v>42</v>
      </c>
      <c r="Q268" s="172">
        <f t="shared" si="160"/>
        <v>26.799017731367368</v>
      </c>
      <c r="R268" s="1365"/>
      <c r="S268" s="1362"/>
      <c r="T268" s="257" t="str">
        <f>IF(R267&lt;0,"закрыт","")</f>
        <v/>
      </c>
      <c r="U268" s="1362"/>
      <c r="V268" s="1362"/>
      <c r="W268" s="768" t="s">
        <v>3088</v>
      </c>
      <c r="X268" s="929"/>
      <c r="Y268" s="1371"/>
      <c r="Z268" s="1316"/>
      <c r="AA268" s="7" t="s">
        <v>1834</v>
      </c>
      <c r="AB268" s="230">
        <f t="shared" si="156"/>
        <v>40.5</v>
      </c>
      <c r="AC268" s="1315" t="str">
        <f t="shared" si="157"/>
        <v>+</v>
      </c>
      <c r="AD268" s="1315">
        <f t="shared" si="158"/>
        <v>40</v>
      </c>
      <c r="AE268" s="1315"/>
      <c r="AF268" s="1316"/>
      <c r="AG268" s="1298" t="str">
        <f t="shared" si="161"/>
        <v>40,5+40</v>
      </c>
      <c r="AH268" s="1304">
        <f>SUM(AH243+AH254+AH255+AH256+AH257+AH245+AH246+AH247+AH261)</f>
        <v>4.9588999999999999</v>
      </c>
      <c r="AI268" s="1304">
        <f t="shared" si="152"/>
        <v>21.748899999999999</v>
      </c>
      <c r="AJ268" s="1304">
        <f t="shared" ref="AJ268:AJ331" si="163">K268</f>
        <v>1.5890177313673663</v>
      </c>
      <c r="AK268" s="1298">
        <f t="shared" si="159"/>
        <v>120</v>
      </c>
      <c r="AL268" s="1304">
        <f t="shared" si="146"/>
        <v>20.159882268632632</v>
      </c>
      <c r="AM268" s="1298">
        <v>0</v>
      </c>
      <c r="AN268" s="893">
        <f t="shared" si="147"/>
        <v>42</v>
      </c>
      <c r="AO268" s="1304">
        <f t="shared" si="162"/>
        <v>21.840117731367368</v>
      </c>
      <c r="AP268" s="1309"/>
      <c r="AQ268" s="1309"/>
      <c r="AR268" s="1298" t="str">
        <f>IF(AP267&lt;0,"закрыт","")</f>
        <v/>
      </c>
      <c r="AS268" s="1306"/>
      <c r="AT268" s="954" t="s">
        <v>758</v>
      </c>
      <c r="AU268" s="1113">
        <v>1960</v>
      </c>
      <c r="AV268" s="1119" t="s">
        <v>3286</v>
      </c>
      <c r="AW268" s="1121">
        <v>56.2411116350114</v>
      </c>
      <c r="AX268" s="1121">
        <v>34.312113844013503</v>
      </c>
    </row>
    <row r="269" spans="1:50" ht="20.100000000000001" customHeight="1" x14ac:dyDescent="0.25">
      <c r="A269" s="1371"/>
      <c r="B269" s="1371"/>
      <c r="C269" s="7" t="s">
        <v>1791</v>
      </c>
      <c r="D269" s="230">
        <v>40.5</v>
      </c>
      <c r="E269" s="229" t="s">
        <v>785</v>
      </c>
      <c r="F269" s="229">
        <v>40</v>
      </c>
      <c r="G269" s="229"/>
      <c r="H269" s="228"/>
      <c r="I269" s="229" t="str">
        <f t="shared" si="155"/>
        <v>40,5+40</v>
      </c>
      <c r="J269" s="895">
        <v>15.24</v>
      </c>
      <c r="K269" s="172">
        <v>4.28</v>
      </c>
      <c r="L269" s="213">
        <v>120</v>
      </c>
      <c r="M269" s="901">
        <f t="shared" si="144"/>
        <v>10.96</v>
      </c>
      <c r="N269" s="172">
        <v>0</v>
      </c>
      <c r="O269" s="893"/>
      <c r="P269" s="893">
        <f>MIN(D269:F269)*1.05</f>
        <v>42</v>
      </c>
      <c r="Q269" s="172">
        <f t="shared" si="160"/>
        <v>31.04</v>
      </c>
      <c r="R269" s="1366"/>
      <c r="S269" s="1362"/>
      <c r="T269" s="257" t="str">
        <f>IF(R267&lt;0,"закрыт","")</f>
        <v/>
      </c>
      <c r="U269" s="1362"/>
      <c r="V269" s="1362"/>
      <c r="W269" s="768" t="s">
        <v>3088</v>
      </c>
      <c r="X269" s="929"/>
      <c r="Y269" s="1371"/>
      <c r="Z269" s="1316"/>
      <c r="AA269" s="7" t="s">
        <v>1791</v>
      </c>
      <c r="AB269" s="230">
        <f t="shared" si="156"/>
        <v>40.5</v>
      </c>
      <c r="AC269" s="1315" t="str">
        <f t="shared" si="157"/>
        <v>+</v>
      </c>
      <c r="AD269" s="1315">
        <f t="shared" si="158"/>
        <v>40</v>
      </c>
      <c r="AE269" s="1315"/>
      <c r="AF269" s="1316"/>
      <c r="AG269" s="1298" t="str">
        <f t="shared" si="161"/>
        <v>40,5+40</v>
      </c>
      <c r="AH269" s="1304">
        <f>'Зона РжЭс'!L134</f>
        <v>0.25374999999999998</v>
      </c>
      <c r="AI269" s="1304">
        <f t="shared" si="152"/>
        <v>15.49375</v>
      </c>
      <c r="AJ269" s="1304">
        <f t="shared" si="163"/>
        <v>4.28</v>
      </c>
      <c r="AK269" s="1298">
        <f t="shared" si="159"/>
        <v>120</v>
      </c>
      <c r="AL269" s="1304">
        <f t="shared" si="146"/>
        <v>11.213750000000001</v>
      </c>
      <c r="AM269" s="1298">
        <v>0</v>
      </c>
      <c r="AN269" s="893">
        <f t="shared" si="147"/>
        <v>42</v>
      </c>
      <c r="AO269" s="1304">
        <f t="shared" si="162"/>
        <v>30.786249999999999</v>
      </c>
      <c r="AP269" s="1310"/>
      <c r="AQ269" s="1310"/>
      <c r="AR269" s="1298" t="str">
        <f>IF(AP267&lt;0,"закрыт","")</f>
        <v/>
      </c>
      <c r="AS269" s="1307"/>
      <c r="AT269" s="954" t="s">
        <v>758</v>
      </c>
      <c r="AU269" s="1113">
        <v>1960</v>
      </c>
      <c r="AV269" s="1119" t="s">
        <v>3286</v>
      </c>
      <c r="AW269" s="1121">
        <v>56.2411116350114</v>
      </c>
      <c r="AX269" s="1121">
        <v>34.312113844013503</v>
      </c>
    </row>
    <row r="270" spans="1:50" ht="20.100000000000001" customHeight="1" x14ac:dyDescent="0.25">
      <c r="A270" s="1371">
        <v>197</v>
      </c>
      <c r="B270" s="1371">
        <v>24</v>
      </c>
      <c r="C270" s="213" t="s">
        <v>2681</v>
      </c>
      <c r="D270" s="230">
        <v>5.6</v>
      </c>
      <c r="E270" s="229" t="s">
        <v>785</v>
      </c>
      <c r="F270" s="229">
        <v>6.3</v>
      </c>
      <c r="G270" s="229"/>
      <c r="H270" s="228"/>
      <c r="I270" s="229" t="str">
        <f t="shared" si="155"/>
        <v>5,6+6,3</v>
      </c>
      <c r="J270" s="895">
        <v>2.02</v>
      </c>
      <c r="K270" s="172">
        <v>0.84000000000000008</v>
      </c>
      <c r="L270" s="213">
        <v>240</v>
      </c>
      <c r="M270" s="901">
        <f t="shared" si="144"/>
        <v>1.18</v>
      </c>
      <c r="N270" s="172">
        <v>0</v>
      </c>
      <c r="O270" s="893"/>
      <c r="P270" s="893">
        <f t="shared" si="145"/>
        <v>5.88</v>
      </c>
      <c r="Q270" s="172">
        <f t="shared" si="160"/>
        <v>4.7</v>
      </c>
      <c r="R270" s="1379">
        <f>MIN(Q270:Q272)</f>
        <v>4.7</v>
      </c>
      <c r="S270" s="1362" t="str">
        <f t="shared" ref="S270:S330" si="164">T270</f>
        <v/>
      </c>
      <c r="T270" s="257" t="str">
        <f>IF(R270&lt;0,"закрыт","")</f>
        <v/>
      </c>
      <c r="U270" s="1362">
        <f>(J270*100)/P270</f>
        <v>34.353741496598637</v>
      </c>
      <c r="V270" s="1362">
        <v>0.35</v>
      </c>
      <c r="W270" s="768"/>
      <c r="X270" s="929"/>
      <c r="Y270" s="1371">
        <v>197</v>
      </c>
      <c r="Z270" s="1316">
        <v>24</v>
      </c>
      <c r="AA270" s="1298" t="s">
        <v>2681</v>
      </c>
      <c r="AB270" s="230">
        <f t="shared" si="156"/>
        <v>5.6</v>
      </c>
      <c r="AC270" s="1315" t="str">
        <f t="shared" si="157"/>
        <v>+</v>
      </c>
      <c r="AD270" s="1315">
        <f t="shared" si="158"/>
        <v>6.3</v>
      </c>
      <c r="AE270" s="1315"/>
      <c r="AF270" s="1316"/>
      <c r="AG270" s="1298" t="str">
        <f t="shared" si="161"/>
        <v>5,6+6,3</v>
      </c>
      <c r="AH270" s="1304">
        <f>SUM(AH271:AH272)</f>
        <v>0.138125</v>
      </c>
      <c r="AI270" s="1304">
        <f t="shared" si="152"/>
        <v>2.1581250000000001</v>
      </c>
      <c r="AJ270" s="1304">
        <f t="shared" si="163"/>
        <v>0.84000000000000008</v>
      </c>
      <c r="AK270" s="1298">
        <f t="shared" si="159"/>
        <v>240</v>
      </c>
      <c r="AL270" s="1304">
        <f t="shared" si="146"/>
        <v>1.318125</v>
      </c>
      <c r="AM270" s="1298">
        <v>0</v>
      </c>
      <c r="AN270" s="893">
        <f t="shared" si="147"/>
        <v>5.88</v>
      </c>
      <c r="AO270" s="1304">
        <f t="shared" si="162"/>
        <v>4.5618749999999997</v>
      </c>
      <c r="AP270" s="1308">
        <f>MIN(AO270:AO272)</f>
        <v>4.5618749999999997</v>
      </c>
      <c r="AQ270" s="1308" t="str">
        <f t="shared" ref="AQ270:AQ330" si="165">AR270</f>
        <v/>
      </c>
      <c r="AR270" s="1298" t="str">
        <f>IF(AP270&lt;0,"закрыт","")</f>
        <v/>
      </c>
      <c r="AS270" s="1305">
        <f>(AI270*100)/AN270</f>
        <v>36.702806122448983</v>
      </c>
      <c r="AT270" s="954" t="s">
        <v>758</v>
      </c>
      <c r="AU270" s="1113">
        <v>1978</v>
      </c>
      <c r="AV270" s="1119" t="s">
        <v>3286</v>
      </c>
      <c r="AW270" s="1121">
        <v>56.206891388101397</v>
      </c>
      <c r="AX270" s="1121">
        <v>33.892258534506098</v>
      </c>
    </row>
    <row r="271" spans="1:50" ht="20.100000000000001" customHeight="1" x14ac:dyDescent="0.25">
      <c r="A271" s="1371"/>
      <c r="B271" s="1371"/>
      <c r="C271" s="7" t="s">
        <v>1834</v>
      </c>
      <c r="D271" s="230">
        <v>5.6</v>
      </c>
      <c r="E271" s="229" t="s">
        <v>785</v>
      </c>
      <c r="F271" s="229">
        <v>6.3</v>
      </c>
      <c r="G271" s="229"/>
      <c r="H271" s="228"/>
      <c r="I271" s="229" t="str">
        <f t="shared" si="155"/>
        <v>5,6+6,3</v>
      </c>
      <c r="J271" s="895">
        <v>0.26</v>
      </c>
      <c r="K271" s="172">
        <v>0.06</v>
      </c>
      <c r="L271" s="213">
        <v>120</v>
      </c>
      <c r="M271" s="901">
        <f t="shared" si="144"/>
        <v>0.2</v>
      </c>
      <c r="N271" s="172">
        <v>0</v>
      </c>
      <c r="O271" s="893"/>
      <c r="P271" s="893">
        <f t="shared" si="145"/>
        <v>5.88</v>
      </c>
      <c r="Q271" s="172">
        <f t="shared" si="160"/>
        <v>5.68</v>
      </c>
      <c r="R271" s="1379"/>
      <c r="S271" s="1363" t="str">
        <f t="shared" si="164"/>
        <v/>
      </c>
      <c r="T271" s="257" t="str">
        <f>IF(R270&lt;0,"закрыт","")</f>
        <v/>
      </c>
      <c r="U271" s="1363"/>
      <c r="V271" s="1363"/>
      <c r="W271" s="257" t="s">
        <v>3088</v>
      </c>
      <c r="X271" s="929"/>
      <c r="Y271" s="1371"/>
      <c r="Z271" s="1316"/>
      <c r="AA271" s="7" t="s">
        <v>1834</v>
      </c>
      <c r="AB271" s="230">
        <f t="shared" si="156"/>
        <v>5.6</v>
      </c>
      <c r="AC271" s="1315" t="str">
        <f t="shared" si="157"/>
        <v>+</v>
      </c>
      <c r="AD271" s="1315">
        <f t="shared" si="158"/>
        <v>6.3</v>
      </c>
      <c r="AE271" s="1315"/>
      <c r="AF271" s="1316"/>
      <c r="AG271" s="1298" t="str">
        <f t="shared" si="161"/>
        <v>5,6+6,3</v>
      </c>
      <c r="AH271" s="1304">
        <f>SUM(AH244)</f>
        <v>0</v>
      </c>
      <c r="AI271" s="1304">
        <f t="shared" si="152"/>
        <v>0.26</v>
      </c>
      <c r="AJ271" s="1304">
        <f t="shared" si="163"/>
        <v>0.06</v>
      </c>
      <c r="AK271" s="1298">
        <f t="shared" si="159"/>
        <v>120</v>
      </c>
      <c r="AL271" s="1304">
        <f t="shared" si="146"/>
        <v>0.2</v>
      </c>
      <c r="AM271" s="1298">
        <v>0</v>
      </c>
      <c r="AN271" s="893">
        <f t="shared" si="147"/>
        <v>5.88</v>
      </c>
      <c r="AO271" s="1304">
        <f t="shared" si="162"/>
        <v>5.68</v>
      </c>
      <c r="AP271" s="1309"/>
      <c r="AQ271" s="1309" t="str">
        <f t="shared" si="165"/>
        <v/>
      </c>
      <c r="AR271" s="1298" t="str">
        <f>IF(AP270&lt;0,"закрыт","")</f>
        <v/>
      </c>
      <c r="AS271" s="1306"/>
      <c r="AT271" s="954" t="s">
        <v>758</v>
      </c>
      <c r="AU271" s="1113">
        <v>1978</v>
      </c>
      <c r="AV271" s="1119" t="s">
        <v>3286</v>
      </c>
      <c r="AW271" s="1121">
        <v>56.206891388101397</v>
      </c>
      <c r="AX271" s="1121">
        <v>33.892258534506098</v>
      </c>
    </row>
    <row r="272" spans="1:50" ht="20.100000000000001" customHeight="1" x14ac:dyDescent="0.25">
      <c r="A272" s="1371"/>
      <c r="B272" s="1371"/>
      <c r="C272" s="7" t="s">
        <v>1791</v>
      </c>
      <c r="D272" s="230">
        <v>5.6</v>
      </c>
      <c r="E272" s="229" t="s">
        <v>785</v>
      </c>
      <c r="F272" s="229">
        <v>6.3</v>
      </c>
      <c r="G272" s="229"/>
      <c r="H272" s="228"/>
      <c r="I272" s="229" t="str">
        <f t="shared" si="155"/>
        <v>5,6+6,3</v>
      </c>
      <c r="J272" s="895">
        <v>1.76</v>
      </c>
      <c r="K272" s="172">
        <v>0.78</v>
      </c>
      <c r="L272" s="213">
        <v>240</v>
      </c>
      <c r="M272" s="901">
        <f t="shared" si="144"/>
        <v>0.98</v>
      </c>
      <c r="N272" s="172">
        <v>0</v>
      </c>
      <c r="O272" s="893"/>
      <c r="P272" s="893">
        <f t="shared" si="145"/>
        <v>5.88</v>
      </c>
      <c r="Q272" s="172">
        <f t="shared" si="160"/>
        <v>4.9000000000000004</v>
      </c>
      <c r="R272" s="1379"/>
      <c r="S272" s="1363" t="str">
        <f t="shared" si="164"/>
        <v/>
      </c>
      <c r="T272" s="257" t="str">
        <f>IF(R270&lt;0,"закрыт","")</f>
        <v/>
      </c>
      <c r="U272" s="1363"/>
      <c r="V272" s="1363"/>
      <c r="W272" s="257" t="s">
        <v>3088</v>
      </c>
      <c r="X272" s="929"/>
      <c r="Y272" s="1371"/>
      <c r="Z272" s="1316"/>
      <c r="AA272" s="7" t="s">
        <v>1791</v>
      </c>
      <c r="AB272" s="230">
        <f t="shared" si="156"/>
        <v>5.6</v>
      </c>
      <c r="AC272" s="1315" t="str">
        <f t="shared" si="157"/>
        <v>+</v>
      </c>
      <c r="AD272" s="1315">
        <f t="shared" si="158"/>
        <v>6.3</v>
      </c>
      <c r="AE272" s="1315"/>
      <c r="AF272" s="1316"/>
      <c r="AG272" s="1298" t="str">
        <f t="shared" si="161"/>
        <v>5,6+6,3</v>
      </c>
      <c r="AH272" s="1304">
        <f>'Зона РжЭс'!L141</f>
        <v>0.138125</v>
      </c>
      <c r="AI272" s="1304">
        <f t="shared" si="152"/>
        <v>1.8981250000000001</v>
      </c>
      <c r="AJ272" s="1304">
        <f t="shared" si="163"/>
        <v>0.78</v>
      </c>
      <c r="AK272" s="1298">
        <f t="shared" si="159"/>
        <v>240</v>
      </c>
      <c r="AL272" s="1304">
        <f t="shared" si="146"/>
        <v>1.118125</v>
      </c>
      <c r="AM272" s="1298">
        <v>0</v>
      </c>
      <c r="AN272" s="893">
        <f t="shared" si="147"/>
        <v>5.88</v>
      </c>
      <c r="AO272" s="1304">
        <f t="shared" si="162"/>
        <v>4.7618749999999999</v>
      </c>
      <c r="AP272" s="1310"/>
      <c r="AQ272" s="1310" t="str">
        <f t="shared" si="165"/>
        <v/>
      </c>
      <c r="AR272" s="1298" t="str">
        <f>IF(AP270&lt;0,"закрыт","")</f>
        <v/>
      </c>
      <c r="AS272" s="1307"/>
      <c r="AT272" s="954" t="s">
        <v>758</v>
      </c>
      <c r="AU272" s="1113">
        <v>1978</v>
      </c>
      <c r="AV272" s="1119" t="s">
        <v>3286</v>
      </c>
      <c r="AW272" s="1121">
        <v>56.206891388101397</v>
      </c>
      <c r="AX272" s="1121">
        <v>33.892258534506098</v>
      </c>
    </row>
    <row r="273" spans="1:50" ht="20.100000000000001" customHeight="1" x14ac:dyDescent="0.25">
      <c r="A273" s="1371">
        <v>198</v>
      </c>
      <c r="B273" s="1371">
        <v>25</v>
      </c>
      <c r="C273" s="213" t="s">
        <v>170</v>
      </c>
      <c r="D273" s="230">
        <v>16</v>
      </c>
      <c r="E273" s="229" t="s">
        <v>785</v>
      </c>
      <c r="F273" s="229">
        <v>10</v>
      </c>
      <c r="G273" s="229"/>
      <c r="H273" s="228"/>
      <c r="I273" s="229" t="str">
        <f t="shared" si="155"/>
        <v>16+10</v>
      </c>
      <c r="J273" s="895">
        <v>7.47</v>
      </c>
      <c r="K273" s="172">
        <v>0.3807236052880148</v>
      </c>
      <c r="L273" s="213">
        <v>120</v>
      </c>
      <c r="M273" s="901">
        <f t="shared" si="144"/>
        <v>7.0892763947119848</v>
      </c>
      <c r="N273" s="172">
        <v>0</v>
      </c>
      <c r="O273" s="893"/>
      <c r="P273" s="893">
        <f t="shared" si="145"/>
        <v>10.5</v>
      </c>
      <c r="Q273" s="172">
        <f t="shared" si="160"/>
        <v>3.4107236052880152</v>
      </c>
      <c r="R273" s="1379">
        <f>MIN(Q273:Q275)</f>
        <v>3.4107236052880152</v>
      </c>
      <c r="S273" s="1362" t="str">
        <f t="shared" si="164"/>
        <v/>
      </c>
      <c r="T273" s="257" t="str">
        <f>IF(R273&lt;0,"закрыт","")</f>
        <v/>
      </c>
      <c r="U273" s="1362">
        <f>(J273*100)/P273</f>
        <v>71.142857142857139</v>
      </c>
      <c r="V273" s="1362">
        <v>0.33</v>
      </c>
      <c r="W273" s="768" t="s">
        <v>3088</v>
      </c>
      <c r="X273" s="929"/>
      <c r="Y273" s="1371">
        <v>198</v>
      </c>
      <c r="Z273" s="1316">
        <v>25</v>
      </c>
      <c r="AA273" s="1298" t="s">
        <v>170</v>
      </c>
      <c r="AB273" s="230">
        <f t="shared" si="156"/>
        <v>16</v>
      </c>
      <c r="AC273" s="1315" t="str">
        <f t="shared" si="157"/>
        <v>+</v>
      </c>
      <c r="AD273" s="1315">
        <f t="shared" si="158"/>
        <v>10</v>
      </c>
      <c r="AE273" s="1315"/>
      <c r="AF273" s="1316"/>
      <c r="AG273" s="1298" t="str">
        <f t="shared" si="161"/>
        <v>16+10</v>
      </c>
      <c r="AH273" s="1304">
        <f>SUM(AH274:AH275)</f>
        <v>0.11499999999999999</v>
      </c>
      <c r="AI273" s="1304">
        <f t="shared" si="152"/>
        <v>7.585</v>
      </c>
      <c r="AJ273" s="1304">
        <f t="shared" si="163"/>
        <v>0.3807236052880148</v>
      </c>
      <c r="AK273" s="1298">
        <f t="shared" si="159"/>
        <v>120</v>
      </c>
      <c r="AL273" s="1304">
        <f t="shared" si="146"/>
        <v>7.204276394711985</v>
      </c>
      <c r="AM273" s="1298">
        <v>0</v>
      </c>
      <c r="AN273" s="893">
        <f t="shared" si="147"/>
        <v>10.5</v>
      </c>
      <c r="AO273" s="1304">
        <f t="shared" si="162"/>
        <v>3.295723605288015</v>
      </c>
      <c r="AP273" s="1308">
        <f>MIN(AO273:AO275)</f>
        <v>3.295723605288015</v>
      </c>
      <c r="AQ273" s="1308" t="str">
        <f t="shared" si="165"/>
        <v/>
      </c>
      <c r="AR273" s="1298" t="str">
        <f>IF(AP273&lt;0,"закрыт","")</f>
        <v/>
      </c>
      <c r="AS273" s="1305">
        <f>(AI273*100)/AN273</f>
        <v>72.238095238095241</v>
      </c>
      <c r="AT273" s="954" t="s">
        <v>758</v>
      </c>
      <c r="AU273" s="1113">
        <v>1964</v>
      </c>
      <c r="AV273" s="1119" t="s">
        <v>3286</v>
      </c>
      <c r="AW273" s="1121">
        <v>56.222590712521701</v>
      </c>
      <c r="AX273" s="1121">
        <v>33.502481446068401</v>
      </c>
    </row>
    <row r="274" spans="1:50" ht="20.100000000000001" customHeight="1" x14ac:dyDescent="0.25">
      <c r="A274" s="1371"/>
      <c r="B274" s="1371"/>
      <c r="C274" s="7" t="s">
        <v>1834</v>
      </c>
      <c r="D274" s="230">
        <v>16</v>
      </c>
      <c r="E274" s="229" t="s">
        <v>785</v>
      </c>
      <c r="F274" s="229">
        <v>10</v>
      </c>
      <c r="G274" s="229"/>
      <c r="H274" s="228"/>
      <c r="I274" s="229" t="str">
        <f t="shared" si="155"/>
        <v>16+10</v>
      </c>
      <c r="J274" s="895">
        <v>1.47</v>
      </c>
      <c r="K274" s="172">
        <v>0.3807236052880148</v>
      </c>
      <c r="L274" s="213">
        <v>120</v>
      </c>
      <c r="M274" s="901">
        <f t="shared" si="144"/>
        <v>1.0892763947119852</v>
      </c>
      <c r="N274" s="172">
        <v>0</v>
      </c>
      <c r="O274" s="893"/>
      <c r="P274" s="893">
        <f t="shared" si="145"/>
        <v>10.5</v>
      </c>
      <c r="Q274" s="172">
        <f t="shared" si="160"/>
        <v>9.4107236052880143</v>
      </c>
      <c r="R274" s="1379"/>
      <c r="S274" s="1363" t="str">
        <f t="shared" si="164"/>
        <v/>
      </c>
      <c r="T274" s="257" t="str">
        <f>IF(R273&lt;0,"закрыт","")</f>
        <v/>
      </c>
      <c r="U274" s="1363"/>
      <c r="V274" s="1363"/>
      <c r="W274" s="257" t="s">
        <v>3088</v>
      </c>
      <c r="X274" s="929"/>
      <c r="Y274" s="1371"/>
      <c r="Z274" s="1316"/>
      <c r="AA274" s="7" t="s">
        <v>1834</v>
      </c>
      <c r="AB274" s="230">
        <f t="shared" si="156"/>
        <v>16</v>
      </c>
      <c r="AC274" s="1315" t="str">
        <f t="shared" si="157"/>
        <v>+</v>
      </c>
      <c r="AD274" s="1315">
        <f t="shared" si="158"/>
        <v>10</v>
      </c>
      <c r="AE274" s="1315"/>
      <c r="AF274" s="1316"/>
      <c r="AG274" s="1298" t="str">
        <f t="shared" si="161"/>
        <v>16+10</v>
      </c>
      <c r="AH274" s="1304">
        <f>SUM(AH248+AH249+AH250+AH251)</f>
        <v>0</v>
      </c>
      <c r="AI274" s="1304">
        <f t="shared" si="152"/>
        <v>1.47</v>
      </c>
      <c r="AJ274" s="1304">
        <f t="shared" si="163"/>
        <v>0.3807236052880148</v>
      </c>
      <c r="AK274" s="1298">
        <f t="shared" si="159"/>
        <v>120</v>
      </c>
      <c r="AL274" s="1304">
        <f t="shared" si="146"/>
        <v>1.0892763947119852</v>
      </c>
      <c r="AM274" s="1298">
        <v>0</v>
      </c>
      <c r="AN274" s="893">
        <f t="shared" si="147"/>
        <v>10.5</v>
      </c>
      <c r="AO274" s="1304">
        <f t="shared" si="162"/>
        <v>9.4107236052880143</v>
      </c>
      <c r="AP274" s="1309"/>
      <c r="AQ274" s="1309" t="str">
        <f t="shared" si="165"/>
        <v/>
      </c>
      <c r="AR274" s="1298" t="str">
        <f>IF(AP273&lt;0,"закрыт","")</f>
        <v/>
      </c>
      <c r="AS274" s="1306"/>
      <c r="AT274" s="954" t="s">
        <v>758</v>
      </c>
      <c r="AU274" s="1113">
        <v>1964</v>
      </c>
      <c r="AV274" s="1119" t="s">
        <v>3286</v>
      </c>
      <c r="AW274" s="1121">
        <v>56.222590712521701</v>
      </c>
      <c r="AX274" s="1121">
        <v>33.502481446068401</v>
      </c>
    </row>
    <row r="275" spans="1:50" ht="20.100000000000001" customHeight="1" x14ac:dyDescent="0.25">
      <c r="A275" s="1371"/>
      <c r="B275" s="1371"/>
      <c r="C275" s="7" t="s">
        <v>1791</v>
      </c>
      <c r="D275" s="230">
        <v>16</v>
      </c>
      <c r="E275" s="229" t="s">
        <v>785</v>
      </c>
      <c r="F275" s="229">
        <v>10</v>
      </c>
      <c r="G275" s="229"/>
      <c r="H275" s="228"/>
      <c r="I275" s="229" t="str">
        <f t="shared" si="155"/>
        <v>16+10</v>
      </c>
      <c r="J275" s="895">
        <v>6</v>
      </c>
      <c r="K275" s="172">
        <v>0</v>
      </c>
      <c r="L275" s="213">
        <v>0</v>
      </c>
      <c r="M275" s="901">
        <f t="shared" si="144"/>
        <v>6</v>
      </c>
      <c r="N275" s="172">
        <v>0</v>
      </c>
      <c r="O275" s="893"/>
      <c r="P275" s="893">
        <f t="shared" si="145"/>
        <v>10.5</v>
      </c>
      <c r="Q275" s="172">
        <f t="shared" si="160"/>
        <v>4.5</v>
      </c>
      <c r="R275" s="1379"/>
      <c r="S275" s="1363" t="str">
        <f t="shared" si="164"/>
        <v/>
      </c>
      <c r="T275" s="257" t="str">
        <f>IF(R273&lt;0,"закрыт","")</f>
        <v/>
      </c>
      <c r="U275" s="1363"/>
      <c r="V275" s="1363"/>
      <c r="W275" s="257" t="s">
        <v>3088</v>
      </c>
      <c r="X275" s="929"/>
      <c r="Y275" s="1371"/>
      <c r="Z275" s="1316"/>
      <c r="AA275" s="7" t="s">
        <v>1791</v>
      </c>
      <c r="AB275" s="230">
        <f t="shared" si="156"/>
        <v>16</v>
      </c>
      <c r="AC275" s="1315" t="str">
        <f t="shared" si="157"/>
        <v>+</v>
      </c>
      <c r="AD275" s="1315">
        <f t="shared" si="158"/>
        <v>10</v>
      </c>
      <c r="AE275" s="1315"/>
      <c r="AF275" s="1316"/>
      <c r="AG275" s="1298" t="str">
        <f t="shared" si="161"/>
        <v>16+10</v>
      </c>
      <c r="AH275" s="1304">
        <f>'Зона РжЭс'!L147</f>
        <v>0.11499999999999999</v>
      </c>
      <c r="AI275" s="1304">
        <f t="shared" si="152"/>
        <v>6.1150000000000002</v>
      </c>
      <c r="AJ275" s="1304">
        <f t="shared" si="163"/>
        <v>0</v>
      </c>
      <c r="AK275" s="1298">
        <f t="shared" si="159"/>
        <v>0</v>
      </c>
      <c r="AL275" s="1304">
        <f t="shared" si="146"/>
        <v>6.1150000000000002</v>
      </c>
      <c r="AM275" s="1298">
        <v>0</v>
      </c>
      <c r="AN275" s="893">
        <f t="shared" si="147"/>
        <v>10.5</v>
      </c>
      <c r="AO275" s="1304">
        <f t="shared" si="162"/>
        <v>4.3849999999999998</v>
      </c>
      <c r="AP275" s="1310"/>
      <c r="AQ275" s="1310" t="str">
        <f t="shared" si="165"/>
        <v/>
      </c>
      <c r="AR275" s="1298" t="str">
        <f>IF(AP273&lt;0,"закрыт","")</f>
        <v/>
      </c>
      <c r="AS275" s="1307"/>
      <c r="AT275" s="954" t="s">
        <v>758</v>
      </c>
      <c r="AU275" s="1113">
        <v>1964</v>
      </c>
      <c r="AV275" s="1119" t="s">
        <v>3286</v>
      </c>
      <c r="AW275" s="1121">
        <v>56.222590712521701</v>
      </c>
      <c r="AX275" s="1121">
        <v>33.502481446068401</v>
      </c>
    </row>
    <row r="276" spans="1:50" ht="20.100000000000001" customHeight="1" x14ac:dyDescent="0.25">
      <c r="A276" s="1371">
        <v>199</v>
      </c>
      <c r="B276" s="1371">
        <v>26</v>
      </c>
      <c r="C276" s="213" t="s">
        <v>171</v>
      </c>
      <c r="D276" s="230">
        <v>16</v>
      </c>
      <c r="E276" s="229" t="s">
        <v>785</v>
      </c>
      <c r="F276" s="229">
        <v>16</v>
      </c>
      <c r="G276" s="229"/>
      <c r="H276" s="228"/>
      <c r="I276" s="229" t="str">
        <f t="shared" si="155"/>
        <v>16+16</v>
      </c>
      <c r="J276" s="895">
        <v>14.48</v>
      </c>
      <c r="K276" s="172">
        <v>5.4106372045180855</v>
      </c>
      <c r="L276" s="213">
        <v>480</v>
      </c>
      <c r="M276" s="901">
        <f t="shared" si="144"/>
        <v>9.0693627954819149</v>
      </c>
      <c r="N276" s="172">
        <v>0</v>
      </c>
      <c r="O276" s="893"/>
      <c r="P276" s="893">
        <f t="shared" si="145"/>
        <v>16.8</v>
      </c>
      <c r="Q276" s="172">
        <f t="shared" si="160"/>
        <v>7.7306372045180858</v>
      </c>
      <c r="R276" s="1379">
        <f>MIN(Q276:Q278)</f>
        <v>7.7306372045180858</v>
      </c>
      <c r="S276" s="1362" t="str">
        <f t="shared" si="164"/>
        <v/>
      </c>
      <c r="T276" s="257" t="str">
        <f>IF(R276&lt;0,"закрыт","")</f>
        <v/>
      </c>
      <c r="U276" s="1362">
        <f>(J276*100)/P276</f>
        <v>86.19047619047619</v>
      </c>
      <c r="V276" s="1362">
        <v>0.37</v>
      </c>
      <c r="W276" s="768" t="s">
        <v>3088</v>
      </c>
      <c r="X276" s="929"/>
      <c r="Y276" s="1371">
        <v>199</v>
      </c>
      <c r="Z276" s="1316">
        <v>26</v>
      </c>
      <c r="AA276" s="1298" t="s">
        <v>171</v>
      </c>
      <c r="AB276" s="230">
        <f t="shared" si="156"/>
        <v>16</v>
      </c>
      <c r="AC276" s="1315" t="str">
        <f t="shared" si="157"/>
        <v>+</v>
      </c>
      <c r="AD276" s="1315">
        <f t="shared" si="158"/>
        <v>16</v>
      </c>
      <c r="AE276" s="1315"/>
      <c r="AF276" s="1316"/>
      <c r="AG276" s="1298" t="str">
        <f t="shared" si="161"/>
        <v>16+16</v>
      </c>
      <c r="AH276" s="1304">
        <f>SUM(AH277:AH278)</f>
        <v>3.5006249999999994</v>
      </c>
      <c r="AI276" s="1304">
        <f t="shared" si="152"/>
        <v>17.980625</v>
      </c>
      <c r="AJ276" s="1304">
        <f t="shared" si="163"/>
        <v>5.4106372045180855</v>
      </c>
      <c r="AK276" s="1298">
        <f t="shared" si="159"/>
        <v>480</v>
      </c>
      <c r="AL276" s="1304">
        <f t="shared" si="146"/>
        <v>12.569987795481914</v>
      </c>
      <c r="AM276" s="1298">
        <v>0</v>
      </c>
      <c r="AN276" s="893">
        <f t="shared" si="147"/>
        <v>16.8</v>
      </c>
      <c r="AO276" s="1304">
        <f t="shared" si="162"/>
        <v>4.2300122045180863</v>
      </c>
      <c r="AP276" s="1308">
        <f>MIN(AO276:AO278)</f>
        <v>4.2300122045180863</v>
      </c>
      <c r="AQ276" s="1308" t="str">
        <f t="shared" si="165"/>
        <v/>
      </c>
      <c r="AR276" s="1298" t="str">
        <f>IF(AP276&lt;0,"закрыт","")</f>
        <v/>
      </c>
      <c r="AS276" s="1305">
        <f>(AI276*100)/AN276</f>
        <v>107.02752976190476</v>
      </c>
      <c r="AT276" s="954" t="s">
        <v>758</v>
      </c>
      <c r="AU276" s="1113">
        <v>1961</v>
      </c>
      <c r="AV276" s="1119" t="s">
        <v>3286</v>
      </c>
      <c r="AW276" s="1121">
        <v>56.498230498297197</v>
      </c>
      <c r="AX276" s="1121">
        <v>34.925430104473897</v>
      </c>
    </row>
    <row r="277" spans="1:50" ht="20.100000000000001" customHeight="1" x14ac:dyDescent="0.25">
      <c r="A277" s="1371"/>
      <c r="B277" s="1371"/>
      <c r="C277" s="7" t="s">
        <v>1834</v>
      </c>
      <c r="D277" s="230">
        <v>16</v>
      </c>
      <c r="E277" s="229" t="s">
        <v>785</v>
      </c>
      <c r="F277" s="229">
        <v>16</v>
      </c>
      <c r="G277" s="229"/>
      <c r="H277" s="228"/>
      <c r="I277" s="229" t="str">
        <f t="shared" si="155"/>
        <v>16+16</v>
      </c>
      <c r="J277" s="895">
        <v>5.12</v>
      </c>
      <c r="K277" s="172">
        <v>4.7006372045180855</v>
      </c>
      <c r="L277" s="213">
        <v>480</v>
      </c>
      <c r="M277" s="901">
        <f t="shared" si="144"/>
        <v>0.41936279548191457</v>
      </c>
      <c r="N277" s="172">
        <v>0</v>
      </c>
      <c r="O277" s="893"/>
      <c r="P277" s="893">
        <f t="shared" si="145"/>
        <v>16.8</v>
      </c>
      <c r="Q277" s="172">
        <f t="shared" si="160"/>
        <v>16.380637204518088</v>
      </c>
      <c r="R277" s="1379"/>
      <c r="S277" s="1363" t="str">
        <f t="shared" si="164"/>
        <v/>
      </c>
      <c r="T277" s="257" t="str">
        <f>IF(R276&lt;0,"закрыт","")</f>
        <v/>
      </c>
      <c r="U277" s="1363"/>
      <c r="V277" s="1363"/>
      <c r="W277" s="257" t="s">
        <v>3088</v>
      </c>
      <c r="X277" s="929"/>
      <c r="Y277" s="1371"/>
      <c r="Z277" s="1316"/>
      <c r="AA277" s="7" t="s">
        <v>1834</v>
      </c>
      <c r="AB277" s="230">
        <f t="shared" si="156"/>
        <v>16</v>
      </c>
      <c r="AC277" s="1315" t="str">
        <f t="shared" si="157"/>
        <v>+</v>
      </c>
      <c r="AD277" s="1315">
        <f t="shared" si="158"/>
        <v>16</v>
      </c>
      <c r="AE277" s="1315"/>
      <c r="AF277" s="1316"/>
      <c r="AG277" s="1298" t="str">
        <f t="shared" si="161"/>
        <v>16+16</v>
      </c>
      <c r="AH277" s="1304">
        <f>SUM(AH252+AH253+AH262+AH263+AH264)</f>
        <v>0.39774999999999994</v>
      </c>
      <c r="AI277" s="1304">
        <f t="shared" si="152"/>
        <v>5.5177500000000004</v>
      </c>
      <c r="AJ277" s="1304">
        <f t="shared" si="163"/>
        <v>4.7006372045180855</v>
      </c>
      <c r="AK277" s="1298">
        <f t="shared" si="159"/>
        <v>480</v>
      </c>
      <c r="AL277" s="1304">
        <f t="shared" si="146"/>
        <v>0.81711279548191484</v>
      </c>
      <c r="AM277" s="1298">
        <v>0</v>
      </c>
      <c r="AN277" s="893">
        <f t="shared" si="147"/>
        <v>16.8</v>
      </c>
      <c r="AO277" s="1304">
        <f t="shared" si="162"/>
        <v>15.982887204518086</v>
      </c>
      <c r="AP277" s="1309"/>
      <c r="AQ277" s="1309" t="str">
        <f t="shared" si="165"/>
        <v/>
      </c>
      <c r="AR277" s="1298" t="str">
        <f>IF(AP276&lt;0,"закрыт","")</f>
        <v/>
      </c>
      <c r="AS277" s="1306"/>
      <c r="AT277" s="954" t="s">
        <v>758</v>
      </c>
      <c r="AU277" s="1113">
        <v>1961</v>
      </c>
      <c r="AV277" s="1119" t="s">
        <v>3286</v>
      </c>
      <c r="AW277" s="1121">
        <v>56.498230498297197</v>
      </c>
      <c r="AX277" s="1121">
        <v>34.925430104473897</v>
      </c>
    </row>
    <row r="278" spans="1:50" ht="19.5" customHeight="1" x14ac:dyDescent="0.25">
      <c r="A278" s="1371"/>
      <c r="B278" s="1371"/>
      <c r="C278" s="7" t="s">
        <v>1791</v>
      </c>
      <c r="D278" s="230">
        <v>16</v>
      </c>
      <c r="E278" s="229" t="s">
        <v>785</v>
      </c>
      <c r="F278" s="229">
        <v>16</v>
      </c>
      <c r="G278" s="229"/>
      <c r="H278" s="228"/>
      <c r="I278" s="229" t="str">
        <f t="shared" si="155"/>
        <v>16+16</v>
      </c>
      <c r="J278" s="895">
        <v>9.36</v>
      </c>
      <c r="K278" s="172">
        <v>0.71</v>
      </c>
      <c r="L278" s="213">
        <v>240</v>
      </c>
      <c r="M278" s="901">
        <f t="shared" si="144"/>
        <v>8.6499999999999986</v>
      </c>
      <c r="N278" s="172">
        <v>0</v>
      </c>
      <c r="O278" s="893"/>
      <c r="P278" s="893">
        <f t="shared" si="145"/>
        <v>16.8</v>
      </c>
      <c r="Q278" s="172">
        <f t="shared" si="160"/>
        <v>8.1500000000000021</v>
      </c>
      <c r="R278" s="1379"/>
      <c r="S278" s="1363" t="str">
        <f t="shared" si="164"/>
        <v/>
      </c>
      <c r="T278" s="257" t="str">
        <f>IF(R276&lt;0,"закрыт","")</f>
        <v/>
      </c>
      <c r="U278" s="1363"/>
      <c r="V278" s="1363"/>
      <c r="W278" s="257" t="s">
        <v>3088</v>
      </c>
      <c r="X278" s="929"/>
      <c r="Y278" s="1371"/>
      <c r="Z278" s="1316"/>
      <c r="AA278" s="7" t="s">
        <v>1791</v>
      </c>
      <c r="AB278" s="230">
        <f t="shared" si="156"/>
        <v>16</v>
      </c>
      <c r="AC278" s="1315" t="str">
        <f t="shared" si="157"/>
        <v>+</v>
      </c>
      <c r="AD278" s="1315">
        <f t="shared" si="158"/>
        <v>16</v>
      </c>
      <c r="AE278" s="1315"/>
      <c r="AF278" s="1316"/>
      <c r="AG278" s="1298" t="str">
        <f t="shared" si="161"/>
        <v>16+16</v>
      </c>
      <c r="AH278" s="1304">
        <f>'Зона РжЭс'!L166</f>
        <v>3.1028749999999996</v>
      </c>
      <c r="AI278" s="1304">
        <f t="shared" si="152"/>
        <v>12.462874999999999</v>
      </c>
      <c r="AJ278" s="1304">
        <f t="shared" si="163"/>
        <v>0.71</v>
      </c>
      <c r="AK278" s="1298">
        <f t="shared" si="159"/>
        <v>240</v>
      </c>
      <c r="AL278" s="1304">
        <f t="shared" si="146"/>
        <v>11.752875</v>
      </c>
      <c r="AM278" s="1298">
        <v>0</v>
      </c>
      <c r="AN278" s="893">
        <f t="shared" si="147"/>
        <v>16.8</v>
      </c>
      <c r="AO278" s="1304">
        <f t="shared" si="162"/>
        <v>5.0471250000000012</v>
      </c>
      <c r="AP278" s="1310"/>
      <c r="AQ278" s="1310" t="str">
        <f t="shared" si="165"/>
        <v/>
      </c>
      <c r="AR278" s="1298" t="str">
        <f>IF(AP276&lt;0,"закрыт","")</f>
        <v/>
      </c>
      <c r="AS278" s="1307"/>
      <c r="AT278" s="954" t="s">
        <v>758</v>
      </c>
      <c r="AU278" s="1113">
        <v>1961</v>
      </c>
      <c r="AV278" s="1119" t="s">
        <v>3286</v>
      </c>
      <c r="AW278" s="1121">
        <v>56.498230498297197</v>
      </c>
      <c r="AX278" s="1121">
        <v>34.925430104473897</v>
      </c>
    </row>
    <row r="279" spans="1:50" ht="20.100000000000001" customHeight="1" x14ac:dyDescent="0.25">
      <c r="A279" s="1371">
        <v>200</v>
      </c>
      <c r="B279" s="1371">
        <v>27</v>
      </c>
      <c r="C279" s="213" t="s">
        <v>172</v>
      </c>
      <c r="D279" s="230">
        <v>6.3</v>
      </c>
      <c r="E279" s="229" t="s">
        <v>785</v>
      </c>
      <c r="F279" s="229">
        <v>6.3</v>
      </c>
      <c r="G279" s="229"/>
      <c r="H279" s="228"/>
      <c r="I279" s="229" t="str">
        <f t="shared" si="155"/>
        <v>6,3+6,3</v>
      </c>
      <c r="J279" s="895">
        <v>2.69</v>
      </c>
      <c r="K279" s="172"/>
      <c r="L279" s="213">
        <v>0</v>
      </c>
      <c r="M279" s="901">
        <f t="shared" si="144"/>
        <v>2.69</v>
      </c>
      <c r="N279" s="172">
        <v>0</v>
      </c>
      <c r="O279" s="893"/>
      <c r="P279" s="893">
        <f t="shared" si="145"/>
        <v>6.6150000000000002</v>
      </c>
      <c r="Q279" s="172">
        <f t="shared" si="160"/>
        <v>3.9250000000000003</v>
      </c>
      <c r="R279" s="1379">
        <f>MIN(Q279:Q281)</f>
        <v>3.9250000000000003</v>
      </c>
      <c r="S279" s="1362" t="str">
        <f t="shared" si="164"/>
        <v/>
      </c>
      <c r="T279" s="257" t="str">
        <f>IF(R279&lt;0,"закрыт","")</f>
        <v/>
      </c>
      <c r="U279" s="1362">
        <f>(J279*100)/P279</f>
        <v>40.665154950869237</v>
      </c>
      <c r="V279" s="1362">
        <v>0.43</v>
      </c>
      <c r="W279" s="768"/>
      <c r="X279" s="929"/>
      <c r="Y279" s="1371">
        <v>200</v>
      </c>
      <c r="Z279" s="1316">
        <v>27</v>
      </c>
      <c r="AA279" s="1298" t="s">
        <v>172</v>
      </c>
      <c r="AB279" s="230">
        <f t="shared" si="156"/>
        <v>6.3</v>
      </c>
      <c r="AC279" s="1315" t="str">
        <f t="shared" si="157"/>
        <v>+</v>
      </c>
      <c r="AD279" s="1315">
        <f t="shared" si="158"/>
        <v>6.3</v>
      </c>
      <c r="AE279" s="1315"/>
      <c r="AF279" s="1316"/>
      <c r="AG279" s="1298" t="str">
        <f t="shared" si="161"/>
        <v>6,3+6,3</v>
      </c>
      <c r="AH279" s="1304">
        <f>SUM(AH280:AH281)</f>
        <v>1.17</v>
      </c>
      <c r="AI279" s="1304">
        <f t="shared" si="152"/>
        <v>3.86</v>
      </c>
      <c r="AJ279" s="1304">
        <f t="shared" si="163"/>
        <v>0</v>
      </c>
      <c r="AK279" s="1298">
        <f t="shared" si="159"/>
        <v>0</v>
      </c>
      <c r="AL279" s="1304">
        <f t="shared" si="146"/>
        <v>3.86</v>
      </c>
      <c r="AM279" s="1298">
        <v>0</v>
      </c>
      <c r="AN279" s="893">
        <f t="shared" si="147"/>
        <v>6.6150000000000002</v>
      </c>
      <c r="AO279" s="1304">
        <f t="shared" si="162"/>
        <v>2.7550000000000003</v>
      </c>
      <c r="AP279" s="1308">
        <f>MIN(AO279:AO281)</f>
        <v>2.7550000000000003</v>
      </c>
      <c r="AQ279" s="1308" t="str">
        <f t="shared" si="165"/>
        <v/>
      </c>
      <c r="AR279" s="1298" t="str">
        <f>IF(AP279&lt;0,"закрыт","")</f>
        <v/>
      </c>
      <c r="AS279" s="1305">
        <f>(AI279*100)/AN279</f>
        <v>58.35222978080121</v>
      </c>
      <c r="AT279" s="954" t="s">
        <v>758</v>
      </c>
      <c r="AU279" s="1113">
        <v>1975</v>
      </c>
      <c r="AV279" s="1119" t="s">
        <v>3286</v>
      </c>
      <c r="AW279" s="1121">
        <v>56.593616507818602</v>
      </c>
      <c r="AX279" s="1121">
        <v>35.225638740526897</v>
      </c>
    </row>
    <row r="280" spans="1:50" ht="20.100000000000001" customHeight="1" x14ac:dyDescent="0.25">
      <c r="A280" s="1371"/>
      <c r="B280" s="1371"/>
      <c r="C280" s="7" t="s">
        <v>1834</v>
      </c>
      <c r="D280" s="230">
        <v>6.3</v>
      </c>
      <c r="E280" s="229" t="s">
        <v>785</v>
      </c>
      <c r="F280" s="229">
        <v>6.3</v>
      </c>
      <c r="G280" s="229"/>
      <c r="H280" s="228"/>
      <c r="I280" s="229" t="str">
        <f t="shared" si="155"/>
        <v>6,3+6,3</v>
      </c>
      <c r="J280" s="895">
        <v>0</v>
      </c>
      <c r="K280" s="172">
        <v>0</v>
      </c>
      <c r="L280" s="213">
        <v>0</v>
      </c>
      <c r="M280" s="901">
        <f t="shared" si="144"/>
        <v>0</v>
      </c>
      <c r="N280" s="172">
        <v>0</v>
      </c>
      <c r="O280" s="893"/>
      <c r="P280" s="893">
        <f t="shared" si="145"/>
        <v>6.6150000000000002</v>
      </c>
      <c r="Q280" s="172">
        <f t="shared" si="160"/>
        <v>6.6150000000000002</v>
      </c>
      <c r="R280" s="1379"/>
      <c r="S280" s="1363" t="str">
        <f t="shared" si="164"/>
        <v/>
      </c>
      <c r="T280" s="257" t="str">
        <f>IF(R279&lt;0,"закрыт","")</f>
        <v/>
      </c>
      <c r="U280" s="1363"/>
      <c r="V280" s="1363"/>
      <c r="W280" s="257" t="s">
        <v>3088</v>
      </c>
      <c r="X280" s="929"/>
      <c r="Y280" s="1371"/>
      <c r="Z280" s="1316"/>
      <c r="AA280" s="7" t="s">
        <v>1834</v>
      </c>
      <c r="AB280" s="230">
        <f t="shared" si="156"/>
        <v>6.3</v>
      </c>
      <c r="AC280" s="1315" t="str">
        <f t="shared" si="157"/>
        <v>+</v>
      </c>
      <c r="AD280" s="1315">
        <f t="shared" si="158"/>
        <v>6.3</v>
      </c>
      <c r="AE280" s="1315"/>
      <c r="AF280" s="1316"/>
      <c r="AG280" s="1298" t="str">
        <f t="shared" si="161"/>
        <v>6,3+6,3</v>
      </c>
      <c r="AH280" s="1304">
        <v>0</v>
      </c>
      <c r="AI280" s="1304">
        <f t="shared" si="152"/>
        <v>0</v>
      </c>
      <c r="AJ280" s="1304">
        <f t="shared" si="163"/>
        <v>0</v>
      </c>
      <c r="AK280" s="1298">
        <f t="shared" si="159"/>
        <v>0</v>
      </c>
      <c r="AL280" s="1304">
        <f t="shared" si="146"/>
        <v>0</v>
      </c>
      <c r="AM280" s="1298">
        <v>0</v>
      </c>
      <c r="AN280" s="893">
        <f t="shared" si="147"/>
        <v>6.6150000000000002</v>
      </c>
      <c r="AO280" s="1304">
        <f t="shared" si="162"/>
        <v>6.6150000000000002</v>
      </c>
      <c r="AP280" s="1309"/>
      <c r="AQ280" s="1309" t="str">
        <f t="shared" si="165"/>
        <v/>
      </c>
      <c r="AR280" s="1298" t="str">
        <f>IF(AP279&lt;0,"закрыт","")</f>
        <v/>
      </c>
      <c r="AS280" s="1306"/>
      <c r="AT280" s="954" t="s">
        <v>758</v>
      </c>
      <c r="AU280" s="1113">
        <v>1975</v>
      </c>
      <c r="AV280" s="1119" t="s">
        <v>3286</v>
      </c>
      <c r="AW280" s="1121">
        <v>56.593616507818602</v>
      </c>
      <c r="AX280" s="1121">
        <v>35.225638740526897</v>
      </c>
    </row>
    <row r="281" spans="1:50" ht="20.100000000000001" customHeight="1" x14ac:dyDescent="0.25">
      <c r="A281" s="1371"/>
      <c r="B281" s="1371"/>
      <c r="C281" s="7" t="s">
        <v>1791</v>
      </c>
      <c r="D281" s="230">
        <v>6.3</v>
      </c>
      <c r="E281" s="229" t="s">
        <v>785</v>
      </c>
      <c r="F281" s="229">
        <v>6.3</v>
      </c>
      <c r="G281" s="229"/>
      <c r="H281" s="228"/>
      <c r="I281" s="229" t="str">
        <f t="shared" si="155"/>
        <v>6,3+6,3</v>
      </c>
      <c r="J281" s="895">
        <v>2.69</v>
      </c>
      <c r="K281" s="172">
        <v>0</v>
      </c>
      <c r="L281" s="213">
        <v>0</v>
      </c>
      <c r="M281" s="901">
        <f t="shared" si="144"/>
        <v>2.69</v>
      </c>
      <c r="N281" s="172">
        <v>0</v>
      </c>
      <c r="O281" s="893"/>
      <c r="P281" s="893">
        <f t="shared" si="145"/>
        <v>6.6150000000000002</v>
      </c>
      <c r="Q281" s="172">
        <f t="shared" si="160"/>
        <v>3.9250000000000003</v>
      </c>
      <c r="R281" s="1379"/>
      <c r="S281" s="1363" t="str">
        <f t="shared" si="164"/>
        <v/>
      </c>
      <c r="T281" s="257" t="str">
        <f>IF(R279&lt;0,"закрыт","")</f>
        <v/>
      </c>
      <c r="U281" s="1363"/>
      <c r="V281" s="1363"/>
      <c r="W281" s="257" t="s">
        <v>3088</v>
      </c>
      <c r="X281" s="929"/>
      <c r="Y281" s="1371"/>
      <c r="Z281" s="1316"/>
      <c r="AA281" s="7" t="s">
        <v>1791</v>
      </c>
      <c r="AB281" s="230">
        <f t="shared" si="156"/>
        <v>6.3</v>
      </c>
      <c r="AC281" s="1315" t="str">
        <f t="shared" si="157"/>
        <v>+</v>
      </c>
      <c r="AD281" s="1315">
        <f t="shared" si="158"/>
        <v>6.3</v>
      </c>
      <c r="AE281" s="1315"/>
      <c r="AF281" s="1316"/>
      <c r="AG281" s="1298" t="str">
        <f t="shared" si="161"/>
        <v>6,3+6,3</v>
      </c>
      <c r="AH281" s="1308">
        <f>'Зона РжЭс'!L177</f>
        <v>1.17</v>
      </c>
      <c r="AI281" s="1304">
        <f t="shared" si="152"/>
        <v>3.86</v>
      </c>
      <c r="AJ281" s="1304">
        <f t="shared" si="163"/>
        <v>0</v>
      </c>
      <c r="AK281" s="1298">
        <f t="shared" si="159"/>
        <v>0</v>
      </c>
      <c r="AL281" s="1304">
        <f t="shared" si="146"/>
        <v>3.86</v>
      </c>
      <c r="AM281" s="1298">
        <v>0</v>
      </c>
      <c r="AN281" s="893">
        <f t="shared" si="147"/>
        <v>6.6150000000000002</v>
      </c>
      <c r="AO281" s="1304">
        <f t="shared" si="162"/>
        <v>2.7550000000000003</v>
      </c>
      <c r="AP281" s="1310"/>
      <c r="AQ281" s="1310" t="str">
        <f t="shared" si="165"/>
        <v/>
      </c>
      <c r="AR281" s="1298" t="str">
        <f>IF(AP279&lt;0,"закрыт","")</f>
        <v/>
      </c>
      <c r="AS281" s="1307"/>
      <c r="AT281" s="954" t="s">
        <v>758</v>
      </c>
      <c r="AU281" s="1113">
        <v>1975</v>
      </c>
      <c r="AV281" s="1119" t="s">
        <v>3286</v>
      </c>
      <c r="AW281" s="1121">
        <v>56.593616507818602</v>
      </c>
      <c r="AX281" s="1121">
        <v>35.225638740526897</v>
      </c>
    </row>
    <row r="282" spans="1:50" ht="20.100000000000001" customHeight="1" x14ac:dyDescent="0.25">
      <c r="A282" s="213">
        <v>201</v>
      </c>
      <c r="B282" s="213">
        <v>1</v>
      </c>
      <c r="C282" s="213" t="s">
        <v>173</v>
      </c>
      <c r="D282" s="230">
        <v>2.5</v>
      </c>
      <c r="E282" s="229"/>
      <c r="F282" s="229"/>
      <c r="G282" s="229"/>
      <c r="H282" s="228"/>
      <c r="I282" s="229" t="str">
        <f t="shared" si="155"/>
        <v>2,5</v>
      </c>
      <c r="J282" s="895">
        <v>1.32345</v>
      </c>
      <c r="K282" s="902">
        <v>0.91</v>
      </c>
      <c r="L282" s="124" t="s">
        <v>1807</v>
      </c>
      <c r="M282" s="172">
        <f>K282</f>
        <v>0.91</v>
      </c>
      <c r="N282" s="172">
        <v>0</v>
      </c>
      <c r="O282" s="893"/>
      <c r="P282" s="893">
        <f t="shared" ref="P282:P299" si="166">M282-N282</f>
        <v>0.91</v>
      </c>
      <c r="Q282" s="172">
        <f t="shared" ref="Q282:Q299" si="167">P282-J282</f>
        <v>-0.41344999999999998</v>
      </c>
      <c r="R282" s="172">
        <f>Q282</f>
        <v>-0.41344999999999998</v>
      </c>
      <c r="S282" s="768" t="str">
        <f t="shared" si="164"/>
        <v>закрыт</v>
      </c>
      <c r="T282" s="257" t="str">
        <f t="shared" ref="T282:T313" si="168">IF(R282&lt;0,"закрыт","")</f>
        <v>закрыт</v>
      </c>
      <c r="U282" s="768">
        <f t="shared" ref="U282:U299" si="169">(J282*100)/(I282*1.05)</f>
        <v>50.417142857142856</v>
      </c>
      <c r="V282" s="768"/>
      <c r="W282" s="768"/>
      <c r="X282" s="929"/>
      <c r="Y282" s="213">
        <v>201</v>
      </c>
      <c r="Z282" s="1316">
        <v>1</v>
      </c>
      <c r="AA282" s="1298" t="s">
        <v>173</v>
      </c>
      <c r="AB282" s="230">
        <f t="shared" si="156"/>
        <v>2.5</v>
      </c>
      <c r="AC282" s="1315"/>
      <c r="AD282" s="1315"/>
      <c r="AE282" s="1315"/>
      <c r="AF282" s="1316"/>
      <c r="AG282" s="1298" t="str">
        <f t="shared" si="161"/>
        <v>2,5</v>
      </c>
      <c r="AH282" s="1304">
        <f>'Зона ТвЭС'!L15</f>
        <v>0.47067499999999995</v>
      </c>
      <c r="AI282" s="1304">
        <f t="shared" si="152"/>
        <v>1.794125</v>
      </c>
      <c r="AJ282" s="1304">
        <f t="shared" si="163"/>
        <v>0.91</v>
      </c>
      <c r="AK282" s="1298" t="str">
        <f t="shared" si="159"/>
        <v>1сутки</v>
      </c>
      <c r="AL282" s="1304">
        <f t="shared" ref="AL282:AL299" si="170">AJ282</f>
        <v>0.91</v>
      </c>
      <c r="AM282" s="1298">
        <v>0</v>
      </c>
      <c r="AN282" s="893">
        <f t="shared" ref="AN282:AN299" si="171">AL282-AM282</f>
        <v>0.91</v>
      </c>
      <c r="AO282" s="1304">
        <f t="shared" ref="AO282:AO299" si="172">AN282-AI282</f>
        <v>-0.88412499999999994</v>
      </c>
      <c r="AP282" s="1304">
        <f>AO282</f>
        <v>-0.88412499999999994</v>
      </c>
      <c r="AQ282" s="1339" t="str">
        <f t="shared" si="165"/>
        <v>закрыт</v>
      </c>
      <c r="AR282" s="1298" t="str">
        <f t="shared" ref="AR282:AR313" si="173">IF(AP282&lt;0,"закрыт","")</f>
        <v>закрыт</v>
      </c>
      <c r="AS282" s="952">
        <f>(AI282*100)/(AG282*1.05)</f>
        <v>68.347619047619048</v>
      </c>
      <c r="AT282" s="954" t="s">
        <v>97</v>
      </c>
      <c r="AU282" s="1113">
        <v>1989</v>
      </c>
      <c r="AV282" s="1119" t="s">
        <v>3286</v>
      </c>
      <c r="AW282" s="1121">
        <v>56.818146640964599</v>
      </c>
      <c r="AX282" s="1121">
        <v>35.940324736067303</v>
      </c>
    </row>
    <row r="283" spans="1:50" ht="20.100000000000001" customHeight="1" x14ac:dyDescent="0.25">
      <c r="A283" s="213">
        <v>202</v>
      </c>
      <c r="B283" s="213">
        <v>2</v>
      </c>
      <c r="C283" s="213" t="s">
        <v>174</v>
      </c>
      <c r="D283" s="230">
        <v>1.6</v>
      </c>
      <c r="E283" s="229"/>
      <c r="F283" s="229"/>
      <c r="G283" s="229"/>
      <c r="H283" s="228"/>
      <c r="I283" s="229" t="str">
        <f t="shared" si="155"/>
        <v>1,6</v>
      </c>
      <c r="J283" s="895">
        <v>1.2954240000000001</v>
      </c>
      <c r="K283" s="902">
        <v>0</v>
      </c>
      <c r="L283" s="124">
        <v>0</v>
      </c>
      <c r="M283" s="172">
        <f>K283</f>
        <v>0</v>
      </c>
      <c r="N283" s="172">
        <v>0</v>
      </c>
      <c r="O283" s="893"/>
      <c r="P283" s="893">
        <f t="shared" si="166"/>
        <v>0</v>
      </c>
      <c r="Q283" s="172">
        <f t="shared" si="167"/>
        <v>-1.2954240000000001</v>
      </c>
      <c r="R283" s="172">
        <f>Q283</f>
        <v>-1.2954240000000001</v>
      </c>
      <c r="S283" s="172" t="str">
        <f t="shared" si="164"/>
        <v>закрыт</v>
      </c>
      <c r="T283" s="257" t="str">
        <f t="shared" si="168"/>
        <v>закрыт</v>
      </c>
      <c r="U283" s="768">
        <f t="shared" si="169"/>
        <v>77.108571428571423</v>
      </c>
      <c r="V283" s="768">
        <v>0.22</v>
      </c>
      <c r="W283" s="257" t="s">
        <v>3088</v>
      </c>
      <c r="X283" s="929"/>
      <c r="Y283" s="213">
        <v>202</v>
      </c>
      <c r="Z283" s="1316">
        <v>2</v>
      </c>
      <c r="AA283" s="1298" t="s">
        <v>174</v>
      </c>
      <c r="AB283" s="230">
        <f t="shared" si="156"/>
        <v>1.6</v>
      </c>
      <c r="AC283" s="1315"/>
      <c r="AD283" s="1315"/>
      <c r="AE283" s="1315"/>
      <c r="AF283" s="1316"/>
      <c r="AG283" s="1298" t="str">
        <f t="shared" si="161"/>
        <v>1,6</v>
      </c>
      <c r="AH283" s="1304">
        <f>'Зона ТвЭС'!L22</f>
        <v>2.3262499999999999</v>
      </c>
      <c r="AI283" s="1304">
        <f t="shared" si="152"/>
        <v>3.6216740000000001</v>
      </c>
      <c r="AJ283" s="1304">
        <f t="shared" si="163"/>
        <v>0</v>
      </c>
      <c r="AK283" s="1298">
        <f t="shared" si="159"/>
        <v>0</v>
      </c>
      <c r="AL283" s="1304">
        <f t="shared" si="170"/>
        <v>0</v>
      </c>
      <c r="AM283" s="1298">
        <v>0</v>
      </c>
      <c r="AN283" s="893">
        <f t="shared" si="171"/>
        <v>0</v>
      </c>
      <c r="AO283" s="1304">
        <f t="shared" si="172"/>
        <v>-3.6216740000000001</v>
      </c>
      <c r="AP283" s="1304">
        <f t="shared" ref="AP283:AP299" si="174">AO283</f>
        <v>-3.6216740000000001</v>
      </c>
      <c r="AQ283" s="1339" t="str">
        <f t="shared" si="165"/>
        <v>закрыт</v>
      </c>
      <c r="AR283" s="1298" t="str">
        <f t="shared" si="173"/>
        <v>закрыт</v>
      </c>
      <c r="AS283" s="952">
        <f>(AI283*100)/(AG283*1.05)</f>
        <v>215.57583333333329</v>
      </c>
      <c r="AT283" s="954" t="s">
        <v>97</v>
      </c>
      <c r="AU283" s="1113">
        <v>1959</v>
      </c>
      <c r="AV283" s="1119" t="s">
        <v>3286</v>
      </c>
      <c r="AW283" s="1121">
        <v>56.713710650261802</v>
      </c>
      <c r="AX283" s="1121">
        <v>35.606964689512203</v>
      </c>
    </row>
    <row r="284" spans="1:50" ht="20.100000000000001" customHeight="1" x14ac:dyDescent="0.25">
      <c r="A284" s="213">
        <v>203</v>
      </c>
      <c r="B284" s="213">
        <v>3</v>
      </c>
      <c r="C284" s="213" t="s">
        <v>175</v>
      </c>
      <c r="D284" s="230">
        <v>2.5</v>
      </c>
      <c r="E284" s="229"/>
      <c r="F284" s="229"/>
      <c r="G284" s="229"/>
      <c r="H284" s="228"/>
      <c r="I284" s="229" t="str">
        <f t="shared" si="155"/>
        <v>2,5</v>
      </c>
      <c r="J284" s="895">
        <v>1.6037100000000002</v>
      </c>
      <c r="K284" s="902">
        <v>0</v>
      </c>
      <c r="L284" s="124">
        <v>0</v>
      </c>
      <c r="M284" s="172">
        <f t="shared" ref="M284:M299" si="175">K284</f>
        <v>0</v>
      </c>
      <c r="N284" s="172">
        <v>0</v>
      </c>
      <c r="O284" s="893"/>
      <c r="P284" s="893">
        <f t="shared" si="166"/>
        <v>0</v>
      </c>
      <c r="Q284" s="172">
        <f t="shared" si="167"/>
        <v>-1.6037100000000002</v>
      </c>
      <c r="R284" s="172">
        <f>Q284</f>
        <v>-1.6037100000000002</v>
      </c>
      <c r="S284" s="172" t="str">
        <f t="shared" si="164"/>
        <v>закрыт</v>
      </c>
      <c r="T284" s="257" t="str">
        <f t="shared" si="168"/>
        <v>закрыт</v>
      </c>
      <c r="U284" s="768">
        <f t="shared" si="169"/>
        <v>61.093714285714292</v>
      </c>
      <c r="V284" s="768"/>
      <c r="W284" s="768"/>
      <c r="X284" s="929"/>
      <c r="Y284" s="213">
        <v>203</v>
      </c>
      <c r="Z284" s="1316">
        <v>3</v>
      </c>
      <c r="AA284" s="1298" t="s">
        <v>175</v>
      </c>
      <c r="AB284" s="230">
        <f t="shared" si="156"/>
        <v>2.5</v>
      </c>
      <c r="AC284" s="1315"/>
      <c r="AD284" s="1315"/>
      <c r="AE284" s="1315"/>
      <c r="AF284" s="1316"/>
      <c r="AG284" s="1298" t="str">
        <f t="shared" si="161"/>
        <v>2,5</v>
      </c>
      <c r="AH284" s="1304">
        <f>'Зона ТвЭС'!L31</f>
        <v>0.6875</v>
      </c>
      <c r="AI284" s="1304">
        <f t="shared" si="152"/>
        <v>2.2912100000000004</v>
      </c>
      <c r="AJ284" s="1304">
        <f t="shared" si="163"/>
        <v>0</v>
      </c>
      <c r="AK284" s="1298">
        <f t="shared" si="159"/>
        <v>0</v>
      </c>
      <c r="AL284" s="1304">
        <f t="shared" si="170"/>
        <v>0</v>
      </c>
      <c r="AM284" s="1298">
        <v>0</v>
      </c>
      <c r="AN284" s="893">
        <f t="shared" si="171"/>
        <v>0</v>
      </c>
      <c r="AO284" s="1304">
        <f t="shared" si="172"/>
        <v>-2.2912100000000004</v>
      </c>
      <c r="AP284" s="1304">
        <f t="shared" si="174"/>
        <v>-2.2912100000000004</v>
      </c>
      <c r="AQ284" s="1339" t="str">
        <f t="shared" si="165"/>
        <v>закрыт</v>
      </c>
      <c r="AR284" s="1298" t="str">
        <f t="shared" si="173"/>
        <v>закрыт</v>
      </c>
      <c r="AS284" s="952">
        <f>(AI284*100)/(AG284*1.05)</f>
        <v>87.284190476190489</v>
      </c>
      <c r="AT284" s="954" t="s">
        <v>97</v>
      </c>
      <c r="AU284" s="1113">
        <v>1970</v>
      </c>
      <c r="AV284" s="1119" t="s">
        <v>3286</v>
      </c>
      <c r="AW284" s="1121">
        <v>56.776487935509401</v>
      </c>
      <c r="AX284" s="1121">
        <v>36.343396986997</v>
      </c>
    </row>
    <row r="285" spans="1:50" ht="20.100000000000001" customHeight="1" x14ac:dyDescent="0.25">
      <c r="A285" s="213">
        <v>204</v>
      </c>
      <c r="B285" s="213">
        <v>4</v>
      </c>
      <c r="C285" s="213" t="s">
        <v>2992</v>
      </c>
      <c r="D285" s="230">
        <v>1</v>
      </c>
      <c r="E285" s="229"/>
      <c r="F285" s="229"/>
      <c r="G285" s="229"/>
      <c r="H285" s="228"/>
      <c r="I285" s="229" t="str">
        <f t="shared" si="155"/>
        <v>1</v>
      </c>
      <c r="J285" s="895">
        <v>0.14532</v>
      </c>
      <c r="K285" s="902">
        <v>0</v>
      </c>
      <c r="L285" s="124">
        <v>0</v>
      </c>
      <c r="M285" s="172">
        <f t="shared" si="175"/>
        <v>0</v>
      </c>
      <c r="N285" s="172">
        <v>0</v>
      </c>
      <c r="O285" s="893"/>
      <c r="P285" s="893">
        <f t="shared" si="166"/>
        <v>0</v>
      </c>
      <c r="Q285" s="172">
        <f t="shared" si="167"/>
        <v>-0.14532</v>
      </c>
      <c r="R285" s="172">
        <f>Q285</f>
        <v>-0.14532</v>
      </c>
      <c r="S285" s="172" t="str">
        <f t="shared" si="164"/>
        <v>закрыт</v>
      </c>
      <c r="T285" s="257" t="str">
        <f t="shared" si="168"/>
        <v>закрыт</v>
      </c>
      <c r="U285" s="768">
        <f t="shared" si="169"/>
        <v>13.84</v>
      </c>
      <c r="V285" s="768"/>
      <c r="W285" s="768"/>
      <c r="X285" s="929"/>
      <c r="Y285" s="213">
        <v>204</v>
      </c>
      <c r="Z285" s="1316">
        <v>4</v>
      </c>
      <c r="AA285" s="1298" t="s">
        <v>2992</v>
      </c>
      <c r="AB285" s="230">
        <f t="shared" si="156"/>
        <v>1</v>
      </c>
      <c r="AC285" s="1315"/>
      <c r="AD285" s="1315"/>
      <c r="AE285" s="1315"/>
      <c r="AF285" s="1316"/>
      <c r="AG285" s="1298" t="str">
        <f t="shared" si="161"/>
        <v>1</v>
      </c>
      <c r="AH285" s="1304">
        <f>'Зона ТвЭС'!L33</f>
        <v>0</v>
      </c>
      <c r="AI285" s="1304">
        <f t="shared" si="152"/>
        <v>0.14532</v>
      </c>
      <c r="AJ285" s="1304">
        <f t="shared" si="163"/>
        <v>0</v>
      </c>
      <c r="AK285" s="1298">
        <f t="shared" si="159"/>
        <v>0</v>
      </c>
      <c r="AL285" s="1304">
        <f t="shared" si="170"/>
        <v>0</v>
      </c>
      <c r="AM285" s="1298">
        <v>0</v>
      </c>
      <c r="AN285" s="893">
        <f t="shared" si="171"/>
        <v>0</v>
      </c>
      <c r="AO285" s="1304">
        <f t="shared" si="172"/>
        <v>-0.14532</v>
      </c>
      <c r="AP285" s="1304">
        <f t="shared" si="174"/>
        <v>-0.14532</v>
      </c>
      <c r="AQ285" s="1339" t="str">
        <f t="shared" si="165"/>
        <v>закрыт</v>
      </c>
      <c r="AR285" s="1298" t="str">
        <f t="shared" si="173"/>
        <v>закрыт</v>
      </c>
      <c r="AS285" s="952">
        <f>(AI285*100)/(AG285*1.05)</f>
        <v>13.84</v>
      </c>
      <c r="AT285" s="954" t="s">
        <v>97</v>
      </c>
      <c r="AU285" s="1113">
        <v>1949</v>
      </c>
      <c r="AV285" s="1119" t="s">
        <v>3286</v>
      </c>
      <c r="AW285" s="1121">
        <v>57.012558196179903</v>
      </c>
      <c r="AX285" s="1121">
        <v>36.154382827292402</v>
      </c>
    </row>
    <row r="286" spans="1:50" ht="20.100000000000001" customHeight="1" x14ac:dyDescent="0.25">
      <c r="A286" s="213">
        <v>205</v>
      </c>
      <c r="B286" s="213">
        <v>5</v>
      </c>
      <c r="C286" s="213" t="s">
        <v>176</v>
      </c>
      <c r="D286" s="230">
        <v>1</v>
      </c>
      <c r="E286" s="229"/>
      <c r="F286" s="229"/>
      <c r="G286" s="229"/>
      <c r="H286" s="228"/>
      <c r="I286" s="229" t="str">
        <f t="shared" si="155"/>
        <v>1</v>
      </c>
      <c r="J286" s="895">
        <v>0.68646400000000007</v>
      </c>
      <c r="K286" s="902">
        <v>0</v>
      </c>
      <c r="L286" s="124">
        <v>0</v>
      </c>
      <c r="M286" s="172">
        <f t="shared" si="175"/>
        <v>0</v>
      </c>
      <c r="N286" s="172">
        <v>0</v>
      </c>
      <c r="O286" s="893"/>
      <c r="P286" s="893">
        <f t="shared" si="166"/>
        <v>0</v>
      </c>
      <c r="Q286" s="172">
        <f t="shared" si="167"/>
        <v>-0.68646400000000007</v>
      </c>
      <c r="R286" s="172">
        <f t="shared" ref="R286:R346" si="176">Q286</f>
        <v>-0.68646400000000007</v>
      </c>
      <c r="S286" s="172" t="str">
        <f t="shared" si="164"/>
        <v>закрыт</v>
      </c>
      <c r="T286" s="257" t="str">
        <f t="shared" si="168"/>
        <v>закрыт</v>
      </c>
      <c r="U286" s="768">
        <f t="shared" si="169"/>
        <v>65.377523809523822</v>
      </c>
      <c r="V286" s="768">
        <v>0.24</v>
      </c>
      <c r="W286" s="257" t="s">
        <v>3088</v>
      </c>
      <c r="X286" s="929"/>
      <c r="Y286" s="213">
        <v>205</v>
      </c>
      <c r="Z286" s="1316">
        <v>5</v>
      </c>
      <c r="AA286" s="1298" t="s">
        <v>176</v>
      </c>
      <c r="AB286" s="230">
        <f t="shared" si="156"/>
        <v>1</v>
      </c>
      <c r="AC286" s="1315"/>
      <c r="AD286" s="1315"/>
      <c r="AE286" s="1315"/>
      <c r="AF286" s="1316"/>
      <c r="AG286" s="1298" t="str">
        <f t="shared" si="161"/>
        <v>1</v>
      </c>
      <c r="AH286" s="1304">
        <f>'Зона ТвЭС'!L39</f>
        <v>0</v>
      </c>
      <c r="AI286" s="1304">
        <f t="shared" si="152"/>
        <v>0.68646400000000007</v>
      </c>
      <c r="AJ286" s="1304">
        <f t="shared" si="163"/>
        <v>0</v>
      </c>
      <c r="AK286" s="1298">
        <f t="shared" si="159"/>
        <v>0</v>
      </c>
      <c r="AL286" s="1304">
        <f t="shared" si="170"/>
        <v>0</v>
      </c>
      <c r="AM286" s="1298">
        <v>0</v>
      </c>
      <c r="AN286" s="893">
        <f t="shared" si="171"/>
        <v>0</v>
      </c>
      <c r="AO286" s="1304">
        <f t="shared" si="172"/>
        <v>-0.68646400000000007</v>
      </c>
      <c r="AP286" s="1304">
        <f t="shared" si="174"/>
        <v>-0.68646400000000007</v>
      </c>
      <c r="AQ286" s="1339" t="str">
        <f t="shared" si="165"/>
        <v>закрыт</v>
      </c>
      <c r="AR286" s="1298" t="str">
        <f t="shared" si="173"/>
        <v>закрыт</v>
      </c>
      <c r="AS286" s="952">
        <f>(AI286*100)/(AG286*1.05)</f>
        <v>65.377523809523822</v>
      </c>
      <c r="AT286" s="954" t="s">
        <v>97</v>
      </c>
      <c r="AU286" s="1113">
        <v>1939</v>
      </c>
      <c r="AV286" s="1119" t="s">
        <v>3286</v>
      </c>
      <c r="AW286" s="1121">
        <v>56.951338158261699</v>
      </c>
      <c r="AX286" s="1121">
        <v>35.883388459522102</v>
      </c>
    </row>
    <row r="287" spans="1:50" ht="20.100000000000001" customHeight="1" x14ac:dyDescent="0.25">
      <c r="A287" s="213">
        <v>206</v>
      </c>
      <c r="B287" s="213">
        <v>6</v>
      </c>
      <c r="C287" s="213" t="s">
        <v>177</v>
      </c>
      <c r="D287" s="230">
        <v>2.5</v>
      </c>
      <c r="E287" s="229"/>
      <c r="F287" s="229"/>
      <c r="G287" s="229"/>
      <c r="H287" s="228"/>
      <c r="I287" s="229" t="str">
        <f t="shared" si="155"/>
        <v>2,5</v>
      </c>
      <c r="J287" s="895">
        <v>2.2057500000000001</v>
      </c>
      <c r="K287" s="902">
        <v>0</v>
      </c>
      <c r="L287" s="124">
        <v>0</v>
      </c>
      <c r="M287" s="172">
        <f t="shared" si="175"/>
        <v>0</v>
      </c>
      <c r="N287" s="172">
        <v>0</v>
      </c>
      <c r="O287" s="893"/>
      <c r="P287" s="893">
        <f t="shared" si="166"/>
        <v>0</v>
      </c>
      <c r="Q287" s="172">
        <f t="shared" si="167"/>
        <v>-2.2057500000000001</v>
      </c>
      <c r="R287" s="172">
        <f t="shared" si="176"/>
        <v>-2.2057500000000001</v>
      </c>
      <c r="S287" s="172" t="str">
        <f t="shared" si="164"/>
        <v>закрыт</v>
      </c>
      <c r="T287" s="257" t="str">
        <f t="shared" si="168"/>
        <v>закрыт</v>
      </c>
      <c r="U287" s="768">
        <f t="shared" si="169"/>
        <v>84.028571428571439</v>
      </c>
      <c r="V287" s="768">
        <v>0.31</v>
      </c>
      <c r="W287" s="257" t="s">
        <v>3088</v>
      </c>
      <c r="X287" s="929"/>
      <c r="Y287" s="213">
        <v>206</v>
      </c>
      <c r="Z287" s="1316">
        <v>6</v>
      </c>
      <c r="AA287" s="1298" t="s">
        <v>177</v>
      </c>
      <c r="AB287" s="230">
        <f t="shared" si="156"/>
        <v>2.5</v>
      </c>
      <c r="AC287" s="1315"/>
      <c r="AD287" s="1315"/>
      <c r="AE287" s="1315"/>
      <c r="AF287" s="1316"/>
      <c r="AG287" s="1298" t="str">
        <f t="shared" si="161"/>
        <v>2,5</v>
      </c>
      <c r="AH287" s="1304">
        <f>'Зона ТвЭС'!L53</f>
        <v>1.7650000000000001</v>
      </c>
      <c r="AI287" s="1304">
        <f t="shared" si="152"/>
        <v>3.9707500000000002</v>
      </c>
      <c r="AJ287" s="1304">
        <f t="shared" si="163"/>
        <v>0</v>
      </c>
      <c r="AK287" s="1298">
        <f t="shared" si="159"/>
        <v>0</v>
      </c>
      <c r="AL287" s="1304">
        <f t="shared" si="170"/>
        <v>0</v>
      </c>
      <c r="AM287" s="1298">
        <v>0</v>
      </c>
      <c r="AN287" s="893">
        <f t="shared" si="171"/>
        <v>0</v>
      </c>
      <c r="AO287" s="1304">
        <f t="shared" si="172"/>
        <v>-3.9707500000000002</v>
      </c>
      <c r="AP287" s="1304">
        <f t="shared" si="174"/>
        <v>-3.9707500000000002</v>
      </c>
      <c r="AQ287" s="1339" t="str">
        <f t="shared" si="165"/>
        <v>закрыт</v>
      </c>
      <c r="AR287" s="1298" t="str">
        <f t="shared" si="173"/>
        <v>закрыт</v>
      </c>
      <c r="AS287" s="952">
        <f t="shared" ref="AS287:AS299" si="177">(AI287*100)/(AG287*1.05)</f>
        <v>151.26666666666668</v>
      </c>
      <c r="AT287" s="954" t="s">
        <v>97</v>
      </c>
      <c r="AU287" s="1113">
        <v>1939</v>
      </c>
      <c r="AV287" s="1119" t="s">
        <v>3286</v>
      </c>
      <c r="AW287" s="1121">
        <v>56.951338158261699</v>
      </c>
      <c r="AX287" s="1121">
        <v>35.883388459522102</v>
      </c>
    </row>
    <row r="288" spans="1:50" ht="20.100000000000001" customHeight="1" x14ac:dyDescent="0.25">
      <c r="A288" s="213">
        <v>207</v>
      </c>
      <c r="B288" s="213">
        <v>7</v>
      </c>
      <c r="C288" s="213" t="s">
        <v>178</v>
      </c>
      <c r="D288" s="230">
        <v>1</v>
      </c>
      <c r="E288" s="229"/>
      <c r="F288" s="229"/>
      <c r="G288" s="229"/>
      <c r="H288" s="228"/>
      <c r="I288" s="229" t="str">
        <f t="shared" si="155"/>
        <v>1</v>
      </c>
      <c r="J288" s="895">
        <v>0.25742400000000004</v>
      </c>
      <c r="K288" s="902">
        <v>0</v>
      </c>
      <c r="L288" s="124">
        <v>0</v>
      </c>
      <c r="M288" s="172">
        <f t="shared" si="175"/>
        <v>0</v>
      </c>
      <c r="N288" s="172">
        <v>0</v>
      </c>
      <c r="O288" s="893"/>
      <c r="P288" s="893">
        <f t="shared" si="166"/>
        <v>0</v>
      </c>
      <c r="Q288" s="172">
        <f t="shared" si="167"/>
        <v>-0.25742400000000004</v>
      </c>
      <c r="R288" s="172">
        <f t="shared" si="176"/>
        <v>-0.25742400000000004</v>
      </c>
      <c r="S288" s="172" t="str">
        <f t="shared" si="164"/>
        <v>закрыт</v>
      </c>
      <c r="T288" s="257" t="str">
        <f t="shared" si="168"/>
        <v>закрыт</v>
      </c>
      <c r="U288" s="768">
        <f t="shared" si="169"/>
        <v>24.516571428571432</v>
      </c>
      <c r="V288" s="768">
        <v>0.56999999999999995</v>
      </c>
      <c r="W288" s="257" t="s">
        <v>3088</v>
      </c>
      <c r="X288" s="929"/>
      <c r="Y288" s="213">
        <v>207</v>
      </c>
      <c r="Z288" s="1316">
        <v>7</v>
      </c>
      <c r="AA288" s="1298" t="s">
        <v>178</v>
      </c>
      <c r="AB288" s="230">
        <f t="shared" si="156"/>
        <v>1</v>
      </c>
      <c r="AC288" s="1315"/>
      <c r="AD288" s="1315"/>
      <c r="AE288" s="1315"/>
      <c r="AF288" s="1316"/>
      <c r="AG288" s="1298" t="str">
        <f t="shared" si="161"/>
        <v>1</v>
      </c>
      <c r="AH288" s="1304">
        <f>'Зона ТвЭС'!L56</f>
        <v>0.65</v>
      </c>
      <c r="AI288" s="1304">
        <f t="shared" si="152"/>
        <v>0.90742400000000001</v>
      </c>
      <c r="AJ288" s="1304">
        <f t="shared" si="163"/>
        <v>0</v>
      </c>
      <c r="AK288" s="1298">
        <f t="shared" si="159"/>
        <v>0</v>
      </c>
      <c r="AL288" s="1304">
        <f t="shared" si="170"/>
        <v>0</v>
      </c>
      <c r="AM288" s="1298">
        <v>0</v>
      </c>
      <c r="AN288" s="893">
        <f t="shared" si="171"/>
        <v>0</v>
      </c>
      <c r="AO288" s="1304">
        <f t="shared" si="172"/>
        <v>-0.90742400000000001</v>
      </c>
      <c r="AP288" s="1304">
        <f t="shared" si="174"/>
        <v>-0.90742400000000001</v>
      </c>
      <c r="AQ288" s="1339" t="str">
        <f t="shared" si="165"/>
        <v>закрыт</v>
      </c>
      <c r="AR288" s="1298" t="str">
        <f t="shared" si="173"/>
        <v>закрыт</v>
      </c>
      <c r="AS288" s="952">
        <f>(AI288*100)/(AG288*1.05)</f>
        <v>86.421333333333337</v>
      </c>
      <c r="AT288" s="954" t="s">
        <v>97</v>
      </c>
      <c r="AU288" s="1113">
        <v>1955</v>
      </c>
      <c r="AV288" s="1119" t="s">
        <v>3286</v>
      </c>
      <c r="AW288" s="1121">
        <v>56.623882070000903</v>
      </c>
      <c r="AX288" s="1121">
        <v>35.571417481976802</v>
      </c>
    </row>
    <row r="289" spans="1:50" ht="20.100000000000001" customHeight="1" x14ac:dyDescent="0.25">
      <c r="A289" s="213">
        <v>208</v>
      </c>
      <c r="B289" s="213">
        <v>8</v>
      </c>
      <c r="C289" s="213" t="s">
        <v>179</v>
      </c>
      <c r="D289" s="230">
        <v>2.5</v>
      </c>
      <c r="E289" s="229"/>
      <c r="F289" s="229"/>
      <c r="G289" s="229"/>
      <c r="H289" s="228"/>
      <c r="I289" s="229" t="str">
        <f t="shared" si="155"/>
        <v>2,5</v>
      </c>
      <c r="J289" s="895">
        <v>1.1002799999999999</v>
      </c>
      <c r="K289" s="902">
        <v>0</v>
      </c>
      <c r="L289" s="124">
        <v>0</v>
      </c>
      <c r="M289" s="172">
        <f t="shared" si="175"/>
        <v>0</v>
      </c>
      <c r="N289" s="172">
        <v>0</v>
      </c>
      <c r="O289" s="893"/>
      <c r="P289" s="893">
        <f t="shared" si="166"/>
        <v>0</v>
      </c>
      <c r="Q289" s="172">
        <f t="shared" si="167"/>
        <v>-1.1002799999999999</v>
      </c>
      <c r="R289" s="172">
        <f t="shared" si="176"/>
        <v>-1.1002799999999999</v>
      </c>
      <c r="S289" s="172" t="str">
        <f t="shared" si="164"/>
        <v>закрыт</v>
      </c>
      <c r="T289" s="257" t="str">
        <f t="shared" si="168"/>
        <v>закрыт</v>
      </c>
      <c r="U289" s="768">
        <f t="shared" si="169"/>
        <v>41.915428571428571</v>
      </c>
      <c r="V289" s="768"/>
      <c r="W289" s="257"/>
      <c r="X289" s="929"/>
      <c r="Y289" s="213">
        <v>208</v>
      </c>
      <c r="Z289" s="1316">
        <v>8</v>
      </c>
      <c r="AA289" s="1298" t="s">
        <v>179</v>
      </c>
      <c r="AB289" s="230">
        <f t="shared" si="156"/>
        <v>2.5</v>
      </c>
      <c r="AC289" s="1315"/>
      <c r="AD289" s="1315"/>
      <c r="AE289" s="1315"/>
      <c r="AF289" s="1316"/>
      <c r="AG289" s="1298" t="str">
        <f t="shared" si="161"/>
        <v>2,5</v>
      </c>
      <c r="AH289" s="1304">
        <f>'Зона ТвЭС'!L58</f>
        <v>0</v>
      </c>
      <c r="AI289" s="1304">
        <f t="shared" si="152"/>
        <v>1.1002799999999999</v>
      </c>
      <c r="AJ289" s="1304">
        <f t="shared" si="163"/>
        <v>0</v>
      </c>
      <c r="AK289" s="1298">
        <f t="shared" si="159"/>
        <v>0</v>
      </c>
      <c r="AL289" s="1304">
        <f t="shared" si="170"/>
        <v>0</v>
      </c>
      <c r="AM289" s="1298">
        <v>0</v>
      </c>
      <c r="AN289" s="893">
        <f t="shared" si="171"/>
        <v>0</v>
      </c>
      <c r="AO289" s="1304">
        <f t="shared" si="172"/>
        <v>-1.1002799999999999</v>
      </c>
      <c r="AP289" s="1304">
        <f t="shared" si="174"/>
        <v>-1.1002799999999999</v>
      </c>
      <c r="AQ289" s="1339" t="str">
        <f t="shared" si="165"/>
        <v>закрыт</v>
      </c>
      <c r="AR289" s="1298" t="str">
        <f t="shared" si="173"/>
        <v>закрыт</v>
      </c>
      <c r="AS289" s="952">
        <f t="shared" si="177"/>
        <v>41.915428571428571</v>
      </c>
      <c r="AT289" s="954" t="s">
        <v>97</v>
      </c>
      <c r="AU289" s="1113">
        <v>1955</v>
      </c>
      <c r="AV289" s="1119" t="s">
        <v>3286</v>
      </c>
      <c r="AW289" s="1121">
        <v>56.623882070000903</v>
      </c>
      <c r="AX289" s="1121">
        <v>35.571417481976802</v>
      </c>
    </row>
    <row r="290" spans="1:50" ht="20.100000000000001" customHeight="1" x14ac:dyDescent="0.25">
      <c r="A290" s="213">
        <v>209</v>
      </c>
      <c r="B290" s="213">
        <v>9</v>
      </c>
      <c r="C290" s="213" t="s">
        <v>180</v>
      </c>
      <c r="D290" s="230">
        <v>2.5</v>
      </c>
      <c r="E290" s="229"/>
      <c r="F290" s="229"/>
      <c r="G290" s="229"/>
      <c r="H290" s="228"/>
      <c r="I290" s="229" t="str">
        <f t="shared" si="155"/>
        <v>2,5</v>
      </c>
      <c r="J290" s="895">
        <v>0.72192899999999982</v>
      </c>
      <c r="K290" s="902">
        <v>0.73</v>
      </c>
      <c r="L290" s="124" t="s">
        <v>1807</v>
      </c>
      <c r="M290" s="172">
        <f t="shared" si="175"/>
        <v>0.73</v>
      </c>
      <c r="N290" s="172">
        <v>0</v>
      </c>
      <c r="O290" s="893"/>
      <c r="P290" s="893">
        <f t="shared" si="166"/>
        <v>0.73</v>
      </c>
      <c r="Q290" s="172">
        <f t="shared" si="167"/>
        <v>8.0710000000001614E-3</v>
      </c>
      <c r="R290" s="172">
        <f t="shared" si="176"/>
        <v>8.0710000000001614E-3</v>
      </c>
      <c r="S290" s="172" t="str">
        <f t="shared" si="164"/>
        <v/>
      </c>
      <c r="T290" s="257" t="str">
        <f t="shared" si="168"/>
        <v/>
      </c>
      <c r="U290" s="768">
        <f t="shared" si="169"/>
        <v>27.502057142857137</v>
      </c>
      <c r="V290" s="768"/>
      <c r="W290" s="768"/>
      <c r="X290" s="929"/>
      <c r="Y290" s="213">
        <v>209</v>
      </c>
      <c r="Z290" s="1316">
        <v>9</v>
      </c>
      <c r="AA290" s="1298" t="s">
        <v>180</v>
      </c>
      <c r="AB290" s="230">
        <f t="shared" si="156"/>
        <v>2.5</v>
      </c>
      <c r="AC290" s="1315"/>
      <c r="AD290" s="1315"/>
      <c r="AE290" s="1315"/>
      <c r="AF290" s="1316"/>
      <c r="AG290" s="1298" t="str">
        <f t="shared" si="161"/>
        <v>2,5</v>
      </c>
      <c r="AH290" s="1304">
        <f>'Зона ТвЭС'!L60</f>
        <v>0</v>
      </c>
      <c r="AI290" s="1304">
        <f t="shared" si="152"/>
        <v>0.72192899999999982</v>
      </c>
      <c r="AJ290" s="1304">
        <f t="shared" si="163"/>
        <v>0.73</v>
      </c>
      <c r="AK290" s="1298" t="str">
        <f t="shared" si="159"/>
        <v>1сутки</v>
      </c>
      <c r="AL290" s="1304">
        <f t="shared" si="170"/>
        <v>0.73</v>
      </c>
      <c r="AM290" s="1298">
        <v>0</v>
      </c>
      <c r="AN290" s="893">
        <f t="shared" si="171"/>
        <v>0.73</v>
      </c>
      <c r="AO290" s="1304">
        <f t="shared" si="172"/>
        <v>8.0710000000001614E-3</v>
      </c>
      <c r="AP290" s="1304">
        <f t="shared" si="174"/>
        <v>8.0710000000001614E-3</v>
      </c>
      <c r="AQ290" s="1339" t="str">
        <f t="shared" si="165"/>
        <v/>
      </c>
      <c r="AR290" s="1298" t="str">
        <f t="shared" si="173"/>
        <v/>
      </c>
      <c r="AS290" s="952">
        <f t="shared" si="177"/>
        <v>27.502057142857137</v>
      </c>
      <c r="AT290" s="954" t="s">
        <v>97</v>
      </c>
      <c r="AU290" s="1113">
        <v>1979</v>
      </c>
      <c r="AV290" s="1119" t="s">
        <v>3286</v>
      </c>
      <c r="AW290" s="1121">
        <v>57.230938044061901</v>
      </c>
      <c r="AX290" s="1121">
        <v>35.6042475573933</v>
      </c>
    </row>
    <row r="291" spans="1:50" ht="20.100000000000001" customHeight="1" x14ac:dyDescent="0.25">
      <c r="A291" s="213">
        <v>210</v>
      </c>
      <c r="B291" s="213">
        <v>10</v>
      </c>
      <c r="C291" s="213" t="s">
        <v>181</v>
      </c>
      <c r="D291" s="230">
        <v>2.5</v>
      </c>
      <c r="E291" s="229"/>
      <c r="F291" s="229"/>
      <c r="G291" s="229"/>
      <c r="H291" s="228"/>
      <c r="I291" s="229" t="str">
        <f t="shared" si="155"/>
        <v>2,5</v>
      </c>
      <c r="J291" s="895">
        <v>0.31468699999999994</v>
      </c>
      <c r="K291" s="902">
        <v>0.32</v>
      </c>
      <c r="L291" s="124" t="s">
        <v>1807</v>
      </c>
      <c r="M291" s="172">
        <f t="shared" si="175"/>
        <v>0.32</v>
      </c>
      <c r="N291" s="172">
        <v>0</v>
      </c>
      <c r="O291" s="893"/>
      <c r="P291" s="893">
        <f t="shared" si="166"/>
        <v>0.32</v>
      </c>
      <c r="Q291" s="172">
        <f t="shared" si="167"/>
        <v>5.3130000000000677E-3</v>
      </c>
      <c r="R291" s="172">
        <f t="shared" si="176"/>
        <v>5.3130000000000677E-3</v>
      </c>
      <c r="S291" s="172" t="str">
        <f t="shared" si="164"/>
        <v/>
      </c>
      <c r="T291" s="257" t="str">
        <f t="shared" si="168"/>
        <v/>
      </c>
      <c r="U291" s="768">
        <f t="shared" si="169"/>
        <v>11.988076190476189</v>
      </c>
      <c r="V291" s="768"/>
      <c r="W291" s="768"/>
      <c r="X291" s="929"/>
      <c r="Y291" s="213">
        <v>210</v>
      </c>
      <c r="Z291" s="1316">
        <v>10</v>
      </c>
      <c r="AA291" s="1298" t="s">
        <v>181</v>
      </c>
      <c r="AB291" s="230">
        <f t="shared" si="156"/>
        <v>2.5</v>
      </c>
      <c r="AC291" s="1315"/>
      <c r="AD291" s="1315"/>
      <c r="AE291" s="1315"/>
      <c r="AF291" s="1316"/>
      <c r="AG291" s="1298" t="str">
        <f t="shared" si="161"/>
        <v>2,5</v>
      </c>
      <c r="AH291" s="1304">
        <f>'Зона ТвЭС'!L62</f>
        <v>0</v>
      </c>
      <c r="AI291" s="1304">
        <f t="shared" si="152"/>
        <v>0.31468699999999994</v>
      </c>
      <c r="AJ291" s="1304">
        <f t="shared" si="163"/>
        <v>0.32</v>
      </c>
      <c r="AK291" s="1298" t="str">
        <f t="shared" si="159"/>
        <v>1сутки</v>
      </c>
      <c r="AL291" s="1304">
        <f t="shared" si="170"/>
        <v>0.32</v>
      </c>
      <c r="AM291" s="1298">
        <v>0</v>
      </c>
      <c r="AN291" s="893">
        <f t="shared" si="171"/>
        <v>0.32</v>
      </c>
      <c r="AO291" s="1304">
        <f t="shared" si="172"/>
        <v>5.3130000000000677E-3</v>
      </c>
      <c r="AP291" s="1304">
        <f t="shared" si="174"/>
        <v>5.3130000000000677E-3</v>
      </c>
      <c r="AQ291" s="1339" t="str">
        <f t="shared" si="165"/>
        <v/>
      </c>
      <c r="AR291" s="1298" t="str">
        <f t="shared" si="173"/>
        <v/>
      </c>
      <c r="AS291" s="952">
        <f t="shared" si="177"/>
        <v>11.988076190476189</v>
      </c>
      <c r="AT291" s="954" t="s">
        <v>97</v>
      </c>
      <c r="AU291" s="1113">
        <v>1984</v>
      </c>
      <c r="AV291" s="1119" t="s">
        <v>3286</v>
      </c>
      <c r="AW291" s="1121">
        <v>57.385620055900503</v>
      </c>
      <c r="AX291" s="1121">
        <v>35.437352096305403</v>
      </c>
    </row>
    <row r="292" spans="1:50" ht="20.100000000000001" customHeight="1" x14ac:dyDescent="0.25">
      <c r="A292" s="213">
        <v>211</v>
      </c>
      <c r="B292" s="213">
        <v>11</v>
      </c>
      <c r="C292" s="213" t="s">
        <v>182</v>
      </c>
      <c r="D292" s="230">
        <v>2.5</v>
      </c>
      <c r="E292" s="229"/>
      <c r="F292" s="229"/>
      <c r="G292" s="229"/>
      <c r="H292" s="228"/>
      <c r="I292" s="229" t="str">
        <f t="shared" si="155"/>
        <v>2,5</v>
      </c>
      <c r="J292" s="895">
        <v>0.59944500000000001</v>
      </c>
      <c r="K292" s="902">
        <v>0.6</v>
      </c>
      <c r="L292" s="124" t="s">
        <v>1807</v>
      </c>
      <c r="M292" s="172">
        <f t="shared" si="175"/>
        <v>0.6</v>
      </c>
      <c r="N292" s="172">
        <v>0</v>
      </c>
      <c r="O292" s="893"/>
      <c r="P292" s="893">
        <f t="shared" si="166"/>
        <v>0.6</v>
      </c>
      <c r="Q292" s="172">
        <f t="shared" si="167"/>
        <v>5.5499999999997218E-4</v>
      </c>
      <c r="R292" s="172">
        <f t="shared" si="176"/>
        <v>5.5499999999997218E-4</v>
      </c>
      <c r="S292" s="172" t="str">
        <f t="shared" si="164"/>
        <v/>
      </c>
      <c r="T292" s="257" t="str">
        <f t="shared" si="168"/>
        <v/>
      </c>
      <c r="U292" s="768">
        <f t="shared" si="169"/>
        <v>22.835999999999999</v>
      </c>
      <c r="V292" s="768"/>
      <c r="W292" s="768"/>
      <c r="X292" s="929"/>
      <c r="Y292" s="213">
        <v>211</v>
      </c>
      <c r="Z292" s="1316">
        <v>11</v>
      </c>
      <c r="AA292" s="1298" t="s">
        <v>182</v>
      </c>
      <c r="AB292" s="230">
        <f t="shared" si="156"/>
        <v>2.5</v>
      </c>
      <c r="AC292" s="1315"/>
      <c r="AD292" s="1315"/>
      <c r="AE292" s="1315"/>
      <c r="AF292" s="1316"/>
      <c r="AG292" s="1298" t="str">
        <f t="shared" si="161"/>
        <v>2,5</v>
      </c>
      <c r="AH292" s="1304">
        <f>'Зона ТвЭС'!L67</f>
        <v>0</v>
      </c>
      <c r="AI292" s="1304">
        <f t="shared" si="152"/>
        <v>0.59944500000000001</v>
      </c>
      <c r="AJ292" s="1304">
        <f t="shared" si="163"/>
        <v>0.6</v>
      </c>
      <c r="AK292" s="1298" t="str">
        <f t="shared" si="159"/>
        <v>1сутки</v>
      </c>
      <c r="AL292" s="1304">
        <f t="shared" si="170"/>
        <v>0.6</v>
      </c>
      <c r="AM292" s="1298">
        <v>0</v>
      </c>
      <c r="AN292" s="893">
        <f t="shared" si="171"/>
        <v>0.6</v>
      </c>
      <c r="AO292" s="1304">
        <f t="shared" si="172"/>
        <v>5.5499999999997218E-4</v>
      </c>
      <c r="AP292" s="1304">
        <f t="shared" si="174"/>
        <v>5.5499999999997218E-4</v>
      </c>
      <c r="AQ292" s="1339" t="str">
        <f t="shared" si="165"/>
        <v/>
      </c>
      <c r="AR292" s="1298" t="str">
        <f t="shared" si="173"/>
        <v/>
      </c>
      <c r="AS292" s="952">
        <f t="shared" si="177"/>
        <v>22.835999999999999</v>
      </c>
      <c r="AT292" s="954" t="s">
        <v>97</v>
      </c>
      <c r="AU292" s="1113">
        <v>1979</v>
      </c>
      <c r="AV292" s="1119" t="s">
        <v>3286</v>
      </c>
      <c r="AW292" s="1121">
        <v>56.956849369037897</v>
      </c>
      <c r="AX292" s="1121">
        <v>35.519790738799003</v>
      </c>
    </row>
    <row r="293" spans="1:50" ht="20.100000000000001" customHeight="1" x14ac:dyDescent="0.25">
      <c r="A293" s="213">
        <v>212</v>
      </c>
      <c r="B293" s="213">
        <v>12</v>
      </c>
      <c r="C293" s="213" t="s">
        <v>183</v>
      </c>
      <c r="D293" s="230">
        <v>1.6</v>
      </c>
      <c r="E293" s="229"/>
      <c r="F293" s="229"/>
      <c r="G293" s="229"/>
      <c r="H293" s="228"/>
      <c r="I293" s="229" t="str">
        <f t="shared" si="155"/>
        <v>1,6</v>
      </c>
      <c r="J293" s="895">
        <v>0.28544999999999998</v>
      </c>
      <c r="K293" s="902">
        <v>0</v>
      </c>
      <c r="L293" s="124">
        <v>0</v>
      </c>
      <c r="M293" s="172">
        <f t="shared" si="175"/>
        <v>0</v>
      </c>
      <c r="N293" s="172">
        <v>0</v>
      </c>
      <c r="O293" s="893"/>
      <c r="P293" s="893">
        <f t="shared" si="166"/>
        <v>0</v>
      </c>
      <c r="Q293" s="172">
        <f t="shared" si="167"/>
        <v>-0.28544999999999998</v>
      </c>
      <c r="R293" s="172">
        <f t="shared" si="176"/>
        <v>-0.28544999999999998</v>
      </c>
      <c r="S293" s="172" t="str">
        <f t="shared" si="164"/>
        <v>закрыт</v>
      </c>
      <c r="T293" s="257" t="str">
        <f t="shared" si="168"/>
        <v>закрыт</v>
      </c>
      <c r="U293" s="768">
        <f t="shared" si="169"/>
        <v>16.991071428571427</v>
      </c>
      <c r="V293" s="768"/>
      <c r="W293" s="768"/>
      <c r="X293" s="929"/>
      <c r="Y293" s="213">
        <v>212</v>
      </c>
      <c r="Z293" s="1316">
        <v>12</v>
      </c>
      <c r="AA293" s="1298" t="s">
        <v>183</v>
      </c>
      <c r="AB293" s="230">
        <f t="shared" si="156"/>
        <v>1.6</v>
      </c>
      <c r="AC293" s="1315"/>
      <c r="AD293" s="1315"/>
      <c r="AE293" s="1315"/>
      <c r="AF293" s="1316"/>
      <c r="AG293" s="1298" t="str">
        <f t="shared" si="161"/>
        <v>1,6</v>
      </c>
      <c r="AH293" s="1304">
        <f>'Зона ТвЭС'!L70</f>
        <v>0</v>
      </c>
      <c r="AI293" s="1304">
        <f t="shared" ref="AI293:AI324" si="178">AH293+J293</f>
        <v>0.28544999999999998</v>
      </c>
      <c r="AJ293" s="1304">
        <f t="shared" si="163"/>
        <v>0</v>
      </c>
      <c r="AK293" s="1298">
        <f t="shared" si="159"/>
        <v>0</v>
      </c>
      <c r="AL293" s="1304">
        <f t="shared" si="170"/>
        <v>0</v>
      </c>
      <c r="AM293" s="1298">
        <v>0</v>
      </c>
      <c r="AN293" s="893">
        <f t="shared" si="171"/>
        <v>0</v>
      </c>
      <c r="AO293" s="1304">
        <f t="shared" si="172"/>
        <v>-0.28544999999999998</v>
      </c>
      <c r="AP293" s="1304">
        <f t="shared" si="174"/>
        <v>-0.28544999999999998</v>
      </c>
      <c r="AQ293" s="1339" t="str">
        <f t="shared" si="165"/>
        <v>закрыт</v>
      </c>
      <c r="AR293" s="1298" t="str">
        <f t="shared" si="173"/>
        <v>закрыт</v>
      </c>
      <c r="AS293" s="952">
        <f t="shared" si="177"/>
        <v>16.991071428571427</v>
      </c>
      <c r="AT293" s="954" t="s">
        <v>97</v>
      </c>
      <c r="AU293" s="1113">
        <v>1988</v>
      </c>
      <c r="AV293" s="1119" t="s">
        <v>3286</v>
      </c>
      <c r="AW293" s="1121">
        <v>57.125073809915101</v>
      </c>
      <c r="AX293" s="1121">
        <v>35.672753228089903</v>
      </c>
    </row>
    <row r="294" spans="1:50" ht="20.100000000000001" customHeight="1" x14ac:dyDescent="0.25">
      <c r="A294" s="213">
        <v>213</v>
      </c>
      <c r="B294" s="213">
        <v>13</v>
      </c>
      <c r="C294" s="213" t="s">
        <v>184</v>
      </c>
      <c r="D294" s="230">
        <v>2.5</v>
      </c>
      <c r="E294" s="229"/>
      <c r="F294" s="229"/>
      <c r="G294" s="229"/>
      <c r="H294" s="228"/>
      <c r="I294" s="229" t="str">
        <f t="shared" si="155"/>
        <v>2,5</v>
      </c>
      <c r="J294" s="895">
        <v>1.7256749999999998</v>
      </c>
      <c r="K294" s="902">
        <v>0</v>
      </c>
      <c r="L294" s="124">
        <v>0</v>
      </c>
      <c r="M294" s="172">
        <f t="shared" si="175"/>
        <v>0</v>
      </c>
      <c r="N294" s="172">
        <v>0</v>
      </c>
      <c r="O294" s="893"/>
      <c r="P294" s="893">
        <f t="shared" si="166"/>
        <v>0</v>
      </c>
      <c r="Q294" s="172">
        <f t="shared" si="167"/>
        <v>-1.7256749999999998</v>
      </c>
      <c r="R294" s="172">
        <f t="shared" si="176"/>
        <v>-1.7256749999999998</v>
      </c>
      <c r="S294" s="172" t="str">
        <f t="shared" si="164"/>
        <v>закрыт</v>
      </c>
      <c r="T294" s="257" t="str">
        <f t="shared" si="168"/>
        <v>закрыт</v>
      </c>
      <c r="U294" s="768">
        <f t="shared" si="169"/>
        <v>65.739999999999995</v>
      </c>
      <c r="V294" s="768"/>
      <c r="W294" s="768"/>
      <c r="X294" s="929"/>
      <c r="Y294" s="213">
        <v>213</v>
      </c>
      <c r="Z294" s="1316">
        <v>13</v>
      </c>
      <c r="AA294" s="1298" t="s">
        <v>184</v>
      </c>
      <c r="AB294" s="230">
        <f t="shared" si="156"/>
        <v>2.5</v>
      </c>
      <c r="AC294" s="1315"/>
      <c r="AD294" s="1315"/>
      <c r="AE294" s="1315"/>
      <c r="AF294" s="1316"/>
      <c r="AG294" s="1298" t="str">
        <f t="shared" si="161"/>
        <v>2,5</v>
      </c>
      <c r="AH294" s="1304">
        <f>'Зона ТвЭС'!L73</f>
        <v>0.23874999999999999</v>
      </c>
      <c r="AI294" s="1304">
        <f t="shared" si="178"/>
        <v>1.9644249999999999</v>
      </c>
      <c r="AJ294" s="1304">
        <f t="shared" si="163"/>
        <v>0</v>
      </c>
      <c r="AK294" s="1298">
        <f t="shared" si="159"/>
        <v>0</v>
      </c>
      <c r="AL294" s="1304">
        <f t="shared" si="170"/>
        <v>0</v>
      </c>
      <c r="AM294" s="1298">
        <v>0</v>
      </c>
      <c r="AN294" s="893">
        <f t="shared" si="171"/>
        <v>0</v>
      </c>
      <c r="AO294" s="1304">
        <f t="shared" si="172"/>
        <v>-1.9644249999999999</v>
      </c>
      <c r="AP294" s="1304">
        <f t="shared" si="174"/>
        <v>-1.9644249999999999</v>
      </c>
      <c r="AQ294" s="1339" t="str">
        <f t="shared" si="165"/>
        <v>закрыт</v>
      </c>
      <c r="AR294" s="1298" t="str">
        <f t="shared" si="173"/>
        <v>закрыт</v>
      </c>
      <c r="AS294" s="952">
        <f t="shared" si="177"/>
        <v>74.835238095238097</v>
      </c>
      <c r="AT294" s="954" t="s">
        <v>97</v>
      </c>
      <c r="AU294" s="1113">
        <v>1966</v>
      </c>
      <c r="AV294" s="1119" t="s">
        <v>3286</v>
      </c>
      <c r="AW294" s="1121">
        <v>56.662698208776298</v>
      </c>
      <c r="AX294" s="1121">
        <v>36.6972146769468</v>
      </c>
    </row>
    <row r="295" spans="1:50" ht="20.100000000000001" customHeight="1" x14ac:dyDescent="0.25">
      <c r="A295" s="213">
        <v>214</v>
      </c>
      <c r="B295" s="213">
        <v>14</v>
      </c>
      <c r="C295" s="213" t="s">
        <v>185</v>
      </c>
      <c r="D295" s="230">
        <v>2.5</v>
      </c>
      <c r="E295" s="229"/>
      <c r="F295" s="229"/>
      <c r="G295" s="229"/>
      <c r="H295" s="228"/>
      <c r="I295" s="229" t="str">
        <f t="shared" si="155"/>
        <v>2,5</v>
      </c>
      <c r="J295" s="895">
        <v>1.89954</v>
      </c>
      <c r="K295" s="902">
        <v>0</v>
      </c>
      <c r="L295" s="124">
        <v>0</v>
      </c>
      <c r="M295" s="172">
        <f t="shared" si="175"/>
        <v>0</v>
      </c>
      <c r="N295" s="172">
        <v>0</v>
      </c>
      <c r="O295" s="893"/>
      <c r="P295" s="893">
        <f t="shared" si="166"/>
        <v>0</v>
      </c>
      <c r="Q295" s="172">
        <f t="shared" si="167"/>
        <v>-1.89954</v>
      </c>
      <c r="R295" s="172">
        <f t="shared" si="176"/>
        <v>-1.89954</v>
      </c>
      <c r="S295" s="172" t="str">
        <f t="shared" si="164"/>
        <v>закрыт</v>
      </c>
      <c r="T295" s="257" t="str">
        <f t="shared" si="168"/>
        <v>закрыт</v>
      </c>
      <c r="U295" s="768">
        <f t="shared" si="169"/>
        <v>72.363428571428571</v>
      </c>
      <c r="V295" s="768"/>
      <c r="W295" s="257"/>
      <c r="X295" s="929"/>
      <c r="Y295" s="213">
        <v>214</v>
      </c>
      <c r="Z295" s="1316">
        <v>14</v>
      </c>
      <c r="AA295" s="1298" t="s">
        <v>185</v>
      </c>
      <c r="AB295" s="230">
        <f t="shared" si="156"/>
        <v>2.5</v>
      </c>
      <c r="AC295" s="1315"/>
      <c r="AD295" s="1315"/>
      <c r="AE295" s="1315"/>
      <c r="AF295" s="1316"/>
      <c r="AG295" s="1298" t="str">
        <f t="shared" si="161"/>
        <v>2,5</v>
      </c>
      <c r="AH295" s="1304">
        <f>'Зона ТвЭС'!L83</f>
        <v>0.8128749999999999</v>
      </c>
      <c r="AI295" s="1304">
        <f t="shared" si="178"/>
        <v>2.712415</v>
      </c>
      <c r="AJ295" s="1304">
        <f t="shared" si="163"/>
        <v>0</v>
      </c>
      <c r="AK295" s="1298">
        <f t="shared" si="159"/>
        <v>0</v>
      </c>
      <c r="AL295" s="1304">
        <f t="shared" si="170"/>
        <v>0</v>
      </c>
      <c r="AM295" s="1298">
        <v>0</v>
      </c>
      <c r="AN295" s="893">
        <f t="shared" si="171"/>
        <v>0</v>
      </c>
      <c r="AO295" s="1304">
        <f t="shared" si="172"/>
        <v>-2.712415</v>
      </c>
      <c r="AP295" s="1304">
        <f t="shared" si="174"/>
        <v>-2.712415</v>
      </c>
      <c r="AQ295" s="1339" t="str">
        <f t="shared" si="165"/>
        <v>закрыт</v>
      </c>
      <c r="AR295" s="1298" t="str">
        <f t="shared" si="173"/>
        <v>закрыт</v>
      </c>
      <c r="AS295" s="952">
        <f t="shared" si="177"/>
        <v>103.33009523809523</v>
      </c>
      <c r="AT295" s="954" t="s">
        <v>97</v>
      </c>
      <c r="AU295" s="1113">
        <v>1995</v>
      </c>
      <c r="AV295" s="1119" t="s">
        <v>3286</v>
      </c>
      <c r="AW295" s="1121">
        <v>56.768694136898397</v>
      </c>
      <c r="AX295" s="1121">
        <v>36.275502863553797</v>
      </c>
    </row>
    <row r="296" spans="1:50" ht="20.100000000000001" customHeight="1" x14ac:dyDescent="0.25">
      <c r="A296" s="213">
        <v>215</v>
      </c>
      <c r="B296" s="213">
        <v>15</v>
      </c>
      <c r="C296" s="213" t="s">
        <v>186</v>
      </c>
      <c r="D296" s="230">
        <v>2.5</v>
      </c>
      <c r="E296" s="229"/>
      <c r="F296" s="229"/>
      <c r="G296" s="229"/>
      <c r="H296" s="228"/>
      <c r="I296" s="229" t="str">
        <f t="shared" si="155"/>
        <v>2,5</v>
      </c>
      <c r="J296" s="895">
        <v>0.87970500000000007</v>
      </c>
      <c r="K296" s="902">
        <v>0</v>
      </c>
      <c r="L296" s="124">
        <v>0</v>
      </c>
      <c r="M296" s="172">
        <f t="shared" si="175"/>
        <v>0</v>
      </c>
      <c r="N296" s="172">
        <v>0</v>
      </c>
      <c r="O296" s="893"/>
      <c r="P296" s="893">
        <f t="shared" si="166"/>
        <v>0</v>
      </c>
      <c r="Q296" s="172">
        <f t="shared" si="167"/>
        <v>-0.87970500000000007</v>
      </c>
      <c r="R296" s="172">
        <f t="shared" si="176"/>
        <v>-0.87970500000000007</v>
      </c>
      <c r="S296" s="172" t="str">
        <f t="shared" si="164"/>
        <v>закрыт</v>
      </c>
      <c r="T296" s="257" t="str">
        <f t="shared" si="168"/>
        <v>закрыт</v>
      </c>
      <c r="U296" s="768">
        <f t="shared" si="169"/>
        <v>33.512571428571427</v>
      </c>
      <c r="V296" s="768">
        <v>0.26</v>
      </c>
      <c r="W296" s="257" t="s">
        <v>3088</v>
      </c>
      <c r="X296" s="929"/>
      <c r="Y296" s="213">
        <v>215</v>
      </c>
      <c r="Z296" s="1316">
        <v>15</v>
      </c>
      <c r="AA296" s="1298" t="s">
        <v>186</v>
      </c>
      <c r="AB296" s="230">
        <f t="shared" si="156"/>
        <v>2.5</v>
      </c>
      <c r="AC296" s="1315"/>
      <c r="AD296" s="1315"/>
      <c r="AE296" s="1315"/>
      <c r="AF296" s="1316"/>
      <c r="AG296" s="1298" t="str">
        <f t="shared" si="161"/>
        <v>2,5</v>
      </c>
      <c r="AH296" s="1304">
        <f>'Зона ТвЭС'!L88</f>
        <v>2.7E-2</v>
      </c>
      <c r="AI296" s="1304">
        <f t="shared" si="178"/>
        <v>0.90670500000000009</v>
      </c>
      <c r="AJ296" s="1304">
        <f t="shared" si="163"/>
        <v>0</v>
      </c>
      <c r="AK296" s="1298">
        <f t="shared" si="159"/>
        <v>0</v>
      </c>
      <c r="AL296" s="1304">
        <f t="shared" si="170"/>
        <v>0</v>
      </c>
      <c r="AM296" s="1298">
        <v>0</v>
      </c>
      <c r="AN296" s="893">
        <f t="shared" si="171"/>
        <v>0</v>
      </c>
      <c r="AO296" s="1304">
        <f t="shared" si="172"/>
        <v>-0.90670500000000009</v>
      </c>
      <c r="AP296" s="1304">
        <f t="shared" si="174"/>
        <v>-0.90670500000000009</v>
      </c>
      <c r="AQ296" s="1339" t="str">
        <f t="shared" si="165"/>
        <v>закрыт</v>
      </c>
      <c r="AR296" s="1298" t="str">
        <f t="shared" si="173"/>
        <v>закрыт</v>
      </c>
      <c r="AS296" s="952">
        <f t="shared" si="177"/>
        <v>34.541142857142859</v>
      </c>
      <c r="AT296" s="954" t="s">
        <v>97</v>
      </c>
      <c r="AU296" s="1113">
        <v>1981</v>
      </c>
      <c r="AV296" s="1119" t="s">
        <v>3286</v>
      </c>
      <c r="AW296" s="1121">
        <v>56.587896602222003</v>
      </c>
      <c r="AX296" s="1121">
        <v>36.4910108207308</v>
      </c>
    </row>
    <row r="297" spans="1:50" ht="20.100000000000001" customHeight="1" x14ac:dyDescent="0.25">
      <c r="A297" s="213">
        <v>216</v>
      </c>
      <c r="B297" s="213">
        <v>16</v>
      </c>
      <c r="C297" s="213" t="s">
        <v>187</v>
      </c>
      <c r="D297" s="230">
        <v>2.5</v>
      </c>
      <c r="E297" s="229"/>
      <c r="F297" s="229"/>
      <c r="G297" s="229"/>
      <c r="H297" s="228"/>
      <c r="I297" s="229" t="str">
        <f t="shared" si="155"/>
        <v>2,5</v>
      </c>
      <c r="J297" s="895">
        <v>0.91689999999999994</v>
      </c>
      <c r="K297" s="902">
        <v>0.91700000000000004</v>
      </c>
      <c r="L297" s="124" t="s">
        <v>1807</v>
      </c>
      <c r="M297" s="172">
        <f t="shared" si="175"/>
        <v>0.91700000000000004</v>
      </c>
      <c r="N297" s="172">
        <v>0</v>
      </c>
      <c r="O297" s="893"/>
      <c r="P297" s="893">
        <f t="shared" si="166"/>
        <v>0.91700000000000004</v>
      </c>
      <c r="Q297" s="172">
        <f t="shared" si="167"/>
        <v>1.0000000000010001E-4</v>
      </c>
      <c r="R297" s="172">
        <f t="shared" si="176"/>
        <v>1.0000000000010001E-4</v>
      </c>
      <c r="S297" s="172" t="str">
        <f t="shared" si="164"/>
        <v/>
      </c>
      <c r="T297" s="257" t="str">
        <f t="shared" si="168"/>
        <v/>
      </c>
      <c r="U297" s="768">
        <f t="shared" si="169"/>
        <v>34.929523809523808</v>
      </c>
      <c r="V297" s="768">
        <v>0.53</v>
      </c>
      <c r="W297" s="257" t="s">
        <v>3088</v>
      </c>
      <c r="X297" s="929"/>
      <c r="Y297" s="213">
        <v>216</v>
      </c>
      <c r="Z297" s="1316">
        <v>16</v>
      </c>
      <c r="AA297" s="1298" t="s">
        <v>187</v>
      </c>
      <c r="AB297" s="230">
        <f t="shared" si="156"/>
        <v>2.5</v>
      </c>
      <c r="AC297" s="1315"/>
      <c r="AD297" s="1315"/>
      <c r="AE297" s="1315"/>
      <c r="AF297" s="1316"/>
      <c r="AG297" s="1298" t="str">
        <f t="shared" si="161"/>
        <v>2,5</v>
      </c>
      <c r="AH297" s="1304">
        <f>'Зона ТвЭС'!L95</f>
        <v>0.25187500000000002</v>
      </c>
      <c r="AI297" s="1304">
        <f t="shared" si="178"/>
        <v>1.1687749999999999</v>
      </c>
      <c r="AJ297" s="1304">
        <f t="shared" si="163"/>
        <v>0.91700000000000004</v>
      </c>
      <c r="AK297" s="1298" t="str">
        <f t="shared" si="159"/>
        <v>1сутки</v>
      </c>
      <c r="AL297" s="1304">
        <f t="shared" si="170"/>
        <v>0.91700000000000004</v>
      </c>
      <c r="AM297" s="1298">
        <v>0</v>
      </c>
      <c r="AN297" s="893">
        <f t="shared" si="171"/>
        <v>0.91700000000000004</v>
      </c>
      <c r="AO297" s="1304">
        <f t="shared" si="172"/>
        <v>-0.25177499999999986</v>
      </c>
      <c r="AP297" s="1304">
        <f t="shared" si="174"/>
        <v>-0.25177499999999986</v>
      </c>
      <c r="AQ297" s="1339" t="str">
        <f t="shared" si="165"/>
        <v>закрыт</v>
      </c>
      <c r="AR297" s="1298" t="str">
        <f t="shared" si="173"/>
        <v>закрыт</v>
      </c>
      <c r="AS297" s="952">
        <f t="shared" si="177"/>
        <v>44.524761904761895</v>
      </c>
      <c r="AT297" s="954" t="s">
        <v>97</v>
      </c>
      <c r="AU297" s="1113">
        <v>1979</v>
      </c>
      <c r="AV297" s="1119" t="s">
        <v>3286</v>
      </c>
      <c r="AW297" s="1121">
        <v>57.205603589896803</v>
      </c>
      <c r="AX297" s="1121">
        <v>36.369147383304998</v>
      </c>
    </row>
    <row r="298" spans="1:50" ht="20.100000000000001" customHeight="1" x14ac:dyDescent="0.25">
      <c r="A298" s="213">
        <v>217</v>
      </c>
      <c r="B298" s="213">
        <v>17</v>
      </c>
      <c r="C298" s="213" t="s">
        <v>2953</v>
      </c>
      <c r="D298" s="230">
        <v>2.5</v>
      </c>
      <c r="E298" s="229"/>
      <c r="F298" s="229"/>
      <c r="G298" s="229"/>
      <c r="H298" s="228"/>
      <c r="I298" s="229" t="str">
        <f t="shared" si="155"/>
        <v>2,5</v>
      </c>
      <c r="J298" s="895">
        <v>0.586816</v>
      </c>
      <c r="K298" s="902">
        <v>0</v>
      </c>
      <c r="L298" s="124">
        <v>0</v>
      </c>
      <c r="M298" s="172">
        <f t="shared" si="175"/>
        <v>0</v>
      </c>
      <c r="N298" s="172">
        <v>0</v>
      </c>
      <c r="O298" s="893"/>
      <c r="P298" s="893">
        <f t="shared" si="166"/>
        <v>0</v>
      </c>
      <c r="Q298" s="172">
        <f t="shared" si="167"/>
        <v>-0.586816</v>
      </c>
      <c r="R298" s="172">
        <f t="shared" si="176"/>
        <v>-0.586816</v>
      </c>
      <c r="S298" s="172" t="str">
        <f t="shared" si="164"/>
        <v>закрыт</v>
      </c>
      <c r="T298" s="257" t="str">
        <f t="shared" si="168"/>
        <v>закрыт</v>
      </c>
      <c r="U298" s="768">
        <f t="shared" si="169"/>
        <v>22.354895238095239</v>
      </c>
      <c r="V298" s="768">
        <v>0.55000000000000004</v>
      </c>
      <c r="W298" s="257" t="s">
        <v>3088</v>
      </c>
      <c r="X298" s="929"/>
      <c r="Y298" s="213">
        <v>217</v>
      </c>
      <c r="Z298" s="1316">
        <v>17</v>
      </c>
      <c r="AA298" s="1298" t="s">
        <v>2953</v>
      </c>
      <c r="AB298" s="230">
        <f t="shared" si="156"/>
        <v>2.5</v>
      </c>
      <c r="AC298" s="1315"/>
      <c r="AD298" s="1315"/>
      <c r="AE298" s="1315"/>
      <c r="AF298" s="1316"/>
      <c r="AG298" s="1298" t="str">
        <f t="shared" si="161"/>
        <v>2,5</v>
      </c>
      <c r="AH298" s="1304">
        <f>'Зона ТвЭС'!L97</f>
        <v>0</v>
      </c>
      <c r="AI298" s="1304">
        <f t="shared" si="178"/>
        <v>0.586816</v>
      </c>
      <c r="AJ298" s="1304">
        <f t="shared" si="163"/>
        <v>0</v>
      </c>
      <c r="AK298" s="1298">
        <f t="shared" si="159"/>
        <v>0</v>
      </c>
      <c r="AL298" s="1304">
        <f t="shared" si="170"/>
        <v>0</v>
      </c>
      <c r="AM298" s="1298">
        <v>0</v>
      </c>
      <c r="AN298" s="893">
        <f t="shared" si="171"/>
        <v>0</v>
      </c>
      <c r="AO298" s="1304">
        <f t="shared" si="172"/>
        <v>-0.586816</v>
      </c>
      <c r="AP298" s="1304">
        <f t="shared" si="174"/>
        <v>-0.586816</v>
      </c>
      <c r="AQ298" s="1339" t="str">
        <f t="shared" si="165"/>
        <v>закрыт</v>
      </c>
      <c r="AR298" s="1298" t="str">
        <f t="shared" si="173"/>
        <v>закрыт</v>
      </c>
      <c r="AS298" s="952">
        <f t="shared" si="177"/>
        <v>22.354895238095239</v>
      </c>
      <c r="AT298" s="954" t="s">
        <v>97</v>
      </c>
      <c r="AU298" s="1113">
        <v>1964</v>
      </c>
      <c r="AV298" s="1119" t="s">
        <v>3286</v>
      </c>
      <c r="AW298" s="1121">
        <v>57.363755430550597</v>
      </c>
      <c r="AX298" s="1121">
        <v>36.599152638130299</v>
      </c>
    </row>
    <row r="299" spans="1:50" ht="20.100000000000001" customHeight="1" x14ac:dyDescent="0.25">
      <c r="A299" s="213">
        <v>218</v>
      </c>
      <c r="B299" s="213">
        <v>18</v>
      </c>
      <c r="C299" s="213" t="s">
        <v>188</v>
      </c>
      <c r="D299" s="230">
        <v>2.5</v>
      </c>
      <c r="E299" s="229"/>
      <c r="F299" s="229"/>
      <c r="G299" s="229"/>
      <c r="H299" s="228"/>
      <c r="I299" s="229" t="str">
        <f t="shared" si="155"/>
        <v>2,5</v>
      </c>
      <c r="J299" s="895">
        <v>0.18337999999999999</v>
      </c>
      <c r="K299" s="902">
        <v>0.19</v>
      </c>
      <c r="L299" s="124" t="s">
        <v>1807</v>
      </c>
      <c r="M299" s="172">
        <f t="shared" si="175"/>
        <v>0.19</v>
      </c>
      <c r="N299" s="172">
        <v>0</v>
      </c>
      <c r="O299" s="893"/>
      <c r="P299" s="893">
        <f t="shared" si="166"/>
        <v>0.19</v>
      </c>
      <c r="Q299" s="172">
        <f t="shared" si="167"/>
        <v>6.6200000000000148E-3</v>
      </c>
      <c r="R299" s="172">
        <f>Q299</f>
        <v>6.6200000000000148E-3</v>
      </c>
      <c r="S299" s="172" t="str">
        <f t="shared" si="164"/>
        <v/>
      </c>
      <c r="T299" s="257" t="str">
        <f t="shared" si="168"/>
        <v/>
      </c>
      <c r="U299" s="768">
        <f t="shared" si="169"/>
        <v>6.9859047619047612</v>
      </c>
      <c r="V299" s="768">
        <v>0.72</v>
      </c>
      <c r="W299" s="257" t="s">
        <v>3088</v>
      </c>
      <c r="X299" s="929"/>
      <c r="Y299" s="213">
        <v>218</v>
      </c>
      <c r="Z299" s="1316">
        <v>18</v>
      </c>
      <c r="AA299" s="1298" t="s">
        <v>188</v>
      </c>
      <c r="AB299" s="230">
        <f t="shared" si="156"/>
        <v>2.5</v>
      </c>
      <c r="AC299" s="1315"/>
      <c r="AD299" s="1315"/>
      <c r="AE299" s="1315"/>
      <c r="AF299" s="1316"/>
      <c r="AG299" s="1298" t="str">
        <f t="shared" si="161"/>
        <v>2,5</v>
      </c>
      <c r="AH299" s="1304">
        <f>'Зона ТвЭС'!L99</f>
        <v>0</v>
      </c>
      <c r="AI299" s="1304">
        <f t="shared" si="178"/>
        <v>0.18337999999999999</v>
      </c>
      <c r="AJ299" s="1304">
        <f t="shared" si="163"/>
        <v>0.19</v>
      </c>
      <c r="AK299" s="1298" t="str">
        <f t="shared" si="159"/>
        <v>1сутки</v>
      </c>
      <c r="AL299" s="1304">
        <f t="shared" si="170"/>
        <v>0.19</v>
      </c>
      <c r="AM299" s="1298">
        <v>0</v>
      </c>
      <c r="AN299" s="893">
        <f t="shared" si="171"/>
        <v>0.19</v>
      </c>
      <c r="AO299" s="1304">
        <f t="shared" si="172"/>
        <v>6.6200000000000148E-3</v>
      </c>
      <c r="AP299" s="1304">
        <f t="shared" si="174"/>
        <v>6.6200000000000148E-3</v>
      </c>
      <c r="AQ299" s="1339" t="str">
        <f t="shared" si="165"/>
        <v/>
      </c>
      <c r="AR299" s="1298" t="str">
        <f t="shared" si="173"/>
        <v/>
      </c>
      <c r="AS299" s="952">
        <f t="shared" si="177"/>
        <v>6.9859047619047612</v>
      </c>
      <c r="AT299" s="954" t="s">
        <v>97</v>
      </c>
      <c r="AU299" s="1113">
        <v>1982</v>
      </c>
      <c r="AV299" s="1119" t="s">
        <v>3286</v>
      </c>
      <c r="AW299" s="1121">
        <v>57.391124969442103</v>
      </c>
      <c r="AX299" s="1121">
        <v>36.379972885451103</v>
      </c>
    </row>
    <row r="300" spans="1:50" ht="20.100000000000001" customHeight="1" x14ac:dyDescent="0.25">
      <c r="A300" s="213">
        <v>219</v>
      </c>
      <c r="B300" s="213">
        <v>19</v>
      </c>
      <c r="C300" s="213" t="s">
        <v>189</v>
      </c>
      <c r="D300" s="230">
        <v>4</v>
      </c>
      <c r="E300" s="229" t="s">
        <v>785</v>
      </c>
      <c r="F300" s="229">
        <v>4</v>
      </c>
      <c r="G300" s="229"/>
      <c r="H300" s="228"/>
      <c r="I300" s="229" t="str">
        <f t="shared" si="155"/>
        <v>4+4</v>
      </c>
      <c r="J300" s="895">
        <v>1.0483799999999999</v>
      </c>
      <c r="K300" s="902">
        <v>0</v>
      </c>
      <c r="L300" s="124">
        <v>0</v>
      </c>
      <c r="M300" s="172">
        <f t="shared" ref="M300:M331" si="179">J300-K300</f>
        <v>1.0483799999999999</v>
      </c>
      <c r="N300" s="172">
        <v>0</v>
      </c>
      <c r="O300" s="893"/>
      <c r="P300" s="893">
        <f t="shared" ref="P300:P320" si="180">MIN(D300:F300)*1.05</f>
        <v>4.2</v>
      </c>
      <c r="Q300" s="172">
        <f t="shared" ref="Q300:Q331" si="181">P300-M300-N300</f>
        <v>3.1516200000000003</v>
      </c>
      <c r="R300" s="172">
        <f>Q300</f>
        <v>3.1516200000000003</v>
      </c>
      <c r="S300" s="172" t="str">
        <f t="shared" si="164"/>
        <v/>
      </c>
      <c r="T300" s="257" t="str">
        <f t="shared" si="168"/>
        <v/>
      </c>
      <c r="U300" s="768">
        <f t="shared" ref="U300:U331" si="182">(J300*100)/P300</f>
        <v>24.96142857142857</v>
      </c>
      <c r="V300" s="768">
        <v>0.31</v>
      </c>
      <c r="W300" s="257" t="s">
        <v>3088</v>
      </c>
      <c r="X300" s="929"/>
      <c r="Y300" s="213">
        <v>219</v>
      </c>
      <c r="Z300" s="1316">
        <v>19</v>
      </c>
      <c r="AA300" s="1298" t="s">
        <v>189</v>
      </c>
      <c r="AB300" s="230">
        <f t="shared" si="156"/>
        <v>4</v>
      </c>
      <c r="AC300" s="1315" t="str">
        <f t="shared" si="157"/>
        <v>+</v>
      </c>
      <c r="AD300" s="1315">
        <f t="shared" si="158"/>
        <v>4</v>
      </c>
      <c r="AE300" s="1315"/>
      <c r="AF300" s="1316"/>
      <c r="AG300" s="1298" t="str">
        <f t="shared" si="161"/>
        <v>4+4</v>
      </c>
      <c r="AH300" s="1304">
        <f>'Зона ТвЭС'!L102</f>
        <v>0.125</v>
      </c>
      <c r="AI300" s="1304">
        <f t="shared" si="178"/>
        <v>1.1733799999999999</v>
      </c>
      <c r="AJ300" s="1304">
        <f t="shared" si="163"/>
        <v>0</v>
      </c>
      <c r="AK300" s="1298">
        <f t="shared" si="159"/>
        <v>0</v>
      </c>
      <c r="AL300" s="1304">
        <f t="shared" ref="AL300:AL331" si="183">AI300-AJ300</f>
        <v>1.1733799999999999</v>
      </c>
      <c r="AM300" s="1298">
        <v>0</v>
      </c>
      <c r="AN300" s="893">
        <f t="shared" ref="AN300:AN319" si="184">MIN(AB300:AF300)*1.05</f>
        <v>4.2</v>
      </c>
      <c r="AO300" s="1304">
        <f t="shared" ref="AO300:AO331" si="185">AN300-AL300-AM300</f>
        <v>3.0266200000000003</v>
      </c>
      <c r="AP300" s="1304">
        <f>AO300</f>
        <v>3.0266200000000003</v>
      </c>
      <c r="AQ300" s="1339" t="str">
        <f t="shared" si="165"/>
        <v/>
      </c>
      <c r="AR300" s="1298" t="str">
        <f t="shared" si="173"/>
        <v/>
      </c>
      <c r="AS300" s="952">
        <f t="shared" ref="AS300:AS331" si="186">(AI300*100)/AN300</f>
        <v>27.937619047619044</v>
      </c>
      <c r="AT300" s="954" t="s">
        <v>97</v>
      </c>
      <c r="AU300" s="1113">
        <v>1985</v>
      </c>
      <c r="AV300" s="1119" t="s">
        <v>3286</v>
      </c>
      <c r="AW300" s="1121">
        <v>56.912094781366399</v>
      </c>
      <c r="AX300" s="1121">
        <v>36.230996697867603</v>
      </c>
    </row>
    <row r="301" spans="1:50" ht="20.100000000000001" customHeight="1" x14ac:dyDescent="0.25">
      <c r="A301" s="213">
        <v>220</v>
      </c>
      <c r="B301" s="213">
        <v>20</v>
      </c>
      <c r="C301" s="1263" t="s">
        <v>3442</v>
      </c>
      <c r="D301" s="230">
        <v>2.5</v>
      </c>
      <c r="E301" s="229" t="s">
        <v>785</v>
      </c>
      <c r="F301" s="229">
        <v>6.3</v>
      </c>
      <c r="G301" s="229"/>
      <c r="H301" s="228"/>
      <c r="I301" s="229" t="str">
        <f t="shared" si="155"/>
        <v>2,5+6,3</v>
      </c>
      <c r="J301" s="895">
        <v>1.473095</v>
      </c>
      <c r="K301" s="902">
        <v>0</v>
      </c>
      <c r="L301" s="124">
        <v>0</v>
      </c>
      <c r="M301" s="172">
        <f t="shared" si="179"/>
        <v>1.473095</v>
      </c>
      <c r="N301" s="172">
        <v>0</v>
      </c>
      <c r="O301" s="893"/>
      <c r="P301" s="893">
        <f t="shared" si="180"/>
        <v>2.625</v>
      </c>
      <c r="Q301" s="172">
        <f t="shared" si="181"/>
        <v>1.151905</v>
      </c>
      <c r="R301" s="172">
        <f>Q301</f>
        <v>1.151905</v>
      </c>
      <c r="S301" s="172" t="str">
        <f t="shared" si="164"/>
        <v/>
      </c>
      <c r="T301" s="257" t="str">
        <f t="shared" si="168"/>
        <v/>
      </c>
      <c r="U301" s="768">
        <f t="shared" si="182"/>
        <v>56.117904761904768</v>
      </c>
      <c r="V301" s="768"/>
      <c r="W301" s="768"/>
      <c r="X301" s="929"/>
      <c r="Y301" s="213">
        <v>220</v>
      </c>
      <c r="Z301" s="1316">
        <v>20</v>
      </c>
      <c r="AA301" s="1298" t="s">
        <v>3442</v>
      </c>
      <c r="AB301" s="230">
        <f t="shared" si="156"/>
        <v>2.5</v>
      </c>
      <c r="AC301" s="1315" t="str">
        <f t="shared" si="157"/>
        <v>+</v>
      </c>
      <c r="AD301" s="1315">
        <f t="shared" si="158"/>
        <v>6.3</v>
      </c>
      <c r="AE301" s="1315"/>
      <c r="AF301" s="1316"/>
      <c r="AG301" s="1298" t="str">
        <f t="shared" si="161"/>
        <v>2,5+6,3</v>
      </c>
      <c r="AH301" s="1304">
        <f>'Зона ТвЭС'!L117</f>
        <v>3.6477499999999998</v>
      </c>
      <c r="AI301" s="1304">
        <f t="shared" si="178"/>
        <v>5.1208450000000001</v>
      </c>
      <c r="AJ301" s="1304">
        <f t="shared" si="163"/>
        <v>0</v>
      </c>
      <c r="AK301" s="1298">
        <f t="shared" si="159"/>
        <v>0</v>
      </c>
      <c r="AL301" s="1304">
        <f t="shared" si="183"/>
        <v>5.1208450000000001</v>
      </c>
      <c r="AM301" s="1298">
        <v>0</v>
      </c>
      <c r="AN301" s="893">
        <f t="shared" si="184"/>
        <v>2.625</v>
      </c>
      <c r="AO301" s="1304">
        <f t="shared" si="185"/>
        <v>-2.4958450000000001</v>
      </c>
      <c r="AP301" s="1304">
        <f>AO301</f>
        <v>-2.4958450000000001</v>
      </c>
      <c r="AQ301" s="1339" t="str">
        <f t="shared" si="165"/>
        <v>закрыт</v>
      </c>
      <c r="AR301" s="1298" t="str">
        <f t="shared" si="173"/>
        <v>закрыт</v>
      </c>
      <c r="AS301" s="952">
        <f t="shared" si="186"/>
        <v>195.07980952380953</v>
      </c>
      <c r="AT301" s="954" t="s">
        <v>97</v>
      </c>
      <c r="AU301" s="1113">
        <v>1990</v>
      </c>
      <c r="AV301" s="1119" t="s">
        <v>3286</v>
      </c>
      <c r="AW301" s="1121">
        <v>56.791632844852899</v>
      </c>
      <c r="AX301" s="1121">
        <v>35.7139339625055</v>
      </c>
    </row>
    <row r="302" spans="1:50" ht="20.100000000000001" customHeight="1" x14ac:dyDescent="0.25">
      <c r="A302" s="213">
        <v>221</v>
      </c>
      <c r="B302" s="213">
        <v>21</v>
      </c>
      <c r="C302" s="213" t="s">
        <v>190</v>
      </c>
      <c r="D302" s="230">
        <v>2.5</v>
      </c>
      <c r="E302" s="229" t="s">
        <v>785</v>
      </c>
      <c r="F302" s="229">
        <v>2.5</v>
      </c>
      <c r="G302" s="229"/>
      <c r="H302" s="228"/>
      <c r="I302" s="229" t="str">
        <f t="shared" si="155"/>
        <v>2,5+2,5</v>
      </c>
      <c r="J302" s="895">
        <v>1.5985199999999999</v>
      </c>
      <c r="K302" s="902">
        <v>0</v>
      </c>
      <c r="L302" s="124">
        <v>0</v>
      </c>
      <c r="M302" s="172">
        <f t="shared" si="179"/>
        <v>1.5985199999999999</v>
      </c>
      <c r="N302" s="172">
        <v>0</v>
      </c>
      <c r="O302" s="893"/>
      <c r="P302" s="893">
        <f t="shared" si="180"/>
        <v>2.625</v>
      </c>
      <c r="Q302" s="172">
        <f t="shared" si="181"/>
        <v>1.0264800000000001</v>
      </c>
      <c r="R302" s="172">
        <f>Q302</f>
        <v>1.0264800000000001</v>
      </c>
      <c r="S302" s="172" t="str">
        <f t="shared" si="164"/>
        <v/>
      </c>
      <c r="T302" s="257" t="str">
        <f t="shared" si="168"/>
        <v/>
      </c>
      <c r="U302" s="768">
        <f t="shared" si="182"/>
        <v>60.896000000000001</v>
      </c>
      <c r="V302" s="768">
        <v>0.37</v>
      </c>
      <c r="W302" s="257" t="s">
        <v>3088</v>
      </c>
      <c r="X302" s="929"/>
      <c r="Y302" s="213">
        <v>221</v>
      </c>
      <c r="Z302" s="1316">
        <v>21</v>
      </c>
      <c r="AA302" s="1298" t="s">
        <v>190</v>
      </c>
      <c r="AB302" s="230">
        <f t="shared" si="156"/>
        <v>2.5</v>
      </c>
      <c r="AC302" s="1315" t="str">
        <f t="shared" si="157"/>
        <v>+</v>
      </c>
      <c r="AD302" s="1315">
        <f t="shared" si="158"/>
        <v>2.5</v>
      </c>
      <c r="AE302" s="1315"/>
      <c r="AF302" s="1316"/>
      <c r="AG302" s="1298" t="str">
        <f t="shared" si="161"/>
        <v>2,5+2,5</v>
      </c>
      <c r="AH302" s="1304">
        <f>'Зона ТвЭС'!L128</f>
        <v>1.9373</v>
      </c>
      <c r="AI302" s="1304">
        <f t="shared" si="178"/>
        <v>3.5358200000000002</v>
      </c>
      <c r="AJ302" s="1304">
        <f t="shared" si="163"/>
        <v>0</v>
      </c>
      <c r="AK302" s="1298">
        <f t="shared" si="159"/>
        <v>0</v>
      </c>
      <c r="AL302" s="1304">
        <f t="shared" si="183"/>
        <v>3.5358200000000002</v>
      </c>
      <c r="AM302" s="1298">
        <v>0</v>
      </c>
      <c r="AN302" s="893">
        <f t="shared" si="184"/>
        <v>2.625</v>
      </c>
      <c r="AO302" s="1304">
        <f t="shared" si="185"/>
        <v>-0.91082000000000019</v>
      </c>
      <c r="AP302" s="1304">
        <f>AO302</f>
        <v>-0.91082000000000019</v>
      </c>
      <c r="AQ302" s="1339" t="str">
        <f t="shared" si="165"/>
        <v>закрыт</v>
      </c>
      <c r="AR302" s="1298" t="str">
        <f t="shared" si="173"/>
        <v>закрыт</v>
      </c>
      <c r="AS302" s="952">
        <f t="shared" si="186"/>
        <v>134.69790476190477</v>
      </c>
      <c r="AT302" s="954" t="s">
        <v>97</v>
      </c>
      <c r="AU302" s="1113">
        <v>1963</v>
      </c>
      <c r="AV302" s="1119" t="s">
        <v>3286</v>
      </c>
      <c r="AW302" s="1121">
        <v>57.130553877386397</v>
      </c>
      <c r="AX302" s="1121">
        <v>36.075326147215897</v>
      </c>
    </row>
    <row r="303" spans="1:50" ht="20.100000000000001" customHeight="1" x14ac:dyDescent="0.25">
      <c r="A303" s="213">
        <v>222</v>
      </c>
      <c r="B303" s="213">
        <v>22</v>
      </c>
      <c r="C303" s="213" t="s">
        <v>191</v>
      </c>
      <c r="D303" s="230">
        <v>5.6</v>
      </c>
      <c r="E303" s="229" t="s">
        <v>785</v>
      </c>
      <c r="F303" s="229">
        <v>5.6</v>
      </c>
      <c r="G303" s="229"/>
      <c r="H303" s="228"/>
      <c r="I303" s="229" t="str">
        <f t="shared" si="155"/>
        <v>5,6+5,6</v>
      </c>
      <c r="J303" s="895">
        <v>2.6157599999999999</v>
      </c>
      <c r="K303" s="902">
        <v>0</v>
      </c>
      <c r="L303" s="124">
        <v>0</v>
      </c>
      <c r="M303" s="172">
        <f t="shared" si="179"/>
        <v>2.6157599999999999</v>
      </c>
      <c r="N303" s="172">
        <v>0</v>
      </c>
      <c r="O303" s="893"/>
      <c r="P303" s="893">
        <f t="shared" si="180"/>
        <v>5.88</v>
      </c>
      <c r="Q303" s="172">
        <f t="shared" si="181"/>
        <v>3.26424</v>
      </c>
      <c r="R303" s="172">
        <f t="shared" si="176"/>
        <v>3.26424</v>
      </c>
      <c r="S303" s="172" t="str">
        <f t="shared" si="164"/>
        <v/>
      </c>
      <c r="T303" s="257" t="str">
        <f t="shared" si="168"/>
        <v/>
      </c>
      <c r="U303" s="768">
        <f t="shared" si="182"/>
        <v>44.48571428571428</v>
      </c>
      <c r="V303" s="768">
        <v>0.36</v>
      </c>
      <c r="W303" s="257" t="s">
        <v>3088</v>
      </c>
      <c r="X303" s="929"/>
      <c r="Y303" s="213">
        <v>222</v>
      </c>
      <c r="Z303" s="1316">
        <v>22</v>
      </c>
      <c r="AA303" s="1298" t="s">
        <v>191</v>
      </c>
      <c r="AB303" s="230">
        <f t="shared" si="156"/>
        <v>5.6</v>
      </c>
      <c r="AC303" s="1315" t="str">
        <f t="shared" si="157"/>
        <v>+</v>
      </c>
      <c r="AD303" s="1315">
        <f t="shared" si="158"/>
        <v>5.6</v>
      </c>
      <c r="AE303" s="1315"/>
      <c r="AF303" s="1316"/>
      <c r="AG303" s="1298" t="str">
        <f t="shared" si="161"/>
        <v>5,6+5,6</v>
      </c>
      <c r="AH303" s="1304">
        <f>'Зона ТвЭС'!L137</f>
        <v>0.625</v>
      </c>
      <c r="AI303" s="1304">
        <f t="shared" si="178"/>
        <v>3.2407599999999999</v>
      </c>
      <c r="AJ303" s="1304">
        <f t="shared" si="163"/>
        <v>0</v>
      </c>
      <c r="AK303" s="1298">
        <f t="shared" si="159"/>
        <v>0</v>
      </c>
      <c r="AL303" s="1304">
        <f t="shared" si="183"/>
        <v>3.2407599999999999</v>
      </c>
      <c r="AM303" s="1298">
        <v>0</v>
      </c>
      <c r="AN303" s="893">
        <f t="shared" si="184"/>
        <v>5.88</v>
      </c>
      <c r="AO303" s="1304">
        <f t="shared" si="185"/>
        <v>2.63924</v>
      </c>
      <c r="AP303" s="1304">
        <f t="shared" ref="AP303:AP346" si="187">AO303</f>
        <v>2.63924</v>
      </c>
      <c r="AQ303" s="1339" t="str">
        <f t="shared" si="165"/>
        <v/>
      </c>
      <c r="AR303" s="1298" t="str">
        <f t="shared" si="173"/>
        <v/>
      </c>
      <c r="AS303" s="952">
        <f t="shared" si="186"/>
        <v>55.114965986394552</v>
      </c>
      <c r="AT303" s="954" t="s">
        <v>97</v>
      </c>
      <c r="AU303" s="1113">
        <v>1961</v>
      </c>
      <c r="AV303" s="1119" t="s">
        <v>3286</v>
      </c>
      <c r="AW303" s="1121">
        <v>56.798377183551999</v>
      </c>
      <c r="AX303" s="1121">
        <v>36.042172374705899</v>
      </c>
    </row>
    <row r="304" spans="1:50" ht="20.100000000000001" customHeight="1" x14ac:dyDescent="0.25">
      <c r="A304" s="213">
        <v>223</v>
      </c>
      <c r="B304" s="213">
        <v>23</v>
      </c>
      <c r="C304" s="213" t="s">
        <v>192</v>
      </c>
      <c r="D304" s="230">
        <v>3.2</v>
      </c>
      <c r="E304" s="229" t="s">
        <v>785</v>
      </c>
      <c r="F304" s="229">
        <v>3.2</v>
      </c>
      <c r="G304" s="229"/>
      <c r="H304" s="228"/>
      <c r="I304" s="229" t="str">
        <f t="shared" si="155"/>
        <v>3,2+3,2</v>
      </c>
      <c r="J304" s="895">
        <v>1.7438399999999998</v>
      </c>
      <c r="K304" s="902">
        <v>0</v>
      </c>
      <c r="L304" s="124">
        <v>0</v>
      </c>
      <c r="M304" s="172">
        <f t="shared" si="179"/>
        <v>1.7438399999999998</v>
      </c>
      <c r="N304" s="172">
        <v>0</v>
      </c>
      <c r="O304" s="893"/>
      <c r="P304" s="893">
        <f t="shared" si="180"/>
        <v>3.3600000000000003</v>
      </c>
      <c r="Q304" s="172">
        <f t="shared" si="181"/>
        <v>1.6161600000000005</v>
      </c>
      <c r="R304" s="172">
        <f t="shared" si="176"/>
        <v>1.6161600000000005</v>
      </c>
      <c r="S304" s="172" t="str">
        <f t="shared" si="164"/>
        <v/>
      </c>
      <c r="T304" s="257" t="str">
        <f t="shared" si="168"/>
        <v/>
      </c>
      <c r="U304" s="768">
        <f t="shared" si="182"/>
        <v>51.899999999999991</v>
      </c>
      <c r="V304" s="768">
        <v>0.3</v>
      </c>
      <c r="W304" s="257" t="s">
        <v>3088</v>
      </c>
      <c r="X304" s="929"/>
      <c r="Y304" s="213">
        <v>223</v>
      </c>
      <c r="Z304" s="1316">
        <v>23</v>
      </c>
      <c r="AA304" s="1298" t="s">
        <v>192</v>
      </c>
      <c r="AB304" s="230">
        <f t="shared" si="156"/>
        <v>3.2</v>
      </c>
      <c r="AC304" s="1315" t="str">
        <f t="shared" si="157"/>
        <v>+</v>
      </c>
      <c r="AD304" s="1315">
        <f t="shared" si="158"/>
        <v>3.2</v>
      </c>
      <c r="AE304" s="1315"/>
      <c r="AF304" s="1316"/>
      <c r="AG304" s="1298" t="str">
        <f t="shared" si="161"/>
        <v>3,2+3,2</v>
      </c>
      <c r="AH304" s="1304">
        <f>'Зона ТвЭС'!L142</f>
        <v>0</v>
      </c>
      <c r="AI304" s="1304">
        <f t="shared" si="178"/>
        <v>1.7438399999999998</v>
      </c>
      <c r="AJ304" s="1304">
        <f t="shared" si="163"/>
        <v>0</v>
      </c>
      <c r="AK304" s="1298">
        <f t="shared" si="159"/>
        <v>0</v>
      </c>
      <c r="AL304" s="1304">
        <f t="shared" si="183"/>
        <v>1.7438399999999998</v>
      </c>
      <c r="AM304" s="1298">
        <v>0</v>
      </c>
      <c r="AN304" s="893">
        <f t="shared" si="184"/>
        <v>3.3600000000000003</v>
      </c>
      <c r="AO304" s="1304">
        <f t="shared" si="185"/>
        <v>1.6161600000000005</v>
      </c>
      <c r="AP304" s="1304">
        <f t="shared" si="187"/>
        <v>1.6161600000000005</v>
      </c>
      <c r="AQ304" s="1339" t="str">
        <f t="shared" si="165"/>
        <v/>
      </c>
      <c r="AR304" s="1298" t="str">
        <f t="shared" si="173"/>
        <v/>
      </c>
      <c r="AS304" s="952">
        <f t="shared" si="186"/>
        <v>51.899999999999991</v>
      </c>
      <c r="AT304" s="954" t="s">
        <v>97</v>
      </c>
      <c r="AU304" s="1113">
        <v>1947</v>
      </c>
      <c r="AV304" s="1119" t="s">
        <v>3286</v>
      </c>
      <c r="AW304" s="1121">
        <v>56.812938241620103</v>
      </c>
      <c r="AX304" s="1121">
        <v>35.997714520066801</v>
      </c>
    </row>
    <row r="305" spans="1:50" ht="20.100000000000001" customHeight="1" x14ac:dyDescent="0.25">
      <c r="A305" s="213">
        <v>224</v>
      </c>
      <c r="B305" s="213">
        <v>24</v>
      </c>
      <c r="C305" s="213" t="s">
        <v>193</v>
      </c>
      <c r="D305" s="230">
        <v>10</v>
      </c>
      <c r="E305" s="229" t="s">
        <v>785</v>
      </c>
      <c r="F305" s="229">
        <v>10</v>
      </c>
      <c r="G305" s="229"/>
      <c r="H305" s="228"/>
      <c r="I305" s="229" t="str">
        <f t="shared" si="155"/>
        <v>10+10</v>
      </c>
      <c r="J305" s="895">
        <v>13.967328</v>
      </c>
      <c r="K305" s="902">
        <v>0</v>
      </c>
      <c r="L305" s="124">
        <v>0</v>
      </c>
      <c r="M305" s="172">
        <f t="shared" si="179"/>
        <v>13.967328</v>
      </c>
      <c r="N305" s="172">
        <v>0</v>
      </c>
      <c r="O305" s="893"/>
      <c r="P305" s="893">
        <f t="shared" si="180"/>
        <v>10.5</v>
      </c>
      <c r="Q305" s="172">
        <f t="shared" si="181"/>
        <v>-3.4673280000000002</v>
      </c>
      <c r="R305" s="172">
        <f t="shared" si="176"/>
        <v>-3.4673280000000002</v>
      </c>
      <c r="S305" s="172" t="str">
        <f t="shared" si="164"/>
        <v>закрыт</v>
      </c>
      <c r="T305" s="257" t="str">
        <f t="shared" si="168"/>
        <v>закрыт</v>
      </c>
      <c r="U305" s="768">
        <f t="shared" si="182"/>
        <v>133.02217142857143</v>
      </c>
      <c r="V305" s="768">
        <v>0.37</v>
      </c>
      <c r="W305" s="257" t="s">
        <v>3088</v>
      </c>
      <c r="X305" s="929"/>
      <c r="Y305" s="213">
        <v>224</v>
      </c>
      <c r="Z305" s="1316">
        <v>24</v>
      </c>
      <c r="AA305" s="1298" t="s">
        <v>193</v>
      </c>
      <c r="AB305" s="230">
        <f t="shared" si="156"/>
        <v>10</v>
      </c>
      <c r="AC305" s="1315" t="str">
        <f t="shared" si="157"/>
        <v>+</v>
      </c>
      <c r="AD305" s="1315">
        <f t="shared" si="158"/>
        <v>10</v>
      </c>
      <c r="AE305" s="1315"/>
      <c r="AF305" s="1316"/>
      <c r="AG305" s="1298" t="str">
        <f t="shared" si="161"/>
        <v>10+10</v>
      </c>
      <c r="AH305" s="1304">
        <f>'Зона ТвЭС'!L149</f>
        <v>0</v>
      </c>
      <c r="AI305" s="1304">
        <f t="shared" si="178"/>
        <v>13.967328</v>
      </c>
      <c r="AJ305" s="1304">
        <f t="shared" si="163"/>
        <v>0</v>
      </c>
      <c r="AK305" s="1298">
        <f t="shared" si="159"/>
        <v>0</v>
      </c>
      <c r="AL305" s="1304">
        <f t="shared" si="183"/>
        <v>13.967328</v>
      </c>
      <c r="AM305" s="1298">
        <v>0</v>
      </c>
      <c r="AN305" s="893">
        <f t="shared" si="184"/>
        <v>10.5</v>
      </c>
      <c r="AO305" s="1304">
        <f t="shared" si="185"/>
        <v>-3.4673280000000002</v>
      </c>
      <c r="AP305" s="1304">
        <f t="shared" si="187"/>
        <v>-3.4673280000000002</v>
      </c>
      <c r="AQ305" s="1339" t="str">
        <f>AR305</f>
        <v>закрыт</v>
      </c>
      <c r="AR305" s="1298" t="str">
        <f t="shared" si="173"/>
        <v>закрыт</v>
      </c>
      <c r="AS305" s="952">
        <f t="shared" si="186"/>
        <v>133.02217142857143</v>
      </c>
      <c r="AT305" s="954" t="s">
        <v>97</v>
      </c>
      <c r="AU305" s="1113">
        <v>1964</v>
      </c>
      <c r="AV305" s="1119" t="s">
        <v>3286</v>
      </c>
      <c r="AW305" s="1121">
        <v>56.840788825628401</v>
      </c>
      <c r="AX305" s="1121">
        <v>35.936698991917602</v>
      </c>
    </row>
    <row r="306" spans="1:50" ht="20.100000000000001" customHeight="1" x14ac:dyDescent="0.25">
      <c r="A306" s="213">
        <v>225</v>
      </c>
      <c r="B306" s="213">
        <v>25</v>
      </c>
      <c r="C306" s="213" t="s">
        <v>194</v>
      </c>
      <c r="D306" s="230">
        <v>16</v>
      </c>
      <c r="E306" s="229" t="s">
        <v>785</v>
      </c>
      <c r="F306" s="229">
        <v>16</v>
      </c>
      <c r="G306" s="229"/>
      <c r="H306" s="228"/>
      <c r="I306" s="229" t="str">
        <f t="shared" si="155"/>
        <v>16+16</v>
      </c>
      <c r="J306" s="895">
        <v>20.095680000000002</v>
      </c>
      <c r="K306" s="902">
        <v>0</v>
      </c>
      <c r="L306" s="124">
        <v>0</v>
      </c>
      <c r="M306" s="172">
        <f t="shared" si="179"/>
        <v>20.095680000000002</v>
      </c>
      <c r="N306" s="172">
        <v>0</v>
      </c>
      <c r="O306" s="893"/>
      <c r="P306" s="893">
        <f t="shared" si="180"/>
        <v>16.8</v>
      </c>
      <c r="Q306" s="172">
        <f t="shared" si="181"/>
        <v>-3.2956800000000008</v>
      </c>
      <c r="R306" s="172">
        <f t="shared" si="176"/>
        <v>-3.2956800000000008</v>
      </c>
      <c r="S306" s="172" t="str">
        <f t="shared" si="164"/>
        <v>закрыт</v>
      </c>
      <c r="T306" s="257" t="str">
        <f t="shared" si="168"/>
        <v>закрыт</v>
      </c>
      <c r="U306" s="768">
        <f t="shared" si="182"/>
        <v>119.61714285714287</v>
      </c>
      <c r="V306" s="768">
        <v>0.3</v>
      </c>
      <c r="W306" s="257" t="s">
        <v>3088</v>
      </c>
      <c r="X306" s="929"/>
      <c r="Y306" s="213">
        <v>225</v>
      </c>
      <c r="Z306" s="1316">
        <v>25</v>
      </c>
      <c r="AA306" s="1298" t="s">
        <v>194</v>
      </c>
      <c r="AB306" s="230">
        <f t="shared" si="156"/>
        <v>16</v>
      </c>
      <c r="AC306" s="1315" t="str">
        <f t="shared" si="157"/>
        <v>+</v>
      </c>
      <c r="AD306" s="1315">
        <f t="shared" si="158"/>
        <v>16</v>
      </c>
      <c r="AE306" s="1315"/>
      <c r="AF306" s="1316"/>
      <c r="AG306" s="1298" t="str">
        <f t="shared" si="161"/>
        <v>16+16</v>
      </c>
      <c r="AH306" s="1304">
        <f>'Зона ТвЭС'!L170</f>
        <v>0</v>
      </c>
      <c r="AI306" s="1304">
        <f t="shared" si="178"/>
        <v>20.095680000000002</v>
      </c>
      <c r="AJ306" s="1304">
        <f t="shared" si="163"/>
        <v>0</v>
      </c>
      <c r="AK306" s="1298">
        <f t="shared" si="159"/>
        <v>0</v>
      </c>
      <c r="AL306" s="1304">
        <f t="shared" si="183"/>
        <v>20.095680000000002</v>
      </c>
      <c r="AM306" s="1298">
        <v>0</v>
      </c>
      <c r="AN306" s="893">
        <f t="shared" si="184"/>
        <v>16.8</v>
      </c>
      <c r="AO306" s="1304">
        <f t="shared" si="185"/>
        <v>-3.2956800000000008</v>
      </c>
      <c r="AP306" s="1304">
        <f t="shared" si="187"/>
        <v>-3.2956800000000008</v>
      </c>
      <c r="AQ306" s="1339" t="str">
        <f>AR306</f>
        <v>закрыт</v>
      </c>
      <c r="AR306" s="1298" t="str">
        <f t="shared" si="173"/>
        <v>закрыт</v>
      </c>
      <c r="AS306" s="952">
        <f t="shared" si="186"/>
        <v>119.61714285714287</v>
      </c>
      <c r="AT306" s="954" t="s">
        <v>97</v>
      </c>
      <c r="AU306" s="1113">
        <v>1954</v>
      </c>
      <c r="AV306" s="1119" t="s">
        <v>3286</v>
      </c>
      <c r="AW306" s="1121">
        <v>56.846172344953601</v>
      </c>
      <c r="AX306" s="1121">
        <v>35.883674610695302</v>
      </c>
    </row>
    <row r="307" spans="1:50" ht="20.100000000000001" customHeight="1" x14ac:dyDescent="0.25">
      <c r="A307" s="213">
        <v>226</v>
      </c>
      <c r="B307" s="213">
        <v>26</v>
      </c>
      <c r="C307" s="213" t="s">
        <v>195</v>
      </c>
      <c r="D307" s="230">
        <v>10</v>
      </c>
      <c r="E307" s="229" t="s">
        <v>785</v>
      </c>
      <c r="F307" s="229">
        <v>10</v>
      </c>
      <c r="G307" s="229"/>
      <c r="H307" s="228"/>
      <c r="I307" s="229" t="str">
        <f t="shared" si="155"/>
        <v>10+10</v>
      </c>
      <c r="J307" s="895">
        <v>3.79908</v>
      </c>
      <c r="K307" s="902">
        <v>0</v>
      </c>
      <c r="L307" s="124">
        <v>0</v>
      </c>
      <c r="M307" s="172">
        <f t="shared" si="179"/>
        <v>3.79908</v>
      </c>
      <c r="N307" s="172">
        <v>0</v>
      </c>
      <c r="O307" s="893"/>
      <c r="P307" s="893">
        <f t="shared" si="180"/>
        <v>10.5</v>
      </c>
      <c r="Q307" s="172">
        <f t="shared" si="181"/>
        <v>6.70092</v>
      </c>
      <c r="R307" s="172">
        <f t="shared" si="176"/>
        <v>6.70092</v>
      </c>
      <c r="S307" s="172" t="str">
        <f t="shared" si="164"/>
        <v/>
      </c>
      <c r="T307" s="257" t="str">
        <f t="shared" si="168"/>
        <v/>
      </c>
      <c r="U307" s="768">
        <f t="shared" si="182"/>
        <v>36.181714285714285</v>
      </c>
      <c r="V307" s="768">
        <v>0.43</v>
      </c>
      <c r="W307" s="257" t="s">
        <v>3088</v>
      </c>
      <c r="X307" s="929"/>
      <c r="Y307" s="213">
        <v>226</v>
      </c>
      <c r="Z307" s="1316">
        <v>26</v>
      </c>
      <c r="AA307" s="1298" t="s">
        <v>195</v>
      </c>
      <c r="AB307" s="230">
        <f t="shared" si="156"/>
        <v>10</v>
      </c>
      <c r="AC307" s="1315" t="str">
        <f t="shared" si="157"/>
        <v>+</v>
      </c>
      <c r="AD307" s="1315">
        <f t="shared" si="158"/>
        <v>10</v>
      </c>
      <c r="AE307" s="1315"/>
      <c r="AF307" s="1316"/>
      <c r="AG307" s="1298" t="str">
        <f t="shared" si="161"/>
        <v>10+10</v>
      </c>
      <c r="AH307" s="1304">
        <f>'Зона ТвЭС'!L174</f>
        <v>0</v>
      </c>
      <c r="AI307" s="1304">
        <f t="shared" si="178"/>
        <v>3.79908</v>
      </c>
      <c r="AJ307" s="1304">
        <f t="shared" si="163"/>
        <v>0</v>
      </c>
      <c r="AK307" s="1298">
        <f t="shared" si="159"/>
        <v>0</v>
      </c>
      <c r="AL307" s="1304">
        <f t="shared" si="183"/>
        <v>3.79908</v>
      </c>
      <c r="AM307" s="1298">
        <v>0</v>
      </c>
      <c r="AN307" s="893">
        <f t="shared" si="184"/>
        <v>10.5</v>
      </c>
      <c r="AO307" s="1304">
        <f t="shared" si="185"/>
        <v>6.70092</v>
      </c>
      <c r="AP307" s="1304">
        <f t="shared" si="187"/>
        <v>6.70092</v>
      </c>
      <c r="AQ307" s="1339" t="str">
        <f t="shared" si="165"/>
        <v/>
      </c>
      <c r="AR307" s="1298" t="str">
        <f t="shared" si="173"/>
        <v/>
      </c>
      <c r="AS307" s="952">
        <f t="shared" si="186"/>
        <v>36.181714285714285</v>
      </c>
      <c r="AT307" s="954" t="s">
        <v>97</v>
      </c>
      <c r="AU307" s="1113">
        <v>1966</v>
      </c>
      <c r="AV307" s="1119" t="s">
        <v>3286</v>
      </c>
      <c r="AW307" s="1121">
        <v>56.851808784363598</v>
      </c>
      <c r="AX307" s="1121">
        <v>35.871821031209599</v>
      </c>
    </row>
    <row r="308" spans="1:50" ht="20.100000000000001" customHeight="1" x14ac:dyDescent="0.25">
      <c r="A308" s="213">
        <v>227</v>
      </c>
      <c r="B308" s="213">
        <v>27</v>
      </c>
      <c r="C308" s="213" t="s">
        <v>196</v>
      </c>
      <c r="D308" s="230">
        <v>10</v>
      </c>
      <c r="E308" s="229" t="s">
        <v>785</v>
      </c>
      <c r="F308" s="229">
        <v>10</v>
      </c>
      <c r="G308" s="229"/>
      <c r="H308" s="228"/>
      <c r="I308" s="229" t="str">
        <f t="shared" si="155"/>
        <v>10+10</v>
      </c>
      <c r="J308" s="895">
        <v>6.2210799999999997</v>
      </c>
      <c r="K308" s="902">
        <v>0</v>
      </c>
      <c r="L308" s="124">
        <v>0</v>
      </c>
      <c r="M308" s="172">
        <f t="shared" si="179"/>
        <v>6.2210799999999997</v>
      </c>
      <c r="N308" s="172">
        <v>0</v>
      </c>
      <c r="O308" s="893"/>
      <c r="P308" s="893">
        <f t="shared" si="180"/>
        <v>10.5</v>
      </c>
      <c r="Q308" s="172">
        <f t="shared" si="181"/>
        <v>4.2789200000000003</v>
      </c>
      <c r="R308" s="172">
        <f t="shared" si="176"/>
        <v>4.2789200000000003</v>
      </c>
      <c r="S308" s="172" t="str">
        <f t="shared" si="164"/>
        <v/>
      </c>
      <c r="T308" s="257" t="str">
        <f t="shared" si="168"/>
        <v/>
      </c>
      <c r="U308" s="768">
        <f t="shared" si="182"/>
        <v>59.248380952380948</v>
      </c>
      <c r="V308" s="768"/>
      <c r="W308" s="768"/>
      <c r="X308" s="929"/>
      <c r="Y308" s="213">
        <v>227</v>
      </c>
      <c r="Z308" s="1316">
        <v>27</v>
      </c>
      <c r="AA308" s="1298" t="s">
        <v>196</v>
      </c>
      <c r="AB308" s="230">
        <f t="shared" si="156"/>
        <v>10</v>
      </c>
      <c r="AC308" s="1315" t="str">
        <f t="shared" si="157"/>
        <v>+</v>
      </c>
      <c r="AD308" s="1315">
        <f t="shared" si="158"/>
        <v>10</v>
      </c>
      <c r="AE308" s="1315"/>
      <c r="AF308" s="1316"/>
      <c r="AG308" s="1298" t="str">
        <f t="shared" si="161"/>
        <v>10+10</v>
      </c>
      <c r="AH308" s="1304">
        <f>'Зона ТвЭС'!L191</f>
        <v>1.24875</v>
      </c>
      <c r="AI308" s="1304">
        <f t="shared" si="178"/>
        <v>7.46983</v>
      </c>
      <c r="AJ308" s="1304">
        <f t="shared" si="163"/>
        <v>0</v>
      </c>
      <c r="AK308" s="1298">
        <f t="shared" si="159"/>
        <v>0</v>
      </c>
      <c r="AL308" s="1304">
        <f t="shared" si="183"/>
        <v>7.46983</v>
      </c>
      <c r="AM308" s="1298">
        <v>0</v>
      </c>
      <c r="AN308" s="893">
        <f t="shared" si="184"/>
        <v>10.5</v>
      </c>
      <c r="AO308" s="1304">
        <f t="shared" si="185"/>
        <v>3.03017</v>
      </c>
      <c r="AP308" s="1304">
        <f t="shared" si="187"/>
        <v>3.03017</v>
      </c>
      <c r="AQ308" s="1339" t="str">
        <f t="shared" si="165"/>
        <v/>
      </c>
      <c r="AR308" s="1298" t="str">
        <f t="shared" si="173"/>
        <v/>
      </c>
      <c r="AS308" s="952">
        <f t="shared" si="186"/>
        <v>71.141238095238094</v>
      </c>
      <c r="AT308" s="954" t="s">
        <v>97</v>
      </c>
      <c r="AU308" s="1113">
        <v>1966</v>
      </c>
      <c r="AV308" s="1119" t="s">
        <v>3286</v>
      </c>
      <c r="AW308" s="1121">
        <v>56.895222670848298</v>
      </c>
      <c r="AX308" s="1121">
        <v>35.8232762968806</v>
      </c>
    </row>
    <row r="309" spans="1:50" ht="20.100000000000001" customHeight="1" x14ac:dyDescent="0.25">
      <c r="A309" s="213">
        <v>228</v>
      </c>
      <c r="B309" s="213">
        <v>28</v>
      </c>
      <c r="C309" s="213" t="s">
        <v>197</v>
      </c>
      <c r="D309" s="230">
        <v>16</v>
      </c>
      <c r="E309" s="229" t="s">
        <v>785</v>
      </c>
      <c r="F309" s="229">
        <v>16</v>
      </c>
      <c r="G309" s="229"/>
      <c r="H309" s="228"/>
      <c r="I309" s="229" t="str">
        <f t="shared" si="155"/>
        <v>16+16</v>
      </c>
      <c r="J309" s="895">
        <v>16.559905999999998</v>
      </c>
      <c r="K309" s="902">
        <v>0</v>
      </c>
      <c r="L309" s="124">
        <v>0</v>
      </c>
      <c r="M309" s="172">
        <f t="shared" si="179"/>
        <v>16.559905999999998</v>
      </c>
      <c r="N309" s="172">
        <v>0</v>
      </c>
      <c r="O309" s="893"/>
      <c r="P309" s="893">
        <f t="shared" si="180"/>
        <v>16.8</v>
      </c>
      <c r="Q309" s="172">
        <f t="shared" si="181"/>
        <v>0.24009400000000269</v>
      </c>
      <c r="R309" s="172">
        <f t="shared" si="176"/>
        <v>0.24009400000000269</v>
      </c>
      <c r="S309" s="172" t="str">
        <f t="shared" si="164"/>
        <v/>
      </c>
      <c r="T309" s="257" t="str">
        <f t="shared" si="168"/>
        <v/>
      </c>
      <c r="U309" s="768">
        <f t="shared" si="182"/>
        <v>98.570869047619041</v>
      </c>
      <c r="V309" s="768"/>
      <c r="W309" s="768"/>
      <c r="X309" s="929"/>
      <c r="Y309" s="213">
        <v>228</v>
      </c>
      <c r="Z309" s="1316">
        <v>28</v>
      </c>
      <c r="AA309" s="1298" t="s">
        <v>197</v>
      </c>
      <c r="AB309" s="230">
        <f t="shared" si="156"/>
        <v>16</v>
      </c>
      <c r="AC309" s="1315" t="str">
        <f t="shared" si="157"/>
        <v>+</v>
      </c>
      <c r="AD309" s="1315">
        <f t="shared" si="158"/>
        <v>16</v>
      </c>
      <c r="AE309" s="1315"/>
      <c r="AF309" s="1316"/>
      <c r="AG309" s="1298" t="str">
        <f t="shared" si="161"/>
        <v>16+16</v>
      </c>
      <c r="AH309" s="1304">
        <f>'Зона ТвЭС'!L202</f>
        <v>0.13124999999999998</v>
      </c>
      <c r="AI309" s="1304">
        <f t="shared" si="178"/>
        <v>16.691155999999999</v>
      </c>
      <c r="AJ309" s="1304">
        <f t="shared" si="163"/>
        <v>0</v>
      </c>
      <c r="AK309" s="1298">
        <f t="shared" si="159"/>
        <v>0</v>
      </c>
      <c r="AL309" s="1304">
        <f t="shared" si="183"/>
        <v>16.691155999999999</v>
      </c>
      <c r="AM309" s="1298">
        <v>0</v>
      </c>
      <c r="AN309" s="893">
        <f t="shared" si="184"/>
        <v>16.8</v>
      </c>
      <c r="AO309" s="1304">
        <f t="shared" si="185"/>
        <v>0.10884400000000127</v>
      </c>
      <c r="AP309" s="1304">
        <f t="shared" si="187"/>
        <v>0.10884400000000127</v>
      </c>
      <c r="AQ309" s="1339" t="str">
        <f t="shared" si="165"/>
        <v/>
      </c>
      <c r="AR309" s="1298" t="str">
        <f t="shared" si="173"/>
        <v/>
      </c>
      <c r="AS309" s="952">
        <f t="shared" si="186"/>
        <v>99.352119047619041</v>
      </c>
      <c r="AT309" s="954" t="s">
        <v>97</v>
      </c>
      <c r="AU309" s="1113">
        <v>1974</v>
      </c>
      <c r="AV309" s="1119" t="s">
        <v>3286</v>
      </c>
      <c r="AW309" s="1121">
        <v>56.888644078821699</v>
      </c>
      <c r="AX309" s="1121">
        <v>35.898403986443597</v>
      </c>
    </row>
    <row r="310" spans="1:50" ht="20.100000000000001" customHeight="1" x14ac:dyDescent="0.25">
      <c r="A310" s="213">
        <v>229</v>
      </c>
      <c r="B310" s="213">
        <v>29</v>
      </c>
      <c r="C310" s="213" t="s">
        <v>198</v>
      </c>
      <c r="D310" s="230">
        <v>7.5</v>
      </c>
      <c r="E310" s="229" t="s">
        <v>785</v>
      </c>
      <c r="F310" s="229">
        <v>10</v>
      </c>
      <c r="G310" s="229"/>
      <c r="H310" s="228"/>
      <c r="I310" s="229" t="str">
        <f t="shared" si="155"/>
        <v>7,5+10</v>
      </c>
      <c r="J310" s="895">
        <v>6.4849049999999995</v>
      </c>
      <c r="K310" s="902">
        <v>0</v>
      </c>
      <c r="L310" s="124">
        <v>0</v>
      </c>
      <c r="M310" s="172">
        <f t="shared" si="179"/>
        <v>6.4849049999999995</v>
      </c>
      <c r="N310" s="172">
        <v>0</v>
      </c>
      <c r="O310" s="893"/>
      <c r="P310" s="893">
        <f t="shared" si="180"/>
        <v>7.875</v>
      </c>
      <c r="Q310" s="172">
        <f t="shared" si="181"/>
        <v>1.3900950000000005</v>
      </c>
      <c r="R310" s="172">
        <f t="shared" si="176"/>
        <v>1.3900950000000005</v>
      </c>
      <c r="S310" s="172" t="str">
        <f t="shared" si="164"/>
        <v/>
      </c>
      <c r="T310" s="257" t="str">
        <f t="shared" si="168"/>
        <v/>
      </c>
      <c r="U310" s="768">
        <f t="shared" si="182"/>
        <v>82.347999999999999</v>
      </c>
      <c r="V310" s="768">
        <v>0.4</v>
      </c>
      <c r="W310" s="257" t="s">
        <v>3088</v>
      </c>
      <c r="X310" s="929"/>
      <c r="Y310" s="213">
        <v>229</v>
      </c>
      <c r="Z310" s="1316">
        <v>29</v>
      </c>
      <c r="AA310" s="1298" t="s">
        <v>198</v>
      </c>
      <c r="AB310" s="230">
        <f t="shared" si="156"/>
        <v>7.5</v>
      </c>
      <c r="AC310" s="1315" t="str">
        <f t="shared" si="157"/>
        <v>+</v>
      </c>
      <c r="AD310" s="1315">
        <f t="shared" si="158"/>
        <v>10</v>
      </c>
      <c r="AE310" s="1315"/>
      <c r="AF310" s="1316"/>
      <c r="AG310" s="1298" t="str">
        <f t="shared" si="161"/>
        <v>7,5+10</v>
      </c>
      <c r="AH310" s="1304">
        <f>'Зона ТвЭС'!L205</f>
        <v>9.3749999999999986E-2</v>
      </c>
      <c r="AI310" s="1304">
        <f t="shared" si="178"/>
        <v>6.5786549999999995</v>
      </c>
      <c r="AJ310" s="1304">
        <f t="shared" si="163"/>
        <v>0</v>
      </c>
      <c r="AK310" s="1298">
        <f t="shared" si="159"/>
        <v>0</v>
      </c>
      <c r="AL310" s="1304">
        <f t="shared" si="183"/>
        <v>6.5786549999999995</v>
      </c>
      <c r="AM310" s="1298">
        <v>0</v>
      </c>
      <c r="AN310" s="893">
        <f t="shared" si="184"/>
        <v>7.875</v>
      </c>
      <c r="AO310" s="1304">
        <f t="shared" si="185"/>
        <v>1.2963450000000005</v>
      </c>
      <c r="AP310" s="1304">
        <f t="shared" si="187"/>
        <v>1.2963450000000005</v>
      </c>
      <c r="AQ310" s="1339" t="str">
        <f t="shared" si="165"/>
        <v/>
      </c>
      <c r="AR310" s="1298" t="str">
        <f t="shared" si="173"/>
        <v/>
      </c>
      <c r="AS310" s="952">
        <f t="shared" si="186"/>
        <v>83.538476190476189</v>
      </c>
      <c r="AT310" s="954" t="s">
        <v>97</v>
      </c>
      <c r="AU310" s="1113">
        <v>1956</v>
      </c>
      <c r="AV310" s="1119" t="s">
        <v>3286</v>
      </c>
      <c r="AW310" s="1121">
        <v>56.862014870576601</v>
      </c>
      <c r="AX310" s="1121">
        <v>35.8548721485312</v>
      </c>
    </row>
    <row r="311" spans="1:50" ht="20.100000000000001" customHeight="1" x14ac:dyDescent="0.25">
      <c r="A311" s="213">
        <v>230</v>
      </c>
      <c r="B311" s="213">
        <v>30</v>
      </c>
      <c r="C311" s="213" t="s">
        <v>199</v>
      </c>
      <c r="D311" s="230">
        <v>10</v>
      </c>
      <c r="E311" s="229" t="s">
        <v>785</v>
      </c>
      <c r="F311" s="229">
        <v>10</v>
      </c>
      <c r="G311" s="229"/>
      <c r="H311" s="228"/>
      <c r="I311" s="229" t="str">
        <f t="shared" si="155"/>
        <v>10+10</v>
      </c>
      <c r="J311" s="895">
        <v>11.29344</v>
      </c>
      <c r="K311" s="902">
        <v>0</v>
      </c>
      <c r="L311" s="124">
        <v>0</v>
      </c>
      <c r="M311" s="172">
        <f t="shared" si="179"/>
        <v>11.29344</v>
      </c>
      <c r="N311" s="172">
        <v>0</v>
      </c>
      <c r="O311" s="893"/>
      <c r="P311" s="893">
        <f t="shared" si="180"/>
        <v>10.5</v>
      </c>
      <c r="Q311" s="172">
        <f t="shared" si="181"/>
        <v>-0.79344000000000037</v>
      </c>
      <c r="R311" s="172">
        <f t="shared" si="176"/>
        <v>-0.79344000000000037</v>
      </c>
      <c r="S311" s="172" t="str">
        <f t="shared" si="164"/>
        <v>закрыт</v>
      </c>
      <c r="T311" s="257" t="str">
        <f t="shared" si="168"/>
        <v>закрыт</v>
      </c>
      <c r="U311" s="768">
        <f t="shared" si="182"/>
        <v>107.55657142857143</v>
      </c>
      <c r="V311" s="768">
        <v>0.26</v>
      </c>
      <c r="W311" s="257" t="s">
        <v>3088</v>
      </c>
      <c r="X311" s="929"/>
      <c r="Y311" s="213">
        <v>230</v>
      </c>
      <c r="Z311" s="1316">
        <v>30</v>
      </c>
      <c r="AA311" s="1298" t="s">
        <v>199</v>
      </c>
      <c r="AB311" s="230">
        <f t="shared" si="156"/>
        <v>10</v>
      </c>
      <c r="AC311" s="1315" t="str">
        <f t="shared" si="157"/>
        <v>+</v>
      </c>
      <c r="AD311" s="1315">
        <f t="shared" si="158"/>
        <v>10</v>
      </c>
      <c r="AE311" s="1315"/>
      <c r="AF311" s="1316"/>
      <c r="AG311" s="1298" t="str">
        <f t="shared" si="161"/>
        <v>10+10</v>
      </c>
      <c r="AH311" s="1304">
        <f>'Зона ТвЭС'!L220</f>
        <v>0</v>
      </c>
      <c r="AI311" s="1304">
        <f t="shared" si="178"/>
        <v>11.29344</v>
      </c>
      <c r="AJ311" s="1304">
        <f t="shared" si="163"/>
        <v>0</v>
      </c>
      <c r="AK311" s="1298">
        <f t="shared" si="159"/>
        <v>0</v>
      </c>
      <c r="AL311" s="1304">
        <f t="shared" si="183"/>
        <v>11.29344</v>
      </c>
      <c r="AM311" s="1298">
        <v>0</v>
      </c>
      <c r="AN311" s="893">
        <f t="shared" si="184"/>
        <v>10.5</v>
      </c>
      <c r="AO311" s="1304">
        <f t="shared" si="185"/>
        <v>-0.79344000000000037</v>
      </c>
      <c r="AP311" s="1304">
        <f t="shared" si="187"/>
        <v>-0.79344000000000037</v>
      </c>
      <c r="AQ311" s="1339" t="str">
        <f t="shared" si="165"/>
        <v>закрыт</v>
      </c>
      <c r="AR311" s="1298" t="str">
        <f t="shared" si="173"/>
        <v>закрыт</v>
      </c>
      <c r="AS311" s="952">
        <f t="shared" si="186"/>
        <v>107.55657142857143</v>
      </c>
      <c r="AT311" s="954" t="s">
        <v>97</v>
      </c>
      <c r="AU311" s="1113">
        <v>1986</v>
      </c>
      <c r="AV311" s="1119" t="s">
        <v>3286</v>
      </c>
      <c r="AW311" s="1121">
        <v>56.845537273625297</v>
      </c>
      <c r="AX311" s="1121">
        <v>35.908624623833397</v>
      </c>
    </row>
    <row r="312" spans="1:50" ht="20.100000000000001" customHeight="1" x14ac:dyDescent="0.25">
      <c r="A312" s="213">
        <v>231</v>
      </c>
      <c r="B312" s="213">
        <v>31</v>
      </c>
      <c r="C312" s="213" t="s">
        <v>200</v>
      </c>
      <c r="D312" s="230">
        <v>6.3</v>
      </c>
      <c r="E312" s="229" t="s">
        <v>785</v>
      </c>
      <c r="F312" s="229">
        <v>6.3</v>
      </c>
      <c r="G312" s="229"/>
      <c r="H312" s="228"/>
      <c r="I312" s="229" t="str">
        <f t="shared" si="155"/>
        <v>6,3+6,3</v>
      </c>
      <c r="J312" s="895">
        <v>4.6483369999999997</v>
      </c>
      <c r="K312" s="902">
        <v>0</v>
      </c>
      <c r="L312" s="124">
        <v>0</v>
      </c>
      <c r="M312" s="172">
        <f t="shared" si="179"/>
        <v>4.6483369999999997</v>
      </c>
      <c r="N312" s="172">
        <v>0</v>
      </c>
      <c r="O312" s="893"/>
      <c r="P312" s="893">
        <f t="shared" si="180"/>
        <v>6.6150000000000002</v>
      </c>
      <c r="Q312" s="172">
        <f t="shared" si="181"/>
        <v>1.9666630000000005</v>
      </c>
      <c r="R312" s="172">
        <f t="shared" si="176"/>
        <v>1.9666630000000005</v>
      </c>
      <c r="S312" s="172" t="str">
        <f t="shared" si="164"/>
        <v/>
      </c>
      <c r="T312" s="257" t="str">
        <f t="shared" si="168"/>
        <v/>
      </c>
      <c r="U312" s="768">
        <f t="shared" si="182"/>
        <v>70.269644746787591</v>
      </c>
      <c r="V312" s="768">
        <v>0.2</v>
      </c>
      <c r="W312" s="257" t="s">
        <v>3088</v>
      </c>
      <c r="X312" s="929"/>
      <c r="Y312" s="213">
        <v>231</v>
      </c>
      <c r="Z312" s="1316">
        <v>31</v>
      </c>
      <c r="AA312" s="1298" t="s">
        <v>200</v>
      </c>
      <c r="AB312" s="230">
        <f t="shared" si="156"/>
        <v>6.3</v>
      </c>
      <c r="AC312" s="1315" t="str">
        <f t="shared" si="157"/>
        <v>+</v>
      </c>
      <c r="AD312" s="1315">
        <f t="shared" si="158"/>
        <v>6.3</v>
      </c>
      <c r="AE312" s="1315"/>
      <c r="AF312" s="1316"/>
      <c r="AG312" s="1298" t="str">
        <f t="shared" si="161"/>
        <v>6,3+6,3</v>
      </c>
      <c r="AH312" s="1304">
        <f>'Зона ТвЭС'!L256</f>
        <v>0.8778125</v>
      </c>
      <c r="AI312" s="1304">
        <f t="shared" si="178"/>
        <v>5.5261494999999998</v>
      </c>
      <c r="AJ312" s="1304">
        <f t="shared" si="163"/>
        <v>0</v>
      </c>
      <c r="AK312" s="1298">
        <f t="shared" si="159"/>
        <v>0</v>
      </c>
      <c r="AL312" s="1304">
        <f t="shared" si="183"/>
        <v>5.5261494999999998</v>
      </c>
      <c r="AM312" s="1298">
        <v>0</v>
      </c>
      <c r="AN312" s="893">
        <f t="shared" si="184"/>
        <v>6.6150000000000002</v>
      </c>
      <c r="AO312" s="1304">
        <f t="shared" si="185"/>
        <v>1.0888505000000004</v>
      </c>
      <c r="AP312" s="1304">
        <f t="shared" si="187"/>
        <v>1.0888505000000004</v>
      </c>
      <c r="AQ312" s="1339" t="str">
        <f>AR312</f>
        <v/>
      </c>
      <c r="AR312" s="1298" t="str">
        <f t="shared" si="173"/>
        <v/>
      </c>
      <c r="AS312" s="952">
        <f t="shared" si="186"/>
        <v>83.539674981103559</v>
      </c>
      <c r="AT312" s="954" t="s">
        <v>97</v>
      </c>
      <c r="AU312" s="1113">
        <v>1994</v>
      </c>
      <c r="AV312" s="1119" t="s">
        <v>3286</v>
      </c>
      <c r="AW312" s="1121">
        <v>56.834636330887697</v>
      </c>
      <c r="AX312" s="1121">
        <v>35.835950487538099</v>
      </c>
    </row>
    <row r="313" spans="1:50" ht="20.100000000000001" customHeight="1" x14ac:dyDescent="0.25">
      <c r="A313" s="213">
        <v>232</v>
      </c>
      <c r="B313" s="213">
        <v>32</v>
      </c>
      <c r="C313" s="213" t="s">
        <v>201</v>
      </c>
      <c r="D313" s="230">
        <v>6.3</v>
      </c>
      <c r="E313" s="229" t="s">
        <v>785</v>
      </c>
      <c r="F313" s="229">
        <v>6.3</v>
      </c>
      <c r="G313" s="229"/>
      <c r="H313" s="228"/>
      <c r="I313" s="229" t="str">
        <f t="shared" si="155"/>
        <v>6,3+6,3</v>
      </c>
      <c r="J313" s="895">
        <v>6.5393999999999997</v>
      </c>
      <c r="K313" s="902">
        <v>0</v>
      </c>
      <c r="L313" s="124">
        <v>0</v>
      </c>
      <c r="M313" s="172">
        <f t="shared" si="179"/>
        <v>6.5393999999999997</v>
      </c>
      <c r="N313" s="172">
        <v>0</v>
      </c>
      <c r="O313" s="893"/>
      <c r="P313" s="893">
        <f t="shared" si="180"/>
        <v>6.6150000000000002</v>
      </c>
      <c r="Q313" s="172">
        <f t="shared" si="181"/>
        <v>7.5600000000000556E-2</v>
      </c>
      <c r="R313" s="172">
        <f t="shared" si="176"/>
        <v>7.5600000000000556E-2</v>
      </c>
      <c r="S313" s="172" t="str">
        <f t="shared" si="164"/>
        <v/>
      </c>
      <c r="T313" s="257" t="str">
        <f t="shared" si="168"/>
        <v/>
      </c>
      <c r="U313" s="768">
        <f t="shared" si="182"/>
        <v>98.857142857142847</v>
      </c>
      <c r="V313" s="768">
        <v>0.3</v>
      </c>
      <c r="W313" s="257" t="s">
        <v>3088</v>
      </c>
      <c r="X313" s="929"/>
      <c r="Y313" s="213">
        <v>232</v>
      </c>
      <c r="Z313" s="1316">
        <v>32</v>
      </c>
      <c r="AA313" s="1298" t="s">
        <v>201</v>
      </c>
      <c r="AB313" s="230">
        <f t="shared" si="156"/>
        <v>6.3</v>
      </c>
      <c r="AC313" s="1315" t="str">
        <f t="shared" si="157"/>
        <v>+</v>
      </c>
      <c r="AD313" s="1315">
        <f t="shared" si="158"/>
        <v>6.3</v>
      </c>
      <c r="AE313" s="1315"/>
      <c r="AF313" s="1316"/>
      <c r="AG313" s="1298" t="str">
        <f t="shared" si="161"/>
        <v>6,3+6,3</v>
      </c>
      <c r="AH313" s="1304">
        <f>'Зона ТвЭС'!L268</f>
        <v>0.48</v>
      </c>
      <c r="AI313" s="1304">
        <f t="shared" si="178"/>
        <v>7.0193999999999992</v>
      </c>
      <c r="AJ313" s="1304">
        <f t="shared" si="163"/>
        <v>0</v>
      </c>
      <c r="AK313" s="1298">
        <f t="shared" si="159"/>
        <v>0</v>
      </c>
      <c r="AL313" s="1304">
        <f t="shared" si="183"/>
        <v>7.0193999999999992</v>
      </c>
      <c r="AM313" s="1298">
        <v>0</v>
      </c>
      <c r="AN313" s="893">
        <f t="shared" si="184"/>
        <v>6.6150000000000002</v>
      </c>
      <c r="AO313" s="1304">
        <f t="shared" si="185"/>
        <v>-0.40439999999999898</v>
      </c>
      <c r="AP313" s="1304">
        <f t="shared" si="187"/>
        <v>-0.40439999999999898</v>
      </c>
      <c r="AQ313" s="1339" t="str">
        <f t="shared" si="165"/>
        <v>закрыт</v>
      </c>
      <c r="AR313" s="1298" t="str">
        <f t="shared" si="173"/>
        <v>закрыт</v>
      </c>
      <c r="AS313" s="952">
        <f t="shared" si="186"/>
        <v>106.11337868480724</v>
      </c>
      <c r="AT313" s="954" t="s">
        <v>97</v>
      </c>
      <c r="AU313" s="1113">
        <v>1984</v>
      </c>
      <c r="AV313" s="1119" t="s">
        <v>3286</v>
      </c>
      <c r="AW313" s="1121">
        <v>56.897833852421002</v>
      </c>
      <c r="AX313" s="1121">
        <v>35.936355035922602</v>
      </c>
    </row>
    <row r="314" spans="1:50" ht="20.100000000000001" customHeight="1" x14ac:dyDescent="0.25">
      <c r="A314" s="213">
        <v>233</v>
      </c>
      <c r="B314" s="213">
        <v>33</v>
      </c>
      <c r="C314" s="213" t="s">
        <v>202</v>
      </c>
      <c r="D314" s="230">
        <v>16</v>
      </c>
      <c r="E314" s="229" t="s">
        <v>785</v>
      </c>
      <c r="F314" s="229">
        <v>16</v>
      </c>
      <c r="G314" s="229"/>
      <c r="H314" s="228"/>
      <c r="I314" s="229" t="str">
        <f t="shared" si="155"/>
        <v>16+16</v>
      </c>
      <c r="J314" s="895">
        <v>9.6450959999999988</v>
      </c>
      <c r="K314" s="902">
        <v>0</v>
      </c>
      <c r="L314" s="124">
        <v>0</v>
      </c>
      <c r="M314" s="172">
        <f t="shared" si="179"/>
        <v>9.6450959999999988</v>
      </c>
      <c r="N314" s="172">
        <v>0</v>
      </c>
      <c r="O314" s="893"/>
      <c r="P314" s="893">
        <f t="shared" si="180"/>
        <v>16.8</v>
      </c>
      <c r="Q314" s="172">
        <f t="shared" si="181"/>
        <v>7.1549040000000019</v>
      </c>
      <c r="R314" s="172">
        <f t="shared" si="176"/>
        <v>7.1549040000000019</v>
      </c>
      <c r="S314" s="172" t="str">
        <f t="shared" si="164"/>
        <v/>
      </c>
      <c r="T314" s="257" t="str">
        <f t="shared" ref="T314:T349" si="188">IF(R314&lt;0,"закрыт","")</f>
        <v/>
      </c>
      <c r="U314" s="768">
        <f t="shared" si="182"/>
        <v>57.411285714285704</v>
      </c>
      <c r="V314" s="768">
        <v>0.3</v>
      </c>
      <c r="W314" s="257" t="s">
        <v>3088</v>
      </c>
      <c r="X314" s="929"/>
      <c r="Y314" s="213">
        <v>233</v>
      </c>
      <c r="Z314" s="1316">
        <v>33</v>
      </c>
      <c r="AA314" s="1298" t="s">
        <v>202</v>
      </c>
      <c r="AB314" s="230">
        <f t="shared" si="156"/>
        <v>16</v>
      </c>
      <c r="AC314" s="1315" t="str">
        <f t="shared" si="157"/>
        <v>+</v>
      </c>
      <c r="AD314" s="1315">
        <f t="shared" si="158"/>
        <v>16</v>
      </c>
      <c r="AE314" s="1315"/>
      <c r="AF314" s="1316"/>
      <c r="AG314" s="1298" t="str">
        <f t="shared" si="161"/>
        <v>16+16</v>
      </c>
      <c r="AH314" s="1304">
        <f>'Зона ТвЭС'!L279</f>
        <v>0</v>
      </c>
      <c r="AI314" s="1304">
        <f t="shared" si="178"/>
        <v>9.6450959999999988</v>
      </c>
      <c r="AJ314" s="1304">
        <f t="shared" si="163"/>
        <v>0</v>
      </c>
      <c r="AK314" s="1298">
        <f t="shared" si="159"/>
        <v>0</v>
      </c>
      <c r="AL314" s="1304">
        <f t="shared" si="183"/>
        <v>9.6450959999999988</v>
      </c>
      <c r="AM314" s="1298">
        <v>0</v>
      </c>
      <c r="AN314" s="893">
        <f t="shared" si="184"/>
        <v>16.8</v>
      </c>
      <c r="AO314" s="1304">
        <f t="shared" si="185"/>
        <v>7.1549040000000019</v>
      </c>
      <c r="AP314" s="1304">
        <f t="shared" si="187"/>
        <v>7.1549040000000019</v>
      </c>
      <c r="AQ314" s="1339" t="str">
        <f t="shared" si="165"/>
        <v/>
      </c>
      <c r="AR314" s="1298" t="str">
        <f t="shared" ref="AR314:AR349" si="189">IF(AP314&lt;0,"закрыт","")</f>
        <v/>
      </c>
      <c r="AS314" s="952">
        <f t="shared" si="186"/>
        <v>57.411285714285704</v>
      </c>
      <c r="AT314" s="954" t="s">
        <v>97</v>
      </c>
      <c r="AU314" s="1113">
        <v>1978</v>
      </c>
      <c r="AV314" s="1119" t="s">
        <v>3286</v>
      </c>
      <c r="AW314" s="1121">
        <v>56.857060398247299</v>
      </c>
      <c r="AX314" s="1121">
        <v>35.856128545548501</v>
      </c>
    </row>
    <row r="315" spans="1:50" ht="20.100000000000001" customHeight="1" x14ac:dyDescent="0.25">
      <c r="A315" s="213">
        <v>234</v>
      </c>
      <c r="B315" s="213">
        <v>34</v>
      </c>
      <c r="C315" s="213" t="s">
        <v>203</v>
      </c>
      <c r="D315" s="230">
        <v>6.3</v>
      </c>
      <c r="E315" s="229" t="s">
        <v>785</v>
      </c>
      <c r="F315" s="229">
        <v>6.3</v>
      </c>
      <c r="G315" s="229"/>
      <c r="H315" s="228"/>
      <c r="I315" s="229" t="str">
        <f t="shared" si="155"/>
        <v>6,3+6,3</v>
      </c>
      <c r="J315" s="895">
        <v>5.2761539999999991</v>
      </c>
      <c r="K315" s="902">
        <v>0</v>
      </c>
      <c r="L315" s="124">
        <v>0</v>
      </c>
      <c r="M315" s="172">
        <f t="shared" si="179"/>
        <v>5.2761539999999991</v>
      </c>
      <c r="N315" s="172">
        <v>0</v>
      </c>
      <c r="O315" s="893"/>
      <c r="P315" s="893">
        <f t="shared" si="180"/>
        <v>6.6150000000000002</v>
      </c>
      <c r="Q315" s="172">
        <f t="shared" si="181"/>
        <v>1.3388460000000011</v>
      </c>
      <c r="R315" s="172">
        <f t="shared" si="176"/>
        <v>1.3388460000000011</v>
      </c>
      <c r="S315" s="172" t="str">
        <f t="shared" si="164"/>
        <v/>
      </c>
      <c r="T315" s="257" t="str">
        <f t="shared" si="188"/>
        <v/>
      </c>
      <c r="U315" s="768">
        <f t="shared" si="182"/>
        <v>79.760453514739211</v>
      </c>
      <c r="V315" s="768"/>
      <c r="W315" s="768"/>
      <c r="X315" s="929"/>
      <c r="Y315" s="213">
        <v>234</v>
      </c>
      <c r="Z315" s="1316">
        <v>34</v>
      </c>
      <c r="AA315" s="1298" t="s">
        <v>203</v>
      </c>
      <c r="AB315" s="230">
        <f t="shared" si="156"/>
        <v>6.3</v>
      </c>
      <c r="AC315" s="1315" t="str">
        <f t="shared" si="157"/>
        <v>+</v>
      </c>
      <c r="AD315" s="1315">
        <f t="shared" si="158"/>
        <v>6.3</v>
      </c>
      <c r="AE315" s="1315"/>
      <c r="AF315" s="1316"/>
      <c r="AG315" s="1298" t="str">
        <f t="shared" si="161"/>
        <v>6,3+6,3</v>
      </c>
      <c r="AH315" s="1304">
        <f>'Зона ТвЭС'!L292</f>
        <v>2.35</v>
      </c>
      <c r="AI315" s="1304">
        <f t="shared" si="178"/>
        <v>7.6261539999999997</v>
      </c>
      <c r="AJ315" s="1304">
        <f t="shared" si="163"/>
        <v>0</v>
      </c>
      <c r="AK315" s="1298">
        <f t="shared" si="159"/>
        <v>0</v>
      </c>
      <c r="AL315" s="1304">
        <f t="shared" si="183"/>
        <v>7.6261539999999997</v>
      </c>
      <c r="AM315" s="893">
        <v>2.8090000000000002</v>
      </c>
      <c r="AN315" s="893">
        <f t="shared" si="184"/>
        <v>6.6150000000000002</v>
      </c>
      <c r="AO315" s="1304">
        <f t="shared" si="185"/>
        <v>-3.8201539999999996</v>
      </c>
      <c r="AP315" s="1304">
        <f t="shared" si="187"/>
        <v>-3.8201539999999996</v>
      </c>
      <c r="AQ315" s="1339" t="str">
        <f t="shared" si="165"/>
        <v>закрыт</v>
      </c>
      <c r="AR315" s="1298" t="str">
        <f t="shared" si="189"/>
        <v>закрыт</v>
      </c>
      <c r="AS315" s="952">
        <f t="shared" si="186"/>
        <v>115.28577475434616</v>
      </c>
      <c r="AT315" s="954" t="s">
        <v>97</v>
      </c>
      <c r="AU315" s="1113">
        <v>1964</v>
      </c>
      <c r="AV315" s="1119" t="s">
        <v>3286</v>
      </c>
      <c r="AW315" s="1121">
        <v>56.522345874913398</v>
      </c>
      <c r="AX315" s="1121">
        <v>35.965727164471801</v>
      </c>
    </row>
    <row r="316" spans="1:50" ht="20.100000000000001" customHeight="1" x14ac:dyDescent="0.25">
      <c r="A316" s="213">
        <v>235</v>
      </c>
      <c r="B316" s="213">
        <v>35</v>
      </c>
      <c r="C316" s="213" t="s">
        <v>204</v>
      </c>
      <c r="D316" s="230">
        <v>4</v>
      </c>
      <c r="E316" s="229" t="s">
        <v>785</v>
      </c>
      <c r="F316" s="229">
        <v>4</v>
      </c>
      <c r="G316" s="229"/>
      <c r="H316" s="228"/>
      <c r="I316" s="229" t="str">
        <f t="shared" si="155"/>
        <v>4+4</v>
      </c>
      <c r="J316" s="895">
        <v>3.2696999999999998</v>
      </c>
      <c r="K316" s="902">
        <v>0</v>
      </c>
      <c r="L316" s="124">
        <v>0</v>
      </c>
      <c r="M316" s="172">
        <f t="shared" si="179"/>
        <v>3.2696999999999998</v>
      </c>
      <c r="N316" s="172">
        <v>0</v>
      </c>
      <c r="O316" s="893"/>
      <c r="P316" s="893">
        <f t="shared" si="180"/>
        <v>4.2</v>
      </c>
      <c r="Q316" s="172">
        <f t="shared" si="181"/>
        <v>0.93030000000000035</v>
      </c>
      <c r="R316" s="172">
        <f t="shared" si="176"/>
        <v>0.93030000000000035</v>
      </c>
      <c r="S316" s="172" t="str">
        <f t="shared" si="164"/>
        <v/>
      </c>
      <c r="T316" s="257" t="str">
        <f t="shared" si="188"/>
        <v/>
      </c>
      <c r="U316" s="768">
        <f t="shared" si="182"/>
        <v>77.849999999999994</v>
      </c>
      <c r="V316" s="768">
        <v>0.44</v>
      </c>
      <c r="W316" s="257" t="s">
        <v>3088</v>
      </c>
      <c r="X316" s="929"/>
      <c r="Y316" s="213">
        <v>235</v>
      </c>
      <c r="Z316" s="1316">
        <v>35</v>
      </c>
      <c r="AA316" s="1298" t="s">
        <v>204</v>
      </c>
      <c r="AB316" s="230">
        <f t="shared" si="156"/>
        <v>4</v>
      </c>
      <c r="AC316" s="1315" t="str">
        <f t="shared" si="157"/>
        <v>+</v>
      </c>
      <c r="AD316" s="1315">
        <f t="shared" si="158"/>
        <v>4</v>
      </c>
      <c r="AE316" s="1315"/>
      <c r="AF316" s="1316"/>
      <c r="AG316" s="1298" t="str">
        <f t="shared" si="161"/>
        <v>4+4</v>
      </c>
      <c r="AH316" s="1304">
        <f>'Зона ТвЭС'!L310</f>
        <v>0.44125000000000003</v>
      </c>
      <c r="AI316" s="1304">
        <f t="shared" si="178"/>
        <v>3.71095</v>
      </c>
      <c r="AJ316" s="1304">
        <f t="shared" si="163"/>
        <v>0</v>
      </c>
      <c r="AK316" s="1298">
        <f t="shared" si="159"/>
        <v>0</v>
      </c>
      <c r="AL316" s="1304">
        <f t="shared" si="183"/>
        <v>3.71095</v>
      </c>
      <c r="AM316" s="1298">
        <v>0</v>
      </c>
      <c r="AN316" s="893">
        <f t="shared" si="184"/>
        <v>4.2</v>
      </c>
      <c r="AO316" s="1304">
        <f t="shared" si="185"/>
        <v>0.48905000000000021</v>
      </c>
      <c r="AP316" s="1304">
        <f t="shared" si="187"/>
        <v>0.48905000000000021</v>
      </c>
      <c r="AQ316" s="1339" t="str">
        <f t="shared" si="165"/>
        <v/>
      </c>
      <c r="AR316" s="1298" t="str">
        <f t="shared" si="189"/>
        <v/>
      </c>
      <c r="AS316" s="952">
        <f t="shared" si="186"/>
        <v>88.355952380952374</v>
      </c>
      <c r="AT316" s="954" t="s">
        <v>97</v>
      </c>
      <c r="AU316" s="1113">
        <v>1964</v>
      </c>
      <c r="AV316" s="214">
        <v>2011</v>
      </c>
      <c r="AW316" s="1121">
        <v>56.903621345815402</v>
      </c>
      <c r="AX316" s="1121">
        <v>36.050582131677899</v>
      </c>
    </row>
    <row r="317" spans="1:50" ht="20.100000000000001" customHeight="1" x14ac:dyDescent="0.25">
      <c r="A317" s="213">
        <v>236</v>
      </c>
      <c r="B317" s="213">
        <v>36</v>
      </c>
      <c r="C317" s="213" t="s">
        <v>205</v>
      </c>
      <c r="D317" s="230">
        <v>2.5</v>
      </c>
      <c r="E317" s="229" t="s">
        <v>785</v>
      </c>
      <c r="F317" s="229">
        <v>2.5</v>
      </c>
      <c r="G317" s="229"/>
      <c r="H317" s="228"/>
      <c r="I317" s="229" t="str">
        <f t="shared" si="155"/>
        <v>2,5+2,5</v>
      </c>
      <c r="J317" s="895">
        <v>1.6037100000000002</v>
      </c>
      <c r="K317" s="902">
        <v>0</v>
      </c>
      <c r="L317" s="124">
        <v>0</v>
      </c>
      <c r="M317" s="172">
        <f t="shared" si="179"/>
        <v>1.6037100000000002</v>
      </c>
      <c r="N317" s="172">
        <v>0.32</v>
      </c>
      <c r="O317" s="893" t="s">
        <v>3077</v>
      </c>
      <c r="P317" s="893">
        <f t="shared" si="180"/>
        <v>2.625</v>
      </c>
      <c r="Q317" s="172">
        <f t="shared" si="181"/>
        <v>0.70128999999999975</v>
      </c>
      <c r="R317" s="172">
        <f t="shared" si="176"/>
        <v>0.70128999999999975</v>
      </c>
      <c r="S317" s="172" t="str">
        <f t="shared" si="164"/>
        <v/>
      </c>
      <c r="T317" s="257" t="str">
        <f t="shared" si="188"/>
        <v/>
      </c>
      <c r="U317" s="768">
        <f t="shared" si="182"/>
        <v>61.093714285714292</v>
      </c>
      <c r="V317" s="768">
        <v>0.25</v>
      </c>
      <c r="W317" s="257" t="s">
        <v>3088</v>
      </c>
      <c r="X317" s="929"/>
      <c r="Y317" s="213">
        <v>236</v>
      </c>
      <c r="Z317" s="1316">
        <v>36</v>
      </c>
      <c r="AA317" s="1298" t="s">
        <v>205</v>
      </c>
      <c r="AB317" s="230">
        <f t="shared" si="156"/>
        <v>2.5</v>
      </c>
      <c r="AC317" s="1315" t="str">
        <f t="shared" si="157"/>
        <v>+</v>
      </c>
      <c r="AD317" s="1315">
        <f t="shared" si="158"/>
        <v>2.5</v>
      </c>
      <c r="AE317" s="1315"/>
      <c r="AF317" s="1316"/>
      <c r="AG317" s="1298" t="str">
        <f t="shared" si="161"/>
        <v>2,5+2,5</v>
      </c>
      <c r="AH317" s="1304">
        <f>'Зона ТвЭС'!L320</f>
        <v>2.4187499999999997</v>
      </c>
      <c r="AI317" s="1304">
        <f t="shared" si="178"/>
        <v>4.0224599999999997</v>
      </c>
      <c r="AJ317" s="1304">
        <f t="shared" si="163"/>
        <v>0</v>
      </c>
      <c r="AK317" s="1298">
        <f t="shared" si="159"/>
        <v>0</v>
      </c>
      <c r="AL317" s="1304">
        <f t="shared" si="183"/>
        <v>4.0224599999999997</v>
      </c>
      <c r="AM317" s="1298">
        <v>0.45</v>
      </c>
      <c r="AN317" s="893">
        <f t="shared" si="184"/>
        <v>2.625</v>
      </c>
      <c r="AO317" s="1304">
        <f t="shared" si="185"/>
        <v>-1.8474599999999997</v>
      </c>
      <c r="AP317" s="1304">
        <f t="shared" si="187"/>
        <v>-1.8474599999999997</v>
      </c>
      <c r="AQ317" s="1339" t="str">
        <f t="shared" si="165"/>
        <v>закрыт</v>
      </c>
      <c r="AR317" s="1298" t="str">
        <f t="shared" si="189"/>
        <v>закрыт</v>
      </c>
      <c r="AS317" s="952">
        <f t="shared" si="186"/>
        <v>153.23657142857141</v>
      </c>
      <c r="AT317" s="954" t="s">
        <v>97</v>
      </c>
      <c r="AU317" s="1113">
        <v>1965</v>
      </c>
      <c r="AV317" s="1119" t="s">
        <v>3286</v>
      </c>
      <c r="AW317" s="1121">
        <v>56.847192621276001</v>
      </c>
      <c r="AX317" s="1121">
        <v>36.591664194611702</v>
      </c>
    </row>
    <row r="318" spans="1:50" ht="20.100000000000001" customHeight="1" x14ac:dyDescent="0.25">
      <c r="A318" s="213">
        <v>237</v>
      </c>
      <c r="B318" s="213">
        <v>37</v>
      </c>
      <c r="C318" s="213" t="s">
        <v>2197</v>
      </c>
      <c r="D318" s="230">
        <v>2</v>
      </c>
      <c r="E318" s="229" t="s">
        <v>785</v>
      </c>
      <c r="F318" s="229">
        <v>3.2</v>
      </c>
      <c r="G318" s="229"/>
      <c r="H318" s="228"/>
      <c r="I318" s="229" t="str">
        <f t="shared" si="155"/>
        <v>2+3,2</v>
      </c>
      <c r="J318" s="895">
        <v>1.952305</v>
      </c>
      <c r="K318" s="902">
        <v>0</v>
      </c>
      <c r="L318" s="124">
        <v>0</v>
      </c>
      <c r="M318" s="172">
        <f t="shared" si="179"/>
        <v>1.952305</v>
      </c>
      <c r="N318" s="172">
        <v>0</v>
      </c>
      <c r="O318" s="893"/>
      <c r="P318" s="893">
        <f t="shared" si="180"/>
        <v>2.1</v>
      </c>
      <c r="Q318" s="172">
        <f t="shared" si="181"/>
        <v>0.14769500000000013</v>
      </c>
      <c r="R318" s="172">
        <f t="shared" si="176"/>
        <v>0.14769500000000013</v>
      </c>
      <c r="S318" s="172" t="str">
        <f t="shared" si="164"/>
        <v/>
      </c>
      <c r="T318" s="257" t="str">
        <f t="shared" si="188"/>
        <v/>
      </c>
      <c r="U318" s="768">
        <f t="shared" si="182"/>
        <v>92.966904761904757</v>
      </c>
      <c r="V318" s="768">
        <v>0.55000000000000004</v>
      </c>
      <c r="W318" s="257" t="s">
        <v>3088</v>
      </c>
      <c r="X318" s="929"/>
      <c r="Y318" s="213">
        <v>237</v>
      </c>
      <c r="Z318" s="1316">
        <v>37</v>
      </c>
      <c r="AA318" s="1298" t="s">
        <v>2197</v>
      </c>
      <c r="AB318" s="230">
        <f t="shared" si="156"/>
        <v>2</v>
      </c>
      <c r="AC318" s="1315" t="str">
        <f t="shared" si="157"/>
        <v>+</v>
      </c>
      <c r="AD318" s="1315">
        <f t="shared" si="158"/>
        <v>3.2</v>
      </c>
      <c r="AE318" s="1315"/>
      <c r="AF318" s="1316"/>
      <c r="AG318" s="1298" t="str">
        <f t="shared" si="161"/>
        <v>2+3,2</v>
      </c>
      <c r="AH318" s="1304">
        <f>'Зона ТвЭС'!L331</f>
        <v>5.4091249999999995</v>
      </c>
      <c r="AI318" s="1304">
        <f t="shared" si="178"/>
        <v>7.3614299999999995</v>
      </c>
      <c r="AJ318" s="1304">
        <f t="shared" si="163"/>
        <v>0</v>
      </c>
      <c r="AK318" s="1298">
        <f t="shared" si="159"/>
        <v>0</v>
      </c>
      <c r="AL318" s="1304">
        <f t="shared" si="183"/>
        <v>7.3614299999999995</v>
      </c>
      <c r="AM318" s="1298">
        <v>0</v>
      </c>
      <c r="AN318" s="893">
        <f t="shared" si="184"/>
        <v>2.1</v>
      </c>
      <c r="AO318" s="1304">
        <f t="shared" si="185"/>
        <v>-5.2614299999999989</v>
      </c>
      <c r="AP318" s="1304">
        <f t="shared" si="187"/>
        <v>-5.2614299999999989</v>
      </c>
      <c r="AQ318" s="1339" t="str">
        <f t="shared" si="165"/>
        <v>закрыт</v>
      </c>
      <c r="AR318" s="1298" t="str">
        <f t="shared" si="189"/>
        <v>закрыт</v>
      </c>
      <c r="AS318" s="952">
        <f t="shared" si="186"/>
        <v>350.54428571428565</v>
      </c>
      <c r="AT318" s="954" t="s">
        <v>97</v>
      </c>
      <c r="AU318" s="1113">
        <v>1966</v>
      </c>
      <c r="AV318" s="1119" t="s">
        <v>3286</v>
      </c>
      <c r="AW318" s="1121">
        <v>56.901288048079202</v>
      </c>
      <c r="AX318" s="1121">
        <v>35.767399663626499</v>
      </c>
    </row>
    <row r="319" spans="1:50" ht="20.100000000000001" customHeight="1" x14ac:dyDescent="0.25">
      <c r="A319" s="213">
        <v>238</v>
      </c>
      <c r="B319" s="213">
        <v>38</v>
      </c>
      <c r="C319" s="213" t="s">
        <v>206</v>
      </c>
      <c r="D319" s="230">
        <v>4</v>
      </c>
      <c r="E319" s="229" t="s">
        <v>785</v>
      </c>
      <c r="F319" s="229">
        <v>4</v>
      </c>
      <c r="G319" s="229"/>
      <c r="H319" s="228"/>
      <c r="I319" s="229" t="str">
        <f t="shared" si="155"/>
        <v>4+4</v>
      </c>
      <c r="J319" s="895">
        <v>1.2580559999999998</v>
      </c>
      <c r="K319" s="903">
        <v>0</v>
      </c>
      <c r="L319" s="124">
        <v>0</v>
      </c>
      <c r="M319" s="172">
        <f t="shared" si="179"/>
        <v>1.2580559999999998</v>
      </c>
      <c r="N319" s="172">
        <v>0</v>
      </c>
      <c r="O319" s="893"/>
      <c r="P319" s="893">
        <f t="shared" si="180"/>
        <v>4.2</v>
      </c>
      <c r="Q319" s="172">
        <f t="shared" si="181"/>
        <v>2.9419440000000003</v>
      </c>
      <c r="R319" s="172">
        <f t="shared" si="176"/>
        <v>2.9419440000000003</v>
      </c>
      <c r="S319" s="172" t="str">
        <f t="shared" si="164"/>
        <v/>
      </c>
      <c r="T319" s="257" t="str">
        <f t="shared" si="188"/>
        <v/>
      </c>
      <c r="U319" s="768">
        <f t="shared" si="182"/>
        <v>29.95371428571428</v>
      </c>
      <c r="V319" s="768">
        <v>0.4</v>
      </c>
      <c r="W319" s="257" t="s">
        <v>3088</v>
      </c>
      <c r="X319" s="929"/>
      <c r="Y319" s="213">
        <v>238</v>
      </c>
      <c r="Z319" s="1316">
        <v>38</v>
      </c>
      <c r="AA319" s="1298" t="s">
        <v>206</v>
      </c>
      <c r="AB319" s="230">
        <f t="shared" si="156"/>
        <v>4</v>
      </c>
      <c r="AC319" s="1315" t="str">
        <f t="shared" si="157"/>
        <v>+</v>
      </c>
      <c r="AD319" s="1315">
        <f t="shared" si="158"/>
        <v>4</v>
      </c>
      <c r="AE319" s="1315"/>
      <c r="AF319" s="1316"/>
      <c r="AG319" s="1298" t="str">
        <f t="shared" si="161"/>
        <v>4+4</v>
      </c>
      <c r="AH319" s="1304">
        <f>'Зона ТвЭС'!L336</f>
        <v>0.22874999999999998</v>
      </c>
      <c r="AI319" s="1304">
        <f t="shared" si="178"/>
        <v>1.4868059999999998</v>
      </c>
      <c r="AJ319" s="1304">
        <f t="shared" si="163"/>
        <v>0</v>
      </c>
      <c r="AK319" s="1298">
        <f t="shared" si="159"/>
        <v>0</v>
      </c>
      <c r="AL319" s="1304">
        <f t="shared" si="183"/>
        <v>1.4868059999999998</v>
      </c>
      <c r="AM319" s="1298">
        <v>0</v>
      </c>
      <c r="AN319" s="893">
        <f t="shared" si="184"/>
        <v>4.2</v>
      </c>
      <c r="AO319" s="1304">
        <f t="shared" si="185"/>
        <v>2.7131940000000005</v>
      </c>
      <c r="AP319" s="1304">
        <f t="shared" si="187"/>
        <v>2.7131940000000005</v>
      </c>
      <c r="AQ319" s="1339" t="str">
        <f t="shared" si="165"/>
        <v/>
      </c>
      <c r="AR319" s="1298" t="str">
        <f t="shared" si="189"/>
        <v/>
      </c>
      <c r="AS319" s="952">
        <f t="shared" si="186"/>
        <v>35.400142857142853</v>
      </c>
      <c r="AT319" s="954" t="s">
        <v>97</v>
      </c>
      <c r="AU319" s="1113">
        <v>1966</v>
      </c>
      <c r="AV319" s="1119" t="s">
        <v>3286</v>
      </c>
      <c r="AW319" s="1121">
        <v>56.703857298303703</v>
      </c>
      <c r="AX319" s="1121">
        <v>35.841024516208599</v>
      </c>
    </row>
    <row r="320" spans="1:50" ht="20.100000000000001" customHeight="1" x14ac:dyDescent="0.25">
      <c r="A320" s="213">
        <v>239</v>
      </c>
      <c r="B320" s="213">
        <v>39</v>
      </c>
      <c r="C320" s="213" t="s">
        <v>207</v>
      </c>
      <c r="D320" s="230">
        <v>6.3</v>
      </c>
      <c r="E320" s="229" t="s">
        <v>785</v>
      </c>
      <c r="F320" s="229">
        <v>6.3</v>
      </c>
      <c r="G320" s="229"/>
      <c r="H320" s="228"/>
      <c r="I320" s="229" t="str">
        <f t="shared" si="155"/>
        <v>6,3+6,3</v>
      </c>
      <c r="J320" s="895">
        <v>3.8146499999999999</v>
      </c>
      <c r="K320" s="902">
        <v>0</v>
      </c>
      <c r="L320" s="124">
        <v>0</v>
      </c>
      <c r="M320" s="172">
        <f t="shared" si="179"/>
        <v>3.8146499999999999</v>
      </c>
      <c r="N320" s="172">
        <v>0</v>
      </c>
      <c r="O320" s="893"/>
      <c r="P320" s="893">
        <f t="shared" si="180"/>
        <v>6.6150000000000002</v>
      </c>
      <c r="Q320" s="172">
        <f t="shared" si="181"/>
        <v>2.8003500000000003</v>
      </c>
      <c r="R320" s="172">
        <f t="shared" si="176"/>
        <v>2.8003500000000003</v>
      </c>
      <c r="S320" s="172" t="str">
        <f t="shared" si="164"/>
        <v/>
      </c>
      <c r="T320" s="257" t="str">
        <f t="shared" si="188"/>
        <v/>
      </c>
      <c r="U320" s="768">
        <f t="shared" si="182"/>
        <v>57.666666666666664</v>
      </c>
      <c r="V320" s="768"/>
      <c r="W320" s="768"/>
      <c r="X320" s="929"/>
      <c r="Y320" s="213">
        <v>239</v>
      </c>
      <c r="Z320" s="1316">
        <v>39</v>
      </c>
      <c r="AA320" s="1298" t="s">
        <v>207</v>
      </c>
      <c r="AB320" s="230">
        <f t="shared" si="156"/>
        <v>6.3</v>
      </c>
      <c r="AC320" s="1315" t="str">
        <f t="shared" si="157"/>
        <v>+</v>
      </c>
      <c r="AD320" s="1315">
        <f t="shared" si="158"/>
        <v>6.3</v>
      </c>
      <c r="AE320" s="1315"/>
      <c r="AF320" s="1316"/>
      <c r="AG320" s="1298" t="str">
        <f>CONCATENATE(AB320,AC320,AD320,AE320,AF320)</f>
        <v>6,3+6,3</v>
      </c>
      <c r="AH320" s="1304">
        <f>'Зона ТвЭС'!L350</f>
        <v>0.51074999999999993</v>
      </c>
      <c r="AI320" s="1304">
        <f t="shared" si="178"/>
        <v>4.3254000000000001</v>
      </c>
      <c r="AJ320" s="1304">
        <f t="shared" si="163"/>
        <v>0</v>
      </c>
      <c r="AK320" s="1298">
        <f t="shared" si="159"/>
        <v>0</v>
      </c>
      <c r="AL320" s="1304">
        <f t="shared" si="183"/>
        <v>4.3254000000000001</v>
      </c>
      <c r="AM320" s="1298">
        <v>0</v>
      </c>
      <c r="AN320" s="893">
        <f>MIN(AB320:AF320)*1.05</f>
        <v>6.6150000000000002</v>
      </c>
      <c r="AO320" s="1304">
        <f t="shared" si="185"/>
        <v>2.2896000000000001</v>
      </c>
      <c r="AP320" s="1304">
        <f t="shared" si="187"/>
        <v>2.2896000000000001</v>
      </c>
      <c r="AQ320" s="1339" t="str">
        <f t="shared" si="165"/>
        <v/>
      </c>
      <c r="AR320" s="1298" t="str">
        <f t="shared" si="189"/>
        <v/>
      </c>
      <c r="AS320" s="952">
        <f t="shared" si="186"/>
        <v>65.387755102040813</v>
      </c>
      <c r="AT320" s="954" t="s">
        <v>97</v>
      </c>
      <c r="AU320" s="1113">
        <v>1970</v>
      </c>
      <c r="AV320" s="214">
        <v>2012</v>
      </c>
      <c r="AW320" s="1121">
        <v>56.875332433910998</v>
      </c>
      <c r="AX320" s="1121">
        <v>35.684471769877199</v>
      </c>
    </row>
    <row r="321" spans="1:50" ht="20.100000000000001" customHeight="1" x14ac:dyDescent="0.25">
      <c r="A321" s="213">
        <v>240</v>
      </c>
      <c r="B321" s="213">
        <v>40</v>
      </c>
      <c r="C321" s="213" t="s">
        <v>208</v>
      </c>
      <c r="D321" s="230">
        <v>4</v>
      </c>
      <c r="E321" s="229" t="s">
        <v>785</v>
      </c>
      <c r="F321" s="229">
        <v>4</v>
      </c>
      <c r="G321" s="229"/>
      <c r="H321" s="228"/>
      <c r="I321" s="229" t="str">
        <f t="shared" si="155"/>
        <v>4+4</v>
      </c>
      <c r="J321" s="895">
        <v>2.7607339999999998</v>
      </c>
      <c r="K321" s="903">
        <v>0</v>
      </c>
      <c r="L321" s="124">
        <v>0</v>
      </c>
      <c r="M321" s="172">
        <f t="shared" si="179"/>
        <v>2.7607339999999998</v>
      </c>
      <c r="N321" s="172">
        <v>0.93</v>
      </c>
      <c r="O321" s="893" t="s">
        <v>3077</v>
      </c>
      <c r="P321" s="893">
        <v>4.2</v>
      </c>
      <c r="Q321" s="172">
        <f t="shared" si="181"/>
        <v>0.50926600000000033</v>
      </c>
      <c r="R321" s="172">
        <f t="shared" si="176"/>
        <v>0.50926600000000033</v>
      </c>
      <c r="S321" s="172" t="str">
        <f t="shared" si="164"/>
        <v/>
      </c>
      <c r="T321" s="257" t="str">
        <f t="shared" si="188"/>
        <v/>
      </c>
      <c r="U321" s="768">
        <f t="shared" si="182"/>
        <v>65.731761904761896</v>
      </c>
      <c r="V321" s="768"/>
      <c r="W321" s="768"/>
      <c r="X321" s="929"/>
      <c r="Y321" s="213">
        <v>240</v>
      </c>
      <c r="Z321" s="1316">
        <v>40</v>
      </c>
      <c r="AA321" s="1298" t="s">
        <v>208</v>
      </c>
      <c r="AB321" s="230">
        <f t="shared" si="156"/>
        <v>4</v>
      </c>
      <c r="AC321" s="1315" t="str">
        <f t="shared" si="157"/>
        <v>+</v>
      </c>
      <c r="AD321" s="1315">
        <f t="shared" si="158"/>
        <v>4</v>
      </c>
      <c r="AE321" s="1315"/>
      <c r="AF321" s="1316"/>
      <c r="AG321" s="1298" t="str">
        <f t="shared" si="161"/>
        <v>4+4</v>
      </c>
      <c r="AH321" s="1304">
        <f>'Зона ТвЭС'!L353</f>
        <v>0.245</v>
      </c>
      <c r="AI321" s="1304">
        <f t="shared" si="178"/>
        <v>3.0057339999999999</v>
      </c>
      <c r="AJ321" s="1304">
        <f t="shared" si="163"/>
        <v>0</v>
      </c>
      <c r="AK321" s="1298">
        <f t="shared" si="159"/>
        <v>0</v>
      </c>
      <c r="AL321" s="1304">
        <f t="shared" si="183"/>
        <v>3.0057339999999999</v>
      </c>
      <c r="AM321" s="1298">
        <v>0.93030000000000035</v>
      </c>
      <c r="AN321" s="893">
        <v>4.2</v>
      </c>
      <c r="AO321" s="1304">
        <f t="shared" si="185"/>
        <v>0.26396599999999992</v>
      </c>
      <c r="AP321" s="1304">
        <f t="shared" si="187"/>
        <v>0.26396599999999992</v>
      </c>
      <c r="AQ321" s="1339" t="str">
        <f t="shared" si="165"/>
        <v/>
      </c>
      <c r="AR321" s="1298" t="str">
        <f t="shared" si="189"/>
        <v/>
      </c>
      <c r="AS321" s="952">
        <f t="shared" si="186"/>
        <v>71.565095238095239</v>
      </c>
      <c r="AT321" s="954" t="s">
        <v>97</v>
      </c>
      <c r="AU321" s="1113">
        <v>1975</v>
      </c>
      <c r="AV321" s="1119" t="s">
        <v>3286</v>
      </c>
      <c r="AW321" s="1121">
        <v>56.711210032713197</v>
      </c>
      <c r="AX321" s="1121">
        <v>35.789848585825297</v>
      </c>
    </row>
    <row r="322" spans="1:50" ht="20.100000000000001" customHeight="1" x14ac:dyDescent="0.25">
      <c r="A322" s="213">
        <v>241</v>
      </c>
      <c r="B322" s="213">
        <v>41</v>
      </c>
      <c r="C322" s="213" t="s">
        <v>209</v>
      </c>
      <c r="D322" s="230">
        <v>1.6</v>
      </c>
      <c r="E322" s="229" t="s">
        <v>785</v>
      </c>
      <c r="F322" s="229">
        <v>2.5</v>
      </c>
      <c r="G322" s="229"/>
      <c r="H322" s="228"/>
      <c r="I322" s="229" t="str">
        <f t="shared" si="155"/>
        <v>1,6+2,5</v>
      </c>
      <c r="J322" s="895">
        <v>1.2116920000000002</v>
      </c>
      <c r="K322" s="902">
        <v>0</v>
      </c>
      <c r="L322" s="124">
        <v>0</v>
      </c>
      <c r="M322" s="172">
        <f t="shared" si="179"/>
        <v>1.2116920000000002</v>
      </c>
      <c r="N322" s="172">
        <v>0</v>
      </c>
      <c r="O322" s="893"/>
      <c r="P322" s="893">
        <f t="shared" ref="P322:P346" si="190">MIN(D322:F322)*1.05</f>
        <v>1.6800000000000002</v>
      </c>
      <c r="Q322" s="172">
        <f t="shared" si="181"/>
        <v>0.46830799999999995</v>
      </c>
      <c r="R322" s="172">
        <f t="shared" si="176"/>
        <v>0.46830799999999995</v>
      </c>
      <c r="S322" s="172" t="str">
        <f t="shared" si="164"/>
        <v/>
      </c>
      <c r="T322" s="257" t="str">
        <f t="shared" si="188"/>
        <v/>
      </c>
      <c r="U322" s="768">
        <f t="shared" si="182"/>
        <v>72.124523809523808</v>
      </c>
      <c r="V322" s="768"/>
      <c r="W322" s="768"/>
      <c r="X322" s="929"/>
      <c r="Y322" s="213">
        <v>241</v>
      </c>
      <c r="Z322" s="1316">
        <v>41</v>
      </c>
      <c r="AA322" s="1298" t="s">
        <v>209</v>
      </c>
      <c r="AB322" s="230">
        <f t="shared" si="156"/>
        <v>1.6</v>
      </c>
      <c r="AC322" s="1315" t="str">
        <f t="shared" si="157"/>
        <v>+</v>
      </c>
      <c r="AD322" s="1315">
        <f t="shared" si="158"/>
        <v>2.5</v>
      </c>
      <c r="AE322" s="1315"/>
      <c r="AF322" s="1316"/>
      <c r="AG322" s="1298" t="str">
        <f t="shared" si="161"/>
        <v>1,6+2,5</v>
      </c>
      <c r="AH322" s="1304">
        <f>'Зона ТвЭС'!L358</f>
        <v>1.8399999999999999</v>
      </c>
      <c r="AI322" s="1304">
        <f t="shared" si="178"/>
        <v>3.0516920000000001</v>
      </c>
      <c r="AJ322" s="1304">
        <f t="shared" si="163"/>
        <v>0</v>
      </c>
      <c r="AK322" s="1298">
        <f t="shared" si="159"/>
        <v>0</v>
      </c>
      <c r="AL322" s="1304">
        <f t="shared" si="183"/>
        <v>3.0516920000000001</v>
      </c>
      <c r="AM322" s="1298">
        <v>0</v>
      </c>
      <c r="AN322" s="893">
        <f t="shared" ref="AN322:AN346" si="191">MIN(AB322:AF322)*1.05</f>
        <v>1.6800000000000002</v>
      </c>
      <c r="AO322" s="1304">
        <f t="shared" si="185"/>
        <v>-1.3716919999999999</v>
      </c>
      <c r="AP322" s="1304">
        <f t="shared" si="187"/>
        <v>-1.3716919999999999</v>
      </c>
      <c r="AQ322" s="1339" t="str">
        <f t="shared" si="165"/>
        <v>закрыт</v>
      </c>
      <c r="AR322" s="1298" t="str">
        <f t="shared" si="189"/>
        <v>закрыт</v>
      </c>
      <c r="AS322" s="952">
        <f t="shared" si="186"/>
        <v>181.64833333333331</v>
      </c>
      <c r="AT322" s="954" t="s">
        <v>97</v>
      </c>
      <c r="AU322" s="1113">
        <v>1969</v>
      </c>
      <c r="AV322" s="1119" t="s">
        <v>3286</v>
      </c>
      <c r="AW322" s="1121">
        <v>56.841370892934599</v>
      </c>
      <c r="AX322" s="1121">
        <v>36.103829043620003</v>
      </c>
    </row>
    <row r="323" spans="1:50" ht="20.100000000000001" customHeight="1" x14ac:dyDescent="0.25">
      <c r="A323" s="213">
        <v>242</v>
      </c>
      <c r="B323" s="213">
        <v>42</v>
      </c>
      <c r="C323" s="213" t="s">
        <v>210</v>
      </c>
      <c r="D323" s="230">
        <v>1.6</v>
      </c>
      <c r="E323" s="229" t="s">
        <v>785</v>
      </c>
      <c r="F323" s="229">
        <v>2.5</v>
      </c>
      <c r="G323" s="229"/>
      <c r="H323" s="228"/>
      <c r="I323" s="229" t="str">
        <f t="shared" si="155"/>
        <v>1,6+2,5</v>
      </c>
      <c r="J323" s="895">
        <v>1.1245000000000001</v>
      </c>
      <c r="K323" s="902">
        <v>0</v>
      </c>
      <c r="L323" s="124">
        <v>0</v>
      </c>
      <c r="M323" s="172">
        <f t="shared" si="179"/>
        <v>1.1245000000000001</v>
      </c>
      <c r="N323" s="172">
        <v>0</v>
      </c>
      <c r="O323" s="893"/>
      <c r="P323" s="893">
        <f t="shared" si="190"/>
        <v>1.6800000000000002</v>
      </c>
      <c r="Q323" s="172">
        <f t="shared" si="181"/>
        <v>0.5555000000000001</v>
      </c>
      <c r="R323" s="172">
        <f t="shared" si="176"/>
        <v>0.5555000000000001</v>
      </c>
      <c r="S323" s="172" t="str">
        <f t="shared" si="164"/>
        <v/>
      </c>
      <c r="T323" s="257" t="str">
        <f t="shared" si="188"/>
        <v/>
      </c>
      <c r="U323" s="768">
        <f t="shared" si="182"/>
        <v>66.93452380952381</v>
      </c>
      <c r="V323" s="768">
        <v>0.27</v>
      </c>
      <c r="W323" s="257" t="s">
        <v>3088</v>
      </c>
      <c r="X323" s="929"/>
      <c r="Y323" s="213">
        <v>242</v>
      </c>
      <c r="Z323" s="1316">
        <v>42</v>
      </c>
      <c r="AA323" s="1298" t="s">
        <v>210</v>
      </c>
      <c r="AB323" s="230">
        <f t="shared" si="156"/>
        <v>1.6</v>
      </c>
      <c r="AC323" s="1315" t="str">
        <f t="shared" si="157"/>
        <v>+</v>
      </c>
      <c r="AD323" s="1315">
        <f t="shared" si="158"/>
        <v>2.5</v>
      </c>
      <c r="AE323" s="1315"/>
      <c r="AF323" s="1316"/>
      <c r="AG323" s="1298" t="str">
        <f t="shared" si="161"/>
        <v>1,6+2,5</v>
      </c>
      <c r="AH323" s="1304">
        <f>'Зона ТвЭС'!L363</f>
        <v>1.415</v>
      </c>
      <c r="AI323" s="1304">
        <f t="shared" si="178"/>
        <v>2.5395000000000003</v>
      </c>
      <c r="AJ323" s="1304">
        <f t="shared" si="163"/>
        <v>0</v>
      </c>
      <c r="AK323" s="1298">
        <f t="shared" si="159"/>
        <v>0</v>
      </c>
      <c r="AL323" s="1304">
        <f t="shared" si="183"/>
        <v>2.5395000000000003</v>
      </c>
      <c r="AM323" s="1298">
        <v>0</v>
      </c>
      <c r="AN323" s="893">
        <f t="shared" si="191"/>
        <v>1.6800000000000002</v>
      </c>
      <c r="AO323" s="1304">
        <f t="shared" si="185"/>
        <v>-0.85950000000000015</v>
      </c>
      <c r="AP323" s="1304">
        <f t="shared" si="187"/>
        <v>-0.85950000000000015</v>
      </c>
      <c r="AQ323" s="1339" t="str">
        <f t="shared" si="165"/>
        <v>закрыт</v>
      </c>
      <c r="AR323" s="1298" t="str">
        <f t="shared" si="189"/>
        <v>закрыт</v>
      </c>
      <c r="AS323" s="952">
        <f t="shared" si="186"/>
        <v>151.16071428571431</v>
      </c>
      <c r="AT323" s="954" t="s">
        <v>97</v>
      </c>
      <c r="AU323" s="1113">
        <v>1978</v>
      </c>
      <c r="AV323" s="1119" t="s">
        <v>3286</v>
      </c>
      <c r="AW323" s="1121">
        <v>56.936792691974098</v>
      </c>
      <c r="AX323" s="1121">
        <v>36.140630189038099</v>
      </c>
    </row>
    <row r="324" spans="1:50" ht="19.5" customHeight="1" x14ac:dyDescent="0.25">
      <c r="A324" s="213">
        <v>243</v>
      </c>
      <c r="B324" s="213">
        <v>43</v>
      </c>
      <c r="C324" s="213" t="s">
        <v>211</v>
      </c>
      <c r="D324" s="230">
        <v>2.5</v>
      </c>
      <c r="E324" s="229" t="s">
        <v>785</v>
      </c>
      <c r="F324" s="229">
        <v>2.5</v>
      </c>
      <c r="G324" s="229"/>
      <c r="H324" s="228"/>
      <c r="I324" s="229" t="str">
        <f t="shared" si="155"/>
        <v>2,5+2,5</v>
      </c>
      <c r="J324" s="895">
        <v>0.71967999999999999</v>
      </c>
      <c r="K324" s="903">
        <v>0</v>
      </c>
      <c r="L324" s="124">
        <v>0</v>
      </c>
      <c r="M324" s="172">
        <f t="shared" si="179"/>
        <v>0.71967999999999999</v>
      </c>
      <c r="N324" s="172">
        <v>0.34599999999999997</v>
      </c>
      <c r="O324" s="893" t="s">
        <v>3077</v>
      </c>
      <c r="P324" s="893">
        <f t="shared" si="190"/>
        <v>2.625</v>
      </c>
      <c r="Q324" s="172">
        <f t="shared" si="181"/>
        <v>1.55932</v>
      </c>
      <c r="R324" s="172">
        <f t="shared" si="176"/>
        <v>1.55932</v>
      </c>
      <c r="S324" s="172" t="str">
        <f t="shared" si="164"/>
        <v/>
      </c>
      <c r="T324" s="257" t="str">
        <f t="shared" si="188"/>
        <v/>
      </c>
      <c r="U324" s="768">
        <f t="shared" si="182"/>
        <v>27.416380952380955</v>
      </c>
      <c r="V324" s="768">
        <v>0.34</v>
      </c>
      <c r="W324" s="257" t="s">
        <v>3088</v>
      </c>
      <c r="X324" s="929"/>
      <c r="Y324" s="213">
        <v>243</v>
      </c>
      <c r="Z324" s="1316">
        <v>43</v>
      </c>
      <c r="AA324" s="1298" t="s">
        <v>211</v>
      </c>
      <c r="AB324" s="230">
        <f t="shared" si="156"/>
        <v>2.5</v>
      </c>
      <c r="AC324" s="1315" t="str">
        <f t="shared" si="157"/>
        <v>+</v>
      </c>
      <c r="AD324" s="1315">
        <f t="shared" si="158"/>
        <v>2.5</v>
      </c>
      <c r="AE324" s="1315"/>
      <c r="AF324" s="1316"/>
      <c r="AG324" s="1298" t="str">
        <f t="shared" si="161"/>
        <v>2,5+2,5</v>
      </c>
      <c r="AH324" s="1304">
        <f>'Зона ТвЭС'!L365</f>
        <v>0</v>
      </c>
      <c r="AI324" s="1304">
        <f t="shared" si="178"/>
        <v>0.71967999999999999</v>
      </c>
      <c r="AJ324" s="1304">
        <f t="shared" si="163"/>
        <v>0</v>
      </c>
      <c r="AK324" s="1298">
        <f t="shared" si="159"/>
        <v>0</v>
      </c>
      <c r="AL324" s="1304">
        <f t="shared" si="183"/>
        <v>0.71967999999999999</v>
      </c>
      <c r="AM324" s="893">
        <v>0.34140000000000015</v>
      </c>
      <c r="AN324" s="893">
        <f t="shared" si="191"/>
        <v>2.625</v>
      </c>
      <c r="AO324" s="1304">
        <f t="shared" si="185"/>
        <v>1.56392</v>
      </c>
      <c r="AP324" s="1304">
        <f t="shared" si="187"/>
        <v>1.56392</v>
      </c>
      <c r="AQ324" s="1339" t="str">
        <f t="shared" si="165"/>
        <v/>
      </c>
      <c r="AR324" s="1298" t="str">
        <f t="shared" si="189"/>
        <v/>
      </c>
      <c r="AS324" s="952">
        <f t="shared" si="186"/>
        <v>27.416380952380955</v>
      </c>
      <c r="AT324" s="954" t="s">
        <v>97</v>
      </c>
      <c r="AU324" s="1113">
        <v>1989</v>
      </c>
      <c r="AV324" s="1119" t="s">
        <v>3286</v>
      </c>
      <c r="AW324" s="1121">
        <v>56.847220438271997</v>
      </c>
      <c r="AX324" s="1121">
        <v>36.683607523094999</v>
      </c>
    </row>
    <row r="325" spans="1:50" ht="19.5" customHeight="1" x14ac:dyDescent="0.25">
      <c r="A325" s="213">
        <v>244</v>
      </c>
      <c r="B325" s="213">
        <v>44</v>
      </c>
      <c r="C325" s="213" t="s">
        <v>212</v>
      </c>
      <c r="D325" s="230">
        <v>6.3</v>
      </c>
      <c r="E325" s="229" t="s">
        <v>785</v>
      </c>
      <c r="F325" s="229">
        <v>6.3</v>
      </c>
      <c r="G325" s="229"/>
      <c r="H325" s="228"/>
      <c r="I325" s="229" t="str">
        <f t="shared" si="155"/>
        <v>6,3+6,3</v>
      </c>
      <c r="J325" s="895">
        <v>8.2936200000000007</v>
      </c>
      <c r="K325" s="902">
        <v>0</v>
      </c>
      <c r="L325" s="124">
        <v>0</v>
      </c>
      <c r="M325" s="172">
        <f t="shared" si="179"/>
        <v>8.2936200000000007</v>
      </c>
      <c r="N325" s="172">
        <v>0</v>
      </c>
      <c r="O325" s="893"/>
      <c r="P325" s="893">
        <f t="shared" si="190"/>
        <v>6.6150000000000002</v>
      </c>
      <c r="Q325" s="172">
        <f t="shared" si="181"/>
        <v>-1.6786200000000004</v>
      </c>
      <c r="R325" s="172">
        <f t="shared" si="176"/>
        <v>-1.6786200000000004</v>
      </c>
      <c r="S325" s="172" t="str">
        <f t="shared" si="164"/>
        <v>закрыт</v>
      </c>
      <c r="T325" s="257" t="str">
        <f t="shared" si="188"/>
        <v>закрыт</v>
      </c>
      <c r="U325" s="768">
        <f t="shared" si="182"/>
        <v>125.37596371882087</v>
      </c>
      <c r="V325" s="768">
        <v>0.33</v>
      </c>
      <c r="W325" s="257" t="s">
        <v>3088</v>
      </c>
      <c r="X325" s="929"/>
      <c r="Y325" s="213">
        <v>244</v>
      </c>
      <c r="Z325" s="1316">
        <v>44</v>
      </c>
      <c r="AA325" s="1298" t="s">
        <v>212</v>
      </c>
      <c r="AB325" s="230">
        <f t="shared" si="156"/>
        <v>6.3</v>
      </c>
      <c r="AC325" s="1315" t="str">
        <f t="shared" si="157"/>
        <v>+</v>
      </c>
      <c r="AD325" s="1315">
        <f t="shared" si="158"/>
        <v>6.3</v>
      </c>
      <c r="AE325" s="1315"/>
      <c r="AF325" s="1316"/>
      <c r="AG325" s="1298" t="str">
        <f t="shared" si="161"/>
        <v>6,3+6,3</v>
      </c>
      <c r="AH325" s="1304">
        <f>'Зона ТвЭС'!L400</f>
        <v>7.5350000000000001</v>
      </c>
      <c r="AI325" s="1304">
        <f t="shared" ref="AI325:AI356" si="192">AH325+J325</f>
        <v>15.828620000000001</v>
      </c>
      <c r="AJ325" s="1304">
        <f t="shared" si="163"/>
        <v>0</v>
      </c>
      <c r="AK325" s="1298">
        <f t="shared" si="159"/>
        <v>0</v>
      </c>
      <c r="AL325" s="1304">
        <f t="shared" si="183"/>
        <v>15.828620000000001</v>
      </c>
      <c r="AM325" s="1298">
        <v>0</v>
      </c>
      <c r="AN325" s="893">
        <f t="shared" si="191"/>
        <v>6.6150000000000002</v>
      </c>
      <c r="AO325" s="1304">
        <f t="shared" si="185"/>
        <v>-9.2136200000000006</v>
      </c>
      <c r="AP325" s="1304">
        <f t="shared" si="187"/>
        <v>-9.2136200000000006</v>
      </c>
      <c r="AQ325" s="1339" t="str">
        <f>AR325</f>
        <v>закрыт</v>
      </c>
      <c r="AR325" s="1298" t="str">
        <f t="shared" si="189"/>
        <v>закрыт</v>
      </c>
      <c r="AS325" s="952">
        <f t="shared" si="186"/>
        <v>239.28374905517762</v>
      </c>
      <c r="AT325" s="954" t="s">
        <v>97</v>
      </c>
      <c r="AU325" s="1113">
        <v>1975</v>
      </c>
      <c r="AV325" s="214">
        <v>2011</v>
      </c>
      <c r="AW325" s="1121">
        <v>56.7419028169504</v>
      </c>
      <c r="AX325" s="1121">
        <v>35.909505065937502</v>
      </c>
    </row>
    <row r="326" spans="1:50" ht="20.100000000000001" customHeight="1" x14ac:dyDescent="0.25">
      <c r="A326" s="213">
        <v>245</v>
      </c>
      <c r="B326" s="213">
        <v>45</v>
      </c>
      <c r="C326" s="213" t="s">
        <v>213</v>
      </c>
      <c r="D326" s="230">
        <v>1</v>
      </c>
      <c r="E326" s="229" t="s">
        <v>785</v>
      </c>
      <c r="F326" s="229">
        <v>1</v>
      </c>
      <c r="G326" s="229"/>
      <c r="H326" s="228"/>
      <c r="I326" s="229" t="str">
        <f t="shared" si="155"/>
        <v>1+1</v>
      </c>
      <c r="J326" s="895">
        <v>0.75254999999999994</v>
      </c>
      <c r="K326" s="902">
        <v>0</v>
      </c>
      <c r="L326" s="124">
        <v>0</v>
      </c>
      <c r="M326" s="172">
        <f t="shared" si="179"/>
        <v>0.75254999999999994</v>
      </c>
      <c r="N326" s="172">
        <v>0</v>
      </c>
      <c r="O326" s="893"/>
      <c r="P326" s="893">
        <f t="shared" si="190"/>
        <v>1.05</v>
      </c>
      <c r="Q326" s="172">
        <f t="shared" si="181"/>
        <v>0.2974500000000001</v>
      </c>
      <c r="R326" s="172">
        <f t="shared" si="176"/>
        <v>0.2974500000000001</v>
      </c>
      <c r="S326" s="172" t="str">
        <f t="shared" si="164"/>
        <v/>
      </c>
      <c r="T326" s="257" t="str">
        <f t="shared" si="188"/>
        <v/>
      </c>
      <c r="U326" s="768">
        <f t="shared" si="182"/>
        <v>71.671428571428564</v>
      </c>
      <c r="V326" s="768"/>
      <c r="W326" s="768"/>
      <c r="X326" s="929"/>
      <c r="Y326" s="213">
        <v>245</v>
      </c>
      <c r="Z326" s="1316">
        <v>45</v>
      </c>
      <c r="AA326" s="1298" t="s">
        <v>213</v>
      </c>
      <c r="AB326" s="230">
        <f t="shared" si="156"/>
        <v>1</v>
      </c>
      <c r="AC326" s="1315" t="str">
        <f t="shared" si="157"/>
        <v>+</v>
      </c>
      <c r="AD326" s="1315">
        <f t="shared" si="158"/>
        <v>1</v>
      </c>
      <c r="AE326" s="1315"/>
      <c r="AF326" s="1316"/>
      <c r="AG326" s="1298" t="str">
        <f t="shared" si="161"/>
        <v>1+1</v>
      </c>
      <c r="AH326" s="1304">
        <f>'Зона ТвЭС'!L402</f>
        <v>0</v>
      </c>
      <c r="AI326" s="1304">
        <f t="shared" si="192"/>
        <v>0.75254999999999994</v>
      </c>
      <c r="AJ326" s="1304">
        <f t="shared" si="163"/>
        <v>0</v>
      </c>
      <c r="AK326" s="1298">
        <f t="shared" si="159"/>
        <v>0</v>
      </c>
      <c r="AL326" s="1304">
        <f t="shared" si="183"/>
        <v>0.75254999999999994</v>
      </c>
      <c r="AM326" s="1298">
        <v>0</v>
      </c>
      <c r="AN326" s="893">
        <f t="shared" si="191"/>
        <v>1.05</v>
      </c>
      <c r="AO326" s="1304">
        <f t="shared" si="185"/>
        <v>0.2974500000000001</v>
      </c>
      <c r="AP326" s="1304">
        <f t="shared" si="187"/>
        <v>0.2974500000000001</v>
      </c>
      <c r="AQ326" s="1339" t="str">
        <f t="shared" si="165"/>
        <v/>
      </c>
      <c r="AR326" s="1298" t="str">
        <f t="shared" si="189"/>
        <v/>
      </c>
      <c r="AS326" s="952">
        <f t="shared" si="186"/>
        <v>71.671428571428564</v>
      </c>
      <c r="AT326" s="954" t="s">
        <v>97</v>
      </c>
      <c r="AU326" s="1113">
        <v>1939</v>
      </c>
      <c r="AV326" s="1119" t="s">
        <v>3286</v>
      </c>
      <c r="AW326" s="1121">
        <v>57.011190305104897</v>
      </c>
      <c r="AX326" s="1121">
        <v>35.931930719504798</v>
      </c>
    </row>
    <row r="327" spans="1:50" ht="20.100000000000001" customHeight="1" x14ac:dyDescent="0.25">
      <c r="A327" s="213">
        <v>246</v>
      </c>
      <c r="B327" s="213">
        <v>46</v>
      </c>
      <c r="C327" s="213" t="s">
        <v>214</v>
      </c>
      <c r="D327" s="230">
        <v>4</v>
      </c>
      <c r="E327" s="229" t="s">
        <v>785</v>
      </c>
      <c r="F327" s="229">
        <v>6.3</v>
      </c>
      <c r="G327" s="229"/>
      <c r="H327" s="228"/>
      <c r="I327" s="229" t="str">
        <f t="shared" si="155"/>
        <v>4+6,3</v>
      </c>
      <c r="J327" s="895">
        <v>3.66933</v>
      </c>
      <c r="K327" s="902">
        <v>0</v>
      </c>
      <c r="L327" s="124">
        <v>0</v>
      </c>
      <c r="M327" s="172">
        <f t="shared" si="179"/>
        <v>3.66933</v>
      </c>
      <c r="N327" s="172">
        <v>0</v>
      </c>
      <c r="O327" s="893"/>
      <c r="P327" s="893">
        <f t="shared" si="190"/>
        <v>4.2</v>
      </c>
      <c r="Q327" s="172">
        <f t="shared" si="181"/>
        <v>0.5306700000000002</v>
      </c>
      <c r="R327" s="172">
        <f t="shared" si="176"/>
        <v>0.5306700000000002</v>
      </c>
      <c r="S327" s="172" t="str">
        <f t="shared" si="164"/>
        <v/>
      </c>
      <c r="T327" s="257" t="str">
        <f t="shared" si="188"/>
        <v/>
      </c>
      <c r="U327" s="768">
        <f t="shared" si="182"/>
        <v>87.364999999999995</v>
      </c>
      <c r="V327" s="768"/>
      <c r="W327" s="768"/>
      <c r="X327" s="929"/>
      <c r="Y327" s="213">
        <v>246</v>
      </c>
      <c r="Z327" s="1316">
        <v>46</v>
      </c>
      <c r="AA327" s="1298" t="s">
        <v>214</v>
      </c>
      <c r="AB327" s="230">
        <f t="shared" si="156"/>
        <v>4</v>
      </c>
      <c r="AC327" s="1315" t="str">
        <f t="shared" si="157"/>
        <v>+</v>
      </c>
      <c r="AD327" s="1315">
        <f t="shared" si="158"/>
        <v>6.3</v>
      </c>
      <c r="AE327" s="1315"/>
      <c r="AF327" s="1316"/>
      <c r="AG327" s="1298" t="str">
        <f t="shared" si="161"/>
        <v>4+6,3</v>
      </c>
      <c r="AH327" s="1304">
        <f>'Зона ТвЭС'!L410</f>
        <v>2.5124999999999997</v>
      </c>
      <c r="AI327" s="1304">
        <f t="shared" si="192"/>
        <v>6.1818299999999997</v>
      </c>
      <c r="AJ327" s="1304">
        <f t="shared" si="163"/>
        <v>0</v>
      </c>
      <c r="AK327" s="1298">
        <f t="shared" si="159"/>
        <v>0</v>
      </c>
      <c r="AL327" s="1304">
        <f t="shared" si="183"/>
        <v>6.1818299999999997</v>
      </c>
      <c r="AM327" s="893">
        <v>1.4752500000000004</v>
      </c>
      <c r="AN327" s="893">
        <f t="shared" si="191"/>
        <v>4.2</v>
      </c>
      <c r="AO327" s="1304">
        <f t="shared" si="185"/>
        <v>-3.4570799999999999</v>
      </c>
      <c r="AP327" s="1304">
        <f t="shared" si="187"/>
        <v>-3.4570799999999999</v>
      </c>
      <c r="AQ327" s="1339" t="str">
        <f t="shared" si="165"/>
        <v>закрыт</v>
      </c>
      <c r="AR327" s="1298" t="str">
        <f t="shared" si="189"/>
        <v>закрыт</v>
      </c>
      <c r="AS327" s="952">
        <f t="shared" si="186"/>
        <v>147.18642857142856</v>
      </c>
      <c r="AT327" s="954" t="s">
        <v>97</v>
      </c>
      <c r="AU327" s="1113">
        <v>1979</v>
      </c>
      <c r="AV327" s="1119">
        <v>2012</v>
      </c>
      <c r="AW327" s="1121">
        <v>56.970566408483101</v>
      </c>
      <c r="AX327" s="1121">
        <v>35.918041082431003</v>
      </c>
    </row>
    <row r="328" spans="1:50" ht="20.100000000000001" customHeight="1" x14ac:dyDescent="0.25">
      <c r="A328" s="213">
        <v>247</v>
      </c>
      <c r="B328" s="213">
        <v>47</v>
      </c>
      <c r="C328" s="213" t="s">
        <v>215</v>
      </c>
      <c r="D328" s="230">
        <v>6.3</v>
      </c>
      <c r="E328" s="229" t="s">
        <v>785</v>
      </c>
      <c r="F328" s="229">
        <v>6.3</v>
      </c>
      <c r="G328" s="229"/>
      <c r="H328" s="228"/>
      <c r="I328" s="229" t="str">
        <f t="shared" si="155"/>
        <v>6,3+6,3</v>
      </c>
      <c r="J328" s="895">
        <v>4.5350219999999988</v>
      </c>
      <c r="K328" s="902">
        <v>0</v>
      </c>
      <c r="L328" s="124">
        <v>0</v>
      </c>
      <c r="M328" s="172">
        <f t="shared" si="179"/>
        <v>4.5350219999999988</v>
      </c>
      <c r="N328" s="172">
        <v>0.91</v>
      </c>
      <c r="O328" s="893" t="s">
        <v>3077</v>
      </c>
      <c r="P328" s="893">
        <f t="shared" si="190"/>
        <v>6.6150000000000002</v>
      </c>
      <c r="Q328" s="172">
        <f t="shared" si="181"/>
        <v>1.1699780000000013</v>
      </c>
      <c r="R328" s="172">
        <f t="shared" si="176"/>
        <v>1.1699780000000013</v>
      </c>
      <c r="S328" s="172" t="str">
        <f t="shared" si="164"/>
        <v/>
      </c>
      <c r="T328" s="257" t="str">
        <f t="shared" si="188"/>
        <v/>
      </c>
      <c r="U328" s="768">
        <f t="shared" si="182"/>
        <v>68.556643990929686</v>
      </c>
      <c r="V328" s="768">
        <v>0.2</v>
      </c>
      <c r="W328" s="257" t="s">
        <v>3088</v>
      </c>
      <c r="X328" s="929"/>
      <c r="Y328" s="213">
        <v>247</v>
      </c>
      <c r="Z328" s="1316">
        <v>47</v>
      </c>
      <c r="AA328" s="1298" t="s">
        <v>215</v>
      </c>
      <c r="AB328" s="230">
        <f t="shared" si="156"/>
        <v>6.3</v>
      </c>
      <c r="AC328" s="1315" t="str">
        <f t="shared" si="157"/>
        <v>+</v>
      </c>
      <c r="AD328" s="1315">
        <f t="shared" si="158"/>
        <v>6.3</v>
      </c>
      <c r="AE328" s="1315"/>
      <c r="AF328" s="1316"/>
      <c r="AG328" s="1298" t="str">
        <f t="shared" si="161"/>
        <v>6,3+6,3</v>
      </c>
      <c r="AH328" s="1304">
        <f>'Зона ТвЭС'!L421</f>
        <v>0.921875</v>
      </c>
      <c r="AI328" s="1304">
        <f t="shared" si="192"/>
        <v>5.4568969999999988</v>
      </c>
      <c r="AJ328" s="1304">
        <f t="shared" si="163"/>
        <v>0</v>
      </c>
      <c r="AK328" s="1298">
        <f t="shared" si="159"/>
        <v>0</v>
      </c>
      <c r="AL328" s="1304">
        <f t="shared" si="183"/>
        <v>5.4568969999999988</v>
      </c>
      <c r="AM328" s="1298">
        <v>0</v>
      </c>
      <c r="AN328" s="893">
        <f t="shared" si="191"/>
        <v>6.6150000000000002</v>
      </c>
      <c r="AO328" s="1304">
        <f t="shared" si="185"/>
        <v>1.1581030000000014</v>
      </c>
      <c r="AP328" s="1304">
        <f t="shared" si="187"/>
        <v>1.1581030000000014</v>
      </c>
      <c r="AQ328" s="1339" t="str">
        <f>AR328</f>
        <v/>
      </c>
      <c r="AR328" s="1298" t="str">
        <f t="shared" si="189"/>
        <v/>
      </c>
      <c r="AS328" s="952">
        <f t="shared" si="186"/>
        <v>82.492773998488261</v>
      </c>
      <c r="AT328" s="954" t="s">
        <v>97</v>
      </c>
      <c r="AU328" s="1113">
        <v>1958</v>
      </c>
      <c r="AV328" s="1119">
        <v>2012</v>
      </c>
      <c r="AW328" s="1121">
        <v>56.928153133407697</v>
      </c>
      <c r="AX328" s="1121">
        <v>35.464157955222703</v>
      </c>
    </row>
    <row r="329" spans="1:50" ht="20.100000000000001" customHeight="1" x14ac:dyDescent="0.25">
      <c r="A329" s="213">
        <v>248</v>
      </c>
      <c r="B329" s="213">
        <v>48</v>
      </c>
      <c r="C329" s="213" t="s">
        <v>216</v>
      </c>
      <c r="D329" s="230">
        <v>2.5</v>
      </c>
      <c r="E329" s="229" t="s">
        <v>785</v>
      </c>
      <c r="F329" s="229">
        <v>1.8</v>
      </c>
      <c r="G329" s="229"/>
      <c r="H329" s="228"/>
      <c r="I329" s="229" t="str">
        <f t="shared" ref="I329:I392" si="193">CONCATENATE(D329,E329,F329,G329,H329)</f>
        <v>2,5+1,8</v>
      </c>
      <c r="J329" s="895">
        <v>0.82123100000000004</v>
      </c>
      <c r="K329" s="902">
        <v>0</v>
      </c>
      <c r="L329" s="124">
        <v>0</v>
      </c>
      <c r="M329" s="172">
        <f t="shared" si="179"/>
        <v>0.82123100000000004</v>
      </c>
      <c r="N329" s="172">
        <v>0</v>
      </c>
      <c r="O329" s="893"/>
      <c r="P329" s="893">
        <f t="shared" si="190"/>
        <v>1.8900000000000001</v>
      </c>
      <c r="Q329" s="172">
        <f t="shared" si="181"/>
        <v>1.0687690000000001</v>
      </c>
      <c r="R329" s="172">
        <f t="shared" si="176"/>
        <v>1.0687690000000001</v>
      </c>
      <c r="S329" s="172" t="str">
        <f t="shared" si="164"/>
        <v/>
      </c>
      <c r="T329" s="257" t="str">
        <f t="shared" si="188"/>
        <v/>
      </c>
      <c r="U329" s="768">
        <f t="shared" si="182"/>
        <v>43.451375661375664</v>
      </c>
      <c r="V329" s="768"/>
      <c r="W329" s="768"/>
      <c r="X329" s="929"/>
      <c r="Y329" s="213">
        <v>248</v>
      </c>
      <c r="Z329" s="1316">
        <v>48</v>
      </c>
      <c r="AA329" s="1298" t="s">
        <v>216</v>
      </c>
      <c r="AB329" s="230">
        <f t="shared" ref="AB329:AB392" si="194">D329</f>
        <v>2.5</v>
      </c>
      <c r="AC329" s="1315" t="str">
        <f t="shared" ref="AC329:AC384" si="195">E329</f>
        <v>+</v>
      </c>
      <c r="AD329" s="1315">
        <f t="shared" ref="AD329:AD384" si="196">F329</f>
        <v>1.8</v>
      </c>
      <c r="AE329" s="1315"/>
      <c r="AF329" s="1316"/>
      <c r="AG329" s="1298" t="str">
        <f t="shared" si="161"/>
        <v>2,5+1,8</v>
      </c>
      <c r="AH329" s="1304">
        <f>'Зона ТвЭС'!L423</f>
        <v>0</v>
      </c>
      <c r="AI329" s="1304">
        <f t="shared" si="192"/>
        <v>0.82123100000000004</v>
      </c>
      <c r="AJ329" s="1304">
        <f t="shared" si="163"/>
        <v>0</v>
      </c>
      <c r="AK329" s="1298">
        <f t="shared" ref="AK329:AK392" si="197">L329</f>
        <v>0</v>
      </c>
      <c r="AL329" s="1304">
        <f t="shared" si="183"/>
        <v>0.82123100000000004</v>
      </c>
      <c r="AM329" s="1298">
        <v>0</v>
      </c>
      <c r="AN329" s="893">
        <f t="shared" si="191"/>
        <v>1.8900000000000001</v>
      </c>
      <c r="AO329" s="1304">
        <f t="shared" si="185"/>
        <v>1.0687690000000001</v>
      </c>
      <c r="AP329" s="1304">
        <f t="shared" si="187"/>
        <v>1.0687690000000001</v>
      </c>
      <c r="AQ329" s="1339" t="str">
        <f t="shared" si="165"/>
        <v/>
      </c>
      <c r="AR329" s="1298" t="str">
        <f t="shared" si="189"/>
        <v/>
      </c>
      <c r="AS329" s="952">
        <f t="shared" si="186"/>
        <v>43.451375661375664</v>
      </c>
      <c r="AT329" s="954" t="s">
        <v>97</v>
      </c>
      <c r="AU329" s="1113">
        <v>1964</v>
      </c>
      <c r="AV329" s="1119" t="s">
        <v>3286</v>
      </c>
      <c r="AW329" s="1121">
        <v>57.430023748376698</v>
      </c>
      <c r="AX329" s="1121">
        <v>35.6699351592261</v>
      </c>
    </row>
    <row r="330" spans="1:50" ht="20.100000000000001" customHeight="1" x14ac:dyDescent="0.25">
      <c r="A330" s="213">
        <v>249</v>
      </c>
      <c r="B330" s="213">
        <v>49</v>
      </c>
      <c r="C330" s="213" t="s">
        <v>217</v>
      </c>
      <c r="D330" s="230">
        <v>1.8</v>
      </c>
      <c r="E330" s="229" t="s">
        <v>785</v>
      </c>
      <c r="F330" s="229">
        <v>2.5</v>
      </c>
      <c r="G330" s="229"/>
      <c r="H330" s="228"/>
      <c r="I330" s="229" t="str">
        <f t="shared" si="193"/>
        <v>1,8+2,5</v>
      </c>
      <c r="J330" s="895">
        <v>0.43769000000000002</v>
      </c>
      <c r="K330" s="902">
        <v>0</v>
      </c>
      <c r="L330" s="124">
        <v>0</v>
      </c>
      <c r="M330" s="172">
        <f t="shared" si="179"/>
        <v>0.43769000000000002</v>
      </c>
      <c r="N330" s="172">
        <v>0</v>
      </c>
      <c r="O330" s="893"/>
      <c r="P330" s="893">
        <f t="shared" si="190"/>
        <v>1.8900000000000001</v>
      </c>
      <c r="Q330" s="172">
        <f t="shared" si="181"/>
        <v>1.4523100000000002</v>
      </c>
      <c r="R330" s="172">
        <f t="shared" si="176"/>
        <v>1.4523100000000002</v>
      </c>
      <c r="S330" s="172" t="str">
        <f t="shared" si="164"/>
        <v/>
      </c>
      <c r="T330" s="257" t="str">
        <f t="shared" si="188"/>
        <v/>
      </c>
      <c r="U330" s="768">
        <f t="shared" si="182"/>
        <v>23.158201058201058</v>
      </c>
      <c r="V330" s="768"/>
      <c r="W330" s="768"/>
      <c r="X330" s="929"/>
      <c r="Y330" s="213">
        <v>249</v>
      </c>
      <c r="Z330" s="1316">
        <v>49</v>
      </c>
      <c r="AA330" s="1298" t="s">
        <v>217</v>
      </c>
      <c r="AB330" s="230">
        <f t="shared" si="194"/>
        <v>1.8</v>
      </c>
      <c r="AC330" s="1315" t="str">
        <f t="shared" si="195"/>
        <v>+</v>
      </c>
      <c r="AD330" s="1315">
        <f t="shared" si="196"/>
        <v>2.5</v>
      </c>
      <c r="AE330" s="1315"/>
      <c r="AF330" s="1316"/>
      <c r="AG330" s="1298" t="str">
        <f t="shared" si="161"/>
        <v>1,8+2,5</v>
      </c>
      <c r="AH330" s="1304">
        <f>'Зона ТвЭС'!L426</f>
        <v>0.18749999999999997</v>
      </c>
      <c r="AI330" s="1304">
        <f t="shared" si="192"/>
        <v>0.62519000000000002</v>
      </c>
      <c r="AJ330" s="1304">
        <f t="shared" si="163"/>
        <v>0</v>
      </c>
      <c r="AK330" s="1298">
        <f t="shared" si="197"/>
        <v>0</v>
      </c>
      <c r="AL330" s="1304">
        <f t="shared" si="183"/>
        <v>0.62519000000000002</v>
      </c>
      <c r="AM330" s="1298">
        <v>0</v>
      </c>
      <c r="AN330" s="893">
        <f t="shared" si="191"/>
        <v>1.8900000000000001</v>
      </c>
      <c r="AO330" s="1304">
        <f t="shared" si="185"/>
        <v>1.2648100000000002</v>
      </c>
      <c r="AP330" s="1304">
        <f t="shared" si="187"/>
        <v>1.2648100000000002</v>
      </c>
      <c r="AQ330" s="1339" t="str">
        <f t="shared" si="165"/>
        <v/>
      </c>
      <c r="AR330" s="1298" t="str">
        <f t="shared" si="189"/>
        <v/>
      </c>
      <c r="AS330" s="952">
        <f t="shared" si="186"/>
        <v>33.078835978835983</v>
      </c>
      <c r="AT330" s="954" t="s">
        <v>97</v>
      </c>
      <c r="AU330" s="1113">
        <v>1984</v>
      </c>
      <c r="AV330" s="1119" t="s">
        <v>3286</v>
      </c>
      <c r="AW330" s="1121">
        <v>57.025748742397603</v>
      </c>
      <c r="AX330" s="1121">
        <v>35.412136241075999</v>
      </c>
    </row>
    <row r="331" spans="1:50" ht="20.100000000000001" customHeight="1" x14ac:dyDescent="0.25">
      <c r="A331" s="213">
        <v>250</v>
      </c>
      <c r="B331" s="213">
        <v>50</v>
      </c>
      <c r="C331" s="213" t="s">
        <v>218</v>
      </c>
      <c r="D331" s="230">
        <v>5.6</v>
      </c>
      <c r="E331" s="229" t="s">
        <v>785</v>
      </c>
      <c r="F331" s="229">
        <v>4</v>
      </c>
      <c r="G331" s="229"/>
      <c r="H331" s="228"/>
      <c r="I331" s="229" t="str">
        <f t="shared" si="193"/>
        <v>5,6+4</v>
      </c>
      <c r="J331" s="895">
        <v>2.6811539999999998</v>
      </c>
      <c r="K331" s="902">
        <v>0</v>
      </c>
      <c r="L331" s="124">
        <v>0</v>
      </c>
      <c r="M331" s="172">
        <f t="shared" si="179"/>
        <v>2.6811539999999998</v>
      </c>
      <c r="N331" s="172">
        <v>0</v>
      </c>
      <c r="O331" s="893"/>
      <c r="P331" s="893">
        <f t="shared" si="190"/>
        <v>4.2</v>
      </c>
      <c r="Q331" s="172">
        <f t="shared" si="181"/>
        <v>1.5188460000000004</v>
      </c>
      <c r="R331" s="172">
        <f t="shared" si="176"/>
        <v>1.5188460000000004</v>
      </c>
      <c r="S331" s="172" t="str">
        <f t="shared" ref="S331:S394" si="198">T331</f>
        <v/>
      </c>
      <c r="T331" s="257" t="str">
        <f t="shared" si="188"/>
        <v/>
      </c>
      <c r="U331" s="768">
        <f t="shared" si="182"/>
        <v>63.836999999999989</v>
      </c>
      <c r="V331" s="768">
        <v>0.35</v>
      </c>
      <c r="W331" s="257" t="s">
        <v>3088</v>
      </c>
      <c r="X331" s="929"/>
      <c r="Y331" s="213">
        <v>250</v>
      </c>
      <c r="Z331" s="1316">
        <v>50</v>
      </c>
      <c r="AA331" s="1298" t="s">
        <v>218</v>
      </c>
      <c r="AB331" s="230">
        <f t="shared" si="194"/>
        <v>5.6</v>
      </c>
      <c r="AC331" s="1315" t="str">
        <f t="shared" si="195"/>
        <v>+</v>
      </c>
      <c r="AD331" s="1315">
        <f t="shared" si="196"/>
        <v>4</v>
      </c>
      <c r="AE331" s="1315"/>
      <c r="AF331" s="1316"/>
      <c r="AG331" s="1298" t="str">
        <f t="shared" ref="AG331:AG394" si="199">CONCATENATE(AB331,AC331,AD331,AE331,AF331)</f>
        <v>5,6+4</v>
      </c>
      <c r="AH331" s="1304">
        <f>'Зона ТвЭС'!L431</f>
        <v>0.18749999999999997</v>
      </c>
      <c r="AI331" s="1304">
        <f t="shared" si="192"/>
        <v>2.8686539999999998</v>
      </c>
      <c r="AJ331" s="1304">
        <f t="shared" si="163"/>
        <v>0</v>
      </c>
      <c r="AK331" s="1298">
        <f t="shared" si="197"/>
        <v>0</v>
      </c>
      <c r="AL331" s="1304">
        <f t="shared" si="183"/>
        <v>2.8686539999999998</v>
      </c>
      <c r="AM331" s="1298">
        <v>0</v>
      </c>
      <c r="AN331" s="893">
        <f t="shared" si="191"/>
        <v>4.2</v>
      </c>
      <c r="AO331" s="1304">
        <f t="shared" si="185"/>
        <v>1.3313460000000004</v>
      </c>
      <c r="AP331" s="1304">
        <f t="shared" si="187"/>
        <v>1.3313460000000004</v>
      </c>
      <c r="AQ331" s="1339" t="str">
        <f t="shared" ref="AQ331:AQ394" si="200">AR331</f>
        <v/>
      </c>
      <c r="AR331" s="1298" t="str">
        <f t="shared" si="189"/>
        <v/>
      </c>
      <c r="AS331" s="952">
        <f t="shared" si="186"/>
        <v>68.301285714285697</v>
      </c>
      <c r="AT331" s="954" t="s">
        <v>97</v>
      </c>
      <c r="AU331" s="1113">
        <v>1974</v>
      </c>
      <c r="AV331" s="1119" t="s">
        <v>3286</v>
      </c>
      <c r="AW331" s="1121">
        <v>56.644682001823099</v>
      </c>
      <c r="AX331" s="1121">
        <v>36.226998063349001</v>
      </c>
    </row>
    <row r="332" spans="1:50" ht="20.100000000000001" customHeight="1" x14ac:dyDescent="0.25">
      <c r="A332" s="213">
        <v>251</v>
      </c>
      <c r="B332" s="213">
        <v>51</v>
      </c>
      <c r="C332" s="213" t="s">
        <v>219</v>
      </c>
      <c r="D332" s="230">
        <v>5.6</v>
      </c>
      <c r="E332" s="229" t="s">
        <v>785</v>
      </c>
      <c r="F332" s="229">
        <v>6.3</v>
      </c>
      <c r="G332" s="229"/>
      <c r="H332" s="228"/>
      <c r="I332" s="229" t="str">
        <f t="shared" si="193"/>
        <v>5,6+6,3</v>
      </c>
      <c r="J332" s="895">
        <v>5.6418759999999999</v>
      </c>
      <c r="K332" s="902">
        <v>0</v>
      </c>
      <c r="L332" s="124">
        <v>0</v>
      </c>
      <c r="M332" s="172">
        <f t="shared" ref="M332:M348" si="201">J332-K332</f>
        <v>5.6418759999999999</v>
      </c>
      <c r="N332" s="172">
        <v>0</v>
      </c>
      <c r="O332" s="893"/>
      <c r="P332" s="893">
        <f t="shared" si="190"/>
        <v>5.88</v>
      </c>
      <c r="Q332" s="172">
        <f t="shared" ref="Q332:Q348" si="202">P332-M332-N332</f>
        <v>0.238124</v>
      </c>
      <c r="R332" s="172">
        <f t="shared" si="176"/>
        <v>0.238124</v>
      </c>
      <c r="S332" s="172" t="str">
        <f t="shared" si="198"/>
        <v/>
      </c>
      <c r="T332" s="257" t="str">
        <f t="shared" si="188"/>
        <v/>
      </c>
      <c r="U332" s="768">
        <f t="shared" ref="U332:U348" si="203">(J332*100)/P332</f>
        <v>95.950272108843535</v>
      </c>
      <c r="V332" s="768">
        <v>0.59</v>
      </c>
      <c r="W332" s="257" t="s">
        <v>3088</v>
      </c>
      <c r="X332" s="929"/>
      <c r="Y332" s="213">
        <v>251</v>
      </c>
      <c r="Z332" s="1316">
        <v>51</v>
      </c>
      <c r="AA332" s="1298" t="s">
        <v>219</v>
      </c>
      <c r="AB332" s="230">
        <f t="shared" si="194"/>
        <v>5.6</v>
      </c>
      <c r="AC332" s="1315" t="str">
        <f t="shared" si="195"/>
        <v>+</v>
      </c>
      <c r="AD332" s="1315">
        <f t="shared" si="196"/>
        <v>6.3</v>
      </c>
      <c r="AE332" s="1315"/>
      <c r="AF332" s="1316"/>
      <c r="AG332" s="1298" t="str">
        <f t="shared" si="199"/>
        <v>5,6+6,3</v>
      </c>
      <c r="AH332" s="1304">
        <f>'Зона ТвЭС'!L470</f>
        <v>0.69925000000000015</v>
      </c>
      <c r="AI332" s="1304">
        <f t="shared" si="192"/>
        <v>6.341126</v>
      </c>
      <c r="AJ332" s="1304">
        <f t="shared" ref="AJ332:AJ395" si="204">K332</f>
        <v>0</v>
      </c>
      <c r="AK332" s="1298">
        <f t="shared" si="197"/>
        <v>0</v>
      </c>
      <c r="AL332" s="1304">
        <f t="shared" ref="AL332:AL348" si="205">AI332-AJ332</f>
        <v>6.341126</v>
      </c>
      <c r="AM332" s="1298">
        <v>0</v>
      </c>
      <c r="AN332" s="893">
        <f t="shared" si="191"/>
        <v>5.88</v>
      </c>
      <c r="AO332" s="1304">
        <f t="shared" ref="AO332:AO348" si="206">AN332-AL332-AM332</f>
        <v>-0.46112600000000015</v>
      </c>
      <c r="AP332" s="1304">
        <f t="shared" si="187"/>
        <v>-0.46112600000000015</v>
      </c>
      <c r="AQ332" s="1339" t="str">
        <f t="shared" si="200"/>
        <v>закрыт</v>
      </c>
      <c r="AR332" s="1298" t="str">
        <f t="shared" si="189"/>
        <v>закрыт</v>
      </c>
      <c r="AS332" s="952">
        <f t="shared" ref="AS332:AS348" si="207">(AI332*100)/AN332</f>
        <v>107.84227891156463</v>
      </c>
      <c r="AT332" s="954" t="s">
        <v>97</v>
      </c>
      <c r="AU332" s="1113">
        <v>1953</v>
      </c>
      <c r="AV332" s="214">
        <v>2010</v>
      </c>
      <c r="AW332" s="1121">
        <v>56.565187868836702</v>
      </c>
      <c r="AX332" s="1121">
        <v>36.444220991006297</v>
      </c>
    </row>
    <row r="333" spans="1:50" ht="20.100000000000001" customHeight="1" x14ac:dyDescent="0.25">
      <c r="A333" s="213">
        <v>252</v>
      </c>
      <c r="B333" s="213">
        <v>52</v>
      </c>
      <c r="C333" s="213" t="s">
        <v>220</v>
      </c>
      <c r="D333" s="230">
        <v>4</v>
      </c>
      <c r="E333" s="229" t="s">
        <v>785</v>
      </c>
      <c r="F333" s="229">
        <v>6.3</v>
      </c>
      <c r="G333" s="229"/>
      <c r="H333" s="228"/>
      <c r="I333" s="229" t="str">
        <f t="shared" si="193"/>
        <v>4+6,3</v>
      </c>
      <c r="J333" s="895">
        <v>3.9914560000000008</v>
      </c>
      <c r="K333" s="902">
        <v>0</v>
      </c>
      <c r="L333" s="124">
        <v>0</v>
      </c>
      <c r="M333" s="172">
        <f t="shared" si="201"/>
        <v>3.9914560000000008</v>
      </c>
      <c r="N333" s="172">
        <v>0</v>
      </c>
      <c r="O333" s="893"/>
      <c r="P333" s="893">
        <f t="shared" si="190"/>
        <v>4.2</v>
      </c>
      <c r="Q333" s="172">
        <f t="shared" si="202"/>
        <v>0.2085439999999994</v>
      </c>
      <c r="R333" s="172">
        <f t="shared" si="176"/>
        <v>0.2085439999999994</v>
      </c>
      <c r="S333" s="172" t="str">
        <f t="shared" si="198"/>
        <v/>
      </c>
      <c r="T333" s="257" t="str">
        <f t="shared" si="188"/>
        <v/>
      </c>
      <c r="U333" s="768">
        <f t="shared" si="203"/>
        <v>95.034666666666681</v>
      </c>
      <c r="V333" s="768">
        <v>0.25</v>
      </c>
      <c r="W333" s="257" t="s">
        <v>3088</v>
      </c>
      <c r="X333" s="929"/>
      <c r="Y333" s="213">
        <v>252</v>
      </c>
      <c r="Z333" s="1316">
        <v>52</v>
      </c>
      <c r="AA333" s="1298" t="s">
        <v>220</v>
      </c>
      <c r="AB333" s="230">
        <f t="shared" si="194"/>
        <v>4</v>
      </c>
      <c r="AC333" s="1315" t="str">
        <f t="shared" si="195"/>
        <v>+</v>
      </c>
      <c r="AD333" s="1315">
        <f t="shared" si="196"/>
        <v>6.3</v>
      </c>
      <c r="AE333" s="1315"/>
      <c r="AF333" s="1316"/>
      <c r="AG333" s="1298" t="str">
        <f t="shared" si="199"/>
        <v>4+6,3</v>
      </c>
      <c r="AH333" s="1304">
        <f>'Зона ТвЭС'!L455</f>
        <v>2.8749999999999998E-2</v>
      </c>
      <c r="AI333" s="1304">
        <f t="shared" si="192"/>
        <v>4.0202060000000008</v>
      </c>
      <c r="AJ333" s="1304">
        <f t="shared" si="204"/>
        <v>0</v>
      </c>
      <c r="AK333" s="1298">
        <f t="shared" si="197"/>
        <v>0</v>
      </c>
      <c r="AL333" s="1304">
        <f t="shared" si="205"/>
        <v>4.0202060000000008</v>
      </c>
      <c r="AM333" s="1298">
        <v>0</v>
      </c>
      <c r="AN333" s="893">
        <f t="shared" si="191"/>
        <v>4.2</v>
      </c>
      <c r="AO333" s="1304">
        <f t="shared" si="206"/>
        <v>0.17979399999999934</v>
      </c>
      <c r="AP333" s="1304">
        <f t="shared" si="187"/>
        <v>0.17979399999999934</v>
      </c>
      <c r="AQ333" s="1339" t="str">
        <f t="shared" si="200"/>
        <v/>
      </c>
      <c r="AR333" s="1298" t="str">
        <f t="shared" si="189"/>
        <v/>
      </c>
      <c r="AS333" s="952">
        <f t="shared" si="207"/>
        <v>95.719190476190491</v>
      </c>
      <c r="AT333" s="954" t="s">
        <v>97</v>
      </c>
      <c r="AU333" s="1113">
        <v>1953</v>
      </c>
      <c r="AV333" s="1119" t="s">
        <v>3286</v>
      </c>
      <c r="AW333" s="1121">
        <v>56.565187868836702</v>
      </c>
      <c r="AX333" s="1121">
        <v>36.444220991006297</v>
      </c>
    </row>
    <row r="334" spans="1:50" ht="20.100000000000001" customHeight="1" x14ac:dyDescent="0.25">
      <c r="A334" s="213">
        <v>253</v>
      </c>
      <c r="B334" s="213">
        <v>53</v>
      </c>
      <c r="C334" s="213" t="s">
        <v>221</v>
      </c>
      <c r="D334" s="230">
        <v>1.8</v>
      </c>
      <c r="E334" s="229" t="s">
        <v>785</v>
      </c>
      <c r="F334" s="229">
        <v>1.8</v>
      </c>
      <c r="G334" s="229"/>
      <c r="H334" s="228"/>
      <c r="I334" s="229" t="str">
        <f t="shared" si="193"/>
        <v>1,8+1,8</v>
      </c>
      <c r="J334" s="895">
        <v>1.4526463999999999</v>
      </c>
      <c r="K334" s="902">
        <v>0</v>
      </c>
      <c r="L334" s="124">
        <v>0</v>
      </c>
      <c r="M334" s="172">
        <f t="shared" si="201"/>
        <v>1.4526463999999999</v>
      </c>
      <c r="N334" s="172">
        <v>0</v>
      </c>
      <c r="O334" s="893"/>
      <c r="P334" s="893">
        <f t="shared" si="190"/>
        <v>1.8900000000000001</v>
      </c>
      <c r="Q334" s="172">
        <f t="shared" si="202"/>
        <v>0.43735360000000023</v>
      </c>
      <c r="R334" s="172">
        <f t="shared" si="176"/>
        <v>0.43735360000000023</v>
      </c>
      <c r="S334" s="172" t="str">
        <f t="shared" si="198"/>
        <v/>
      </c>
      <c r="T334" s="257" t="str">
        <f t="shared" si="188"/>
        <v/>
      </c>
      <c r="U334" s="768">
        <f t="shared" si="203"/>
        <v>76.859597883597871</v>
      </c>
      <c r="V334" s="768">
        <v>0.3</v>
      </c>
      <c r="W334" s="257" t="s">
        <v>3088</v>
      </c>
      <c r="X334" s="929"/>
      <c r="Y334" s="213">
        <v>253</v>
      </c>
      <c r="Z334" s="1316">
        <v>53</v>
      </c>
      <c r="AA334" s="1298" t="s">
        <v>221</v>
      </c>
      <c r="AB334" s="230">
        <f t="shared" si="194"/>
        <v>1.8</v>
      </c>
      <c r="AC334" s="1315" t="str">
        <f t="shared" si="195"/>
        <v>+</v>
      </c>
      <c r="AD334" s="1315">
        <f t="shared" si="196"/>
        <v>1.8</v>
      </c>
      <c r="AE334" s="1315"/>
      <c r="AF334" s="1316"/>
      <c r="AG334" s="1298" t="str">
        <f t="shared" si="199"/>
        <v>1,8+1,8</v>
      </c>
      <c r="AH334" s="1304">
        <f>'Зона ТвЭС'!L470</f>
        <v>0.69925000000000015</v>
      </c>
      <c r="AI334" s="1304">
        <f t="shared" si="192"/>
        <v>2.1518964</v>
      </c>
      <c r="AJ334" s="1304">
        <f t="shared" si="204"/>
        <v>0</v>
      </c>
      <c r="AK334" s="1298">
        <f t="shared" si="197"/>
        <v>0</v>
      </c>
      <c r="AL334" s="1304">
        <f t="shared" si="205"/>
        <v>2.1518964</v>
      </c>
      <c r="AM334" s="1298">
        <v>0</v>
      </c>
      <c r="AN334" s="893">
        <f t="shared" si="191"/>
        <v>1.8900000000000001</v>
      </c>
      <c r="AO334" s="1304">
        <f t="shared" si="206"/>
        <v>-0.26189639999999992</v>
      </c>
      <c r="AP334" s="1304">
        <f t="shared" si="187"/>
        <v>-0.26189639999999992</v>
      </c>
      <c r="AQ334" s="1339" t="str">
        <f t="shared" si="200"/>
        <v>закрыт</v>
      </c>
      <c r="AR334" s="1298" t="str">
        <f t="shared" si="189"/>
        <v>закрыт</v>
      </c>
      <c r="AS334" s="952">
        <f t="shared" si="207"/>
        <v>113.85695238095238</v>
      </c>
      <c r="AT334" s="954" t="s">
        <v>97</v>
      </c>
      <c r="AU334" s="1113">
        <v>1946</v>
      </c>
      <c r="AV334" s="1119" t="s">
        <v>3286</v>
      </c>
      <c r="AW334" s="1121">
        <v>56.667470282490001</v>
      </c>
      <c r="AX334" s="1121">
        <v>36.360492447413797</v>
      </c>
    </row>
    <row r="335" spans="1:50" ht="20.100000000000001" customHeight="1" x14ac:dyDescent="0.25">
      <c r="A335" s="213">
        <v>254</v>
      </c>
      <c r="B335" s="213">
        <v>54</v>
      </c>
      <c r="C335" s="213" t="s">
        <v>222</v>
      </c>
      <c r="D335" s="230">
        <v>10</v>
      </c>
      <c r="E335" s="229" t="s">
        <v>785</v>
      </c>
      <c r="F335" s="229">
        <v>6.3</v>
      </c>
      <c r="G335" s="229"/>
      <c r="H335" s="228"/>
      <c r="I335" s="229" t="str">
        <f t="shared" si="193"/>
        <v>10+6,3</v>
      </c>
      <c r="J335" s="895">
        <v>5.8010359999999999</v>
      </c>
      <c r="K335" s="902">
        <v>0</v>
      </c>
      <c r="L335" s="124">
        <v>0</v>
      </c>
      <c r="M335" s="172">
        <f t="shared" si="201"/>
        <v>5.8010359999999999</v>
      </c>
      <c r="N335" s="172">
        <v>0</v>
      </c>
      <c r="O335" s="893"/>
      <c r="P335" s="893">
        <f t="shared" si="190"/>
        <v>6.6150000000000002</v>
      </c>
      <c r="Q335" s="172">
        <f t="shared" si="202"/>
        <v>0.81396400000000035</v>
      </c>
      <c r="R335" s="172">
        <f t="shared" si="176"/>
        <v>0.81396400000000035</v>
      </c>
      <c r="S335" s="172" t="str">
        <f t="shared" si="198"/>
        <v/>
      </c>
      <c r="T335" s="257" t="str">
        <f t="shared" si="188"/>
        <v/>
      </c>
      <c r="U335" s="768">
        <f t="shared" si="203"/>
        <v>87.695177626606196</v>
      </c>
      <c r="V335" s="768">
        <v>0.3</v>
      </c>
      <c r="W335" s="257" t="s">
        <v>3088</v>
      </c>
      <c r="X335" s="929"/>
      <c r="Y335" s="213">
        <v>254</v>
      </c>
      <c r="Z335" s="1316">
        <v>54</v>
      </c>
      <c r="AA335" s="1298" t="s">
        <v>222</v>
      </c>
      <c r="AB335" s="230">
        <f t="shared" si="194"/>
        <v>10</v>
      </c>
      <c r="AC335" s="1315" t="str">
        <f t="shared" si="195"/>
        <v>+</v>
      </c>
      <c r="AD335" s="1315">
        <f t="shared" si="196"/>
        <v>6.3</v>
      </c>
      <c r="AE335" s="1315"/>
      <c r="AF335" s="1316"/>
      <c r="AG335" s="1298" t="str">
        <f t="shared" si="199"/>
        <v>10+6,3</v>
      </c>
      <c r="AH335" s="1304">
        <f>'Зона ТвЭС'!L478</f>
        <v>0.54625000000000012</v>
      </c>
      <c r="AI335" s="1304">
        <f t="shared" si="192"/>
        <v>6.3472860000000004</v>
      </c>
      <c r="AJ335" s="1304">
        <f t="shared" si="204"/>
        <v>0</v>
      </c>
      <c r="AK335" s="1298">
        <f t="shared" si="197"/>
        <v>0</v>
      </c>
      <c r="AL335" s="1304">
        <f t="shared" si="205"/>
        <v>6.3472860000000004</v>
      </c>
      <c r="AM335" s="1298">
        <v>0</v>
      </c>
      <c r="AN335" s="893">
        <f t="shared" si="191"/>
        <v>6.6150000000000002</v>
      </c>
      <c r="AO335" s="1304">
        <f t="shared" si="206"/>
        <v>0.26771399999999979</v>
      </c>
      <c r="AP335" s="1304">
        <f t="shared" si="187"/>
        <v>0.26771399999999979</v>
      </c>
      <c r="AQ335" s="1339" t="str">
        <f t="shared" si="200"/>
        <v/>
      </c>
      <c r="AR335" s="1298" t="str">
        <f t="shared" si="189"/>
        <v/>
      </c>
      <c r="AS335" s="952">
        <f t="shared" si="207"/>
        <v>95.952925170068028</v>
      </c>
      <c r="AT335" s="954" t="s">
        <v>97</v>
      </c>
      <c r="AU335" s="1113">
        <v>1966</v>
      </c>
      <c r="AV335" s="1119" t="s">
        <v>3286</v>
      </c>
      <c r="AW335" s="1121">
        <v>56.518573430220897</v>
      </c>
      <c r="AX335" s="1121">
        <v>36.284964491609898</v>
      </c>
    </row>
    <row r="336" spans="1:50" ht="20.100000000000001" customHeight="1" x14ac:dyDescent="0.25">
      <c r="A336" s="213">
        <v>255</v>
      </c>
      <c r="B336" s="213">
        <v>55</v>
      </c>
      <c r="C336" s="213" t="s">
        <v>223</v>
      </c>
      <c r="D336" s="230">
        <v>10</v>
      </c>
      <c r="E336" s="229" t="s">
        <v>785</v>
      </c>
      <c r="F336" s="229">
        <v>10</v>
      </c>
      <c r="G336" s="229"/>
      <c r="H336" s="228"/>
      <c r="I336" s="229" t="str">
        <f t="shared" si="193"/>
        <v>10+10</v>
      </c>
      <c r="J336" s="895">
        <v>7.2867600000000001</v>
      </c>
      <c r="K336" s="902">
        <v>0</v>
      </c>
      <c r="L336" s="124">
        <v>0</v>
      </c>
      <c r="M336" s="172">
        <f t="shared" si="201"/>
        <v>7.2867600000000001</v>
      </c>
      <c r="N336" s="172">
        <v>0</v>
      </c>
      <c r="O336" s="893"/>
      <c r="P336" s="893">
        <f t="shared" si="190"/>
        <v>10.5</v>
      </c>
      <c r="Q336" s="172">
        <f t="shared" si="202"/>
        <v>3.2132399999999999</v>
      </c>
      <c r="R336" s="172">
        <f t="shared" si="176"/>
        <v>3.2132399999999999</v>
      </c>
      <c r="S336" s="172" t="str">
        <f t="shared" si="198"/>
        <v/>
      </c>
      <c r="T336" s="257" t="str">
        <f t="shared" si="188"/>
        <v/>
      </c>
      <c r="U336" s="768">
        <f t="shared" si="203"/>
        <v>69.397714285714287</v>
      </c>
      <c r="V336" s="768">
        <v>0.4</v>
      </c>
      <c r="W336" s="257" t="s">
        <v>3088</v>
      </c>
      <c r="X336" s="929"/>
      <c r="Y336" s="213">
        <v>255</v>
      </c>
      <c r="Z336" s="1316">
        <v>55</v>
      </c>
      <c r="AA336" s="1298" t="s">
        <v>223</v>
      </c>
      <c r="AB336" s="230">
        <f t="shared" si="194"/>
        <v>10</v>
      </c>
      <c r="AC336" s="1315" t="str">
        <f t="shared" si="195"/>
        <v>+</v>
      </c>
      <c r="AD336" s="1315">
        <f t="shared" si="196"/>
        <v>10</v>
      </c>
      <c r="AE336" s="1315"/>
      <c r="AF336" s="1316"/>
      <c r="AG336" s="1298" t="str">
        <f t="shared" si="199"/>
        <v>10+10</v>
      </c>
      <c r="AH336" s="1304">
        <f>'Зона ТвЭС'!L497</f>
        <v>4.1924999999999999</v>
      </c>
      <c r="AI336" s="1304">
        <f t="shared" si="192"/>
        <v>11.47926</v>
      </c>
      <c r="AJ336" s="1304">
        <f t="shared" si="204"/>
        <v>0</v>
      </c>
      <c r="AK336" s="1298">
        <f t="shared" si="197"/>
        <v>0</v>
      </c>
      <c r="AL336" s="1304">
        <f t="shared" si="205"/>
        <v>11.47926</v>
      </c>
      <c r="AM336" s="1298">
        <v>0</v>
      </c>
      <c r="AN336" s="893">
        <f t="shared" si="191"/>
        <v>10.5</v>
      </c>
      <c r="AO336" s="1304">
        <f t="shared" si="206"/>
        <v>-0.97926000000000002</v>
      </c>
      <c r="AP336" s="1304">
        <f t="shared" si="187"/>
        <v>-0.97926000000000002</v>
      </c>
      <c r="AQ336" s="1339" t="str">
        <f t="shared" si="200"/>
        <v>закрыт</v>
      </c>
      <c r="AR336" s="1298" t="str">
        <f t="shared" si="189"/>
        <v>закрыт</v>
      </c>
      <c r="AS336" s="952">
        <f t="shared" si="207"/>
        <v>109.3262857142857</v>
      </c>
      <c r="AT336" s="954" t="s">
        <v>97</v>
      </c>
      <c r="AU336" s="1113">
        <v>1963</v>
      </c>
      <c r="AV336" s="214">
        <v>2011</v>
      </c>
      <c r="AW336" s="1121">
        <v>56.668822529493497</v>
      </c>
      <c r="AX336" s="1121">
        <v>36.970460711525803</v>
      </c>
    </row>
    <row r="337" spans="1:50" ht="20.100000000000001" customHeight="1" x14ac:dyDescent="0.25">
      <c r="A337" s="213">
        <v>256</v>
      </c>
      <c r="B337" s="213">
        <v>56</v>
      </c>
      <c r="C337" s="213" t="s">
        <v>224</v>
      </c>
      <c r="D337" s="230">
        <v>10</v>
      </c>
      <c r="E337" s="229" t="s">
        <v>785</v>
      </c>
      <c r="F337" s="229">
        <v>16</v>
      </c>
      <c r="G337" s="229"/>
      <c r="H337" s="228"/>
      <c r="I337" s="229" t="str">
        <f t="shared" si="193"/>
        <v>10+16</v>
      </c>
      <c r="J337" s="895">
        <v>4.7384700000000004</v>
      </c>
      <c r="K337" s="902">
        <v>0</v>
      </c>
      <c r="L337" s="124">
        <v>0</v>
      </c>
      <c r="M337" s="172">
        <f t="shared" si="201"/>
        <v>4.7384700000000004</v>
      </c>
      <c r="N337" s="172">
        <v>0</v>
      </c>
      <c r="O337" s="893"/>
      <c r="P337" s="893">
        <f t="shared" si="190"/>
        <v>10.5</v>
      </c>
      <c r="Q337" s="172">
        <f t="shared" si="202"/>
        <v>5.7615299999999996</v>
      </c>
      <c r="R337" s="172">
        <f t="shared" si="176"/>
        <v>5.7615299999999996</v>
      </c>
      <c r="S337" s="172" t="str">
        <f t="shared" si="198"/>
        <v/>
      </c>
      <c r="T337" s="257" t="str">
        <f t="shared" si="188"/>
        <v/>
      </c>
      <c r="U337" s="768">
        <f t="shared" si="203"/>
        <v>45.128285714285717</v>
      </c>
      <c r="V337" s="768">
        <v>0.47</v>
      </c>
      <c r="W337" s="257" t="s">
        <v>3088</v>
      </c>
      <c r="X337" s="929"/>
      <c r="Y337" s="213">
        <v>256</v>
      </c>
      <c r="Z337" s="1316">
        <v>56</v>
      </c>
      <c r="AA337" s="1298" t="s">
        <v>224</v>
      </c>
      <c r="AB337" s="230">
        <f t="shared" si="194"/>
        <v>10</v>
      </c>
      <c r="AC337" s="1315" t="str">
        <f t="shared" si="195"/>
        <v>+</v>
      </c>
      <c r="AD337" s="1315">
        <f t="shared" si="196"/>
        <v>16</v>
      </c>
      <c r="AE337" s="1315"/>
      <c r="AF337" s="1316"/>
      <c r="AG337" s="1298" t="str">
        <f t="shared" si="199"/>
        <v>10+16</v>
      </c>
      <c r="AH337" s="1304">
        <f>'Зона ТвЭС'!L506</f>
        <v>0.86962499999999998</v>
      </c>
      <c r="AI337" s="1304">
        <f t="shared" si="192"/>
        <v>5.6080950000000005</v>
      </c>
      <c r="AJ337" s="1304">
        <f t="shared" si="204"/>
        <v>0</v>
      </c>
      <c r="AK337" s="1298">
        <f t="shared" si="197"/>
        <v>0</v>
      </c>
      <c r="AL337" s="1304">
        <f t="shared" si="205"/>
        <v>5.6080950000000005</v>
      </c>
      <c r="AM337" s="1298">
        <v>0</v>
      </c>
      <c r="AN337" s="893">
        <f t="shared" si="191"/>
        <v>10.5</v>
      </c>
      <c r="AO337" s="1304">
        <f t="shared" si="206"/>
        <v>4.8919049999999995</v>
      </c>
      <c r="AP337" s="1304">
        <f t="shared" si="187"/>
        <v>4.8919049999999995</v>
      </c>
      <c r="AQ337" s="1339" t="str">
        <f t="shared" si="200"/>
        <v/>
      </c>
      <c r="AR337" s="1298" t="str">
        <f t="shared" si="189"/>
        <v/>
      </c>
      <c r="AS337" s="952">
        <f t="shared" si="207"/>
        <v>53.410428571428575</v>
      </c>
      <c r="AT337" s="954" t="s">
        <v>97</v>
      </c>
      <c r="AU337" s="1113">
        <v>1971</v>
      </c>
      <c r="AV337" s="1119" t="s">
        <v>3286</v>
      </c>
      <c r="AW337" s="1121">
        <v>56.7116155893235</v>
      </c>
      <c r="AX337" s="1121">
        <v>36.792128917853603</v>
      </c>
    </row>
    <row r="338" spans="1:50" ht="20.100000000000001" customHeight="1" x14ac:dyDescent="0.25">
      <c r="A338" s="213">
        <v>257</v>
      </c>
      <c r="B338" s="213">
        <v>57</v>
      </c>
      <c r="C338" s="213" t="s">
        <v>225</v>
      </c>
      <c r="D338" s="230">
        <v>6.3</v>
      </c>
      <c r="E338" s="229" t="s">
        <v>785</v>
      </c>
      <c r="F338" s="229">
        <v>6.3</v>
      </c>
      <c r="G338" s="229"/>
      <c r="H338" s="228"/>
      <c r="I338" s="229" t="str">
        <f t="shared" si="193"/>
        <v>6,3+6,3</v>
      </c>
      <c r="J338" s="895">
        <v>1.018105</v>
      </c>
      <c r="K338" s="902">
        <v>0</v>
      </c>
      <c r="L338" s="124">
        <v>0</v>
      </c>
      <c r="M338" s="172">
        <f t="shared" si="201"/>
        <v>1.018105</v>
      </c>
      <c r="N338" s="172">
        <v>0</v>
      </c>
      <c r="O338" s="893"/>
      <c r="P338" s="893">
        <f t="shared" si="190"/>
        <v>6.6150000000000002</v>
      </c>
      <c r="Q338" s="172">
        <f t="shared" si="202"/>
        <v>5.596895</v>
      </c>
      <c r="R338" s="172">
        <f t="shared" si="176"/>
        <v>5.596895</v>
      </c>
      <c r="S338" s="172" t="str">
        <f t="shared" si="198"/>
        <v/>
      </c>
      <c r="T338" s="257" t="str">
        <f t="shared" si="188"/>
        <v/>
      </c>
      <c r="U338" s="768">
        <f t="shared" si="203"/>
        <v>15.390854119425548</v>
      </c>
      <c r="V338" s="768"/>
      <c r="W338" s="768"/>
      <c r="X338" s="929"/>
      <c r="Y338" s="213">
        <v>257</v>
      </c>
      <c r="Z338" s="1316">
        <v>57</v>
      </c>
      <c r="AA338" s="1298" t="s">
        <v>225</v>
      </c>
      <c r="AB338" s="230">
        <f t="shared" si="194"/>
        <v>6.3</v>
      </c>
      <c r="AC338" s="1315" t="str">
        <f t="shared" si="195"/>
        <v>+</v>
      </c>
      <c r="AD338" s="1315">
        <f t="shared" si="196"/>
        <v>6.3</v>
      </c>
      <c r="AE338" s="1315"/>
      <c r="AF338" s="1316"/>
      <c r="AG338" s="1298" t="str">
        <f t="shared" si="199"/>
        <v>6,3+6,3</v>
      </c>
      <c r="AH338" s="1304">
        <f>'Зона ТвЭС'!L509</f>
        <v>0</v>
      </c>
      <c r="AI338" s="1304">
        <f t="shared" si="192"/>
        <v>1.018105</v>
      </c>
      <c r="AJ338" s="1304">
        <f t="shared" si="204"/>
        <v>0</v>
      </c>
      <c r="AK338" s="1298">
        <f t="shared" si="197"/>
        <v>0</v>
      </c>
      <c r="AL338" s="1304">
        <f t="shared" si="205"/>
        <v>1.018105</v>
      </c>
      <c r="AM338" s="1298">
        <v>0</v>
      </c>
      <c r="AN338" s="893">
        <f t="shared" si="191"/>
        <v>6.6150000000000002</v>
      </c>
      <c r="AO338" s="1304">
        <f t="shared" si="206"/>
        <v>5.596895</v>
      </c>
      <c r="AP338" s="1304">
        <f t="shared" si="187"/>
        <v>5.596895</v>
      </c>
      <c r="AQ338" s="1339" t="str">
        <f t="shared" si="200"/>
        <v/>
      </c>
      <c r="AR338" s="1298" t="str">
        <f t="shared" si="189"/>
        <v/>
      </c>
      <c r="AS338" s="952">
        <f t="shared" si="207"/>
        <v>15.390854119425548</v>
      </c>
      <c r="AT338" s="954" t="s">
        <v>97</v>
      </c>
      <c r="AU338" s="1113">
        <v>1974</v>
      </c>
      <c r="AV338" s="1119" t="s">
        <v>3286</v>
      </c>
      <c r="AW338" s="1121">
        <v>56.619970187154699</v>
      </c>
      <c r="AX338" s="1121">
        <v>36.200217500076903</v>
      </c>
    </row>
    <row r="339" spans="1:50" ht="20.100000000000001" customHeight="1" x14ac:dyDescent="0.25">
      <c r="A339" s="213">
        <v>258</v>
      </c>
      <c r="B339" s="213">
        <v>58</v>
      </c>
      <c r="C339" s="213" t="s">
        <v>3076</v>
      </c>
      <c r="D339" s="230">
        <v>4</v>
      </c>
      <c r="E339" s="229" t="s">
        <v>785</v>
      </c>
      <c r="F339" s="229">
        <v>6.3</v>
      </c>
      <c r="G339" s="229"/>
      <c r="H339" s="228"/>
      <c r="I339" s="229" t="str">
        <f t="shared" si="193"/>
        <v>4+6,3</v>
      </c>
      <c r="J339" s="895">
        <v>2.4588489999999998</v>
      </c>
      <c r="K339" s="903">
        <v>0</v>
      </c>
      <c r="L339" s="124">
        <v>0</v>
      </c>
      <c r="M339" s="172">
        <f t="shared" si="201"/>
        <v>2.4588489999999998</v>
      </c>
      <c r="N339" s="172">
        <v>1.5842400000000003</v>
      </c>
      <c r="O339" s="893" t="s">
        <v>3077</v>
      </c>
      <c r="P339" s="893">
        <f t="shared" si="190"/>
        <v>4.2</v>
      </c>
      <c r="Q339" s="172">
        <f t="shared" si="202"/>
        <v>0.15691100000000002</v>
      </c>
      <c r="R339" s="172">
        <f t="shared" si="176"/>
        <v>0.15691100000000002</v>
      </c>
      <c r="S339" s="172" t="str">
        <f t="shared" si="198"/>
        <v/>
      </c>
      <c r="T339" s="257" t="str">
        <f t="shared" si="188"/>
        <v/>
      </c>
      <c r="U339" s="768">
        <f t="shared" si="203"/>
        <v>58.544023809523807</v>
      </c>
      <c r="V339" s="768">
        <v>0.3</v>
      </c>
      <c r="W339" s="257" t="s">
        <v>3088</v>
      </c>
      <c r="X339" s="929"/>
      <c r="Y339" s="213">
        <v>258</v>
      </c>
      <c r="Z339" s="1316">
        <v>58</v>
      </c>
      <c r="AA339" s="1298" t="s">
        <v>3076</v>
      </c>
      <c r="AB339" s="230">
        <f t="shared" si="194"/>
        <v>4</v>
      </c>
      <c r="AC339" s="1315" t="str">
        <f t="shared" si="195"/>
        <v>+</v>
      </c>
      <c r="AD339" s="1315">
        <f t="shared" si="196"/>
        <v>6.3</v>
      </c>
      <c r="AE339" s="1315"/>
      <c r="AF339" s="1316"/>
      <c r="AG339" s="1298" t="str">
        <f t="shared" si="199"/>
        <v>4+6,3</v>
      </c>
      <c r="AH339" s="1304">
        <f>'Зона ТвЭС'!L519</f>
        <v>0.63624999999999998</v>
      </c>
      <c r="AI339" s="1304">
        <f t="shared" si="192"/>
        <v>3.0950989999999998</v>
      </c>
      <c r="AJ339" s="1304">
        <f t="shared" si="204"/>
        <v>0</v>
      </c>
      <c r="AK339" s="1298">
        <f t="shared" si="197"/>
        <v>0</v>
      </c>
      <c r="AL339" s="1304">
        <f t="shared" si="205"/>
        <v>3.0950989999999998</v>
      </c>
      <c r="AM339" s="893">
        <v>1.5842400000000003</v>
      </c>
      <c r="AN339" s="893">
        <f t="shared" si="191"/>
        <v>4.2</v>
      </c>
      <c r="AO339" s="1304">
        <f t="shared" si="206"/>
        <v>-0.47933899999999996</v>
      </c>
      <c r="AP339" s="1304">
        <f t="shared" si="187"/>
        <v>-0.47933899999999996</v>
      </c>
      <c r="AQ339" s="1339" t="str">
        <f t="shared" si="200"/>
        <v>закрыт</v>
      </c>
      <c r="AR339" s="1298" t="str">
        <f t="shared" si="189"/>
        <v>закрыт</v>
      </c>
      <c r="AS339" s="952">
        <f t="shared" si="207"/>
        <v>73.692833333333326</v>
      </c>
      <c r="AT339" s="954" t="s">
        <v>97</v>
      </c>
      <c r="AU339" s="1113">
        <v>1975</v>
      </c>
      <c r="AV339" s="1119" t="s">
        <v>3286</v>
      </c>
      <c r="AW339" s="1121">
        <v>56.6755897009702</v>
      </c>
      <c r="AX339" s="1121">
        <v>36.694632804300497</v>
      </c>
    </row>
    <row r="340" spans="1:50" ht="20.100000000000001" customHeight="1" x14ac:dyDescent="0.25">
      <c r="A340" s="213">
        <v>259</v>
      </c>
      <c r="B340" s="213">
        <v>59</v>
      </c>
      <c r="C340" s="213" t="s">
        <v>226</v>
      </c>
      <c r="D340" s="230">
        <v>2.5</v>
      </c>
      <c r="E340" s="229" t="s">
        <v>785</v>
      </c>
      <c r="F340" s="229">
        <v>3.2</v>
      </c>
      <c r="G340" s="229"/>
      <c r="H340" s="228"/>
      <c r="I340" s="229" t="str">
        <f t="shared" si="193"/>
        <v>2,5+3,2</v>
      </c>
      <c r="J340" s="895">
        <v>2.7437799999999997</v>
      </c>
      <c r="K340" s="902">
        <v>0</v>
      </c>
      <c r="L340" s="124">
        <v>0</v>
      </c>
      <c r="M340" s="172">
        <f t="shared" si="201"/>
        <v>2.7437799999999997</v>
      </c>
      <c r="N340" s="172">
        <v>0.17699999999999999</v>
      </c>
      <c r="O340" s="893" t="s">
        <v>3077</v>
      </c>
      <c r="P340" s="893">
        <f t="shared" si="190"/>
        <v>2.625</v>
      </c>
      <c r="Q340" s="172">
        <f t="shared" si="202"/>
        <v>-0.29577999999999965</v>
      </c>
      <c r="R340" s="172">
        <f t="shared" si="176"/>
        <v>-0.29577999999999965</v>
      </c>
      <c r="S340" s="172" t="str">
        <f t="shared" si="198"/>
        <v>закрыт</v>
      </c>
      <c r="T340" s="257" t="str">
        <f t="shared" si="188"/>
        <v>закрыт</v>
      </c>
      <c r="U340" s="768">
        <f t="shared" si="203"/>
        <v>104.52495238095237</v>
      </c>
      <c r="V340" s="768">
        <v>0.32</v>
      </c>
      <c r="W340" s="257" t="s">
        <v>3088</v>
      </c>
      <c r="X340" s="929"/>
      <c r="Y340" s="213">
        <v>259</v>
      </c>
      <c r="Z340" s="1316">
        <v>59</v>
      </c>
      <c r="AA340" s="1298" t="s">
        <v>226</v>
      </c>
      <c r="AB340" s="230">
        <f t="shared" si="194"/>
        <v>2.5</v>
      </c>
      <c r="AC340" s="1315" t="str">
        <f t="shared" si="195"/>
        <v>+</v>
      </c>
      <c r="AD340" s="1315">
        <f t="shared" si="196"/>
        <v>3.2</v>
      </c>
      <c r="AE340" s="1315"/>
      <c r="AF340" s="1316"/>
      <c r="AG340" s="1298" t="str">
        <f t="shared" si="199"/>
        <v>2,5+3,2</v>
      </c>
      <c r="AH340" s="1304">
        <f>'Зона ТвЭС'!L534</f>
        <v>0.96524999999999994</v>
      </c>
      <c r="AI340" s="1304">
        <f t="shared" si="192"/>
        <v>3.7090299999999994</v>
      </c>
      <c r="AJ340" s="1304">
        <f t="shared" si="204"/>
        <v>0</v>
      </c>
      <c r="AK340" s="1298">
        <f t="shared" si="197"/>
        <v>0</v>
      </c>
      <c r="AL340" s="1304">
        <f t="shared" si="205"/>
        <v>3.7090299999999994</v>
      </c>
      <c r="AM340" s="893">
        <v>0.1727249999999998</v>
      </c>
      <c r="AN340" s="893">
        <f t="shared" si="191"/>
        <v>2.625</v>
      </c>
      <c r="AO340" s="1304">
        <f t="shared" si="206"/>
        <v>-1.2567549999999992</v>
      </c>
      <c r="AP340" s="1304">
        <f t="shared" si="187"/>
        <v>-1.2567549999999992</v>
      </c>
      <c r="AQ340" s="1339" t="str">
        <f t="shared" si="200"/>
        <v>закрыт</v>
      </c>
      <c r="AR340" s="1298" t="str">
        <f t="shared" si="189"/>
        <v>закрыт</v>
      </c>
      <c r="AS340" s="952">
        <f t="shared" si="207"/>
        <v>141.29638095238093</v>
      </c>
      <c r="AT340" s="954" t="s">
        <v>97</v>
      </c>
      <c r="AU340" s="1113">
        <v>1978</v>
      </c>
      <c r="AV340" s="1119" t="s">
        <v>3286</v>
      </c>
      <c r="AW340" s="1121">
        <v>56.698820872395601</v>
      </c>
      <c r="AX340" s="1121">
        <v>36.307776077415099</v>
      </c>
    </row>
    <row r="341" spans="1:50" ht="20.100000000000001" customHeight="1" x14ac:dyDescent="0.25">
      <c r="A341" s="213">
        <v>260</v>
      </c>
      <c r="B341" s="213">
        <v>60</v>
      </c>
      <c r="C341" s="213" t="s">
        <v>227</v>
      </c>
      <c r="D341" s="230">
        <v>1.6</v>
      </c>
      <c r="E341" s="229" t="s">
        <v>785</v>
      </c>
      <c r="F341" s="229">
        <v>2.5</v>
      </c>
      <c r="G341" s="229"/>
      <c r="H341" s="228"/>
      <c r="I341" s="229" t="str">
        <f t="shared" si="193"/>
        <v>1,6+2,5</v>
      </c>
      <c r="J341" s="895">
        <v>1.3507840000000002</v>
      </c>
      <c r="K341" s="902">
        <v>0</v>
      </c>
      <c r="L341" s="124">
        <v>0</v>
      </c>
      <c r="M341" s="172">
        <f t="shared" si="201"/>
        <v>1.3507840000000002</v>
      </c>
      <c r="N341" s="172">
        <v>0</v>
      </c>
      <c r="O341" s="893"/>
      <c r="P341" s="893">
        <f t="shared" si="190"/>
        <v>1.6800000000000002</v>
      </c>
      <c r="Q341" s="172">
        <f t="shared" si="202"/>
        <v>0.32921599999999995</v>
      </c>
      <c r="R341" s="172">
        <f t="shared" si="176"/>
        <v>0.32921599999999995</v>
      </c>
      <c r="S341" s="172" t="str">
        <f t="shared" si="198"/>
        <v/>
      </c>
      <c r="T341" s="257" t="str">
        <f t="shared" si="188"/>
        <v/>
      </c>
      <c r="U341" s="768">
        <f t="shared" si="203"/>
        <v>80.403809523809528</v>
      </c>
      <c r="V341" s="768"/>
      <c r="W341" s="768"/>
      <c r="X341" s="929"/>
      <c r="Y341" s="213">
        <v>260</v>
      </c>
      <c r="Z341" s="1316">
        <v>60</v>
      </c>
      <c r="AA341" s="1298" t="s">
        <v>227</v>
      </c>
      <c r="AB341" s="230">
        <f t="shared" si="194"/>
        <v>1.6</v>
      </c>
      <c r="AC341" s="1315" t="str">
        <f t="shared" si="195"/>
        <v>+</v>
      </c>
      <c r="AD341" s="1315">
        <f t="shared" si="196"/>
        <v>2.5</v>
      </c>
      <c r="AE341" s="1315"/>
      <c r="AF341" s="1316"/>
      <c r="AG341" s="1298" t="str">
        <f t="shared" si="199"/>
        <v>1,6+2,5</v>
      </c>
      <c r="AH341" s="1304">
        <f>'Зона ТвЭС'!L539</f>
        <v>0.21375</v>
      </c>
      <c r="AI341" s="1304">
        <f t="shared" si="192"/>
        <v>1.5645340000000001</v>
      </c>
      <c r="AJ341" s="1304">
        <f t="shared" si="204"/>
        <v>0</v>
      </c>
      <c r="AK341" s="1298">
        <f t="shared" si="197"/>
        <v>0</v>
      </c>
      <c r="AL341" s="1304">
        <f t="shared" si="205"/>
        <v>1.5645340000000001</v>
      </c>
      <c r="AM341" s="1298">
        <v>0</v>
      </c>
      <c r="AN341" s="893">
        <f t="shared" si="191"/>
        <v>1.6800000000000002</v>
      </c>
      <c r="AO341" s="1304">
        <f t="shared" si="206"/>
        <v>0.11546600000000007</v>
      </c>
      <c r="AP341" s="1304">
        <f t="shared" si="187"/>
        <v>0.11546600000000007</v>
      </c>
      <c r="AQ341" s="1339" t="str">
        <f t="shared" si="200"/>
        <v/>
      </c>
      <c r="AR341" s="1298" t="str">
        <f t="shared" si="189"/>
        <v/>
      </c>
      <c r="AS341" s="952">
        <f t="shared" si="207"/>
        <v>93.127023809523806</v>
      </c>
      <c r="AT341" s="954" t="s">
        <v>97</v>
      </c>
      <c r="AU341" s="1113">
        <v>1978</v>
      </c>
      <c r="AV341" s="1119" t="s">
        <v>3286</v>
      </c>
      <c r="AW341" s="1121">
        <v>56.645054053303902</v>
      </c>
      <c r="AX341" s="1121">
        <v>36.441536564170796</v>
      </c>
    </row>
    <row r="342" spans="1:50" ht="20.100000000000001" customHeight="1" x14ac:dyDescent="0.25">
      <c r="A342" s="213">
        <v>261</v>
      </c>
      <c r="B342" s="213">
        <v>61</v>
      </c>
      <c r="C342" s="213" t="s">
        <v>228</v>
      </c>
      <c r="D342" s="230">
        <v>2.5</v>
      </c>
      <c r="E342" s="229" t="s">
        <v>785</v>
      </c>
      <c r="F342" s="229">
        <v>2.5</v>
      </c>
      <c r="G342" s="229"/>
      <c r="H342" s="228"/>
      <c r="I342" s="229" t="str">
        <f t="shared" si="193"/>
        <v>2,5+2,5</v>
      </c>
      <c r="J342" s="895">
        <v>2.1528119999999999</v>
      </c>
      <c r="K342" s="902">
        <v>0</v>
      </c>
      <c r="L342" s="124">
        <v>0</v>
      </c>
      <c r="M342" s="172">
        <f t="shared" si="201"/>
        <v>2.1528119999999999</v>
      </c>
      <c r="N342" s="172">
        <v>0</v>
      </c>
      <c r="O342" s="893"/>
      <c r="P342" s="893">
        <f t="shared" si="190"/>
        <v>2.625</v>
      </c>
      <c r="Q342" s="172">
        <f t="shared" si="202"/>
        <v>0.47218800000000005</v>
      </c>
      <c r="R342" s="172">
        <f t="shared" si="176"/>
        <v>0.47218800000000005</v>
      </c>
      <c r="S342" s="172" t="str">
        <f t="shared" si="198"/>
        <v/>
      </c>
      <c r="T342" s="257" t="str">
        <f t="shared" si="188"/>
        <v/>
      </c>
      <c r="U342" s="768">
        <f t="shared" si="203"/>
        <v>82.011885714285711</v>
      </c>
      <c r="V342" s="768"/>
      <c r="W342" s="768"/>
      <c r="X342" s="929"/>
      <c r="Y342" s="213">
        <v>261</v>
      </c>
      <c r="Z342" s="1316">
        <v>61</v>
      </c>
      <c r="AA342" s="1298" t="s">
        <v>228</v>
      </c>
      <c r="AB342" s="230">
        <f t="shared" si="194"/>
        <v>2.5</v>
      </c>
      <c r="AC342" s="1315" t="str">
        <f t="shared" si="195"/>
        <v>+</v>
      </c>
      <c r="AD342" s="1315">
        <f t="shared" si="196"/>
        <v>2.5</v>
      </c>
      <c r="AE342" s="1315"/>
      <c r="AF342" s="1316"/>
      <c r="AG342" s="1298" t="str">
        <f t="shared" si="199"/>
        <v>2,5+2,5</v>
      </c>
      <c r="AH342" s="1304">
        <f>'Зона ТвЭС'!L544</f>
        <v>0.3</v>
      </c>
      <c r="AI342" s="1304">
        <f t="shared" si="192"/>
        <v>2.4528119999999998</v>
      </c>
      <c r="AJ342" s="1304">
        <f t="shared" si="204"/>
        <v>0</v>
      </c>
      <c r="AK342" s="1298">
        <f t="shared" si="197"/>
        <v>0</v>
      </c>
      <c r="AL342" s="1304">
        <f t="shared" si="205"/>
        <v>2.4528119999999998</v>
      </c>
      <c r="AM342" s="1298">
        <v>0</v>
      </c>
      <c r="AN342" s="893">
        <f t="shared" si="191"/>
        <v>2.625</v>
      </c>
      <c r="AO342" s="1304">
        <f t="shared" si="206"/>
        <v>0.17218800000000023</v>
      </c>
      <c r="AP342" s="1304">
        <f t="shared" si="187"/>
        <v>0.17218800000000023</v>
      </c>
      <c r="AQ342" s="1339" t="str">
        <f t="shared" si="200"/>
        <v/>
      </c>
      <c r="AR342" s="1298" t="str">
        <f t="shared" si="189"/>
        <v/>
      </c>
      <c r="AS342" s="952">
        <f t="shared" si="207"/>
        <v>93.440457142857142</v>
      </c>
      <c r="AT342" s="954" t="s">
        <v>97</v>
      </c>
      <c r="AU342" s="1113">
        <v>1981</v>
      </c>
      <c r="AV342" s="1119" t="s">
        <v>3286</v>
      </c>
      <c r="AW342" s="1121">
        <v>56.663088887268501</v>
      </c>
      <c r="AX342" s="1121">
        <v>36.803259794991298</v>
      </c>
    </row>
    <row r="343" spans="1:50" ht="20.100000000000001" customHeight="1" x14ac:dyDescent="0.25">
      <c r="A343" s="213">
        <v>262</v>
      </c>
      <c r="B343" s="213">
        <v>62</v>
      </c>
      <c r="C343" s="213" t="s">
        <v>229</v>
      </c>
      <c r="D343" s="230">
        <v>6.3</v>
      </c>
      <c r="E343" s="229" t="s">
        <v>785</v>
      </c>
      <c r="F343" s="229">
        <v>10</v>
      </c>
      <c r="G343" s="229"/>
      <c r="H343" s="228"/>
      <c r="I343" s="229" t="str">
        <f t="shared" si="193"/>
        <v>6,3+10</v>
      </c>
      <c r="J343" s="895">
        <v>5.5251010000000003</v>
      </c>
      <c r="K343" s="903">
        <v>0</v>
      </c>
      <c r="L343" s="124">
        <v>0</v>
      </c>
      <c r="M343" s="172">
        <f t="shared" si="201"/>
        <v>5.5251010000000003</v>
      </c>
      <c r="N343" s="172">
        <v>0</v>
      </c>
      <c r="O343" s="893"/>
      <c r="P343" s="893">
        <f t="shared" si="190"/>
        <v>6.6150000000000002</v>
      </c>
      <c r="Q343" s="172">
        <f t="shared" si="202"/>
        <v>1.089899</v>
      </c>
      <c r="R343" s="172">
        <f t="shared" si="176"/>
        <v>1.089899</v>
      </c>
      <c r="S343" s="172" t="str">
        <f t="shared" si="198"/>
        <v/>
      </c>
      <c r="T343" s="257" t="str">
        <f t="shared" si="188"/>
        <v/>
      </c>
      <c r="U343" s="768">
        <f t="shared" si="203"/>
        <v>83.523824640967504</v>
      </c>
      <c r="V343" s="768">
        <v>0.2</v>
      </c>
      <c r="W343" s="257" t="s">
        <v>3088</v>
      </c>
      <c r="X343" s="929"/>
      <c r="Y343" s="213">
        <v>262</v>
      </c>
      <c r="Z343" s="1316">
        <v>62</v>
      </c>
      <c r="AA343" s="1298" t="s">
        <v>229</v>
      </c>
      <c r="AB343" s="230">
        <f t="shared" si="194"/>
        <v>6.3</v>
      </c>
      <c r="AC343" s="1315" t="str">
        <f t="shared" si="195"/>
        <v>+</v>
      </c>
      <c r="AD343" s="1315">
        <f t="shared" si="196"/>
        <v>10</v>
      </c>
      <c r="AE343" s="1315"/>
      <c r="AF343" s="1316"/>
      <c r="AG343" s="1298" t="str">
        <f t="shared" si="199"/>
        <v>6,3+10</v>
      </c>
      <c r="AH343" s="1304">
        <f>'Зона ТвЭС'!L562</f>
        <v>2.004</v>
      </c>
      <c r="AI343" s="1304">
        <f t="shared" si="192"/>
        <v>7.5291010000000007</v>
      </c>
      <c r="AJ343" s="1304">
        <f t="shared" si="204"/>
        <v>0</v>
      </c>
      <c r="AK343" s="1298">
        <f t="shared" si="197"/>
        <v>0</v>
      </c>
      <c r="AL343" s="1304">
        <f t="shared" si="205"/>
        <v>7.5291010000000007</v>
      </c>
      <c r="AM343" s="1298">
        <v>0</v>
      </c>
      <c r="AN343" s="893">
        <f t="shared" si="191"/>
        <v>6.6150000000000002</v>
      </c>
      <c r="AO343" s="1304">
        <f t="shared" si="206"/>
        <v>-0.9141010000000005</v>
      </c>
      <c r="AP343" s="1304">
        <f t="shared" si="187"/>
        <v>-0.9141010000000005</v>
      </c>
      <c r="AQ343" s="1339" t="str">
        <f t="shared" si="200"/>
        <v>закрыт</v>
      </c>
      <c r="AR343" s="1298" t="str">
        <f t="shared" si="189"/>
        <v>закрыт</v>
      </c>
      <c r="AS343" s="952">
        <f t="shared" si="207"/>
        <v>113.81860922146637</v>
      </c>
      <c r="AT343" s="954" t="s">
        <v>97</v>
      </c>
      <c r="AU343" s="1113">
        <v>1976</v>
      </c>
      <c r="AV343" s="1119">
        <v>2012</v>
      </c>
      <c r="AW343" s="1121">
        <v>56.583273284638203</v>
      </c>
      <c r="AX343" s="1121">
        <v>36.504831719835202</v>
      </c>
    </row>
    <row r="344" spans="1:50" ht="20.100000000000001" customHeight="1" x14ac:dyDescent="0.25">
      <c r="A344" s="213">
        <v>263</v>
      </c>
      <c r="B344" s="213">
        <v>63</v>
      </c>
      <c r="C344" s="213" t="s">
        <v>230</v>
      </c>
      <c r="D344" s="230">
        <v>4</v>
      </c>
      <c r="E344" s="229" t="s">
        <v>785</v>
      </c>
      <c r="F344" s="229">
        <v>2.5</v>
      </c>
      <c r="G344" s="229"/>
      <c r="H344" s="228"/>
      <c r="I344" s="229" t="str">
        <f t="shared" si="193"/>
        <v>4+2,5</v>
      </c>
      <c r="J344" s="895">
        <v>1.388325</v>
      </c>
      <c r="K344" s="902">
        <v>0</v>
      </c>
      <c r="L344" s="124">
        <v>0</v>
      </c>
      <c r="M344" s="172">
        <f t="shared" si="201"/>
        <v>1.388325</v>
      </c>
      <c r="N344" s="172">
        <v>0</v>
      </c>
      <c r="O344" s="893"/>
      <c r="P344" s="893">
        <f t="shared" si="190"/>
        <v>2.625</v>
      </c>
      <c r="Q344" s="172">
        <f t="shared" si="202"/>
        <v>1.236675</v>
      </c>
      <c r="R344" s="172">
        <f t="shared" si="176"/>
        <v>1.236675</v>
      </c>
      <c r="S344" s="172" t="str">
        <f t="shared" si="198"/>
        <v/>
      </c>
      <c r="T344" s="257" t="str">
        <f t="shared" si="188"/>
        <v/>
      </c>
      <c r="U344" s="768">
        <f t="shared" si="203"/>
        <v>52.888571428571431</v>
      </c>
      <c r="V344" s="768"/>
      <c r="W344" s="768"/>
      <c r="X344" s="929"/>
      <c r="Y344" s="213">
        <v>263</v>
      </c>
      <c r="Z344" s="1316">
        <v>63</v>
      </c>
      <c r="AA344" s="1298" t="s">
        <v>230</v>
      </c>
      <c r="AB344" s="230">
        <f t="shared" si="194"/>
        <v>4</v>
      </c>
      <c r="AC344" s="1315" t="str">
        <f t="shared" si="195"/>
        <v>+</v>
      </c>
      <c r="AD344" s="1315">
        <f t="shared" si="196"/>
        <v>2.5</v>
      </c>
      <c r="AE344" s="1315"/>
      <c r="AF344" s="1316"/>
      <c r="AG344" s="1298" t="str">
        <f t="shared" si="199"/>
        <v>4+2,5</v>
      </c>
      <c r="AH344" s="1304">
        <f>'Зона ТвЭС'!L567</f>
        <v>0.13749999999999998</v>
      </c>
      <c r="AI344" s="1304">
        <f t="shared" si="192"/>
        <v>1.525825</v>
      </c>
      <c r="AJ344" s="1304">
        <f t="shared" si="204"/>
        <v>0</v>
      </c>
      <c r="AK344" s="1298">
        <f t="shared" si="197"/>
        <v>0</v>
      </c>
      <c r="AL344" s="1304">
        <f t="shared" si="205"/>
        <v>1.525825</v>
      </c>
      <c r="AM344" s="1298">
        <v>0</v>
      </c>
      <c r="AN344" s="893">
        <f t="shared" si="191"/>
        <v>2.625</v>
      </c>
      <c r="AO344" s="1304">
        <f t="shared" si="206"/>
        <v>1.099175</v>
      </c>
      <c r="AP344" s="1304">
        <f t="shared" si="187"/>
        <v>1.099175</v>
      </c>
      <c r="AQ344" s="1339" t="str">
        <f t="shared" si="200"/>
        <v/>
      </c>
      <c r="AR344" s="1298" t="str">
        <f t="shared" si="189"/>
        <v/>
      </c>
      <c r="AS344" s="952">
        <f t="shared" si="207"/>
        <v>58.126666666666672</v>
      </c>
      <c r="AT344" s="954" t="s">
        <v>97</v>
      </c>
      <c r="AU344" s="1113">
        <v>1987</v>
      </c>
      <c r="AV344" s="1119" t="s">
        <v>3286</v>
      </c>
      <c r="AW344" s="1121">
        <v>56.675776138183203</v>
      </c>
      <c r="AX344" s="1121">
        <v>36.681326282337302</v>
      </c>
    </row>
    <row r="345" spans="1:50" ht="20.100000000000001" customHeight="1" x14ac:dyDescent="0.25">
      <c r="A345" s="213">
        <v>264</v>
      </c>
      <c r="B345" s="213">
        <v>64</v>
      </c>
      <c r="C345" s="213" t="s">
        <v>231</v>
      </c>
      <c r="D345" s="230">
        <v>4</v>
      </c>
      <c r="E345" s="229" t="s">
        <v>785</v>
      </c>
      <c r="F345" s="229">
        <v>4</v>
      </c>
      <c r="G345" s="229"/>
      <c r="H345" s="228"/>
      <c r="I345" s="229" t="str">
        <f t="shared" si="193"/>
        <v>4+4</v>
      </c>
      <c r="J345" s="895">
        <v>3.0543149999999994</v>
      </c>
      <c r="K345" s="902">
        <v>0</v>
      </c>
      <c r="L345" s="124">
        <v>0</v>
      </c>
      <c r="M345" s="172">
        <f t="shared" si="201"/>
        <v>3.0543149999999994</v>
      </c>
      <c r="N345" s="172">
        <v>0</v>
      </c>
      <c r="O345" s="893"/>
      <c r="P345" s="893">
        <f t="shared" si="190"/>
        <v>4.2</v>
      </c>
      <c r="Q345" s="172">
        <f t="shared" si="202"/>
        <v>1.1456850000000007</v>
      </c>
      <c r="R345" s="172">
        <f t="shared" si="176"/>
        <v>1.1456850000000007</v>
      </c>
      <c r="S345" s="172" t="str">
        <f t="shared" si="198"/>
        <v/>
      </c>
      <c r="T345" s="257" t="str">
        <f t="shared" si="188"/>
        <v/>
      </c>
      <c r="U345" s="768">
        <f t="shared" si="203"/>
        <v>72.721785714285701</v>
      </c>
      <c r="V345" s="768"/>
      <c r="W345" s="768"/>
      <c r="X345" s="929"/>
      <c r="Y345" s="213">
        <v>264</v>
      </c>
      <c r="Z345" s="1316">
        <v>64</v>
      </c>
      <c r="AA345" s="1298" t="s">
        <v>231</v>
      </c>
      <c r="AB345" s="230">
        <f t="shared" si="194"/>
        <v>4</v>
      </c>
      <c r="AC345" s="1315" t="str">
        <f t="shared" si="195"/>
        <v>+</v>
      </c>
      <c r="AD345" s="1315">
        <f t="shared" si="196"/>
        <v>4</v>
      </c>
      <c r="AE345" s="1315"/>
      <c r="AF345" s="1316"/>
      <c r="AG345" s="1298" t="str">
        <f t="shared" si="199"/>
        <v>4+4</v>
      </c>
      <c r="AH345" s="1304">
        <f>'Зона ТвЭС'!L578</f>
        <v>0.52124999999999999</v>
      </c>
      <c r="AI345" s="1304">
        <f t="shared" si="192"/>
        <v>3.5755649999999992</v>
      </c>
      <c r="AJ345" s="1304">
        <f t="shared" si="204"/>
        <v>0</v>
      </c>
      <c r="AK345" s="1298">
        <f t="shared" si="197"/>
        <v>0</v>
      </c>
      <c r="AL345" s="1304">
        <f t="shared" si="205"/>
        <v>3.5755649999999992</v>
      </c>
      <c r="AM345" s="1298">
        <v>0</v>
      </c>
      <c r="AN345" s="893">
        <f t="shared" si="191"/>
        <v>4.2</v>
      </c>
      <c r="AO345" s="1304">
        <f t="shared" si="206"/>
        <v>0.62443500000000096</v>
      </c>
      <c r="AP345" s="1304">
        <f t="shared" si="187"/>
        <v>0.62443500000000096</v>
      </c>
      <c r="AQ345" s="1339" t="str">
        <f t="shared" si="200"/>
        <v/>
      </c>
      <c r="AR345" s="1298" t="str">
        <f t="shared" si="189"/>
        <v/>
      </c>
      <c r="AS345" s="952">
        <f t="shared" si="207"/>
        <v>85.132499999999979</v>
      </c>
      <c r="AT345" s="954" t="s">
        <v>97</v>
      </c>
      <c r="AU345" s="1113">
        <v>1980</v>
      </c>
      <c r="AV345" s="214">
        <v>2012</v>
      </c>
      <c r="AW345" s="1121">
        <v>56.771001100550897</v>
      </c>
      <c r="AX345" s="1121">
        <v>36.1039893659825</v>
      </c>
    </row>
    <row r="346" spans="1:50" ht="20.100000000000001" customHeight="1" x14ac:dyDescent="0.25">
      <c r="A346" s="213">
        <v>265</v>
      </c>
      <c r="B346" s="213">
        <v>65</v>
      </c>
      <c r="C346" s="213" t="s">
        <v>232</v>
      </c>
      <c r="D346" s="230">
        <v>4</v>
      </c>
      <c r="E346" s="229" t="s">
        <v>785</v>
      </c>
      <c r="F346" s="229">
        <v>4</v>
      </c>
      <c r="G346" s="229"/>
      <c r="H346" s="228"/>
      <c r="I346" s="229" t="str">
        <f t="shared" si="193"/>
        <v>4+4</v>
      </c>
      <c r="J346" s="895">
        <v>3.8091139999999997</v>
      </c>
      <c r="K346" s="902"/>
      <c r="L346" s="124" t="s">
        <v>1985</v>
      </c>
      <c r="M346" s="172">
        <f t="shared" si="201"/>
        <v>3.8091139999999997</v>
      </c>
      <c r="N346" s="172">
        <v>0</v>
      </c>
      <c r="O346" s="893"/>
      <c r="P346" s="893">
        <f t="shared" si="190"/>
        <v>4.2</v>
      </c>
      <c r="Q346" s="172">
        <f t="shared" si="202"/>
        <v>0.39088600000000051</v>
      </c>
      <c r="R346" s="172">
        <f t="shared" si="176"/>
        <v>0.39088600000000051</v>
      </c>
      <c r="S346" s="172" t="str">
        <f t="shared" si="198"/>
        <v/>
      </c>
      <c r="T346" s="257" t="str">
        <f t="shared" si="188"/>
        <v/>
      </c>
      <c r="U346" s="768">
        <f t="shared" si="203"/>
        <v>90.693190476190466</v>
      </c>
      <c r="V346" s="768">
        <v>0.2</v>
      </c>
      <c r="W346" s="257" t="s">
        <v>3088</v>
      </c>
      <c r="X346" s="929"/>
      <c r="Y346" s="213">
        <v>265</v>
      </c>
      <c r="Z346" s="1316">
        <v>65</v>
      </c>
      <c r="AA346" s="1298" t="s">
        <v>232</v>
      </c>
      <c r="AB346" s="230">
        <f t="shared" si="194"/>
        <v>4</v>
      </c>
      <c r="AC346" s="1315" t="str">
        <f t="shared" si="195"/>
        <v>+</v>
      </c>
      <c r="AD346" s="1315">
        <f t="shared" si="196"/>
        <v>4</v>
      </c>
      <c r="AE346" s="1315"/>
      <c r="AF346" s="1316"/>
      <c r="AG346" s="1298" t="str">
        <f t="shared" si="199"/>
        <v>4+4</v>
      </c>
      <c r="AH346" s="1304">
        <f>'Зона ТвЭС'!L595</f>
        <v>2.15625</v>
      </c>
      <c r="AI346" s="1304">
        <f t="shared" si="192"/>
        <v>5.9653639999999992</v>
      </c>
      <c r="AJ346" s="1304">
        <f t="shared" si="204"/>
        <v>0</v>
      </c>
      <c r="AK346" s="1298" t="str">
        <f t="shared" si="197"/>
        <v>120 мин</v>
      </c>
      <c r="AL346" s="1304">
        <f t="shared" si="205"/>
        <v>5.9653639999999992</v>
      </c>
      <c r="AM346" s="1298">
        <v>0</v>
      </c>
      <c r="AN346" s="893">
        <f t="shared" si="191"/>
        <v>4.2</v>
      </c>
      <c r="AO346" s="1304">
        <f t="shared" si="206"/>
        <v>-1.765363999999999</v>
      </c>
      <c r="AP346" s="1304">
        <f t="shared" si="187"/>
        <v>-1.765363999999999</v>
      </c>
      <c r="AQ346" s="1339" t="str">
        <f t="shared" si="200"/>
        <v>закрыт</v>
      </c>
      <c r="AR346" s="1298" t="str">
        <f t="shared" si="189"/>
        <v>закрыт</v>
      </c>
      <c r="AS346" s="952">
        <f t="shared" si="207"/>
        <v>142.03247619047619</v>
      </c>
      <c r="AT346" s="954" t="s">
        <v>97</v>
      </c>
      <c r="AU346" s="1113">
        <v>1980</v>
      </c>
      <c r="AV346" s="1119" t="s">
        <v>3286</v>
      </c>
      <c r="AW346" s="1121">
        <v>56.711062762274103</v>
      </c>
      <c r="AX346" s="1121">
        <v>36.653319898019397</v>
      </c>
    </row>
    <row r="347" spans="1:50" ht="20.100000000000001" customHeight="1" x14ac:dyDescent="0.25">
      <c r="A347" s="213">
        <v>266</v>
      </c>
      <c r="B347" s="213">
        <v>66</v>
      </c>
      <c r="C347" s="213" t="s">
        <v>233</v>
      </c>
      <c r="D347" s="230">
        <v>10</v>
      </c>
      <c r="E347" s="229" t="s">
        <v>785</v>
      </c>
      <c r="F347" s="229">
        <v>10</v>
      </c>
      <c r="G347" s="229" t="s">
        <v>785</v>
      </c>
      <c r="H347" s="228">
        <v>10</v>
      </c>
      <c r="I347" s="229" t="str">
        <f t="shared" si="193"/>
        <v>10+10+10</v>
      </c>
      <c r="J347" s="895">
        <v>22.4208</v>
      </c>
      <c r="K347" s="902">
        <v>0</v>
      </c>
      <c r="L347" s="124">
        <v>0</v>
      </c>
      <c r="M347" s="172">
        <f t="shared" si="201"/>
        <v>22.4208</v>
      </c>
      <c r="N347" s="172">
        <v>10.5</v>
      </c>
      <c r="O347" s="893" t="s">
        <v>3078</v>
      </c>
      <c r="P347" s="893">
        <v>21</v>
      </c>
      <c r="Q347" s="172">
        <f t="shared" si="202"/>
        <v>-11.9208</v>
      </c>
      <c r="R347" s="172">
        <f>Q347</f>
        <v>-11.9208</v>
      </c>
      <c r="S347" s="172" t="str">
        <f t="shared" si="198"/>
        <v>закрыт</v>
      </c>
      <c r="T347" s="257" t="str">
        <f t="shared" si="188"/>
        <v>закрыт</v>
      </c>
      <c r="U347" s="768">
        <f t="shared" si="203"/>
        <v>106.76571428571428</v>
      </c>
      <c r="V347" s="768">
        <v>0.4</v>
      </c>
      <c r="W347" s="257" t="s">
        <v>3088</v>
      </c>
      <c r="X347" s="929"/>
      <c r="Y347" s="213">
        <v>266</v>
      </c>
      <c r="Z347" s="1316">
        <v>66</v>
      </c>
      <c r="AA347" s="1298" t="s">
        <v>233</v>
      </c>
      <c r="AB347" s="230">
        <f t="shared" si="194"/>
        <v>10</v>
      </c>
      <c r="AC347" s="1315" t="str">
        <f t="shared" si="195"/>
        <v>+</v>
      </c>
      <c r="AD347" s="1315">
        <f t="shared" si="196"/>
        <v>10</v>
      </c>
      <c r="AE347" s="1315" t="str">
        <f>G347</f>
        <v>+</v>
      </c>
      <c r="AF347" s="1316">
        <f>H347</f>
        <v>10</v>
      </c>
      <c r="AG347" s="1298" t="str">
        <f t="shared" si="199"/>
        <v>10+10+10</v>
      </c>
      <c r="AH347" s="1304">
        <f>'Зона ТвЭС'!L602</f>
        <v>0</v>
      </c>
      <c r="AI347" s="1304">
        <f t="shared" si="192"/>
        <v>22.4208</v>
      </c>
      <c r="AJ347" s="1304">
        <f t="shared" si="204"/>
        <v>0</v>
      </c>
      <c r="AK347" s="1298">
        <f t="shared" si="197"/>
        <v>0</v>
      </c>
      <c r="AL347" s="1304">
        <f t="shared" si="205"/>
        <v>22.4208</v>
      </c>
      <c r="AM347" s="1298">
        <v>10.5</v>
      </c>
      <c r="AN347" s="893">
        <v>21</v>
      </c>
      <c r="AO347" s="1304">
        <f t="shared" si="206"/>
        <v>-11.9208</v>
      </c>
      <c r="AP347" s="1304">
        <f>AO347</f>
        <v>-11.9208</v>
      </c>
      <c r="AQ347" s="1339" t="str">
        <f t="shared" si="200"/>
        <v>закрыт</v>
      </c>
      <c r="AR347" s="1298" t="str">
        <f t="shared" si="189"/>
        <v>закрыт</v>
      </c>
      <c r="AS347" s="952">
        <f t="shared" si="207"/>
        <v>106.76571428571428</v>
      </c>
      <c r="AT347" s="954" t="s">
        <v>97</v>
      </c>
      <c r="AU347" s="1113">
        <v>1957</v>
      </c>
      <c r="AV347" s="1119" t="s">
        <v>3286</v>
      </c>
      <c r="AW347" s="1121">
        <v>56.837688982167201</v>
      </c>
      <c r="AX347" s="1121">
        <v>35.913463446160598</v>
      </c>
    </row>
    <row r="348" spans="1:50" ht="20.100000000000001" customHeight="1" x14ac:dyDescent="0.25">
      <c r="A348" s="213">
        <v>267</v>
      </c>
      <c r="B348" s="213">
        <v>67</v>
      </c>
      <c r="C348" s="213" t="s">
        <v>234</v>
      </c>
      <c r="D348" s="230">
        <v>10</v>
      </c>
      <c r="E348" s="229" t="s">
        <v>785</v>
      </c>
      <c r="F348" s="229">
        <v>10</v>
      </c>
      <c r="G348" s="229" t="s">
        <v>785</v>
      </c>
      <c r="H348" s="228">
        <v>10</v>
      </c>
      <c r="I348" s="229" t="str">
        <f t="shared" si="193"/>
        <v>10+10+10</v>
      </c>
      <c r="J348" s="895">
        <v>13.986704</v>
      </c>
      <c r="K348" s="902">
        <v>0</v>
      </c>
      <c r="L348" s="124">
        <v>0</v>
      </c>
      <c r="M348" s="172">
        <f t="shared" si="201"/>
        <v>13.986704</v>
      </c>
      <c r="N348" s="172">
        <v>0</v>
      </c>
      <c r="O348" s="893"/>
      <c r="P348" s="893">
        <v>21</v>
      </c>
      <c r="Q348" s="172">
        <f t="shared" si="202"/>
        <v>7.0132960000000004</v>
      </c>
      <c r="R348" s="172">
        <f>Q348</f>
        <v>7.0132960000000004</v>
      </c>
      <c r="S348" s="172" t="str">
        <f t="shared" si="198"/>
        <v/>
      </c>
      <c r="T348" s="257" t="str">
        <f t="shared" si="188"/>
        <v/>
      </c>
      <c r="U348" s="768">
        <f t="shared" si="203"/>
        <v>66.603352380952373</v>
      </c>
      <c r="V348" s="768">
        <v>0.38</v>
      </c>
      <c r="W348" s="257" t="s">
        <v>3088</v>
      </c>
      <c r="X348" s="929"/>
      <c r="Y348" s="213">
        <v>267</v>
      </c>
      <c r="Z348" s="1316">
        <v>67</v>
      </c>
      <c r="AA348" s="1298" t="s">
        <v>234</v>
      </c>
      <c r="AB348" s="230">
        <f t="shared" si="194"/>
        <v>10</v>
      </c>
      <c r="AC348" s="1315" t="str">
        <f t="shared" si="195"/>
        <v>+</v>
      </c>
      <c r="AD348" s="1315">
        <f t="shared" si="196"/>
        <v>10</v>
      </c>
      <c r="AE348" s="1315" t="str">
        <f>G348</f>
        <v>+</v>
      </c>
      <c r="AF348" s="1316">
        <f>H348</f>
        <v>10</v>
      </c>
      <c r="AG348" s="1298" t="str">
        <f t="shared" si="199"/>
        <v>10+10+10</v>
      </c>
      <c r="AH348" s="1304">
        <f>'Зона ТвЭС'!L621</f>
        <v>3.5062499999999996</v>
      </c>
      <c r="AI348" s="1304">
        <f t="shared" si="192"/>
        <v>17.492953999999997</v>
      </c>
      <c r="AJ348" s="1304">
        <f t="shared" si="204"/>
        <v>0</v>
      </c>
      <c r="AK348" s="1298">
        <f t="shared" si="197"/>
        <v>0</v>
      </c>
      <c r="AL348" s="1304">
        <f t="shared" si="205"/>
        <v>17.492953999999997</v>
      </c>
      <c r="AM348" s="1298">
        <v>0</v>
      </c>
      <c r="AN348" s="893">
        <v>21</v>
      </c>
      <c r="AO348" s="1304">
        <f t="shared" si="206"/>
        <v>3.5070460000000026</v>
      </c>
      <c r="AP348" s="1304">
        <f>AO348</f>
        <v>3.5070460000000026</v>
      </c>
      <c r="AQ348" s="1339" t="str">
        <f t="shared" si="200"/>
        <v/>
      </c>
      <c r="AR348" s="1298" t="str">
        <f t="shared" si="189"/>
        <v/>
      </c>
      <c r="AS348" s="952">
        <f t="shared" si="207"/>
        <v>83.299780952380942</v>
      </c>
      <c r="AT348" s="954" t="s">
        <v>97</v>
      </c>
      <c r="AU348" s="1113">
        <v>1951</v>
      </c>
      <c r="AV348" s="1119" t="s">
        <v>3286</v>
      </c>
      <c r="AW348" s="1121">
        <v>56.872738067369099</v>
      </c>
      <c r="AX348" s="1121">
        <v>35.962227415706899</v>
      </c>
    </row>
    <row r="349" spans="1:50" ht="20.100000000000001" customHeight="1" x14ac:dyDescent="0.25">
      <c r="A349" s="1371">
        <v>268</v>
      </c>
      <c r="B349" s="1371">
        <v>68</v>
      </c>
      <c r="C349" s="213" t="s">
        <v>235</v>
      </c>
      <c r="D349" s="230">
        <v>10</v>
      </c>
      <c r="E349" s="229"/>
      <c r="F349" s="229"/>
      <c r="G349" s="229"/>
      <c r="H349" s="228"/>
      <c r="I349" s="229" t="str">
        <f t="shared" si="193"/>
        <v>10</v>
      </c>
      <c r="J349" s="895">
        <v>2.2585150000000001</v>
      </c>
      <c r="K349" s="902">
        <v>0.09</v>
      </c>
      <c r="L349" s="124" t="s">
        <v>335</v>
      </c>
      <c r="M349" s="172">
        <f>K349</f>
        <v>0.09</v>
      </c>
      <c r="N349" s="172">
        <v>0</v>
      </c>
      <c r="O349" s="893"/>
      <c r="P349" s="893">
        <f>M349-N349</f>
        <v>0.09</v>
      </c>
      <c r="Q349" s="172">
        <f>P349-J349</f>
        <v>-2.1685150000000002</v>
      </c>
      <c r="R349" s="1364">
        <f>MIN(Q349:Q351)</f>
        <v>-2.1685150000000002</v>
      </c>
      <c r="S349" s="1364" t="str">
        <f>T349</f>
        <v>закрыт</v>
      </c>
      <c r="T349" s="257" t="str">
        <f t="shared" si="188"/>
        <v>закрыт</v>
      </c>
      <c r="U349" s="1362">
        <f>(J349*100)/(I349*1.05)</f>
        <v>21.509666666666668</v>
      </c>
      <c r="V349" s="1362"/>
      <c r="W349" s="768"/>
      <c r="X349" s="929"/>
      <c r="Y349" s="1371">
        <v>268</v>
      </c>
      <c r="Z349" s="1316">
        <v>68</v>
      </c>
      <c r="AA349" s="1298" t="s">
        <v>235</v>
      </c>
      <c r="AB349" s="230">
        <f t="shared" si="194"/>
        <v>10</v>
      </c>
      <c r="AC349" s="1315"/>
      <c r="AD349" s="1315"/>
      <c r="AE349" s="1315"/>
      <c r="AF349" s="1316"/>
      <c r="AG349" s="1298" t="str">
        <f t="shared" si="199"/>
        <v>10</v>
      </c>
      <c r="AH349" s="1304">
        <f>SUM(AH350:AH351)</f>
        <v>2.35</v>
      </c>
      <c r="AI349" s="1304">
        <f t="shared" si="192"/>
        <v>4.6085150000000006</v>
      </c>
      <c r="AJ349" s="1304">
        <f t="shared" si="204"/>
        <v>0.09</v>
      </c>
      <c r="AK349" s="1298" t="str">
        <f t="shared" si="197"/>
        <v>1 сутки</v>
      </c>
      <c r="AL349" s="1304">
        <f>AJ349</f>
        <v>0.09</v>
      </c>
      <c r="AM349" s="1298">
        <v>0</v>
      </c>
      <c r="AN349" s="893">
        <f>AL349-AM349</f>
        <v>0.09</v>
      </c>
      <c r="AO349" s="1304">
        <f>AN349-AI349</f>
        <v>-4.5185150000000007</v>
      </c>
      <c r="AP349" s="1308">
        <f>MIN(AO349:AO351)</f>
        <v>-4.5185150000000007</v>
      </c>
      <c r="AQ349" s="1308" t="str">
        <f>AR349</f>
        <v>закрыт</v>
      </c>
      <c r="AR349" s="1298" t="str">
        <f t="shared" si="189"/>
        <v>закрыт</v>
      </c>
      <c r="AS349" s="1305">
        <f>(AI349*100)/(AG349*1.05)</f>
        <v>43.890619047619055</v>
      </c>
      <c r="AT349" s="954" t="s">
        <v>97</v>
      </c>
      <c r="AU349" s="1113">
        <v>1988</v>
      </c>
      <c r="AV349" s="1119" t="s">
        <v>3286</v>
      </c>
      <c r="AW349" s="1121">
        <v>56.5843719695498</v>
      </c>
      <c r="AX349" s="1121">
        <v>35.7619123136638</v>
      </c>
    </row>
    <row r="350" spans="1:50" ht="20.100000000000001" customHeight="1" x14ac:dyDescent="0.25">
      <c r="A350" s="1371"/>
      <c r="B350" s="1371"/>
      <c r="C350" s="7" t="s">
        <v>1792</v>
      </c>
      <c r="D350" s="230">
        <v>10</v>
      </c>
      <c r="E350" s="229"/>
      <c r="F350" s="229"/>
      <c r="G350" s="229"/>
      <c r="H350" s="228"/>
      <c r="I350" s="229" t="str">
        <f t="shared" si="193"/>
        <v>10</v>
      </c>
      <c r="J350" s="895">
        <v>2.1676899999999999</v>
      </c>
      <c r="K350" s="902">
        <v>0.09</v>
      </c>
      <c r="L350" s="124" t="s">
        <v>335</v>
      </c>
      <c r="M350" s="172">
        <f>K350</f>
        <v>0.09</v>
      </c>
      <c r="N350" s="172">
        <v>0</v>
      </c>
      <c r="O350" s="893"/>
      <c r="P350" s="893">
        <f>M350-N350</f>
        <v>0.09</v>
      </c>
      <c r="Q350" s="172">
        <f>P350-M350-N350</f>
        <v>0</v>
      </c>
      <c r="R350" s="1365"/>
      <c r="S350" s="1365"/>
      <c r="T350" s="257" t="str">
        <f>IF(R349&lt;0,"закрыт","")</f>
        <v>закрыт</v>
      </c>
      <c r="U350" s="1362"/>
      <c r="V350" s="1362"/>
      <c r="W350" s="768"/>
      <c r="X350" s="929"/>
      <c r="Y350" s="1371"/>
      <c r="Z350" s="1316"/>
      <c r="AA350" s="7" t="s">
        <v>1792</v>
      </c>
      <c r="AB350" s="230">
        <f t="shared" si="194"/>
        <v>10</v>
      </c>
      <c r="AC350" s="1315"/>
      <c r="AD350" s="1315"/>
      <c r="AE350" s="1315"/>
      <c r="AF350" s="1316"/>
      <c r="AG350" s="1298" t="str">
        <f t="shared" si="199"/>
        <v>10</v>
      </c>
      <c r="AH350" s="1304">
        <f>SUM(AH315)</f>
        <v>2.35</v>
      </c>
      <c r="AI350" s="1304">
        <f t="shared" si="192"/>
        <v>4.51769</v>
      </c>
      <c r="AJ350" s="1304">
        <f>K350</f>
        <v>0.09</v>
      </c>
      <c r="AK350" s="1298" t="str">
        <f t="shared" si="197"/>
        <v>1 сутки</v>
      </c>
      <c r="AL350" s="1304">
        <f>AJ350</f>
        <v>0.09</v>
      </c>
      <c r="AM350" s="1298">
        <v>0</v>
      </c>
      <c r="AN350" s="893">
        <f>AL350-AM350</f>
        <v>0.09</v>
      </c>
      <c r="AO350" s="1304">
        <f>AN350-AL350-AM350</f>
        <v>0</v>
      </c>
      <c r="AP350" s="1309"/>
      <c r="AQ350" s="1309"/>
      <c r="AR350" s="1298" t="str">
        <f>IF(AP349&lt;0,"закрыт","")</f>
        <v>закрыт</v>
      </c>
      <c r="AS350" s="1306"/>
      <c r="AT350" s="954" t="s">
        <v>97</v>
      </c>
      <c r="AU350" s="1113">
        <v>1988</v>
      </c>
      <c r="AV350" s="1119" t="s">
        <v>3286</v>
      </c>
      <c r="AW350" s="1121">
        <v>56.5843719695498</v>
      </c>
      <c r="AX350" s="1121">
        <v>35.7619123136638</v>
      </c>
    </row>
    <row r="351" spans="1:50" ht="20.100000000000001" customHeight="1" x14ac:dyDescent="0.25">
      <c r="A351" s="1371"/>
      <c r="B351" s="1371"/>
      <c r="C351" s="7" t="s">
        <v>1791</v>
      </c>
      <c r="D351" s="230">
        <v>10</v>
      </c>
      <c r="E351" s="229"/>
      <c r="F351" s="229"/>
      <c r="G351" s="229"/>
      <c r="H351" s="228"/>
      <c r="I351" s="229" t="str">
        <f t="shared" si="193"/>
        <v>10</v>
      </c>
      <c r="J351" s="895">
        <v>9.0825000000000003E-2</v>
      </c>
      <c r="K351" s="904">
        <v>9.0825000000000003E-2</v>
      </c>
      <c r="L351" s="124" t="s">
        <v>335</v>
      </c>
      <c r="M351" s="172">
        <f>K351</f>
        <v>9.0825000000000003E-2</v>
      </c>
      <c r="N351" s="172">
        <v>0</v>
      </c>
      <c r="O351" s="893"/>
      <c r="P351" s="893">
        <f>M351-N351</f>
        <v>9.0825000000000003E-2</v>
      </c>
      <c r="Q351" s="172">
        <f>P351-J351</f>
        <v>0</v>
      </c>
      <c r="R351" s="1366"/>
      <c r="S351" s="1366"/>
      <c r="T351" s="257" t="str">
        <f>IF(R349&lt;0,"закрыт","")</f>
        <v>закрыт</v>
      </c>
      <c r="U351" s="1362"/>
      <c r="V351" s="1362"/>
      <c r="W351" s="768"/>
      <c r="X351" s="929"/>
      <c r="Y351" s="1371"/>
      <c r="Z351" s="1316"/>
      <c r="AA351" s="7" t="s">
        <v>1791</v>
      </c>
      <c r="AB351" s="230">
        <f t="shared" si="194"/>
        <v>10</v>
      </c>
      <c r="AC351" s="1315"/>
      <c r="AD351" s="1315"/>
      <c r="AE351" s="1315"/>
      <c r="AF351" s="1316"/>
      <c r="AG351" s="1298" t="str">
        <f t="shared" si="199"/>
        <v>10</v>
      </c>
      <c r="AH351" s="1304">
        <f>'Зона ТвЭС'!L623</f>
        <v>0</v>
      </c>
      <c r="AI351" s="1304">
        <f t="shared" si="192"/>
        <v>9.0825000000000003E-2</v>
      </c>
      <c r="AJ351" s="1304">
        <f t="shared" si="204"/>
        <v>9.0825000000000003E-2</v>
      </c>
      <c r="AK351" s="1298" t="str">
        <f t="shared" si="197"/>
        <v>1 сутки</v>
      </c>
      <c r="AL351" s="1304">
        <f>AJ351</f>
        <v>9.0825000000000003E-2</v>
      </c>
      <c r="AM351" s="1298">
        <v>0</v>
      </c>
      <c r="AN351" s="893">
        <f>AL351-AM351</f>
        <v>9.0825000000000003E-2</v>
      </c>
      <c r="AO351" s="1304">
        <f>AN351-AI351</f>
        <v>0</v>
      </c>
      <c r="AP351" s="1310"/>
      <c r="AQ351" s="1310"/>
      <c r="AR351" s="1298" t="str">
        <f>IF(AP349&lt;0,"закрыт","")</f>
        <v>закрыт</v>
      </c>
      <c r="AS351" s="1307"/>
      <c r="AT351" s="954" t="s">
        <v>97</v>
      </c>
      <c r="AU351" s="1113">
        <v>1988</v>
      </c>
      <c r="AV351" s="1119" t="s">
        <v>3286</v>
      </c>
      <c r="AW351" s="1121">
        <v>56.5843719695498</v>
      </c>
      <c r="AX351" s="1121">
        <v>35.7619123136638</v>
      </c>
    </row>
    <row r="352" spans="1:50" ht="20.100000000000001" customHeight="1" x14ac:dyDescent="0.25">
      <c r="A352" s="1371">
        <v>269</v>
      </c>
      <c r="B352" s="1371">
        <v>69</v>
      </c>
      <c r="C352" s="213" t="s">
        <v>236</v>
      </c>
      <c r="D352" s="230">
        <v>40</v>
      </c>
      <c r="E352" s="229" t="s">
        <v>785</v>
      </c>
      <c r="F352" s="229">
        <v>40</v>
      </c>
      <c r="G352" s="229"/>
      <c r="H352" s="228"/>
      <c r="I352" s="229" t="str">
        <f t="shared" si="193"/>
        <v>40+40</v>
      </c>
      <c r="J352" s="895">
        <v>22.927516999999998</v>
      </c>
      <c r="K352" s="902">
        <v>0</v>
      </c>
      <c r="L352" s="124">
        <v>0</v>
      </c>
      <c r="M352" s="172">
        <f t="shared" ref="M352:M384" si="208">J352-K352</f>
        <v>22.927516999999998</v>
      </c>
      <c r="N352" s="172">
        <v>0</v>
      </c>
      <c r="O352" s="893"/>
      <c r="P352" s="893">
        <f t="shared" ref="P352:P384" si="209">MIN(D352:F352)*1.05</f>
        <v>42</v>
      </c>
      <c r="Q352" s="172">
        <f t="shared" ref="Q352:Q384" si="210">P352-M352-N352</f>
        <v>19.072483000000002</v>
      </c>
      <c r="R352" s="1379">
        <f>MIN(Q352:Q354)</f>
        <v>9.5342520000000004</v>
      </c>
      <c r="S352" s="1362" t="str">
        <f t="shared" si="198"/>
        <v/>
      </c>
      <c r="T352" s="257" t="str">
        <f>IF(R352&lt;0,"закрыт","")</f>
        <v/>
      </c>
      <c r="U352" s="1362">
        <f>(J352*100)/P352</f>
        <v>54.589326190476186</v>
      </c>
      <c r="V352" s="1362">
        <v>0.3</v>
      </c>
      <c r="W352" s="768"/>
      <c r="X352" s="929"/>
      <c r="Y352" s="1371">
        <v>269</v>
      </c>
      <c r="Z352" s="1316">
        <v>69</v>
      </c>
      <c r="AA352" s="1298" t="s">
        <v>236</v>
      </c>
      <c r="AB352" s="230">
        <f t="shared" si="194"/>
        <v>40</v>
      </c>
      <c r="AC352" s="1315" t="str">
        <f t="shared" si="195"/>
        <v>+</v>
      </c>
      <c r="AD352" s="1315">
        <f t="shared" si="196"/>
        <v>40</v>
      </c>
      <c r="AE352" s="1315"/>
      <c r="AF352" s="1316"/>
      <c r="AG352" s="1298" t="str">
        <f t="shared" si="199"/>
        <v>40+40</v>
      </c>
      <c r="AH352" s="1304">
        <f>SUM(AH353:AH354)</f>
        <v>0</v>
      </c>
      <c r="AI352" s="1304">
        <f t="shared" si="192"/>
        <v>22.927516999999998</v>
      </c>
      <c r="AJ352" s="1304">
        <f t="shared" si="204"/>
        <v>0</v>
      </c>
      <c r="AK352" s="1298">
        <f t="shared" si="197"/>
        <v>0</v>
      </c>
      <c r="AL352" s="1304">
        <f t="shared" ref="AL352:AL384" si="211">AI352-AJ352</f>
        <v>22.927516999999998</v>
      </c>
      <c r="AM352" s="1298">
        <v>0</v>
      </c>
      <c r="AN352" s="893">
        <f t="shared" ref="AN352:AN382" si="212">MIN(AB352:AF352)*1.05</f>
        <v>42</v>
      </c>
      <c r="AO352" s="1304">
        <f t="shared" ref="AO352:AO384" si="213">AN352-AL352-AM352</f>
        <v>19.072483000000002</v>
      </c>
      <c r="AP352" s="1308">
        <f>MIN(AO352:AO354)</f>
        <v>9.5342520000000004</v>
      </c>
      <c r="AQ352" s="1308" t="str">
        <f t="shared" si="200"/>
        <v/>
      </c>
      <c r="AR352" s="1298" t="str">
        <f>IF(AP352&lt;0,"закрыт","")</f>
        <v/>
      </c>
      <c r="AS352" s="1305">
        <f>(AI352*100)/AN352</f>
        <v>54.589326190476186</v>
      </c>
      <c r="AT352" s="954" t="s">
        <v>97</v>
      </c>
      <c r="AU352" s="1113">
        <v>1976</v>
      </c>
      <c r="AV352" s="1119" t="s">
        <v>3286</v>
      </c>
      <c r="AW352" s="1121">
        <v>56.838444047844298</v>
      </c>
      <c r="AX352" s="1121">
        <v>35.791613740737702</v>
      </c>
    </row>
    <row r="353" spans="1:50" ht="20.100000000000001" customHeight="1" x14ac:dyDescent="0.25">
      <c r="A353" s="1371"/>
      <c r="B353" s="1371"/>
      <c r="C353" s="7" t="s">
        <v>1792</v>
      </c>
      <c r="D353" s="230">
        <v>20</v>
      </c>
      <c r="E353" s="229" t="s">
        <v>785</v>
      </c>
      <c r="F353" s="229">
        <v>20</v>
      </c>
      <c r="G353" s="229"/>
      <c r="H353" s="228"/>
      <c r="I353" s="229" t="str">
        <f t="shared" si="193"/>
        <v>20+20</v>
      </c>
      <c r="J353" s="895">
        <v>11.461768999999999</v>
      </c>
      <c r="K353" s="904">
        <v>0</v>
      </c>
      <c r="L353" s="125">
        <v>0</v>
      </c>
      <c r="M353" s="172">
        <f t="shared" si="208"/>
        <v>11.461768999999999</v>
      </c>
      <c r="N353" s="172">
        <v>0</v>
      </c>
      <c r="O353" s="893"/>
      <c r="P353" s="893">
        <f t="shared" si="209"/>
        <v>21</v>
      </c>
      <c r="Q353" s="172">
        <f t="shared" si="210"/>
        <v>9.5382310000000015</v>
      </c>
      <c r="R353" s="1379"/>
      <c r="S353" s="1363" t="str">
        <f t="shared" si="198"/>
        <v/>
      </c>
      <c r="T353" s="257" t="str">
        <f>IF(R352&lt;0,"закрыт","")</f>
        <v/>
      </c>
      <c r="U353" s="1363"/>
      <c r="V353" s="1363"/>
      <c r="W353" s="257" t="s">
        <v>3088</v>
      </c>
      <c r="X353" s="929"/>
      <c r="Y353" s="1371"/>
      <c r="Z353" s="1316"/>
      <c r="AA353" s="7" t="s">
        <v>1792</v>
      </c>
      <c r="AB353" s="230">
        <f t="shared" si="194"/>
        <v>20</v>
      </c>
      <c r="AC353" s="1315" t="str">
        <f t="shared" si="195"/>
        <v>+</v>
      </c>
      <c r="AD353" s="1315">
        <f t="shared" si="196"/>
        <v>20</v>
      </c>
      <c r="AE353" s="1315"/>
      <c r="AF353" s="1316"/>
      <c r="AG353" s="1298" t="str">
        <f t="shared" si="199"/>
        <v>20+20</v>
      </c>
      <c r="AH353" s="1304">
        <f>'Зона ТвЭС'!L629</f>
        <v>0</v>
      </c>
      <c r="AI353" s="1304">
        <f t="shared" si="192"/>
        <v>11.461768999999999</v>
      </c>
      <c r="AJ353" s="1304">
        <f t="shared" si="204"/>
        <v>0</v>
      </c>
      <c r="AK353" s="1298">
        <f t="shared" si="197"/>
        <v>0</v>
      </c>
      <c r="AL353" s="1304">
        <f t="shared" si="211"/>
        <v>11.461768999999999</v>
      </c>
      <c r="AM353" s="1298">
        <v>0</v>
      </c>
      <c r="AN353" s="893">
        <f t="shared" si="212"/>
        <v>21</v>
      </c>
      <c r="AO353" s="1304">
        <f t="shared" si="213"/>
        <v>9.5382310000000015</v>
      </c>
      <c r="AP353" s="1309"/>
      <c r="AQ353" s="1309" t="str">
        <f t="shared" si="200"/>
        <v/>
      </c>
      <c r="AR353" s="1298" t="str">
        <f>IF(AP352&lt;0,"закрыт","")</f>
        <v/>
      </c>
      <c r="AS353" s="1306"/>
      <c r="AT353" s="954" t="s">
        <v>97</v>
      </c>
      <c r="AU353" s="1113">
        <v>1976</v>
      </c>
      <c r="AV353" s="1119" t="s">
        <v>3286</v>
      </c>
      <c r="AW353" s="1121">
        <v>56.838444047844298</v>
      </c>
      <c r="AX353" s="1121">
        <v>35.791613740737702</v>
      </c>
    </row>
    <row r="354" spans="1:50" ht="20.100000000000001" customHeight="1" x14ac:dyDescent="0.25">
      <c r="A354" s="1371"/>
      <c r="B354" s="1371"/>
      <c r="C354" s="7" t="s">
        <v>1791</v>
      </c>
      <c r="D354" s="230">
        <v>20</v>
      </c>
      <c r="E354" s="229" t="s">
        <v>785</v>
      </c>
      <c r="F354" s="229">
        <v>20</v>
      </c>
      <c r="G354" s="229"/>
      <c r="H354" s="228"/>
      <c r="I354" s="229" t="str">
        <f t="shared" si="193"/>
        <v>20+20</v>
      </c>
      <c r="J354" s="895">
        <v>11.465748</v>
      </c>
      <c r="K354" s="904">
        <v>0</v>
      </c>
      <c r="L354" s="125">
        <v>0</v>
      </c>
      <c r="M354" s="172">
        <f t="shared" si="208"/>
        <v>11.465748</v>
      </c>
      <c r="N354" s="172">
        <v>0</v>
      </c>
      <c r="O354" s="893"/>
      <c r="P354" s="893">
        <f t="shared" si="209"/>
        <v>21</v>
      </c>
      <c r="Q354" s="172">
        <f t="shared" si="210"/>
        <v>9.5342520000000004</v>
      </c>
      <c r="R354" s="1379"/>
      <c r="S354" s="1363" t="str">
        <f t="shared" si="198"/>
        <v/>
      </c>
      <c r="T354" s="257" t="str">
        <f>IF(R352&lt;0,"закрыт","")</f>
        <v/>
      </c>
      <c r="U354" s="1363"/>
      <c r="V354" s="1363"/>
      <c r="W354" s="257" t="s">
        <v>3088</v>
      </c>
      <c r="X354" s="929"/>
      <c r="Y354" s="1371"/>
      <c r="Z354" s="1316"/>
      <c r="AA354" s="7" t="s">
        <v>1791</v>
      </c>
      <c r="AB354" s="230">
        <f t="shared" si="194"/>
        <v>20</v>
      </c>
      <c r="AC354" s="1315" t="str">
        <f t="shared" si="195"/>
        <v>+</v>
      </c>
      <c r="AD354" s="1315">
        <f t="shared" si="196"/>
        <v>20</v>
      </c>
      <c r="AE354" s="1315"/>
      <c r="AF354" s="1316"/>
      <c r="AG354" s="1298" t="str">
        <f t="shared" si="199"/>
        <v>20+20</v>
      </c>
      <c r="AH354" s="1304">
        <f>'Зона ТвЭС'!L634</f>
        <v>0</v>
      </c>
      <c r="AI354" s="1304">
        <f t="shared" si="192"/>
        <v>11.465748</v>
      </c>
      <c r="AJ354" s="1304">
        <f t="shared" si="204"/>
        <v>0</v>
      </c>
      <c r="AK354" s="1298">
        <f t="shared" si="197"/>
        <v>0</v>
      </c>
      <c r="AL354" s="1304">
        <f t="shared" si="211"/>
        <v>11.465748</v>
      </c>
      <c r="AM354" s="1298">
        <v>0</v>
      </c>
      <c r="AN354" s="893">
        <f t="shared" si="212"/>
        <v>21</v>
      </c>
      <c r="AO354" s="1304">
        <f t="shared" si="213"/>
        <v>9.5342520000000004</v>
      </c>
      <c r="AP354" s="1310"/>
      <c r="AQ354" s="1310" t="str">
        <f t="shared" si="200"/>
        <v/>
      </c>
      <c r="AR354" s="1298" t="str">
        <f>IF(AP352&lt;0,"закрыт","")</f>
        <v/>
      </c>
      <c r="AS354" s="1307"/>
      <c r="AT354" s="954" t="s">
        <v>97</v>
      </c>
      <c r="AU354" s="1113">
        <v>1976</v>
      </c>
      <c r="AV354" s="1119" t="s">
        <v>3286</v>
      </c>
      <c r="AW354" s="1121">
        <v>56.838444047844298</v>
      </c>
      <c r="AX354" s="1121">
        <v>35.791613740737702</v>
      </c>
    </row>
    <row r="355" spans="1:50" ht="20.100000000000001" customHeight="1" x14ac:dyDescent="0.25">
      <c r="A355" s="1371">
        <v>270</v>
      </c>
      <c r="B355" s="1371">
        <v>70</v>
      </c>
      <c r="C355" s="213" t="s">
        <v>237</v>
      </c>
      <c r="D355" s="230">
        <v>40</v>
      </c>
      <c r="E355" s="229" t="s">
        <v>785</v>
      </c>
      <c r="F355" s="229">
        <v>40</v>
      </c>
      <c r="G355" s="229"/>
      <c r="H355" s="228"/>
      <c r="I355" s="229" t="str">
        <f t="shared" si="193"/>
        <v>40+40</v>
      </c>
      <c r="J355" s="895">
        <v>53.169404799999995</v>
      </c>
      <c r="K355" s="902">
        <v>5.67</v>
      </c>
      <c r="L355" s="124">
        <v>120</v>
      </c>
      <c r="M355" s="172">
        <f t="shared" si="208"/>
        <v>47.499404799999994</v>
      </c>
      <c r="N355" s="172">
        <v>0</v>
      </c>
      <c r="O355" s="893"/>
      <c r="P355" s="893">
        <f t="shared" si="209"/>
        <v>42</v>
      </c>
      <c r="Q355" s="172">
        <f t="shared" si="210"/>
        <v>-5.4994047999999935</v>
      </c>
      <c r="R355" s="1364">
        <f>MIN(Q355:Q357)</f>
        <v>-5.4994047999999935</v>
      </c>
      <c r="S355" s="1362" t="str">
        <f>T355</f>
        <v>закрыт</v>
      </c>
      <c r="T355" s="257" t="str">
        <f>IF(R355&lt;0,"закрыт","")</f>
        <v>закрыт</v>
      </c>
      <c r="U355" s="1362">
        <f>(J355*100)/P355</f>
        <v>126.59382095238094</v>
      </c>
      <c r="V355" s="1362">
        <v>0.3</v>
      </c>
      <c r="W355" s="768"/>
      <c r="X355" s="929"/>
      <c r="Y355" s="1371">
        <v>270</v>
      </c>
      <c r="Z355" s="1316">
        <v>70</v>
      </c>
      <c r="AA355" s="1298" t="s">
        <v>237</v>
      </c>
      <c r="AB355" s="230">
        <f t="shared" si="194"/>
        <v>40</v>
      </c>
      <c r="AC355" s="1315" t="str">
        <f t="shared" si="195"/>
        <v>+</v>
      </c>
      <c r="AD355" s="1315">
        <f t="shared" si="196"/>
        <v>40</v>
      </c>
      <c r="AE355" s="1315"/>
      <c r="AF355" s="1316"/>
      <c r="AG355" s="1298" t="str">
        <f t="shared" si="199"/>
        <v>40+40</v>
      </c>
      <c r="AH355" s="1304">
        <f>SUM(AH356:AH357)</f>
        <v>25.929674999999996</v>
      </c>
      <c r="AI355" s="1304">
        <f t="shared" si="192"/>
        <v>79.099079799999998</v>
      </c>
      <c r="AJ355" s="1304">
        <f t="shared" si="204"/>
        <v>5.67</v>
      </c>
      <c r="AK355" s="1298">
        <f t="shared" si="197"/>
        <v>120</v>
      </c>
      <c r="AL355" s="1304">
        <f t="shared" si="211"/>
        <v>73.429079799999997</v>
      </c>
      <c r="AM355" s="1298">
        <v>0</v>
      </c>
      <c r="AN355" s="893">
        <f t="shared" si="212"/>
        <v>42</v>
      </c>
      <c r="AO355" s="1304">
        <f t="shared" si="213"/>
        <v>-31.429079799999997</v>
      </c>
      <c r="AP355" s="1308">
        <f>MIN(AO355:AO357)</f>
        <v>-31.429079799999997</v>
      </c>
      <c r="AQ355" s="1308" t="str">
        <f>AR355</f>
        <v>закрыт</v>
      </c>
      <c r="AR355" s="1298" t="str">
        <f>IF(AP355&lt;0,"закрыт","")</f>
        <v>закрыт</v>
      </c>
      <c r="AS355" s="1305">
        <f>(AI355*100)/AN355</f>
        <v>188.33114238095237</v>
      </c>
      <c r="AT355" s="954" t="s">
        <v>97</v>
      </c>
      <c r="AU355" s="1113">
        <v>1973</v>
      </c>
      <c r="AV355" s="1119" t="s">
        <v>3286</v>
      </c>
      <c r="AW355" s="1121">
        <v>56.812352864856102</v>
      </c>
      <c r="AX355" s="1121">
        <v>35.875389292921398</v>
      </c>
    </row>
    <row r="356" spans="1:50" ht="20.100000000000001" customHeight="1" x14ac:dyDescent="0.25">
      <c r="A356" s="1371"/>
      <c r="B356" s="1371"/>
      <c r="C356" s="7" t="s">
        <v>1792</v>
      </c>
      <c r="D356" s="230">
        <v>40</v>
      </c>
      <c r="E356" s="229" t="s">
        <v>785</v>
      </c>
      <c r="F356" s="229">
        <v>40</v>
      </c>
      <c r="G356" s="229"/>
      <c r="H356" s="228"/>
      <c r="I356" s="229" t="str">
        <f t="shared" si="193"/>
        <v>40+40</v>
      </c>
      <c r="J356" s="895">
        <v>32.208724799999999</v>
      </c>
      <c r="K356" s="904">
        <v>5.67</v>
      </c>
      <c r="L356" s="125">
        <v>120</v>
      </c>
      <c r="M356" s="172">
        <f t="shared" si="208"/>
        <v>26.538724799999997</v>
      </c>
      <c r="N356" s="172">
        <v>0</v>
      </c>
      <c r="O356" s="893"/>
      <c r="P356" s="893">
        <f t="shared" si="209"/>
        <v>42</v>
      </c>
      <c r="Q356" s="172">
        <f t="shared" si="210"/>
        <v>15.461275200000003</v>
      </c>
      <c r="R356" s="1365"/>
      <c r="S356" s="1362"/>
      <c r="T356" s="257" t="str">
        <f>IF(R355&lt;0,"закрыт","")</f>
        <v>закрыт</v>
      </c>
      <c r="U356" s="1362"/>
      <c r="V356" s="1362"/>
      <c r="W356" s="768"/>
      <c r="X356" s="929"/>
      <c r="Y356" s="1371"/>
      <c r="Z356" s="1316"/>
      <c r="AA356" s="7" t="s">
        <v>1792</v>
      </c>
      <c r="AB356" s="230">
        <f t="shared" si="194"/>
        <v>40</v>
      </c>
      <c r="AC356" s="1315" t="str">
        <f t="shared" si="195"/>
        <v>+</v>
      </c>
      <c r="AD356" s="1315">
        <f t="shared" si="196"/>
        <v>40</v>
      </c>
      <c r="AE356" s="1315"/>
      <c r="AF356" s="1316"/>
      <c r="AG356" s="1298" t="str">
        <f t="shared" si="199"/>
        <v>40+40</v>
      </c>
      <c r="AH356" s="1304">
        <f>SUM(AH301+AH283+AH288+AH289+AH321)</f>
        <v>6.8690000000000007</v>
      </c>
      <c r="AI356" s="1304">
        <f t="shared" si="192"/>
        <v>39.077724799999999</v>
      </c>
      <c r="AJ356" s="1304">
        <f t="shared" si="204"/>
        <v>5.67</v>
      </c>
      <c r="AK356" s="1298">
        <f t="shared" si="197"/>
        <v>120</v>
      </c>
      <c r="AL356" s="1304">
        <f t="shared" si="211"/>
        <v>33.407724799999997</v>
      </c>
      <c r="AM356" s="1298">
        <v>0</v>
      </c>
      <c r="AN356" s="893">
        <f t="shared" si="212"/>
        <v>42</v>
      </c>
      <c r="AO356" s="1304">
        <f t="shared" si="213"/>
        <v>8.5922752000000031</v>
      </c>
      <c r="AP356" s="1309"/>
      <c r="AQ356" s="1309"/>
      <c r="AR356" s="1298" t="str">
        <f>IF(AP355&lt;0,"закрыт","")</f>
        <v>закрыт</v>
      </c>
      <c r="AS356" s="1306"/>
      <c r="AT356" s="954" t="s">
        <v>97</v>
      </c>
      <c r="AU356" s="1113">
        <v>1973</v>
      </c>
      <c r="AV356" s="1119" t="s">
        <v>3286</v>
      </c>
      <c r="AW356" s="1121">
        <v>56.812352864856102</v>
      </c>
      <c r="AX356" s="1121">
        <v>35.875389292921398</v>
      </c>
    </row>
    <row r="357" spans="1:50" ht="20.100000000000001" customHeight="1" x14ac:dyDescent="0.25">
      <c r="A357" s="1371"/>
      <c r="B357" s="1371"/>
      <c r="C357" s="7" t="s">
        <v>1791</v>
      </c>
      <c r="D357" s="230">
        <v>40</v>
      </c>
      <c r="E357" s="229" t="s">
        <v>785</v>
      </c>
      <c r="F357" s="229">
        <v>40</v>
      </c>
      <c r="G357" s="229"/>
      <c r="H357" s="228"/>
      <c r="I357" s="229" t="str">
        <f t="shared" si="193"/>
        <v>40+40</v>
      </c>
      <c r="J357" s="895">
        <v>20.96068</v>
      </c>
      <c r="K357" s="904">
        <v>0</v>
      </c>
      <c r="L357" s="125"/>
      <c r="M357" s="172">
        <f t="shared" si="208"/>
        <v>20.96068</v>
      </c>
      <c r="N357" s="172">
        <v>13.454999999999998</v>
      </c>
      <c r="O357" s="893" t="s">
        <v>3079</v>
      </c>
      <c r="P357" s="893">
        <f t="shared" si="209"/>
        <v>42</v>
      </c>
      <c r="Q357" s="172">
        <f t="shared" si="210"/>
        <v>7.5843200000000017</v>
      </c>
      <c r="R357" s="1366"/>
      <c r="S357" s="1362"/>
      <c r="T357" s="257" t="str">
        <f>IF(R355&lt;0,"закрыт","")</f>
        <v>закрыт</v>
      </c>
      <c r="U357" s="1362"/>
      <c r="V357" s="1362"/>
      <c r="W357" s="257" t="s">
        <v>3088</v>
      </c>
      <c r="X357" s="929"/>
      <c r="Y357" s="1371"/>
      <c r="Z357" s="1316"/>
      <c r="AA357" s="7" t="s">
        <v>1791</v>
      </c>
      <c r="AB357" s="230">
        <f t="shared" si="194"/>
        <v>40</v>
      </c>
      <c r="AC357" s="1315" t="str">
        <f t="shared" si="195"/>
        <v>+</v>
      </c>
      <c r="AD357" s="1315">
        <f t="shared" si="196"/>
        <v>40</v>
      </c>
      <c r="AE357" s="1315"/>
      <c r="AF357" s="1316"/>
      <c r="AG357" s="1298" t="str">
        <f t="shared" si="199"/>
        <v>40+40</v>
      </c>
      <c r="AH357" s="1304">
        <f>'Зона ТвЭС'!L671</f>
        <v>19.060674999999996</v>
      </c>
      <c r="AI357" s="1304">
        <f t="shared" ref="AI357:AI388" si="214">AH357+J357</f>
        <v>40.021355</v>
      </c>
      <c r="AJ357" s="1304">
        <f t="shared" si="204"/>
        <v>0</v>
      </c>
      <c r="AK357" s="1298">
        <f t="shared" si="197"/>
        <v>0</v>
      </c>
      <c r="AL357" s="1304">
        <f t="shared" si="211"/>
        <v>40.021355</v>
      </c>
      <c r="AM357" s="893">
        <v>13.454999999999998</v>
      </c>
      <c r="AN357" s="893">
        <f t="shared" si="212"/>
        <v>42</v>
      </c>
      <c r="AO357" s="1304">
        <f t="shared" si="213"/>
        <v>-11.476354999999998</v>
      </c>
      <c r="AP357" s="1310"/>
      <c r="AQ357" s="1310"/>
      <c r="AR357" s="1298" t="str">
        <f>IF(AP355&lt;0,"закрыт","")</f>
        <v>закрыт</v>
      </c>
      <c r="AS357" s="1307"/>
      <c r="AT357" s="954" t="s">
        <v>97</v>
      </c>
      <c r="AU357" s="1113">
        <v>1973</v>
      </c>
      <c r="AV357" s="1119" t="s">
        <v>3286</v>
      </c>
      <c r="AW357" s="1121">
        <v>56.812352864856102</v>
      </c>
      <c r="AX357" s="1121">
        <v>35.875389292921398</v>
      </c>
    </row>
    <row r="358" spans="1:50" ht="20.100000000000001" customHeight="1" x14ac:dyDescent="0.25">
      <c r="A358" s="1371">
        <v>271</v>
      </c>
      <c r="B358" s="1371">
        <v>71</v>
      </c>
      <c r="C358" s="213" t="s">
        <v>238</v>
      </c>
      <c r="D358" s="230">
        <v>40</v>
      </c>
      <c r="E358" s="229" t="s">
        <v>785</v>
      </c>
      <c r="F358" s="229">
        <v>40</v>
      </c>
      <c r="G358" s="229"/>
      <c r="H358" s="228"/>
      <c r="I358" s="229" t="str">
        <f t="shared" si="193"/>
        <v>40+40</v>
      </c>
      <c r="J358" s="895">
        <v>32.270381999999998</v>
      </c>
      <c r="K358" s="902">
        <v>1.88</v>
      </c>
      <c r="L358" s="124">
        <v>120</v>
      </c>
      <c r="M358" s="172">
        <f t="shared" si="208"/>
        <v>30.390381999999999</v>
      </c>
      <c r="N358" s="172">
        <v>0</v>
      </c>
      <c r="O358" s="893"/>
      <c r="P358" s="893">
        <f t="shared" si="209"/>
        <v>42</v>
      </c>
      <c r="Q358" s="172">
        <f t="shared" si="210"/>
        <v>11.609618000000001</v>
      </c>
      <c r="R358" s="1379">
        <f>MIN(Q358:Q360)</f>
        <v>11.609618000000001</v>
      </c>
      <c r="S358" s="1362" t="str">
        <f t="shared" si="198"/>
        <v/>
      </c>
      <c r="T358" s="257" t="str">
        <f>IF(R358&lt;0,"закрыт","")</f>
        <v/>
      </c>
      <c r="U358" s="1362">
        <f>(J358*100)/P358</f>
        <v>76.834242857142854</v>
      </c>
      <c r="V358" s="1362"/>
      <c r="W358" s="768"/>
      <c r="X358" s="929"/>
      <c r="Y358" s="1371">
        <v>271</v>
      </c>
      <c r="Z358" s="1316">
        <v>71</v>
      </c>
      <c r="AA358" s="1298" t="s">
        <v>238</v>
      </c>
      <c r="AB358" s="230">
        <f t="shared" si="194"/>
        <v>40</v>
      </c>
      <c r="AC358" s="1315" t="str">
        <f t="shared" si="195"/>
        <v>+</v>
      </c>
      <c r="AD358" s="1315">
        <f t="shared" si="196"/>
        <v>40</v>
      </c>
      <c r="AE358" s="1315"/>
      <c r="AF358" s="1316"/>
      <c r="AG358" s="1298" t="str">
        <f t="shared" si="199"/>
        <v>40+40</v>
      </c>
      <c r="AH358" s="1304">
        <f>SUM(AH359:AH360)</f>
        <v>2.0987499999999999</v>
      </c>
      <c r="AI358" s="1304">
        <f t="shared" si="214"/>
        <v>34.369132</v>
      </c>
      <c r="AJ358" s="1304">
        <f t="shared" si="204"/>
        <v>1.88</v>
      </c>
      <c r="AK358" s="1298">
        <f t="shared" si="197"/>
        <v>120</v>
      </c>
      <c r="AL358" s="1304">
        <f t="shared" si="211"/>
        <v>32.489131999999998</v>
      </c>
      <c r="AM358" s="1298">
        <v>0</v>
      </c>
      <c r="AN358" s="893">
        <f t="shared" si="212"/>
        <v>42</v>
      </c>
      <c r="AO358" s="1304">
        <f t="shared" si="213"/>
        <v>9.5108680000000021</v>
      </c>
      <c r="AP358" s="1308">
        <f>MIN(AO358:AO360)</f>
        <v>9.5108680000000021</v>
      </c>
      <c r="AQ358" s="1308" t="str">
        <f t="shared" si="200"/>
        <v/>
      </c>
      <c r="AR358" s="1298" t="str">
        <f>IF(AP358&lt;0,"закрыт","")</f>
        <v/>
      </c>
      <c r="AS358" s="1305">
        <f>(AI358*100)/AN358</f>
        <v>81.831266666666664</v>
      </c>
      <c r="AT358" s="954" t="s">
        <v>97</v>
      </c>
      <c r="AU358" s="1113">
        <v>1971</v>
      </c>
      <c r="AV358" s="1119" t="s">
        <v>3286</v>
      </c>
      <c r="AW358" s="1121">
        <v>56.8824720048164</v>
      </c>
      <c r="AX358" s="1121">
        <v>35.868557292290099</v>
      </c>
    </row>
    <row r="359" spans="1:50" ht="20.100000000000001" customHeight="1" x14ac:dyDescent="0.25">
      <c r="A359" s="1371"/>
      <c r="B359" s="1371"/>
      <c r="C359" s="7" t="s">
        <v>1792</v>
      </c>
      <c r="D359" s="230">
        <v>40</v>
      </c>
      <c r="E359" s="229" t="s">
        <v>785</v>
      </c>
      <c r="F359" s="229">
        <v>40</v>
      </c>
      <c r="G359" s="229"/>
      <c r="H359" s="228"/>
      <c r="I359" s="229" t="str">
        <f t="shared" si="193"/>
        <v>40+40</v>
      </c>
      <c r="J359" s="895">
        <v>16.706610000000001</v>
      </c>
      <c r="K359" s="905">
        <v>1.88</v>
      </c>
      <c r="L359" s="125">
        <v>120</v>
      </c>
      <c r="M359" s="172">
        <f t="shared" si="208"/>
        <v>14.826610000000002</v>
      </c>
      <c r="N359" s="172">
        <v>12.027750000000001</v>
      </c>
      <c r="O359" s="893" t="s">
        <v>3080</v>
      </c>
      <c r="P359" s="893">
        <f t="shared" si="209"/>
        <v>42</v>
      </c>
      <c r="Q359" s="172">
        <f t="shared" si="210"/>
        <v>15.145639999999997</v>
      </c>
      <c r="R359" s="1379"/>
      <c r="S359" s="1363" t="str">
        <f t="shared" si="198"/>
        <v/>
      </c>
      <c r="T359" s="257" t="str">
        <f>IF(R358&lt;0,"закрыт","")</f>
        <v/>
      </c>
      <c r="U359" s="1363"/>
      <c r="V359" s="1363"/>
      <c r="W359" s="257"/>
      <c r="X359" s="929"/>
      <c r="Y359" s="1371"/>
      <c r="Z359" s="1316"/>
      <c r="AA359" s="7" t="s">
        <v>1792</v>
      </c>
      <c r="AB359" s="230">
        <f t="shared" si="194"/>
        <v>40</v>
      </c>
      <c r="AC359" s="1315" t="str">
        <f t="shared" si="195"/>
        <v>+</v>
      </c>
      <c r="AD359" s="1315">
        <f t="shared" si="196"/>
        <v>40</v>
      </c>
      <c r="AE359" s="1315"/>
      <c r="AF359" s="1316"/>
      <c r="AG359" s="1298" t="str">
        <f t="shared" si="199"/>
        <v>40+40</v>
      </c>
      <c r="AH359" s="1304">
        <f>SUM(AH309+AH308+AH310)</f>
        <v>1.4737499999999999</v>
      </c>
      <c r="AI359" s="1304">
        <f t="shared" si="214"/>
        <v>18.18036</v>
      </c>
      <c r="AJ359" s="1304">
        <f t="shared" si="204"/>
        <v>1.88</v>
      </c>
      <c r="AK359" s="1298">
        <f t="shared" si="197"/>
        <v>120</v>
      </c>
      <c r="AL359" s="1304">
        <f t="shared" si="211"/>
        <v>16.300360000000001</v>
      </c>
      <c r="AM359" s="893">
        <v>12.027750000000001</v>
      </c>
      <c r="AN359" s="893">
        <f t="shared" si="212"/>
        <v>42</v>
      </c>
      <c r="AO359" s="1304">
        <f t="shared" si="213"/>
        <v>13.671889999999998</v>
      </c>
      <c r="AP359" s="1309"/>
      <c r="AQ359" s="1309" t="str">
        <f t="shared" si="200"/>
        <v/>
      </c>
      <c r="AR359" s="1298" t="str">
        <f>IF(AP358&lt;0,"закрыт","")</f>
        <v/>
      </c>
      <c r="AS359" s="1306"/>
      <c r="AT359" s="954" t="s">
        <v>97</v>
      </c>
      <c r="AU359" s="1113">
        <v>1971</v>
      </c>
      <c r="AV359" s="1119" t="s">
        <v>3286</v>
      </c>
      <c r="AW359" s="1121">
        <v>56.8824720048164</v>
      </c>
      <c r="AX359" s="1121">
        <v>35.868557292290099</v>
      </c>
    </row>
    <row r="360" spans="1:50" ht="20.100000000000001" customHeight="1" x14ac:dyDescent="0.25">
      <c r="A360" s="1371"/>
      <c r="B360" s="1371"/>
      <c r="C360" s="7" t="s">
        <v>1791</v>
      </c>
      <c r="D360" s="230">
        <v>40</v>
      </c>
      <c r="E360" s="229" t="s">
        <v>785</v>
      </c>
      <c r="F360" s="229">
        <v>40</v>
      </c>
      <c r="G360" s="229"/>
      <c r="H360" s="228"/>
      <c r="I360" s="229" t="str">
        <f t="shared" si="193"/>
        <v>40+40</v>
      </c>
      <c r="J360" s="895">
        <v>15.563771999999998</v>
      </c>
      <c r="K360" s="905">
        <v>0</v>
      </c>
      <c r="L360" s="125">
        <v>0</v>
      </c>
      <c r="M360" s="172">
        <f t="shared" si="208"/>
        <v>15.563771999999998</v>
      </c>
      <c r="N360" s="172">
        <v>13.454999999999998</v>
      </c>
      <c r="O360" s="893" t="s">
        <v>3079</v>
      </c>
      <c r="P360" s="893">
        <f t="shared" si="209"/>
        <v>42</v>
      </c>
      <c r="Q360" s="172">
        <f t="shared" si="210"/>
        <v>12.981228000000002</v>
      </c>
      <c r="R360" s="1379"/>
      <c r="S360" s="1363" t="str">
        <f t="shared" si="198"/>
        <v/>
      </c>
      <c r="T360" s="257" t="str">
        <f>IF(R358&lt;0,"закрыт","")</f>
        <v/>
      </c>
      <c r="U360" s="1363"/>
      <c r="V360" s="1363"/>
      <c r="W360" s="257"/>
      <c r="X360" s="929"/>
      <c r="Y360" s="1371"/>
      <c r="Z360" s="1316"/>
      <c r="AA360" s="7" t="s">
        <v>1791</v>
      </c>
      <c r="AB360" s="230">
        <f t="shared" si="194"/>
        <v>40</v>
      </c>
      <c r="AC360" s="1315" t="str">
        <f t="shared" si="195"/>
        <v>+</v>
      </c>
      <c r="AD360" s="1315">
        <f t="shared" si="196"/>
        <v>40</v>
      </c>
      <c r="AE360" s="1315"/>
      <c r="AF360" s="1316"/>
      <c r="AG360" s="1298" t="str">
        <f t="shared" si="199"/>
        <v>40+40</v>
      </c>
      <c r="AH360" s="1304">
        <f>'Зона ТвЭС'!L703</f>
        <v>0.62499999999999989</v>
      </c>
      <c r="AI360" s="1304">
        <f t="shared" si="214"/>
        <v>16.188771999999997</v>
      </c>
      <c r="AJ360" s="1304">
        <f t="shared" si="204"/>
        <v>0</v>
      </c>
      <c r="AK360" s="1298">
        <f t="shared" si="197"/>
        <v>0</v>
      </c>
      <c r="AL360" s="1304">
        <f t="shared" si="211"/>
        <v>16.188771999999997</v>
      </c>
      <c r="AM360" s="893">
        <v>13.454999999999998</v>
      </c>
      <c r="AN360" s="893">
        <f t="shared" si="212"/>
        <v>42</v>
      </c>
      <c r="AO360" s="1304">
        <f t="shared" si="213"/>
        <v>12.356228000000005</v>
      </c>
      <c r="AP360" s="1310"/>
      <c r="AQ360" s="1310" t="str">
        <f t="shared" si="200"/>
        <v/>
      </c>
      <c r="AR360" s="1298" t="str">
        <f>IF(AP358&lt;0,"закрыт","")</f>
        <v/>
      </c>
      <c r="AS360" s="1307"/>
      <c r="AT360" s="954" t="s">
        <v>97</v>
      </c>
      <c r="AU360" s="1113">
        <v>1971</v>
      </c>
      <c r="AV360" s="1119" t="s">
        <v>3286</v>
      </c>
      <c r="AW360" s="1121">
        <v>56.8824720048164</v>
      </c>
      <c r="AX360" s="1121">
        <v>35.868557292290099</v>
      </c>
    </row>
    <row r="361" spans="1:50" ht="20.100000000000001" customHeight="1" x14ac:dyDescent="0.25">
      <c r="A361" s="1371">
        <v>272</v>
      </c>
      <c r="B361" s="1371">
        <v>72</v>
      </c>
      <c r="C361" s="213" t="s">
        <v>239</v>
      </c>
      <c r="D361" s="230">
        <v>40</v>
      </c>
      <c r="E361" s="229" t="s">
        <v>785</v>
      </c>
      <c r="F361" s="229">
        <v>40</v>
      </c>
      <c r="G361" s="229"/>
      <c r="H361" s="228"/>
      <c r="I361" s="229" t="str">
        <f t="shared" si="193"/>
        <v>40+40</v>
      </c>
      <c r="J361" s="895">
        <v>42.885748500000005</v>
      </c>
      <c r="K361" s="903">
        <v>0</v>
      </c>
      <c r="L361" s="124"/>
      <c r="M361" s="172">
        <f t="shared" si="208"/>
        <v>42.885748500000005</v>
      </c>
      <c r="N361" s="172">
        <v>0</v>
      </c>
      <c r="O361" s="893"/>
      <c r="P361" s="893">
        <f t="shared" si="209"/>
        <v>42</v>
      </c>
      <c r="Q361" s="172">
        <f t="shared" si="210"/>
        <v>-0.88574850000000538</v>
      </c>
      <c r="R361" s="1379">
        <f>MIN(Q361:Q363)</f>
        <v>-0.88574850000000538</v>
      </c>
      <c r="S361" s="1381" t="str">
        <f>T361</f>
        <v>закрыт</v>
      </c>
      <c r="T361" s="257" t="str">
        <f>IF(R361&lt;0,"закрыт","")</f>
        <v>закрыт</v>
      </c>
      <c r="U361" s="1362">
        <f>(J361*100)/P361</f>
        <v>102.10892500000003</v>
      </c>
      <c r="V361" s="1362">
        <v>0.44</v>
      </c>
      <c r="W361" s="768"/>
      <c r="X361" s="929"/>
      <c r="Y361" s="1371">
        <v>272</v>
      </c>
      <c r="Z361" s="1316">
        <v>72</v>
      </c>
      <c r="AA361" s="1298" t="s">
        <v>239</v>
      </c>
      <c r="AB361" s="230">
        <f t="shared" si="194"/>
        <v>40</v>
      </c>
      <c r="AC361" s="1315" t="str">
        <f t="shared" si="195"/>
        <v>+</v>
      </c>
      <c r="AD361" s="1315">
        <f t="shared" si="196"/>
        <v>40</v>
      </c>
      <c r="AE361" s="1315"/>
      <c r="AF361" s="1316"/>
      <c r="AG361" s="1298" t="str">
        <f t="shared" si="199"/>
        <v>40+40</v>
      </c>
      <c r="AH361" s="1304">
        <f>SUM(AH362:AH363)</f>
        <v>9.3975000000000009</v>
      </c>
      <c r="AI361" s="1304">
        <f t="shared" si="214"/>
        <v>52.283248500000006</v>
      </c>
      <c r="AJ361" s="1304">
        <f t="shared" si="204"/>
        <v>0</v>
      </c>
      <c r="AK361" s="1298">
        <f t="shared" si="197"/>
        <v>0</v>
      </c>
      <c r="AL361" s="1304">
        <f t="shared" si="211"/>
        <v>52.283248500000006</v>
      </c>
      <c r="AM361" s="1298">
        <v>0</v>
      </c>
      <c r="AN361" s="893">
        <f t="shared" si="212"/>
        <v>42</v>
      </c>
      <c r="AO361" s="1304">
        <f t="shared" si="213"/>
        <v>-10.283248500000006</v>
      </c>
      <c r="AP361" s="1308">
        <f>MIN(AO361:AO363)</f>
        <v>-10.283248500000006</v>
      </c>
      <c r="AQ361" s="1308" t="str">
        <f t="shared" si="200"/>
        <v>закрыт</v>
      </c>
      <c r="AR361" s="1298" t="str">
        <f>IF(AP361&lt;0,"закрыт","")</f>
        <v>закрыт</v>
      </c>
      <c r="AS361" s="1305">
        <f>(AI361*100)/AN361</f>
        <v>124.48392500000003</v>
      </c>
      <c r="AT361" s="954" t="s">
        <v>97</v>
      </c>
      <c r="AU361" s="1113">
        <v>1971</v>
      </c>
      <c r="AV361" s="1119" t="s">
        <v>3286</v>
      </c>
      <c r="AW361" s="1121">
        <v>56.817318062913998</v>
      </c>
      <c r="AX361" s="1121">
        <v>36.000321125689503</v>
      </c>
    </row>
    <row r="362" spans="1:50" ht="20.100000000000001" customHeight="1" x14ac:dyDescent="0.25">
      <c r="A362" s="1371"/>
      <c r="B362" s="1371"/>
      <c r="C362" s="7" t="s">
        <v>1792</v>
      </c>
      <c r="D362" s="230">
        <v>40</v>
      </c>
      <c r="E362" s="229" t="s">
        <v>785</v>
      </c>
      <c r="F362" s="229">
        <v>40</v>
      </c>
      <c r="G362" s="229"/>
      <c r="H362" s="228"/>
      <c r="I362" s="229" t="str">
        <f t="shared" si="193"/>
        <v>40+40</v>
      </c>
      <c r="J362" s="895">
        <v>28.313266500000001</v>
      </c>
      <c r="K362" s="904">
        <v>0</v>
      </c>
      <c r="L362" s="125"/>
      <c r="M362" s="172">
        <f t="shared" si="208"/>
        <v>28.313266500000001</v>
      </c>
      <c r="N362" s="172">
        <v>0</v>
      </c>
      <c r="O362" s="893"/>
      <c r="P362" s="893">
        <f t="shared" si="209"/>
        <v>42</v>
      </c>
      <c r="Q362" s="172">
        <f t="shared" si="210"/>
        <v>13.686733499999999</v>
      </c>
      <c r="R362" s="1379"/>
      <c r="S362" s="1382"/>
      <c r="T362" s="257" t="str">
        <f>IF(R361&lt;0,"закрыт","")</f>
        <v>закрыт</v>
      </c>
      <c r="U362" s="1363"/>
      <c r="V362" s="1363"/>
      <c r="W362" s="257" t="s">
        <v>3088</v>
      </c>
      <c r="X362" s="929"/>
      <c r="Y362" s="1371"/>
      <c r="Z362" s="1316"/>
      <c r="AA362" s="7" t="s">
        <v>1792</v>
      </c>
      <c r="AB362" s="230">
        <f t="shared" si="194"/>
        <v>40</v>
      </c>
      <c r="AC362" s="1315" t="str">
        <f t="shared" si="195"/>
        <v>+</v>
      </c>
      <c r="AD362" s="1315">
        <f t="shared" si="196"/>
        <v>40</v>
      </c>
      <c r="AE362" s="1315"/>
      <c r="AF362" s="1316"/>
      <c r="AG362" s="1298" t="str">
        <f t="shared" si="199"/>
        <v>40+40</v>
      </c>
      <c r="AH362" s="1304">
        <f>SUM(AH304+AH303+AH325+AH345+AH319)</f>
        <v>8.91</v>
      </c>
      <c r="AI362" s="1304">
        <f t="shared" si="214"/>
        <v>37.223266500000001</v>
      </c>
      <c r="AJ362" s="1304">
        <f t="shared" si="204"/>
        <v>0</v>
      </c>
      <c r="AK362" s="1298">
        <f t="shared" si="197"/>
        <v>0</v>
      </c>
      <c r="AL362" s="1304">
        <f t="shared" si="211"/>
        <v>37.223266500000001</v>
      </c>
      <c r="AM362" s="1298">
        <v>0</v>
      </c>
      <c r="AN362" s="893">
        <f t="shared" si="212"/>
        <v>42</v>
      </c>
      <c r="AO362" s="1304">
        <f t="shared" si="213"/>
        <v>4.7767334999999989</v>
      </c>
      <c r="AP362" s="1309"/>
      <c r="AQ362" s="1309"/>
      <c r="AR362" s="1298" t="str">
        <f>IF(AP361&lt;0,"закрыт","")</f>
        <v>закрыт</v>
      </c>
      <c r="AS362" s="1306"/>
      <c r="AT362" s="954" t="s">
        <v>97</v>
      </c>
      <c r="AU362" s="1113">
        <v>1971</v>
      </c>
      <c r="AV362" s="1119" t="s">
        <v>3286</v>
      </c>
      <c r="AW362" s="1121">
        <v>56.817318062913998</v>
      </c>
      <c r="AX362" s="1121">
        <v>36.000321125689503</v>
      </c>
    </row>
    <row r="363" spans="1:50" ht="20.100000000000001" customHeight="1" x14ac:dyDescent="0.25">
      <c r="A363" s="1371"/>
      <c r="B363" s="1371"/>
      <c r="C363" s="7" t="s">
        <v>1791</v>
      </c>
      <c r="D363" s="230">
        <v>40</v>
      </c>
      <c r="E363" s="229" t="s">
        <v>785</v>
      </c>
      <c r="F363" s="229">
        <v>40</v>
      </c>
      <c r="G363" s="229"/>
      <c r="H363" s="228"/>
      <c r="I363" s="229" t="str">
        <f t="shared" si="193"/>
        <v>40+40</v>
      </c>
      <c r="J363" s="895">
        <v>14.572482000000001</v>
      </c>
      <c r="K363" s="905">
        <v>0</v>
      </c>
      <c r="L363" s="125">
        <v>0</v>
      </c>
      <c r="M363" s="172">
        <f t="shared" si="208"/>
        <v>14.572482000000001</v>
      </c>
      <c r="N363" s="172">
        <v>3.9399999999999977</v>
      </c>
      <c r="O363" s="893" t="s">
        <v>3081</v>
      </c>
      <c r="P363" s="893">
        <f t="shared" si="209"/>
        <v>42</v>
      </c>
      <c r="Q363" s="172">
        <f t="shared" si="210"/>
        <v>23.487518000000001</v>
      </c>
      <c r="R363" s="1379"/>
      <c r="S363" s="1383"/>
      <c r="T363" s="257" t="str">
        <f>IF(R361&lt;0,"закрыт","")</f>
        <v>закрыт</v>
      </c>
      <c r="U363" s="1363"/>
      <c r="V363" s="1363"/>
      <c r="W363" s="257" t="s">
        <v>3088</v>
      </c>
      <c r="X363" s="929"/>
      <c r="Y363" s="1371"/>
      <c r="Z363" s="1316"/>
      <c r="AA363" s="7" t="s">
        <v>1791</v>
      </c>
      <c r="AB363" s="230">
        <f t="shared" si="194"/>
        <v>40</v>
      </c>
      <c r="AC363" s="1315" t="str">
        <f t="shared" si="195"/>
        <v>+</v>
      </c>
      <c r="AD363" s="1315">
        <f t="shared" si="196"/>
        <v>40</v>
      </c>
      <c r="AE363" s="1315"/>
      <c r="AF363" s="1316"/>
      <c r="AG363" s="1298" t="str">
        <f t="shared" si="199"/>
        <v>40+40</v>
      </c>
      <c r="AH363" s="1304">
        <f>'Зона ТвЭС'!L723</f>
        <v>0.48749999999999999</v>
      </c>
      <c r="AI363" s="1304">
        <f t="shared" si="214"/>
        <v>15.059982000000002</v>
      </c>
      <c r="AJ363" s="1304">
        <f t="shared" si="204"/>
        <v>0</v>
      </c>
      <c r="AK363" s="1298">
        <f t="shared" si="197"/>
        <v>0</v>
      </c>
      <c r="AL363" s="1304">
        <f t="shared" si="211"/>
        <v>15.059982000000002</v>
      </c>
      <c r="AM363" s="1298">
        <v>3.9399999999999977</v>
      </c>
      <c r="AN363" s="893">
        <f t="shared" si="212"/>
        <v>42</v>
      </c>
      <c r="AO363" s="1304">
        <f t="shared" si="213"/>
        <v>23.000018000000001</v>
      </c>
      <c r="AP363" s="1310"/>
      <c r="AQ363" s="1310"/>
      <c r="AR363" s="1298" t="str">
        <f>IF(AP361&lt;0,"закрыт","")</f>
        <v>закрыт</v>
      </c>
      <c r="AS363" s="1307"/>
      <c r="AT363" s="954" t="s">
        <v>97</v>
      </c>
      <c r="AU363" s="1113">
        <v>1971</v>
      </c>
      <c r="AV363" s="1119" t="s">
        <v>3286</v>
      </c>
      <c r="AW363" s="1121">
        <v>56.817318062913998</v>
      </c>
      <c r="AX363" s="1121">
        <v>36.000321125689503</v>
      </c>
    </row>
    <row r="364" spans="1:50" ht="20.100000000000001" customHeight="1" x14ac:dyDescent="0.25">
      <c r="A364" s="1371">
        <v>273</v>
      </c>
      <c r="B364" s="1371">
        <v>73</v>
      </c>
      <c r="C364" s="213" t="s">
        <v>240</v>
      </c>
      <c r="D364" s="230">
        <v>40</v>
      </c>
      <c r="E364" s="229" t="s">
        <v>785</v>
      </c>
      <c r="F364" s="229">
        <v>40</v>
      </c>
      <c r="G364" s="229"/>
      <c r="H364" s="228"/>
      <c r="I364" s="229" t="str">
        <f t="shared" si="193"/>
        <v>40+40</v>
      </c>
      <c r="J364" s="895">
        <v>20.575409000000001</v>
      </c>
      <c r="K364" s="902">
        <v>0</v>
      </c>
      <c r="L364" s="124">
        <v>0</v>
      </c>
      <c r="M364" s="172">
        <f t="shared" si="208"/>
        <v>20.575409000000001</v>
      </c>
      <c r="N364" s="172">
        <v>0</v>
      </c>
      <c r="O364" s="893"/>
      <c r="P364" s="893">
        <f t="shared" si="209"/>
        <v>42</v>
      </c>
      <c r="Q364" s="172">
        <f t="shared" si="210"/>
        <v>21.424590999999999</v>
      </c>
      <c r="R364" s="1379">
        <f>MIN(Q364:Q366)</f>
        <v>4.2323209999999989</v>
      </c>
      <c r="S364" s="1362" t="str">
        <f t="shared" si="198"/>
        <v/>
      </c>
      <c r="T364" s="257" t="str">
        <f>IF(R364&lt;0,"закрыт","")</f>
        <v/>
      </c>
      <c r="U364" s="1362">
        <f>(J364*100)/P364</f>
        <v>48.989069047619047</v>
      </c>
      <c r="V364" s="1362"/>
      <c r="W364" s="768"/>
      <c r="X364" s="929"/>
      <c r="Y364" s="1371">
        <v>273</v>
      </c>
      <c r="Z364" s="1316">
        <v>73</v>
      </c>
      <c r="AA364" s="1298" t="s">
        <v>240</v>
      </c>
      <c r="AB364" s="230">
        <f t="shared" si="194"/>
        <v>40</v>
      </c>
      <c r="AC364" s="1315" t="str">
        <f t="shared" si="195"/>
        <v>+</v>
      </c>
      <c r="AD364" s="1315">
        <f t="shared" si="196"/>
        <v>40</v>
      </c>
      <c r="AE364" s="1315"/>
      <c r="AF364" s="1316"/>
      <c r="AG364" s="1298" t="str">
        <f t="shared" si="199"/>
        <v>40+40</v>
      </c>
      <c r="AH364" s="1304">
        <f>SUM(AH365:AH366)</f>
        <v>7.2499999999999991</v>
      </c>
      <c r="AI364" s="1304">
        <f t="shared" si="214"/>
        <v>27.825409000000001</v>
      </c>
      <c r="AJ364" s="1304">
        <f t="shared" si="204"/>
        <v>0</v>
      </c>
      <c r="AK364" s="1298">
        <f t="shared" si="197"/>
        <v>0</v>
      </c>
      <c r="AL364" s="1304">
        <f t="shared" si="211"/>
        <v>27.825409000000001</v>
      </c>
      <c r="AM364" s="1298">
        <v>0</v>
      </c>
      <c r="AN364" s="893">
        <f t="shared" si="212"/>
        <v>42</v>
      </c>
      <c r="AO364" s="1304">
        <f t="shared" si="213"/>
        <v>14.174590999999999</v>
      </c>
      <c r="AP364" s="1308">
        <f>MIN(AO364:AO366)</f>
        <v>4.2323209999999989</v>
      </c>
      <c r="AQ364" s="1308" t="str">
        <f t="shared" si="200"/>
        <v/>
      </c>
      <c r="AR364" s="1298" t="str">
        <f>IF(AP364&lt;0,"закрыт","")</f>
        <v/>
      </c>
      <c r="AS364" s="1305">
        <f>(AI364*100)/AN364</f>
        <v>66.250973809523813</v>
      </c>
      <c r="AT364" s="954" t="s">
        <v>97</v>
      </c>
      <c r="AU364" s="1113">
        <v>1981</v>
      </c>
      <c r="AV364" s="1119" t="s">
        <v>3286</v>
      </c>
      <c r="AW364" s="1121">
        <v>56.846325926478499</v>
      </c>
      <c r="AX364" s="1121">
        <v>35.943401629587001</v>
      </c>
    </row>
    <row r="365" spans="1:50" ht="20.100000000000001" customHeight="1" x14ac:dyDescent="0.25">
      <c r="A365" s="1371"/>
      <c r="B365" s="1371"/>
      <c r="C365" s="7" t="s">
        <v>1792</v>
      </c>
      <c r="D365" s="230">
        <v>20</v>
      </c>
      <c r="E365" s="229" t="s">
        <v>785</v>
      </c>
      <c r="F365" s="229">
        <v>20</v>
      </c>
      <c r="G365" s="229"/>
      <c r="H365" s="228"/>
      <c r="I365" s="229" t="str">
        <f t="shared" si="193"/>
        <v>20+20</v>
      </c>
      <c r="J365" s="895">
        <v>16.767679000000001</v>
      </c>
      <c r="K365" s="904">
        <v>0</v>
      </c>
      <c r="L365" s="125">
        <v>0</v>
      </c>
      <c r="M365" s="172">
        <f t="shared" si="208"/>
        <v>16.767679000000001</v>
      </c>
      <c r="N365" s="172">
        <v>0</v>
      </c>
      <c r="O365" s="893"/>
      <c r="P365" s="893">
        <f t="shared" si="209"/>
        <v>21</v>
      </c>
      <c r="Q365" s="172">
        <f t="shared" si="210"/>
        <v>4.2323209999999989</v>
      </c>
      <c r="R365" s="1379"/>
      <c r="S365" s="1363" t="str">
        <f t="shared" si="198"/>
        <v/>
      </c>
      <c r="T365" s="257" t="str">
        <f>IF(R364&lt;0,"закрыт","")</f>
        <v/>
      </c>
      <c r="U365" s="1363"/>
      <c r="V365" s="1363"/>
      <c r="W365" s="257"/>
      <c r="X365" s="929"/>
      <c r="Y365" s="1371"/>
      <c r="Z365" s="1316"/>
      <c r="AA365" s="7" t="s">
        <v>1792</v>
      </c>
      <c r="AB365" s="230">
        <f t="shared" si="194"/>
        <v>20</v>
      </c>
      <c r="AC365" s="1315" t="str">
        <f t="shared" si="195"/>
        <v>+</v>
      </c>
      <c r="AD365" s="1315">
        <f t="shared" si="196"/>
        <v>20</v>
      </c>
      <c r="AE365" s="1315"/>
      <c r="AF365" s="1316"/>
      <c r="AG365" s="1298" t="str">
        <f t="shared" si="199"/>
        <v>20+20</v>
      </c>
      <c r="AH365" s="1304">
        <f>'Зона ТвЭС'!L735</f>
        <v>0</v>
      </c>
      <c r="AI365" s="1304">
        <f t="shared" si="214"/>
        <v>16.767679000000001</v>
      </c>
      <c r="AJ365" s="1304">
        <f t="shared" si="204"/>
        <v>0</v>
      </c>
      <c r="AK365" s="1298">
        <f t="shared" si="197"/>
        <v>0</v>
      </c>
      <c r="AL365" s="1304">
        <f t="shared" si="211"/>
        <v>16.767679000000001</v>
      </c>
      <c r="AM365" s="1298">
        <v>0</v>
      </c>
      <c r="AN365" s="893">
        <f t="shared" si="212"/>
        <v>21</v>
      </c>
      <c r="AO365" s="1304">
        <f t="shared" si="213"/>
        <v>4.2323209999999989</v>
      </c>
      <c r="AP365" s="1309"/>
      <c r="AQ365" s="1309" t="str">
        <f t="shared" si="200"/>
        <v/>
      </c>
      <c r="AR365" s="1298" t="str">
        <f>IF(AP364&lt;0,"закрыт","")</f>
        <v/>
      </c>
      <c r="AS365" s="1306"/>
      <c r="AT365" s="954" t="s">
        <v>97</v>
      </c>
      <c r="AU365" s="1113">
        <v>1981</v>
      </c>
      <c r="AV365" s="1119" t="s">
        <v>3286</v>
      </c>
      <c r="AW365" s="1121">
        <v>56.846325926478499</v>
      </c>
      <c r="AX365" s="1121">
        <v>35.943401629587001</v>
      </c>
    </row>
    <row r="366" spans="1:50" ht="20.100000000000001" customHeight="1" x14ac:dyDescent="0.25">
      <c r="A366" s="1371"/>
      <c r="B366" s="1371"/>
      <c r="C366" s="7" t="s">
        <v>1791</v>
      </c>
      <c r="D366" s="230">
        <v>20</v>
      </c>
      <c r="E366" s="229" t="s">
        <v>785</v>
      </c>
      <c r="F366" s="229">
        <v>20</v>
      </c>
      <c r="G366" s="229"/>
      <c r="H366" s="228"/>
      <c r="I366" s="229" t="str">
        <f t="shared" si="193"/>
        <v>20+20</v>
      </c>
      <c r="J366" s="895">
        <v>3.8077299999999998</v>
      </c>
      <c r="K366" s="904">
        <v>0</v>
      </c>
      <c r="L366" s="125">
        <v>0</v>
      </c>
      <c r="M366" s="172">
        <f t="shared" si="208"/>
        <v>3.8077299999999998</v>
      </c>
      <c r="N366" s="172">
        <v>0</v>
      </c>
      <c r="O366" s="893"/>
      <c r="P366" s="893">
        <f t="shared" si="209"/>
        <v>21</v>
      </c>
      <c r="Q366" s="172">
        <f t="shared" si="210"/>
        <v>17.192270000000001</v>
      </c>
      <c r="R366" s="1379"/>
      <c r="S366" s="1363" t="str">
        <f t="shared" si="198"/>
        <v/>
      </c>
      <c r="T366" s="257" t="str">
        <f>IF(R364&lt;0,"закрыт","")</f>
        <v/>
      </c>
      <c r="U366" s="1363"/>
      <c r="V366" s="1363"/>
      <c r="W366" s="257"/>
      <c r="X366" s="929"/>
      <c r="Y366" s="1371"/>
      <c r="Z366" s="1316"/>
      <c r="AA366" s="7" t="s">
        <v>1791</v>
      </c>
      <c r="AB366" s="230">
        <f t="shared" si="194"/>
        <v>20</v>
      </c>
      <c r="AC366" s="1315" t="str">
        <f t="shared" si="195"/>
        <v>+</v>
      </c>
      <c r="AD366" s="1315">
        <f t="shared" si="196"/>
        <v>20</v>
      </c>
      <c r="AE366" s="1315"/>
      <c r="AF366" s="1316"/>
      <c r="AG366" s="1298" t="str">
        <f t="shared" si="199"/>
        <v>20+20</v>
      </c>
      <c r="AH366" s="1304">
        <f>'Зона ТвЭС'!L753</f>
        <v>7.2499999999999991</v>
      </c>
      <c r="AI366" s="1304">
        <f t="shared" si="214"/>
        <v>11.057729999999999</v>
      </c>
      <c r="AJ366" s="1304">
        <f t="shared" si="204"/>
        <v>0</v>
      </c>
      <c r="AK366" s="1298">
        <f t="shared" si="197"/>
        <v>0</v>
      </c>
      <c r="AL366" s="1304">
        <f t="shared" si="211"/>
        <v>11.057729999999999</v>
      </c>
      <c r="AM366" s="1298">
        <v>0</v>
      </c>
      <c r="AN366" s="893">
        <f t="shared" si="212"/>
        <v>21</v>
      </c>
      <c r="AO366" s="1304">
        <f t="shared" si="213"/>
        <v>9.9422700000000006</v>
      </c>
      <c r="AP366" s="1310"/>
      <c r="AQ366" s="1310" t="str">
        <f t="shared" si="200"/>
        <v/>
      </c>
      <c r="AR366" s="1298" t="str">
        <f>IF(AP364&lt;0,"закрыт","")</f>
        <v/>
      </c>
      <c r="AS366" s="1307"/>
      <c r="AT366" s="954" t="s">
        <v>97</v>
      </c>
      <c r="AU366" s="1113">
        <v>1981</v>
      </c>
      <c r="AV366" s="1119" t="s">
        <v>3286</v>
      </c>
      <c r="AW366" s="1121">
        <v>56.846325926478499</v>
      </c>
      <c r="AX366" s="1121">
        <v>35.943401629587001</v>
      </c>
    </row>
    <row r="367" spans="1:50" ht="20.100000000000001" customHeight="1" x14ac:dyDescent="0.25">
      <c r="A367" s="1371">
        <v>274</v>
      </c>
      <c r="B367" s="1371">
        <v>74</v>
      </c>
      <c r="C367" s="213" t="s">
        <v>241</v>
      </c>
      <c r="D367" s="230">
        <v>10</v>
      </c>
      <c r="E367" s="229" t="s">
        <v>785</v>
      </c>
      <c r="F367" s="229">
        <v>10</v>
      </c>
      <c r="G367" s="229"/>
      <c r="H367" s="228"/>
      <c r="I367" s="229" t="str">
        <f t="shared" si="193"/>
        <v>10+10</v>
      </c>
      <c r="J367" s="895">
        <v>7.7860379999999996</v>
      </c>
      <c r="K367" s="902">
        <v>5.16</v>
      </c>
      <c r="L367" s="124">
        <v>120</v>
      </c>
      <c r="M367" s="172">
        <f t="shared" si="208"/>
        <v>2.6260379999999994</v>
      </c>
      <c r="N367" s="172">
        <v>0</v>
      </c>
      <c r="O367" s="893"/>
      <c r="P367" s="893">
        <f t="shared" si="209"/>
        <v>10.5</v>
      </c>
      <c r="Q367" s="172">
        <f t="shared" si="210"/>
        <v>7.8739620000000006</v>
      </c>
      <c r="R367" s="1379">
        <f>MIN(Q367:Q369)</f>
        <v>7.8707460000000005</v>
      </c>
      <c r="S367" s="1362" t="str">
        <f t="shared" si="198"/>
        <v/>
      </c>
      <c r="T367" s="257" t="str">
        <f>IF(R367&lt;0,"закрыт","")</f>
        <v/>
      </c>
      <c r="U367" s="1362">
        <f>(J367*100)/P367</f>
        <v>74.152742857142854</v>
      </c>
      <c r="V367" s="1362">
        <v>0.255</v>
      </c>
      <c r="W367" s="768"/>
      <c r="X367" s="929"/>
      <c r="Y367" s="1371">
        <v>274</v>
      </c>
      <c r="Z367" s="1316">
        <v>74</v>
      </c>
      <c r="AA367" s="1298" t="s">
        <v>241</v>
      </c>
      <c r="AB367" s="230">
        <f t="shared" si="194"/>
        <v>10</v>
      </c>
      <c r="AC367" s="1315" t="str">
        <f t="shared" si="195"/>
        <v>+</v>
      </c>
      <c r="AD367" s="1315">
        <f t="shared" si="196"/>
        <v>10</v>
      </c>
      <c r="AE367" s="1315"/>
      <c r="AF367" s="1316"/>
      <c r="AG367" s="1298" t="str">
        <f t="shared" si="199"/>
        <v>10+10</v>
      </c>
      <c r="AH367" s="1304">
        <f>SUM(AH368:AH369)</f>
        <v>7.0729999999999995</v>
      </c>
      <c r="AI367" s="1304">
        <f t="shared" si="214"/>
        <v>14.859037999999998</v>
      </c>
      <c r="AJ367" s="1304">
        <f t="shared" si="204"/>
        <v>5.16</v>
      </c>
      <c r="AK367" s="1298">
        <f t="shared" si="197"/>
        <v>120</v>
      </c>
      <c r="AL367" s="1304">
        <f t="shared" si="211"/>
        <v>9.699037999999998</v>
      </c>
      <c r="AM367" s="1298">
        <v>0</v>
      </c>
      <c r="AN367" s="893">
        <f t="shared" si="212"/>
        <v>10.5</v>
      </c>
      <c r="AO367" s="1304">
        <f t="shared" si="213"/>
        <v>0.80096200000000195</v>
      </c>
      <c r="AP367" s="1308">
        <f>MIN(AO367:AO369)</f>
        <v>0.80096200000000195</v>
      </c>
      <c r="AQ367" s="1308" t="str">
        <f t="shared" si="200"/>
        <v/>
      </c>
      <c r="AR367" s="1298" t="str">
        <f>IF(AP367&lt;0,"закрыт","")</f>
        <v/>
      </c>
      <c r="AS367" s="1305">
        <f>(AI367*100)/AN367</f>
        <v>141.51464761904759</v>
      </c>
      <c r="AT367" s="954" t="s">
        <v>97</v>
      </c>
      <c r="AU367" s="1113">
        <v>1987</v>
      </c>
      <c r="AV367" s="1119" t="s">
        <v>3286</v>
      </c>
      <c r="AW367" s="1121">
        <v>56.940839497052899</v>
      </c>
      <c r="AX367" s="1121">
        <v>35.624450234615701</v>
      </c>
    </row>
    <row r="368" spans="1:50" ht="20.100000000000001" customHeight="1" x14ac:dyDescent="0.25">
      <c r="A368" s="1371"/>
      <c r="B368" s="1371"/>
      <c r="C368" s="7" t="s">
        <v>1792</v>
      </c>
      <c r="D368" s="230">
        <v>10</v>
      </c>
      <c r="E368" s="229" t="s">
        <v>785</v>
      </c>
      <c r="F368" s="229">
        <v>10</v>
      </c>
      <c r="G368" s="229"/>
      <c r="H368" s="228"/>
      <c r="I368" s="229" t="str">
        <f t="shared" si="193"/>
        <v>10+10</v>
      </c>
      <c r="J368" s="895">
        <v>5.156784</v>
      </c>
      <c r="K368" s="904">
        <v>5.16</v>
      </c>
      <c r="L368" s="125">
        <v>120</v>
      </c>
      <c r="M368" s="172">
        <f t="shared" si="208"/>
        <v>-3.2160000000001077E-3</v>
      </c>
      <c r="N368" s="172">
        <v>0</v>
      </c>
      <c r="O368" s="893"/>
      <c r="P368" s="893">
        <f t="shared" si="209"/>
        <v>10.5</v>
      </c>
      <c r="Q368" s="172">
        <f t="shared" si="210"/>
        <v>10.503216</v>
      </c>
      <c r="R368" s="1379"/>
      <c r="S368" s="1363" t="str">
        <f t="shared" si="198"/>
        <v/>
      </c>
      <c r="T368" s="257" t="str">
        <f>IF(R367&lt;0,"закрыт","")</f>
        <v/>
      </c>
      <c r="U368" s="1363"/>
      <c r="V368" s="1363"/>
      <c r="W368" s="257" t="s">
        <v>3088</v>
      </c>
      <c r="X368" s="929"/>
      <c r="Y368" s="1371"/>
      <c r="Z368" s="1316"/>
      <c r="AA368" s="7" t="s">
        <v>1792</v>
      </c>
      <c r="AB368" s="230">
        <f t="shared" si="194"/>
        <v>10</v>
      </c>
      <c r="AC368" s="1315" t="str">
        <f t="shared" si="195"/>
        <v>+</v>
      </c>
      <c r="AD368" s="1315">
        <f t="shared" si="196"/>
        <v>10</v>
      </c>
      <c r="AE368" s="1315"/>
      <c r="AF368" s="1316"/>
      <c r="AG368" s="1298" t="str">
        <f t="shared" si="199"/>
        <v>10+10</v>
      </c>
      <c r="AH368" s="1304">
        <f>SUM(AH328+AH320+AH318)</f>
        <v>6.8417499999999993</v>
      </c>
      <c r="AI368" s="1304">
        <f t="shared" si="214"/>
        <v>11.998533999999999</v>
      </c>
      <c r="AJ368" s="1304">
        <f t="shared" si="204"/>
        <v>5.16</v>
      </c>
      <c r="AK368" s="1298">
        <f t="shared" si="197"/>
        <v>120</v>
      </c>
      <c r="AL368" s="1304">
        <f t="shared" si="211"/>
        <v>6.8385339999999992</v>
      </c>
      <c r="AM368" s="1298">
        <v>0</v>
      </c>
      <c r="AN368" s="893">
        <f t="shared" si="212"/>
        <v>10.5</v>
      </c>
      <c r="AO368" s="1304">
        <f t="shared" si="213"/>
        <v>3.6614660000000008</v>
      </c>
      <c r="AP368" s="1309"/>
      <c r="AQ368" s="1309" t="str">
        <f t="shared" si="200"/>
        <v/>
      </c>
      <c r="AR368" s="1298" t="str">
        <f>IF(AP367&lt;0,"закрыт","")</f>
        <v/>
      </c>
      <c r="AS368" s="1306"/>
      <c r="AT368" s="954" t="s">
        <v>97</v>
      </c>
      <c r="AU368" s="1113">
        <v>1987</v>
      </c>
      <c r="AV368" s="1119" t="s">
        <v>3286</v>
      </c>
      <c r="AW368" s="1121">
        <v>56.940839497052899</v>
      </c>
      <c r="AX368" s="1121">
        <v>35.624450234615701</v>
      </c>
    </row>
    <row r="369" spans="1:50" ht="20.100000000000001" customHeight="1" x14ac:dyDescent="0.25">
      <c r="A369" s="1371"/>
      <c r="B369" s="1371"/>
      <c r="C369" s="7" t="s">
        <v>1791</v>
      </c>
      <c r="D369" s="230">
        <v>10</v>
      </c>
      <c r="E369" s="229" t="s">
        <v>785</v>
      </c>
      <c r="F369" s="229">
        <v>10</v>
      </c>
      <c r="G369" s="229"/>
      <c r="H369" s="228"/>
      <c r="I369" s="229" t="str">
        <f t="shared" si="193"/>
        <v>10+10</v>
      </c>
      <c r="J369" s="895">
        <v>2.629254</v>
      </c>
      <c r="K369" s="904"/>
      <c r="L369" s="125">
        <v>120</v>
      </c>
      <c r="M369" s="172">
        <f t="shared" si="208"/>
        <v>2.629254</v>
      </c>
      <c r="N369" s="172">
        <v>0</v>
      </c>
      <c r="O369" s="893"/>
      <c r="P369" s="893">
        <f t="shared" si="209"/>
        <v>10.5</v>
      </c>
      <c r="Q369" s="172">
        <f t="shared" si="210"/>
        <v>7.8707460000000005</v>
      </c>
      <c r="R369" s="1379"/>
      <c r="S369" s="1363" t="str">
        <f t="shared" si="198"/>
        <v/>
      </c>
      <c r="T369" s="257" t="str">
        <f>IF(R367&lt;0,"закрыт","")</f>
        <v/>
      </c>
      <c r="U369" s="1363"/>
      <c r="V369" s="1363"/>
      <c r="W369" s="257"/>
      <c r="X369" s="929"/>
      <c r="Y369" s="1371"/>
      <c r="Z369" s="1316"/>
      <c r="AA369" s="7" t="s">
        <v>1791</v>
      </c>
      <c r="AB369" s="230">
        <f t="shared" si="194"/>
        <v>10</v>
      </c>
      <c r="AC369" s="1315" t="str">
        <f t="shared" si="195"/>
        <v>+</v>
      </c>
      <c r="AD369" s="1315">
        <f t="shared" si="196"/>
        <v>10</v>
      </c>
      <c r="AE369" s="1315"/>
      <c r="AF369" s="1316"/>
      <c r="AG369" s="1298" t="str">
        <f t="shared" si="199"/>
        <v>10+10</v>
      </c>
      <c r="AH369" s="1304">
        <f>'Зона ТвЭС'!L756</f>
        <v>0.23124999999999998</v>
      </c>
      <c r="AI369" s="1304">
        <f t="shared" si="214"/>
        <v>2.8605040000000002</v>
      </c>
      <c r="AJ369" s="1304">
        <f t="shared" si="204"/>
        <v>0</v>
      </c>
      <c r="AK369" s="1298">
        <f t="shared" si="197"/>
        <v>120</v>
      </c>
      <c r="AL369" s="1304">
        <f t="shared" si="211"/>
        <v>2.8605040000000002</v>
      </c>
      <c r="AM369" s="1298">
        <v>0</v>
      </c>
      <c r="AN369" s="893">
        <f t="shared" si="212"/>
        <v>10.5</v>
      </c>
      <c r="AO369" s="1304">
        <f t="shared" si="213"/>
        <v>7.6394959999999994</v>
      </c>
      <c r="AP369" s="1310"/>
      <c r="AQ369" s="1310" t="str">
        <f t="shared" si="200"/>
        <v/>
      </c>
      <c r="AR369" s="1298" t="str">
        <f>IF(AP367&lt;0,"закрыт","")</f>
        <v/>
      </c>
      <c r="AS369" s="1307"/>
      <c r="AT369" s="954" t="s">
        <v>97</v>
      </c>
      <c r="AU369" s="1113">
        <v>1987</v>
      </c>
      <c r="AV369" s="1119" t="s">
        <v>3286</v>
      </c>
      <c r="AW369" s="1121">
        <v>56.940839497052899</v>
      </c>
      <c r="AX369" s="1121">
        <v>35.624450234615701</v>
      </c>
    </row>
    <row r="370" spans="1:50" ht="20.100000000000001" customHeight="1" x14ac:dyDescent="0.25">
      <c r="A370" s="1371">
        <v>275</v>
      </c>
      <c r="B370" s="1371">
        <v>75</v>
      </c>
      <c r="C370" s="213" t="s">
        <v>242</v>
      </c>
      <c r="D370" s="230">
        <v>25</v>
      </c>
      <c r="E370" s="229" t="s">
        <v>785</v>
      </c>
      <c r="F370" s="229">
        <v>25</v>
      </c>
      <c r="G370" s="229"/>
      <c r="H370" s="228"/>
      <c r="I370" s="229" t="str">
        <f t="shared" si="193"/>
        <v>25+25</v>
      </c>
      <c r="J370" s="895">
        <v>15.857872</v>
      </c>
      <c r="K370" s="902">
        <v>3.59</v>
      </c>
      <c r="L370" s="124">
        <v>120</v>
      </c>
      <c r="M370" s="172">
        <f t="shared" si="208"/>
        <v>12.267872000000001</v>
      </c>
      <c r="N370" s="172">
        <v>0</v>
      </c>
      <c r="O370" s="893"/>
      <c r="P370" s="893">
        <f t="shared" si="209"/>
        <v>26.25</v>
      </c>
      <c r="Q370" s="172">
        <f t="shared" si="210"/>
        <v>13.982127999999999</v>
      </c>
      <c r="R370" s="1379">
        <f>MIN(Q370:Q372)</f>
        <v>10.741223999999999</v>
      </c>
      <c r="S370" s="1362" t="str">
        <f t="shared" si="198"/>
        <v/>
      </c>
      <c r="T370" s="257" t="str">
        <f>IF(R370&lt;0,"закрыт","")</f>
        <v/>
      </c>
      <c r="U370" s="1362">
        <f>(J370*100)/P370</f>
        <v>60.410940952380955</v>
      </c>
      <c r="V370" s="1362"/>
      <c r="W370" s="768"/>
      <c r="X370" s="929"/>
      <c r="Y370" s="1371">
        <v>275</v>
      </c>
      <c r="Z370" s="1316">
        <v>75</v>
      </c>
      <c r="AA370" s="1298" t="s">
        <v>242</v>
      </c>
      <c r="AB370" s="230">
        <f t="shared" si="194"/>
        <v>25</v>
      </c>
      <c r="AC370" s="1315" t="str">
        <f t="shared" si="195"/>
        <v>+</v>
      </c>
      <c r="AD370" s="1315">
        <f t="shared" si="196"/>
        <v>25</v>
      </c>
      <c r="AE370" s="1315"/>
      <c r="AF370" s="1316"/>
      <c r="AG370" s="1298" t="str">
        <f t="shared" si="199"/>
        <v>25+25</v>
      </c>
      <c r="AH370" s="1304">
        <f>SUM(AH371:AH372)</f>
        <v>1.6868749999999997</v>
      </c>
      <c r="AI370" s="1304">
        <f t="shared" si="214"/>
        <v>17.544747000000001</v>
      </c>
      <c r="AJ370" s="1304">
        <f t="shared" si="204"/>
        <v>3.59</v>
      </c>
      <c r="AK370" s="1298">
        <f t="shared" si="197"/>
        <v>120</v>
      </c>
      <c r="AL370" s="1304">
        <f t="shared" si="211"/>
        <v>13.954747000000001</v>
      </c>
      <c r="AM370" s="1298">
        <v>0</v>
      </c>
      <c r="AN370" s="893">
        <f t="shared" si="212"/>
        <v>26.25</v>
      </c>
      <c r="AO370" s="1304">
        <f t="shared" si="213"/>
        <v>12.295252999999999</v>
      </c>
      <c r="AP370" s="1308">
        <f>MIN(AO370:AO372)</f>
        <v>9.2418489999999984</v>
      </c>
      <c r="AQ370" s="1308" t="str">
        <f t="shared" si="200"/>
        <v/>
      </c>
      <c r="AR370" s="1298" t="str">
        <f>IF(AP370&lt;0,"закрыт","")</f>
        <v/>
      </c>
      <c r="AS370" s="1305">
        <f>(AI370*100)/AN370</f>
        <v>66.837131428571439</v>
      </c>
      <c r="AT370" s="954" t="s">
        <v>97</v>
      </c>
      <c r="AU370" s="1113">
        <v>1963</v>
      </c>
      <c r="AV370" s="1119" t="s">
        <v>3286</v>
      </c>
      <c r="AW370" s="1121">
        <v>57.117744196011202</v>
      </c>
      <c r="AX370" s="1121">
        <v>35.474582720060397</v>
      </c>
    </row>
    <row r="371" spans="1:50" ht="20.100000000000001" customHeight="1" x14ac:dyDescent="0.25">
      <c r="A371" s="1371"/>
      <c r="B371" s="1371"/>
      <c r="C371" s="7" t="s">
        <v>1792</v>
      </c>
      <c r="D371" s="230">
        <v>25</v>
      </c>
      <c r="E371" s="229" t="s">
        <v>785</v>
      </c>
      <c r="F371" s="229">
        <v>25</v>
      </c>
      <c r="G371" s="229"/>
      <c r="H371" s="228"/>
      <c r="I371" s="229" t="str">
        <f t="shared" si="193"/>
        <v>25+25</v>
      </c>
      <c r="J371" s="895">
        <v>7.1884959999999989</v>
      </c>
      <c r="K371" s="905">
        <v>3.59</v>
      </c>
      <c r="L371" s="125">
        <v>120</v>
      </c>
      <c r="M371" s="172">
        <f t="shared" si="208"/>
        <v>3.598495999999999</v>
      </c>
      <c r="N371" s="172">
        <v>2.93825</v>
      </c>
      <c r="O371" s="893" t="s">
        <v>3082</v>
      </c>
      <c r="P371" s="893">
        <f t="shared" si="209"/>
        <v>26.25</v>
      </c>
      <c r="Q371" s="172">
        <f t="shared" si="210"/>
        <v>19.713254000000003</v>
      </c>
      <c r="R371" s="1379"/>
      <c r="S371" s="1363"/>
      <c r="T371" s="257" t="str">
        <f>IF(R370&lt;0,"закрыт","")</f>
        <v/>
      </c>
      <c r="U371" s="1363"/>
      <c r="V371" s="1363"/>
      <c r="W371" s="257"/>
      <c r="X371" s="929"/>
      <c r="Y371" s="1371"/>
      <c r="Z371" s="1316"/>
      <c r="AA371" s="7" t="s">
        <v>1792</v>
      </c>
      <c r="AB371" s="230">
        <f t="shared" si="194"/>
        <v>25</v>
      </c>
      <c r="AC371" s="1315" t="str">
        <f t="shared" si="195"/>
        <v>+</v>
      </c>
      <c r="AD371" s="1315">
        <f t="shared" si="196"/>
        <v>25</v>
      </c>
      <c r="AE371" s="1315"/>
      <c r="AF371" s="1316"/>
      <c r="AG371" s="1298" t="str">
        <f t="shared" si="199"/>
        <v>25+25</v>
      </c>
      <c r="AH371" s="1304">
        <f>SUM(AH330+AH290+AH292)</f>
        <v>0.18749999999999997</v>
      </c>
      <c r="AI371" s="1304">
        <f t="shared" si="214"/>
        <v>7.3759959999999989</v>
      </c>
      <c r="AJ371" s="1304">
        <f t="shared" si="204"/>
        <v>3.59</v>
      </c>
      <c r="AK371" s="1298">
        <f t="shared" si="197"/>
        <v>120</v>
      </c>
      <c r="AL371" s="1304">
        <f t="shared" si="211"/>
        <v>3.785995999999999</v>
      </c>
      <c r="AM371" s="893">
        <v>2.93825</v>
      </c>
      <c r="AN371" s="893">
        <f t="shared" si="212"/>
        <v>26.25</v>
      </c>
      <c r="AO371" s="1304">
        <f t="shared" si="213"/>
        <v>19.525754000000003</v>
      </c>
      <c r="AP371" s="1309"/>
      <c r="AQ371" s="1309" t="str">
        <f t="shared" si="200"/>
        <v/>
      </c>
      <c r="AR371" s="1298" t="str">
        <f>IF(AP370&lt;0,"закрыт","")</f>
        <v/>
      </c>
      <c r="AS371" s="1306"/>
      <c r="AT371" s="954" t="s">
        <v>97</v>
      </c>
      <c r="AU371" s="1113">
        <v>1963</v>
      </c>
      <c r="AV371" s="1119" t="s">
        <v>3286</v>
      </c>
      <c r="AW371" s="1121">
        <v>57.117744196011202</v>
      </c>
      <c r="AX371" s="1121">
        <v>35.474582720060397</v>
      </c>
    </row>
    <row r="372" spans="1:50" ht="20.100000000000001" customHeight="1" x14ac:dyDescent="0.25">
      <c r="A372" s="1371"/>
      <c r="B372" s="1371"/>
      <c r="C372" s="7" t="s">
        <v>1791</v>
      </c>
      <c r="D372" s="230">
        <v>25</v>
      </c>
      <c r="E372" s="229" t="s">
        <v>785</v>
      </c>
      <c r="F372" s="229">
        <v>25</v>
      </c>
      <c r="G372" s="229"/>
      <c r="H372" s="228"/>
      <c r="I372" s="229" t="str">
        <f t="shared" si="193"/>
        <v>25+25</v>
      </c>
      <c r="J372" s="895">
        <v>8.6693760000000015</v>
      </c>
      <c r="K372" s="905">
        <v>0</v>
      </c>
      <c r="L372" s="125">
        <v>0</v>
      </c>
      <c r="M372" s="172">
        <f t="shared" si="208"/>
        <v>8.6693760000000015</v>
      </c>
      <c r="N372" s="172">
        <v>6.8394000000000013</v>
      </c>
      <c r="O372" s="893" t="s">
        <v>3080</v>
      </c>
      <c r="P372" s="893">
        <f t="shared" si="209"/>
        <v>26.25</v>
      </c>
      <c r="Q372" s="172">
        <f t="shared" si="210"/>
        <v>10.741223999999999</v>
      </c>
      <c r="R372" s="1379"/>
      <c r="S372" s="1363"/>
      <c r="T372" s="257" t="str">
        <f>IF(R370&lt;0,"закрыт","")</f>
        <v/>
      </c>
      <c r="U372" s="1363"/>
      <c r="V372" s="1363"/>
      <c r="W372" s="257"/>
      <c r="X372" s="929"/>
      <c r="Y372" s="1371"/>
      <c r="Z372" s="1316"/>
      <c r="AA372" s="7" t="s">
        <v>1791</v>
      </c>
      <c r="AB372" s="230">
        <f t="shared" si="194"/>
        <v>25</v>
      </c>
      <c r="AC372" s="1315" t="str">
        <f t="shared" si="195"/>
        <v>+</v>
      </c>
      <c r="AD372" s="1315">
        <f t="shared" si="196"/>
        <v>25</v>
      </c>
      <c r="AE372" s="1315"/>
      <c r="AF372" s="1316"/>
      <c r="AG372" s="1298" t="str">
        <f t="shared" si="199"/>
        <v>25+25</v>
      </c>
      <c r="AH372" s="1304">
        <f>'Зона ТвЭС'!L771</f>
        <v>1.4993749999999997</v>
      </c>
      <c r="AI372" s="1304">
        <f t="shared" si="214"/>
        <v>10.168751</v>
      </c>
      <c r="AJ372" s="1304">
        <f t="shared" si="204"/>
        <v>0</v>
      </c>
      <c r="AK372" s="1298">
        <f t="shared" si="197"/>
        <v>0</v>
      </c>
      <c r="AL372" s="1304">
        <f t="shared" si="211"/>
        <v>10.168751</v>
      </c>
      <c r="AM372" s="893">
        <v>6.8394000000000013</v>
      </c>
      <c r="AN372" s="893">
        <f t="shared" si="212"/>
        <v>26.25</v>
      </c>
      <c r="AO372" s="1304">
        <f t="shared" si="213"/>
        <v>9.2418489999999984</v>
      </c>
      <c r="AP372" s="1310"/>
      <c r="AQ372" s="1310" t="str">
        <f t="shared" si="200"/>
        <v/>
      </c>
      <c r="AR372" s="1298" t="str">
        <f>IF(AP370&lt;0,"закрыт","")</f>
        <v/>
      </c>
      <c r="AS372" s="1307"/>
      <c r="AT372" s="954" t="s">
        <v>97</v>
      </c>
      <c r="AU372" s="1113">
        <v>1963</v>
      </c>
      <c r="AV372" s="1119" t="s">
        <v>3286</v>
      </c>
      <c r="AW372" s="1121">
        <v>57.117744196011202</v>
      </c>
      <c r="AX372" s="1121">
        <v>35.474582720060397</v>
      </c>
    </row>
    <row r="373" spans="1:50" ht="20.100000000000001" customHeight="1" x14ac:dyDescent="0.25">
      <c r="A373" s="1371">
        <v>276</v>
      </c>
      <c r="B373" s="1371">
        <v>76</v>
      </c>
      <c r="C373" s="213" t="s">
        <v>243</v>
      </c>
      <c r="D373" s="230">
        <v>16</v>
      </c>
      <c r="E373" s="229" t="s">
        <v>785</v>
      </c>
      <c r="F373" s="229">
        <v>16</v>
      </c>
      <c r="G373" s="229"/>
      <c r="H373" s="228"/>
      <c r="I373" s="229" t="str">
        <f t="shared" si="193"/>
        <v>16+16</v>
      </c>
      <c r="J373" s="895">
        <v>15.771510399999999</v>
      </c>
      <c r="K373" s="902">
        <v>0.39937534399999997</v>
      </c>
      <c r="L373" s="124">
        <v>120</v>
      </c>
      <c r="M373" s="172">
        <f t="shared" si="208"/>
        <v>15.372135055999999</v>
      </c>
      <c r="N373" s="172">
        <v>0</v>
      </c>
      <c r="O373" s="893"/>
      <c r="P373" s="893">
        <f t="shared" si="209"/>
        <v>16.8</v>
      </c>
      <c r="Q373" s="172">
        <f t="shared" si="210"/>
        <v>1.4278649440000013</v>
      </c>
      <c r="R373" s="1379">
        <f>MIN(Q373:Q375)</f>
        <v>1.4278649440000013</v>
      </c>
      <c r="S373" s="1362" t="str">
        <f t="shared" si="198"/>
        <v/>
      </c>
      <c r="T373" s="257" t="str">
        <f>IF(R373&lt;0,"закрыт","")</f>
        <v/>
      </c>
      <c r="U373" s="1362">
        <f>(J373*100)/P373</f>
        <v>93.878038095238082</v>
      </c>
      <c r="V373" s="1362">
        <v>0.35</v>
      </c>
      <c r="W373" s="257" t="s">
        <v>3088</v>
      </c>
      <c r="X373" s="929"/>
      <c r="Y373" s="1371">
        <v>276</v>
      </c>
      <c r="Z373" s="1316">
        <v>76</v>
      </c>
      <c r="AA373" s="1298" t="s">
        <v>243</v>
      </c>
      <c r="AB373" s="230">
        <f t="shared" si="194"/>
        <v>16</v>
      </c>
      <c r="AC373" s="1315" t="str">
        <f t="shared" si="195"/>
        <v>+</v>
      </c>
      <c r="AD373" s="1315">
        <f t="shared" si="196"/>
        <v>16</v>
      </c>
      <c r="AE373" s="1315"/>
      <c r="AF373" s="1316"/>
      <c r="AG373" s="1298" t="str">
        <f t="shared" si="199"/>
        <v>16+16</v>
      </c>
      <c r="AH373" s="1304">
        <f>SUM(AH374:AH375)</f>
        <v>2.7640000000000002</v>
      </c>
      <c r="AI373" s="1304">
        <f t="shared" si="214"/>
        <v>18.5355104</v>
      </c>
      <c r="AJ373" s="1304">
        <f t="shared" si="204"/>
        <v>0.39937534399999997</v>
      </c>
      <c r="AK373" s="1298">
        <f t="shared" si="197"/>
        <v>120</v>
      </c>
      <c r="AL373" s="1304">
        <f t="shared" si="211"/>
        <v>18.136135056000001</v>
      </c>
      <c r="AM373" s="1298">
        <v>0</v>
      </c>
      <c r="AN373" s="893">
        <f t="shared" si="212"/>
        <v>16.8</v>
      </c>
      <c r="AO373" s="1304">
        <f t="shared" si="213"/>
        <v>-1.3361350559999998</v>
      </c>
      <c r="AP373" s="1308">
        <f>MIN(AO373:AO375)</f>
        <v>-1.3361350559999998</v>
      </c>
      <c r="AQ373" s="1308" t="str">
        <f>AR373</f>
        <v>закрыт</v>
      </c>
      <c r="AR373" s="1298" t="str">
        <f>IF(AP373&lt;0,"закрыт","")</f>
        <v>закрыт</v>
      </c>
      <c r="AS373" s="1305">
        <f>(AI373*100)/AN373</f>
        <v>110.33041904761905</v>
      </c>
      <c r="AT373" s="954" t="s">
        <v>97</v>
      </c>
      <c r="AU373" s="1113">
        <v>1981</v>
      </c>
      <c r="AV373" s="1119" t="s">
        <v>3286</v>
      </c>
      <c r="AW373" s="1121">
        <v>56.587896602222003</v>
      </c>
      <c r="AX373" s="1121">
        <v>36.4910108207308</v>
      </c>
    </row>
    <row r="374" spans="1:50" ht="20.100000000000001" customHeight="1" x14ac:dyDescent="0.25">
      <c r="A374" s="1371"/>
      <c r="B374" s="1371"/>
      <c r="C374" s="7" t="s">
        <v>1792</v>
      </c>
      <c r="D374" s="230">
        <v>16</v>
      </c>
      <c r="E374" s="229" t="s">
        <v>785</v>
      </c>
      <c r="F374" s="229">
        <v>16</v>
      </c>
      <c r="G374" s="229"/>
      <c r="H374" s="228"/>
      <c r="I374" s="229" t="str">
        <f t="shared" si="193"/>
        <v>16+16</v>
      </c>
      <c r="J374" s="895">
        <v>15.771510399999999</v>
      </c>
      <c r="K374" s="904">
        <v>0.39937534399999997</v>
      </c>
      <c r="L374" s="125">
        <v>120</v>
      </c>
      <c r="M374" s="172">
        <f t="shared" si="208"/>
        <v>15.372135055999999</v>
      </c>
      <c r="N374" s="172">
        <v>0</v>
      </c>
      <c r="O374" s="893"/>
      <c r="P374" s="893">
        <f t="shared" si="209"/>
        <v>16.8</v>
      </c>
      <c r="Q374" s="172">
        <f t="shared" si="210"/>
        <v>1.4278649440000013</v>
      </c>
      <c r="R374" s="1379"/>
      <c r="S374" s="1363" t="str">
        <f t="shared" si="198"/>
        <v/>
      </c>
      <c r="T374" s="257" t="str">
        <f>IF(R373&lt;0,"закрыт","")</f>
        <v/>
      </c>
      <c r="U374" s="1363"/>
      <c r="V374" s="1363"/>
      <c r="W374" s="257"/>
      <c r="X374" s="929"/>
      <c r="Y374" s="1371"/>
      <c r="Z374" s="1316"/>
      <c r="AA374" s="7" t="s">
        <v>1792</v>
      </c>
      <c r="AB374" s="230">
        <f t="shared" si="194"/>
        <v>16</v>
      </c>
      <c r="AC374" s="1315" t="str">
        <f t="shared" si="195"/>
        <v>+</v>
      </c>
      <c r="AD374" s="1315">
        <f t="shared" si="196"/>
        <v>16</v>
      </c>
      <c r="AE374" s="1315"/>
      <c r="AF374" s="1316"/>
      <c r="AG374" s="1298" t="str">
        <f t="shared" si="199"/>
        <v>16+16</v>
      </c>
      <c r="AH374" s="1304">
        <f>SUM(AH335+AH341+AH343)</f>
        <v>2.7640000000000002</v>
      </c>
      <c r="AI374" s="1304">
        <f t="shared" si="214"/>
        <v>18.5355104</v>
      </c>
      <c r="AJ374" s="1304">
        <f t="shared" si="204"/>
        <v>0.39937534399999997</v>
      </c>
      <c r="AK374" s="1298">
        <f t="shared" si="197"/>
        <v>120</v>
      </c>
      <c r="AL374" s="1304">
        <f t="shared" si="211"/>
        <v>18.136135056000001</v>
      </c>
      <c r="AM374" s="1298">
        <v>0</v>
      </c>
      <c r="AN374" s="893">
        <f t="shared" si="212"/>
        <v>16.8</v>
      </c>
      <c r="AO374" s="1304">
        <f t="shared" si="213"/>
        <v>-1.3361350559999998</v>
      </c>
      <c r="AP374" s="1309"/>
      <c r="AQ374" s="1309"/>
      <c r="AR374" s="1298" t="str">
        <f>IF(AP373&lt;0,"закрыт","")</f>
        <v>закрыт</v>
      </c>
      <c r="AS374" s="1306"/>
      <c r="AT374" s="954" t="s">
        <v>97</v>
      </c>
      <c r="AU374" s="1113">
        <v>1981</v>
      </c>
      <c r="AV374" s="1119" t="s">
        <v>3286</v>
      </c>
      <c r="AW374" s="1121">
        <v>56.587896602222003</v>
      </c>
      <c r="AX374" s="1121">
        <v>36.4910108207308</v>
      </c>
    </row>
    <row r="375" spans="1:50" ht="20.100000000000001" customHeight="1" x14ac:dyDescent="0.25">
      <c r="A375" s="1371"/>
      <c r="B375" s="1371"/>
      <c r="C375" s="7" t="s">
        <v>1791</v>
      </c>
      <c r="D375" s="230">
        <v>16</v>
      </c>
      <c r="E375" s="229" t="s">
        <v>785</v>
      </c>
      <c r="F375" s="229">
        <v>16</v>
      </c>
      <c r="G375" s="229"/>
      <c r="H375" s="228"/>
      <c r="I375" s="229" t="str">
        <f t="shared" si="193"/>
        <v>16+16</v>
      </c>
      <c r="J375" s="895">
        <v>0</v>
      </c>
      <c r="K375" s="904">
        <v>0</v>
      </c>
      <c r="L375" s="125">
        <v>0</v>
      </c>
      <c r="M375" s="172">
        <f t="shared" si="208"/>
        <v>0</v>
      </c>
      <c r="N375" s="172">
        <v>0</v>
      </c>
      <c r="O375" s="893"/>
      <c r="P375" s="893">
        <f t="shared" si="209"/>
        <v>16.8</v>
      </c>
      <c r="Q375" s="172">
        <f t="shared" si="210"/>
        <v>16.8</v>
      </c>
      <c r="R375" s="1379"/>
      <c r="S375" s="1363" t="str">
        <f t="shared" si="198"/>
        <v/>
      </c>
      <c r="T375" s="257" t="str">
        <f>IF(R373&lt;0,"закрыт","")</f>
        <v/>
      </c>
      <c r="U375" s="1363"/>
      <c r="V375" s="1363"/>
      <c r="W375" s="257"/>
      <c r="X375" s="929"/>
      <c r="Y375" s="1371"/>
      <c r="Z375" s="1316"/>
      <c r="AA375" s="7" t="s">
        <v>1791</v>
      </c>
      <c r="AB375" s="230">
        <f t="shared" si="194"/>
        <v>16</v>
      </c>
      <c r="AC375" s="1315" t="str">
        <f t="shared" si="195"/>
        <v>+</v>
      </c>
      <c r="AD375" s="1315">
        <f t="shared" si="196"/>
        <v>16</v>
      </c>
      <c r="AE375" s="1315"/>
      <c r="AF375" s="1316"/>
      <c r="AG375" s="1298" t="str">
        <f t="shared" si="199"/>
        <v>16+16</v>
      </c>
      <c r="AH375" s="1304">
        <f>'Зона ТвЭС'!J773</f>
        <v>0</v>
      </c>
      <c r="AI375" s="1304">
        <f t="shared" si="214"/>
        <v>0</v>
      </c>
      <c r="AJ375" s="1304">
        <f t="shared" si="204"/>
        <v>0</v>
      </c>
      <c r="AK375" s="1298">
        <f t="shared" si="197"/>
        <v>0</v>
      </c>
      <c r="AL375" s="1304">
        <f t="shared" si="211"/>
        <v>0</v>
      </c>
      <c r="AM375" s="1298">
        <v>0</v>
      </c>
      <c r="AN375" s="893">
        <f t="shared" si="212"/>
        <v>16.8</v>
      </c>
      <c r="AO375" s="1304">
        <f t="shared" si="213"/>
        <v>16.8</v>
      </c>
      <c r="AP375" s="1310"/>
      <c r="AQ375" s="1310"/>
      <c r="AR375" s="1298" t="str">
        <f>IF(AP373&lt;0,"закрыт","")</f>
        <v>закрыт</v>
      </c>
      <c r="AS375" s="1307"/>
      <c r="AT375" s="954" t="s">
        <v>97</v>
      </c>
      <c r="AU375" s="1113">
        <v>1981</v>
      </c>
      <c r="AV375" s="1119" t="s">
        <v>3286</v>
      </c>
      <c r="AW375" s="1121">
        <v>56.587896602222003</v>
      </c>
      <c r="AX375" s="1121">
        <v>36.4910108207308</v>
      </c>
    </row>
    <row r="376" spans="1:50" ht="20.100000000000001" customHeight="1" x14ac:dyDescent="0.25">
      <c r="A376" s="1371">
        <v>277</v>
      </c>
      <c r="B376" s="1371">
        <v>77</v>
      </c>
      <c r="C376" s="213" t="s">
        <v>244</v>
      </c>
      <c r="D376" s="230">
        <v>40</v>
      </c>
      <c r="E376" s="229" t="s">
        <v>785</v>
      </c>
      <c r="F376" s="229">
        <v>40.5</v>
      </c>
      <c r="G376" s="229"/>
      <c r="H376" s="228"/>
      <c r="I376" s="229" t="str">
        <f t="shared" si="193"/>
        <v>40+40,5</v>
      </c>
      <c r="J376" s="895">
        <v>28.265605000000001</v>
      </c>
      <c r="K376" s="902">
        <v>4.468589999999999</v>
      </c>
      <c r="L376" s="124">
        <v>120</v>
      </c>
      <c r="M376" s="172">
        <f t="shared" si="208"/>
        <v>23.797015000000002</v>
      </c>
      <c r="N376" s="172">
        <v>0</v>
      </c>
      <c r="O376" s="893"/>
      <c r="P376" s="893">
        <f t="shared" si="209"/>
        <v>42</v>
      </c>
      <c r="Q376" s="172">
        <f t="shared" si="210"/>
        <v>18.202984999999998</v>
      </c>
      <c r="R376" s="1379">
        <f>MIN(Q376:Q378)</f>
        <v>8.5038149999999995</v>
      </c>
      <c r="S376" s="1362" t="str">
        <f t="shared" si="198"/>
        <v/>
      </c>
      <c r="T376" s="257" t="str">
        <f>IF(R376&lt;0,"закрыт","")</f>
        <v/>
      </c>
      <c r="U376" s="1362">
        <f>(J376*100)/P376</f>
        <v>67.299059523809518</v>
      </c>
      <c r="V376" s="1362">
        <v>0.37</v>
      </c>
      <c r="W376" s="768"/>
      <c r="X376" s="929"/>
      <c r="Y376" s="1371">
        <v>277</v>
      </c>
      <c r="Z376" s="1316">
        <v>77</v>
      </c>
      <c r="AA376" s="1298" t="s">
        <v>244</v>
      </c>
      <c r="AB376" s="230">
        <f t="shared" si="194"/>
        <v>40</v>
      </c>
      <c r="AC376" s="1315" t="str">
        <f t="shared" si="195"/>
        <v>+</v>
      </c>
      <c r="AD376" s="1315">
        <f t="shared" si="196"/>
        <v>40.5</v>
      </c>
      <c r="AE376" s="1315"/>
      <c r="AF376" s="1316"/>
      <c r="AG376" s="1298" t="str">
        <f t="shared" si="199"/>
        <v>40+40,5</v>
      </c>
      <c r="AH376" s="1304">
        <f>SUM(AH377:AH378)</f>
        <v>3.3928750000000001</v>
      </c>
      <c r="AI376" s="1304">
        <f t="shared" si="214"/>
        <v>31.658480000000001</v>
      </c>
      <c r="AJ376" s="1304">
        <f t="shared" si="204"/>
        <v>4.468589999999999</v>
      </c>
      <c r="AK376" s="1298">
        <f t="shared" si="197"/>
        <v>120</v>
      </c>
      <c r="AL376" s="1304">
        <f t="shared" si="211"/>
        <v>27.189890000000002</v>
      </c>
      <c r="AM376" s="1298">
        <v>0</v>
      </c>
      <c r="AN376" s="893">
        <f t="shared" si="212"/>
        <v>42</v>
      </c>
      <c r="AO376" s="1304">
        <f t="shared" si="213"/>
        <v>14.810109999999998</v>
      </c>
      <c r="AP376" s="1308">
        <f>MIN(AO376:AO378)</f>
        <v>5.1109399999999994</v>
      </c>
      <c r="AQ376" s="1308" t="str">
        <f t="shared" si="200"/>
        <v/>
      </c>
      <c r="AR376" s="1298" t="str">
        <f>IF(AP376&lt;0,"закрыт","")</f>
        <v/>
      </c>
      <c r="AS376" s="1305">
        <f>(AI376*100)/AN376</f>
        <v>75.377333333333326</v>
      </c>
      <c r="AT376" s="954" t="s">
        <v>97</v>
      </c>
      <c r="AU376" s="1113">
        <v>1957</v>
      </c>
      <c r="AV376" s="1119" t="s">
        <v>3286</v>
      </c>
      <c r="AW376" s="1121">
        <v>56.652821284373097</v>
      </c>
      <c r="AX376" s="1121">
        <v>36.286133958084797</v>
      </c>
    </row>
    <row r="377" spans="1:50" ht="20.100000000000001" customHeight="1" x14ac:dyDescent="0.25">
      <c r="A377" s="1371"/>
      <c r="B377" s="1371"/>
      <c r="C377" s="7" t="s">
        <v>1792</v>
      </c>
      <c r="D377" s="230">
        <v>40</v>
      </c>
      <c r="E377" s="229" t="s">
        <v>785</v>
      </c>
      <c r="F377" s="229">
        <v>40</v>
      </c>
      <c r="G377" s="229"/>
      <c r="H377" s="228"/>
      <c r="I377" s="229" t="str">
        <f t="shared" si="193"/>
        <v>40+40</v>
      </c>
      <c r="J377" s="895">
        <v>23.938874999999999</v>
      </c>
      <c r="K377" s="905">
        <v>4.468589999999999</v>
      </c>
      <c r="L377" s="125">
        <v>120</v>
      </c>
      <c r="M377" s="172">
        <f t="shared" si="208"/>
        <v>19.470285000000001</v>
      </c>
      <c r="N377" s="172">
        <v>14.0259</v>
      </c>
      <c r="O377" s="893" t="s">
        <v>3475</v>
      </c>
      <c r="P377" s="893">
        <f t="shared" si="209"/>
        <v>42</v>
      </c>
      <c r="Q377" s="172">
        <f t="shared" si="210"/>
        <v>8.5038149999999995</v>
      </c>
      <c r="R377" s="1379"/>
      <c r="S377" s="1363"/>
      <c r="T377" s="257" t="str">
        <f>IF(R376&lt;0,"закрыт","")</f>
        <v/>
      </c>
      <c r="U377" s="1363"/>
      <c r="V377" s="1363"/>
      <c r="W377" s="257" t="s">
        <v>3088</v>
      </c>
      <c r="X377" s="929"/>
      <c r="Y377" s="1371"/>
      <c r="Z377" s="1316"/>
      <c r="AA377" s="7" t="s">
        <v>1792</v>
      </c>
      <c r="AB377" s="230">
        <f t="shared" si="194"/>
        <v>40</v>
      </c>
      <c r="AC377" s="1315" t="str">
        <f t="shared" si="195"/>
        <v>+</v>
      </c>
      <c r="AD377" s="1315">
        <f t="shared" si="196"/>
        <v>40</v>
      </c>
      <c r="AE377" s="1315"/>
      <c r="AF377" s="1316"/>
      <c r="AG377" s="1298" t="str">
        <f t="shared" si="199"/>
        <v>40+40</v>
      </c>
      <c r="AH377" s="1304">
        <f>SUM(AH295+AH331+AH332+AH333+AH334+AH338+AH340)</f>
        <v>3.3928750000000001</v>
      </c>
      <c r="AI377" s="1304">
        <f t="shared" si="214"/>
        <v>27.33175</v>
      </c>
      <c r="AJ377" s="1304">
        <f t="shared" si="204"/>
        <v>4.468589999999999</v>
      </c>
      <c r="AK377" s="1298">
        <f t="shared" si="197"/>
        <v>120</v>
      </c>
      <c r="AL377" s="1304">
        <f t="shared" si="211"/>
        <v>22.863160000000001</v>
      </c>
      <c r="AM377" s="893">
        <v>14.0259</v>
      </c>
      <c r="AN377" s="893">
        <f t="shared" si="212"/>
        <v>42</v>
      </c>
      <c r="AO377" s="1304">
        <f t="shared" si="213"/>
        <v>5.1109399999999994</v>
      </c>
      <c r="AP377" s="1309"/>
      <c r="AQ377" s="1309" t="str">
        <f t="shared" si="200"/>
        <v/>
      </c>
      <c r="AR377" s="1298" t="str">
        <f>IF(AP376&lt;0,"закрыт","")</f>
        <v/>
      </c>
      <c r="AS377" s="1306"/>
      <c r="AT377" s="954" t="s">
        <v>97</v>
      </c>
      <c r="AU377" s="1113">
        <v>1957</v>
      </c>
      <c r="AV377" s="1119" t="s">
        <v>3286</v>
      </c>
      <c r="AW377" s="1121">
        <v>56.652821284373097</v>
      </c>
      <c r="AX377" s="1121">
        <v>36.286133958084797</v>
      </c>
    </row>
    <row r="378" spans="1:50" ht="20.100000000000001" customHeight="1" x14ac:dyDescent="0.25">
      <c r="A378" s="1371"/>
      <c r="B378" s="1371"/>
      <c r="C378" s="7" t="s">
        <v>1791</v>
      </c>
      <c r="D378" s="230">
        <v>40</v>
      </c>
      <c r="E378" s="229" t="s">
        <v>785</v>
      </c>
      <c r="F378" s="229">
        <v>40</v>
      </c>
      <c r="G378" s="229"/>
      <c r="H378" s="228"/>
      <c r="I378" s="229" t="str">
        <f t="shared" si="193"/>
        <v>40+40</v>
      </c>
      <c r="J378" s="895">
        <v>4.3267299999999995</v>
      </c>
      <c r="K378" s="905">
        <v>0</v>
      </c>
      <c r="L378" s="125">
        <v>0</v>
      </c>
      <c r="M378" s="172">
        <f t="shared" si="208"/>
        <v>4.3267299999999995</v>
      </c>
      <c r="N378" s="172">
        <v>19.164000000000001</v>
      </c>
      <c r="O378" s="893" t="s">
        <v>3077</v>
      </c>
      <c r="P378" s="893">
        <f t="shared" si="209"/>
        <v>42</v>
      </c>
      <c r="Q378" s="172">
        <f t="shared" si="210"/>
        <v>18.509270000000001</v>
      </c>
      <c r="R378" s="1379"/>
      <c r="S378" s="1363"/>
      <c r="T378" s="257" t="str">
        <f>IF(R376&lt;0,"закрыт","")</f>
        <v/>
      </c>
      <c r="U378" s="1363"/>
      <c r="V378" s="1363"/>
      <c r="W378" s="257" t="s">
        <v>3088</v>
      </c>
      <c r="X378" s="929"/>
      <c r="Y378" s="1371"/>
      <c r="Z378" s="1316"/>
      <c r="AA378" s="7" t="s">
        <v>1791</v>
      </c>
      <c r="AB378" s="230">
        <f t="shared" si="194"/>
        <v>40</v>
      </c>
      <c r="AC378" s="1315" t="str">
        <f t="shared" si="195"/>
        <v>+</v>
      </c>
      <c r="AD378" s="1315">
        <f t="shared" si="196"/>
        <v>40</v>
      </c>
      <c r="AE378" s="1315"/>
      <c r="AF378" s="1316"/>
      <c r="AG378" s="1298" t="str">
        <f t="shared" si="199"/>
        <v>40+40</v>
      </c>
      <c r="AH378" s="1304">
        <f>'Зона ТвЭС'!L782</f>
        <v>0</v>
      </c>
      <c r="AI378" s="1304">
        <f t="shared" si="214"/>
        <v>4.3267299999999995</v>
      </c>
      <c r="AJ378" s="1304">
        <f t="shared" si="204"/>
        <v>0</v>
      </c>
      <c r="AK378" s="1298">
        <f t="shared" si="197"/>
        <v>0</v>
      </c>
      <c r="AL378" s="1304">
        <f t="shared" si="211"/>
        <v>4.3267299999999995</v>
      </c>
      <c r="AM378" s="893">
        <v>19.164000000000001</v>
      </c>
      <c r="AN378" s="893">
        <f t="shared" si="212"/>
        <v>42</v>
      </c>
      <c r="AO378" s="1304">
        <f t="shared" si="213"/>
        <v>18.509270000000001</v>
      </c>
      <c r="AP378" s="1310"/>
      <c r="AQ378" s="1310" t="str">
        <f t="shared" si="200"/>
        <v/>
      </c>
      <c r="AR378" s="1298" t="str">
        <f>IF(AP376&lt;0,"закрыт","")</f>
        <v/>
      </c>
      <c r="AS378" s="1307"/>
      <c r="AT378" s="954" t="s">
        <v>97</v>
      </c>
      <c r="AU378" s="1113">
        <v>1957</v>
      </c>
      <c r="AV378" s="1119" t="s">
        <v>3286</v>
      </c>
      <c r="AW378" s="1121">
        <v>56.652821284373097</v>
      </c>
      <c r="AX378" s="1121">
        <v>36.286133958084797</v>
      </c>
    </row>
    <row r="379" spans="1:50" ht="20.100000000000001" customHeight="1" x14ac:dyDescent="0.25">
      <c r="A379" s="1371">
        <v>278</v>
      </c>
      <c r="B379" s="1371">
        <v>78</v>
      </c>
      <c r="C379" s="213" t="s">
        <v>245</v>
      </c>
      <c r="D379" s="230">
        <v>25</v>
      </c>
      <c r="E379" s="229" t="s">
        <v>785</v>
      </c>
      <c r="F379" s="229">
        <v>10</v>
      </c>
      <c r="G379" s="229"/>
      <c r="H379" s="228"/>
      <c r="I379" s="229" t="str">
        <f t="shared" si="193"/>
        <v>25+10</v>
      </c>
      <c r="J379" s="895">
        <v>6.3826619999999998</v>
      </c>
      <c r="K379" s="902">
        <v>1.2871199999999998</v>
      </c>
      <c r="L379" s="124">
        <v>120</v>
      </c>
      <c r="M379" s="172">
        <f t="shared" si="208"/>
        <v>5.095542</v>
      </c>
      <c r="N379" s="172">
        <v>0</v>
      </c>
      <c r="O379" s="893"/>
      <c r="P379" s="893">
        <f t="shared" si="209"/>
        <v>10.5</v>
      </c>
      <c r="Q379" s="172">
        <f t="shared" si="210"/>
        <v>5.404458</v>
      </c>
      <c r="R379" s="1379">
        <f>MIN(Q379:Q381)</f>
        <v>5.404458</v>
      </c>
      <c r="S379" s="1362" t="str">
        <f t="shared" si="198"/>
        <v/>
      </c>
      <c r="T379" s="257" t="str">
        <f>IF(R379&lt;0,"закрыт","")</f>
        <v/>
      </c>
      <c r="U379" s="1362">
        <f>(J379*100)/P379</f>
        <v>60.787257142857143</v>
      </c>
      <c r="V379" s="1362">
        <v>0.45</v>
      </c>
      <c r="W379" s="768"/>
      <c r="X379" s="929"/>
      <c r="Y379" s="1371">
        <v>278</v>
      </c>
      <c r="Z379" s="1316">
        <v>78</v>
      </c>
      <c r="AA379" s="1298" t="s">
        <v>245</v>
      </c>
      <c r="AB379" s="230">
        <f t="shared" si="194"/>
        <v>25</v>
      </c>
      <c r="AC379" s="1315" t="str">
        <f t="shared" si="195"/>
        <v>+</v>
      </c>
      <c r="AD379" s="1315">
        <f t="shared" si="196"/>
        <v>10</v>
      </c>
      <c r="AE379" s="1315"/>
      <c r="AF379" s="1316"/>
      <c r="AG379" s="1298" t="str">
        <f t="shared" si="199"/>
        <v>25+10</v>
      </c>
      <c r="AH379" s="1304">
        <f>SUM(AH380:AH381)</f>
        <v>0.91437500000000005</v>
      </c>
      <c r="AI379" s="1304">
        <f t="shared" si="214"/>
        <v>7.2970369999999996</v>
      </c>
      <c r="AJ379" s="1304">
        <f t="shared" si="204"/>
        <v>1.2871199999999998</v>
      </c>
      <c r="AK379" s="1298">
        <f t="shared" si="197"/>
        <v>120</v>
      </c>
      <c r="AL379" s="1304">
        <f t="shared" si="211"/>
        <v>6.0099169999999997</v>
      </c>
      <c r="AM379" s="1298">
        <v>0</v>
      </c>
      <c r="AN379" s="893">
        <f t="shared" si="212"/>
        <v>10.5</v>
      </c>
      <c r="AO379" s="1304">
        <f t="shared" si="213"/>
        <v>4.4900830000000003</v>
      </c>
      <c r="AP379" s="1308">
        <f>MIN(AO379:AO381)</f>
        <v>4.4900830000000003</v>
      </c>
      <c r="AQ379" s="1308" t="str">
        <f t="shared" si="200"/>
        <v/>
      </c>
      <c r="AR379" s="1298" t="str">
        <f>IF(AP379&lt;0,"закрыт","")</f>
        <v/>
      </c>
      <c r="AS379" s="1305">
        <f>(AI379*100)/AN379</f>
        <v>69.495590476190472</v>
      </c>
      <c r="AT379" s="954" t="s">
        <v>97</v>
      </c>
      <c r="AU379" s="1113">
        <v>1964</v>
      </c>
      <c r="AV379" s="1119" t="s">
        <v>3286</v>
      </c>
      <c r="AW379" s="1121">
        <v>57.3406360797293</v>
      </c>
      <c r="AX379" s="1121">
        <v>36.047738987915402</v>
      </c>
    </row>
    <row r="380" spans="1:50" ht="20.100000000000001" customHeight="1" x14ac:dyDescent="0.25">
      <c r="A380" s="1371"/>
      <c r="B380" s="1371"/>
      <c r="C380" s="7" t="s">
        <v>1792</v>
      </c>
      <c r="D380" s="230">
        <v>25</v>
      </c>
      <c r="E380" s="229" t="s">
        <v>785</v>
      </c>
      <c r="F380" s="229">
        <v>10</v>
      </c>
      <c r="G380" s="229"/>
      <c r="H380" s="228"/>
      <c r="I380" s="229" t="str">
        <f t="shared" si="193"/>
        <v>25+10</v>
      </c>
      <c r="J380" s="895">
        <v>3.2821560000000001</v>
      </c>
      <c r="K380" s="904">
        <v>1.2871199999999998</v>
      </c>
      <c r="L380" s="125">
        <v>120</v>
      </c>
      <c r="M380" s="172">
        <f t="shared" si="208"/>
        <v>1.9950360000000003</v>
      </c>
      <c r="N380" s="172">
        <v>0</v>
      </c>
      <c r="O380" s="893"/>
      <c r="P380" s="893">
        <f t="shared" si="209"/>
        <v>10.5</v>
      </c>
      <c r="Q380" s="172">
        <f t="shared" si="210"/>
        <v>8.5049639999999993</v>
      </c>
      <c r="R380" s="1379"/>
      <c r="S380" s="1363"/>
      <c r="T380" s="257" t="str">
        <f>IF(R379&lt;0,"закрыт","")</f>
        <v/>
      </c>
      <c r="U380" s="1363"/>
      <c r="V380" s="1363"/>
      <c r="W380" s="257" t="s">
        <v>3088</v>
      </c>
      <c r="X380" s="929"/>
      <c r="Y380" s="1371"/>
      <c r="Z380" s="1316"/>
      <c r="AA380" s="7" t="s">
        <v>1792</v>
      </c>
      <c r="AB380" s="230">
        <f t="shared" si="194"/>
        <v>25</v>
      </c>
      <c r="AC380" s="1315" t="str">
        <f t="shared" si="195"/>
        <v>+</v>
      </c>
      <c r="AD380" s="1315">
        <f t="shared" si="196"/>
        <v>10</v>
      </c>
      <c r="AE380" s="1315"/>
      <c r="AF380" s="1316"/>
      <c r="AG380" s="1298" t="str">
        <f t="shared" si="199"/>
        <v>25+10</v>
      </c>
      <c r="AH380" s="1304">
        <f>SUM(AH298+AH299+AH329+AH291)</f>
        <v>0</v>
      </c>
      <c r="AI380" s="1304">
        <f t="shared" si="214"/>
        <v>3.2821560000000001</v>
      </c>
      <c r="AJ380" s="1304">
        <f t="shared" si="204"/>
        <v>1.2871199999999998</v>
      </c>
      <c r="AK380" s="1298">
        <f t="shared" si="197"/>
        <v>120</v>
      </c>
      <c r="AL380" s="1304">
        <f t="shared" si="211"/>
        <v>1.9950360000000003</v>
      </c>
      <c r="AM380" s="1298">
        <v>0</v>
      </c>
      <c r="AN380" s="893">
        <f t="shared" si="212"/>
        <v>10.5</v>
      </c>
      <c r="AO380" s="1304">
        <f t="shared" si="213"/>
        <v>8.5049639999999993</v>
      </c>
      <c r="AP380" s="1309"/>
      <c r="AQ380" s="1309" t="str">
        <f t="shared" si="200"/>
        <v/>
      </c>
      <c r="AR380" s="1298" t="str">
        <f>IF(AP379&lt;0,"закрыт","")</f>
        <v/>
      </c>
      <c r="AS380" s="1306"/>
      <c r="AT380" s="954" t="s">
        <v>97</v>
      </c>
      <c r="AU380" s="1113">
        <v>1964</v>
      </c>
      <c r="AV380" s="1119" t="s">
        <v>3286</v>
      </c>
      <c r="AW380" s="1121">
        <v>57.3406360797293</v>
      </c>
      <c r="AX380" s="1121">
        <v>36.047738987915402</v>
      </c>
    </row>
    <row r="381" spans="1:50" ht="20.100000000000001" customHeight="1" x14ac:dyDescent="0.25">
      <c r="A381" s="1371"/>
      <c r="B381" s="1371"/>
      <c r="C381" s="7" t="s">
        <v>1791</v>
      </c>
      <c r="D381" s="230">
        <v>25</v>
      </c>
      <c r="E381" s="229" t="s">
        <v>785</v>
      </c>
      <c r="F381" s="229">
        <v>10</v>
      </c>
      <c r="G381" s="229"/>
      <c r="H381" s="228"/>
      <c r="I381" s="229" t="str">
        <f t="shared" si="193"/>
        <v>25+10</v>
      </c>
      <c r="J381" s="895">
        <v>3.1005059999999998</v>
      </c>
      <c r="K381" s="904">
        <v>0</v>
      </c>
      <c r="L381" s="125">
        <v>120</v>
      </c>
      <c r="M381" s="172">
        <f t="shared" si="208"/>
        <v>3.1005059999999998</v>
      </c>
      <c r="N381" s="172">
        <v>0</v>
      </c>
      <c r="O381" s="893"/>
      <c r="P381" s="893">
        <f t="shared" si="209"/>
        <v>10.5</v>
      </c>
      <c r="Q381" s="172">
        <f t="shared" si="210"/>
        <v>7.3994940000000007</v>
      </c>
      <c r="R381" s="1379"/>
      <c r="S381" s="1363"/>
      <c r="T381" s="257" t="str">
        <f>IF(R379&lt;0,"закрыт","")</f>
        <v/>
      </c>
      <c r="U381" s="1363"/>
      <c r="V381" s="1363"/>
      <c r="W381" s="257" t="s">
        <v>3088</v>
      </c>
      <c r="X381" s="929"/>
      <c r="Y381" s="1371"/>
      <c r="Z381" s="1316"/>
      <c r="AA381" s="7" t="s">
        <v>1791</v>
      </c>
      <c r="AB381" s="230">
        <f t="shared" si="194"/>
        <v>25</v>
      </c>
      <c r="AC381" s="1315" t="str">
        <f t="shared" si="195"/>
        <v>+</v>
      </c>
      <c r="AD381" s="1315">
        <f t="shared" si="196"/>
        <v>10</v>
      </c>
      <c r="AE381" s="1315"/>
      <c r="AF381" s="1316"/>
      <c r="AG381" s="1298" t="str">
        <f t="shared" si="199"/>
        <v>25+10</v>
      </c>
      <c r="AH381" s="1304">
        <f>'Зона ТвЭС'!L795</f>
        <v>0.91437500000000005</v>
      </c>
      <c r="AI381" s="1304">
        <f t="shared" si="214"/>
        <v>4.0148809999999999</v>
      </c>
      <c r="AJ381" s="1304">
        <f t="shared" si="204"/>
        <v>0</v>
      </c>
      <c r="AK381" s="1298">
        <f t="shared" si="197"/>
        <v>120</v>
      </c>
      <c r="AL381" s="1304">
        <f t="shared" si="211"/>
        <v>4.0148809999999999</v>
      </c>
      <c r="AM381" s="1298">
        <v>0</v>
      </c>
      <c r="AN381" s="893">
        <f t="shared" si="212"/>
        <v>10.5</v>
      </c>
      <c r="AO381" s="1304">
        <f t="shared" si="213"/>
        <v>6.4851190000000001</v>
      </c>
      <c r="AP381" s="1310"/>
      <c r="AQ381" s="1310" t="str">
        <f t="shared" si="200"/>
        <v/>
      </c>
      <c r="AR381" s="1298" t="str">
        <f>IF(AP379&lt;0,"закрыт","")</f>
        <v/>
      </c>
      <c r="AS381" s="1307"/>
      <c r="AT381" s="954" t="s">
        <v>97</v>
      </c>
      <c r="AU381" s="1113">
        <v>1964</v>
      </c>
      <c r="AV381" s="1119" t="s">
        <v>3286</v>
      </c>
      <c r="AW381" s="1121">
        <v>57.3406360797293</v>
      </c>
      <c r="AX381" s="1121">
        <v>36.047738987915402</v>
      </c>
    </row>
    <row r="382" spans="1:50" ht="20.100000000000001" customHeight="1" x14ac:dyDescent="0.25">
      <c r="A382" s="1371">
        <v>279</v>
      </c>
      <c r="B382" s="1371">
        <v>79</v>
      </c>
      <c r="C382" s="213" t="s">
        <v>246</v>
      </c>
      <c r="D382" s="230">
        <v>25</v>
      </c>
      <c r="E382" s="229" t="s">
        <v>785</v>
      </c>
      <c r="F382" s="229">
        <v>25</v>
      </c>
      <c r="G382" s="229"/>
      <c r="H382" s="228"/>
      <c r="I382" s="229" t="str">
        <f t="shared" si="193"/>
        <v>25+25</v>
      </c>
      <c r="J382" s="895">
        <v>0.35395800000000005</v>
      </c>
      <c r="K382" s="902">
        <v>0</v>
      </c>
      <c r="L382" s="124">
        <v>120</v>
      </c>
      <c r="M382" s="172">
        <f t="shared" si="208"/>
        <v>0.35395800000000005</v>
      </c>
      <c r="N382" s="172">
        <v>0</v>
      </c>
      <c r="O382" s="893"/>
      <c r="P382" s="893">
        <f t="shared" si="209"/>
        <v>26.25</v>
      </c>
      <c r="Q382" s="172">
        <f t="shared" si="210"/>
        <v>25.896042000000001</v>
      </c>
      <c r="R382" s="1379">
        <f>MIN(Q382:Q384)</f>
        <v>14.451662000000001</v>
      </c>
      <c r="S382" s="1362" t="str">
        <f t="shared" si="198"/>
        <v/>
      </c>
      <c r="T382" s="257" t="str">
        <f>IF(R382&lt;0,"закрыт","")</f>
        <v/>
      </c>
      <c r="U382" s="1362">
        <f>(J382*100)/P382</f>
        <v>1.3484114285714288</v>
      </c>
      <c r="V382" s="1362"/>
      <c r="W382" s="768"/>
      <c r="X382" s="929"/>
      <c r="Y382" s="1371">
        <v>279</v>
      </c>
      <c r="Z382" s="1316">
        <v>79</v>
      </c>
      <c r="AA382" s="1298" t="s">
        <v>246</v>
      </c>
      <c r="AB382" s="230">
        <f t="shared" si="194"/>
        <v>25</v>
      </c>
      <c r="AC382" s="1315" t="str">
        <f t="shared" si="195"/>
        <v>+</v>
      </c>
      <c r="AD382" s="1315">
        <f t="shared" si="196"/>
        <v>25</v>
      </c>
      <c r="AE382" s="1315"/>
      <c r="AF382" s="1316"/>
      <c r="AG382" s="1298" t="str">
        <f t="shared" si="199"/>
        <v>25+25</v>
      </c>
      <c r="AH382" s="1304">
        <f>SUM(AH383:AH384)</f>
        <v>0</v>
      </c>
      <c r="AI382" s="1304">
        <f t="shared" si="214"/>
        <v>0.35395800000000005</v>
      </c>
      <c r="AJ382" s="1304">
        <f t="shared" si="204"/>
        <v>0</v>
      </c>
      <c r="AK382" s="1298">
        <f t="shared" si="197"/>
        <v>120</v>
      </c>
      <c r="AL382" s="1304">
        <f t="shared" si="211"/>
        <v>0.35395800000000005</v>
      </c>
      <c r="AM382" s="1298">
        <v>0</v>
      </c>
      <c r="AN382" s="893">
        <f t="shared" si="212"/>
        <v>26.25</v>
      </c>
      <c r="AO382" s="1304">
        <f t="shared" si="213"/>
        <v>25.896042000000001</v>
      </c>
      <c r="AP382" s="1308">
        <f>MIN(AO382:AO384)</f>
        <v>14.444462</v>
      </c>
      <c r="AQ382" s="1308" t="str">
        <f t="shared" si="200"/>
        <v/>
      </c>
      <c r="AR382" s="1298" t="str">
        <f>IF(AP382&lt;0,"закрыт","")</f>
        <v/>
      </c>
      <c r="AS382" s="1305">
        <f>(AI382*100)/AN382</f>
        <v>1.3484114285714288</v>
      </c>
      <c r="AT382" s="954" t="s">
        <v>97</v>
      </c>
      <c r="AU382" s="1113">
        <v>1983</v>
      </c>
      <c r="AV382" s="1119" t="s">
        <v>3286</v>
      </c>
      <c r="AW382" s="1121">
        <v>57.187139393143099</v>
      </c>
      <c r="AX382" s="1121">
        <v>35.854838183759199</v>
      </c>
    </row>
    <row r="383" spans="1:50" ht="19.5" customHeight="1" x14ac:dyDescent="0.25">
      <c r="A383" s="1371"/>
      <c r="B383" s="1371"/>
      <c r="C383" s="7" t="s">
        <v>1792</v>
      </c>
      <c r="D383" s="230">
        <v>25</v>
      </c>
      <c r="E383" s="229" t="s">
        <v>785</v>
      </c>
      <c r="F383" s="229">
        <v>25</v>
      </c>
      <c r="G383" s="229"/>
      <c r="H383" s="228"/>
      <c r="I383" s="229" t="str">
        <f t="shared" si="193"/>
        <v>25+25</v>
      </c>
      <c r="J383" s="895">
        <v>0.33562000000000003</v>
      </c>
      <c r="K383" s="904">
        <v>0</v>
      </c>
      <c r="L383" s="125">
        <v>120</v>
      </c>
      <c r="M383" s="172">
        <f t="shared" si="208"/>
        <v>0.33562000000000003</v>
      </c>
      <c r="N383" s="172">
        <v>0</v>
      </c>
      <c r="O383" s="893"/>
      <c r="P383" s="893">
        <f t="shared" si="209"/>
        <v>26.25</v>
      </c>
      <c r="Q383" s="172">
        <f t="shared" si="210"/>
        <v>25.914380000000001</v>
      </c>
      <c r="R383" s="1379"/>
      <c r="S383" s="1363"/>
      <c r="T383" s="257" t="str">
        <f>IF(R382&lt;0,"закрыт","")</f>
        <v/>
      </c>
      <c r="U383" s="1363"/>
      <c r="V383" s="1363"/>
      <c r="W383" s="257"/>
      <c r="X383" s="929"/>
      <c r="Y383" s="1371"/>
      <c r="Z383" s="1316"/>
      <c r="AA383" s="7" t="s">
        <v>1792</v>
      </c>
      <c r="AB383" s="230">
        <f t="shared" si="194"/>
        <v>25</v>
      </c>
      <c r="AC383" s="1315" t="str">
        <f t="shared" si="195"/>
        <v>+</v>
      </c>
      <c r="AD383" s="1315">
        <f t="shared" si="196"/>
        <v>25</v>
      </c>
      <c r="AE383" s="1315"/>
      <c r="AF383" s="1316"/>
      <c r="AG383" s="1298" t="str">
        <f t="shared" si="199"/>
        <v>25+25</v>
      </c>
      <c r="AH383" s="1304">
        <f>SUM(AH293)</f>
        <v>0</v>
      </c>
      <c r="AI383" s="1304">
        <f t="shared" si="214"/>
        <v>0.33562000000000003</v>
      </c>
      <c r="AJ383" s="1304">
        <f t="shared" si="204"/>
        <v>0</v>
      </c>
      <c r="AK383" s="1298">
        <f t="shared" si="197"/>
        <v>120</v>
      </c>
      <c r="AL383" s="1304">
        <f t="shared" si="211"/>
        <v>0.33562000000000003</v>
      </c>
      <c r="AM383" s="1298">
        <v>0</v>
      </c>
      <c r="AN383" s="893">
        <v>23.17</v>
      </c>
      <c r="AO383" s="1304">
        <f t="shared" si="213"/>
        <v>22.834380000000003</v>
      </c>
      <c r="AP383" s="1309"/>
      <c r="AQ383" s="1309" t="str">
        <f t="shared" si="200"/>
        <v/>
      </c>
      <c r="AR383" s="1298" t="str">
        <f>IF(AP382&lt;0,"закрыт","")</f>
        <v/>
      </c>
      <c r="AS383" s="1306"/>
      <c r="AT383" s="954" t="s">
        <v>97</v>
      </c>
      <c r="AU383" s="1113">
        <v>1983</v>
      </c>
      <c r="AV383" s="1119" t="s">
        <v>3286</v>
      </c>
      <c r="AW383" s="1121">
        <v>57.187139393143099</v>
      </c>
      <c r="AX383" s="1121">
        <v>35.854838183759199</v>
      </c>
    </row>
    <row r="384" spans="1:50" ht="19.5" customHeight="1" x14ac:dyDescent="0.25">
      <c r="A384" s="1371"/>
      <c r="B384" s="1371"/>
      <c r="C384" s="7" t="s">
        <v>1791</v>
      </c>
      <c r="D384" s="230">
        <v>25</v>
      </c>
      <c r="E384" s="229" t="s">
        <v>785</v>
      </c>
      <c r="F384" s="229">
        <v>25</v>
      </c>
      <c r="G384" s="229"/>
      <c r="H384" s="228"/>
      <c r="I384" s="229" t="str">
        <f t="shared" si="193"/>
        <v>25+25</v>
      </c>
      <c r="J384" s="895">
        <v>1.8338E-2</v>
      </c>
      <c r="K384" s="905">
        <v>0</v>
      </c>
      <c r="L384" s="125">
        <v>0</v>
      </c>
      <c r="M384" s="172">
        <f t="shared" si="208"/>
        <v>1.8338E-2</v>
      </c>
      <c r="N384" s="172">
        <v>11.78</v>
      </c>
      <c r="O384" s="893" t="s">
        <v>3083</v>
      </c>
      <c r="P384" s="893">
        <f t="shared" si="209"/>
        <v>26.25</v>
      </c>
      <c r="Q384" s="172">
        <f t="shared" si="210"/>
        <v>14.451662000000001</v>
      </c>
      <c r="R384" s="1379"/>
      <c r="S384" s="1363"/>
      <c r="T384" s="257" t="str">
        <f>IF(R382&lt;0,"закрыт","")</f>
        <v/>
      </c>
      <c r="U384" s="1363"/>
      <c r="V384" s="1363"/>
      <c r="W384" s="257"/>
      <c r="X384" s="929"/>
      <c r="Y384" s="1371"/>
      <c r="Z384" s="1316"/>
      <c r="AA384" s="7" t="s">
        <v>1791</v>
      </c>
      <c r="AB384" s="230">
        <f t="shared" si="194"/>
        <v>25</v>
      </c>
      <c r="AC384" s="1315" t="str">
        <f t="shared" si="195"/>
        <v>+</v>
      </c>
      <c r="AD384" s="1315">
        <f t="shared" si="196"/>
        <v>25</v>
      </c>
      <c r="AE384" s="1315"/>
      <c r="AF384" s="1316"/>
      <c r="AG384" s="1298" t="str">
        <f t="shared" si="199"/>
        <v>25+25</v>
      </c>
      <c r="AH384" s="1308">
        <f>'Зона ТвЭС'!L797</f>
        <v>0</v>
      </c>
      <c r="AI384" s="1304">
        <f t="shared" si="214"/>
        <v>1.8338E-2</v>
      </c>
      <c r="AJ384" s="1304">
        <f t="shared" si="204"/>
        <v>0</v>
      </c>
      <c r="AK384" s="1298">
        <f t="shared" si="197"/>
        <v>0</v>
      </c>
      <c r="AL384" s="1304">
        <f t="shared" si="211"/>
        <v>1.8338E-2</v>
      </c>
      <c r="AM384" s="893">
        <v>8.5172000000000008</v>
      </c>
      <c r="AN384" s="893">
        <v>22.98</v>
      </c>
      <c r="AO384" s="1304">
        <f t="shared" si="213"/>
        <v>14.444462</v>
      </c>
      <c r="AP384" s="1310"/>
      <c r="AQ384" s="1310" t="str">
        <f t="shared" si="200"/>
        <v/>
      </c>
      <c r="AR384" s="1298" t="str">
        <f>IF(AP382&lt;0,"закрыт","")</f>
        <v/>
      </c>
      <c r="AS384" s="1307"/>
      <c r="AT384" s="954" t="s">
        <v>97</v>
      </c>
      <c r="AU384" s="1113">
        <v>1983</v>
      </c>
      <c r="AV384" s="1119" t="s">
        <v>3286</v>
      </c>
      <c r="AW384" s="1121">
        <v>57.187139393143099</v>
      </c>
      <c r="AX384" s="1121">
        <v>35.854838183759199</v>
      </c>
    </row>
    <row r="385" spans="1:50" ht="20.100000000000001" customHeight="1" x14ac:dyDescent="0.25">
      <c r="A385" s="213">
        <v>280</v>
      </c>
      <c r="B385" s="244">
        <v>1</v>
      </c>
      <c r="C385" s="244" t="s">
        <v>247</v>
      </c>
      <c r="D385" s="245">
        <v>4</v>
      </c>
      <c r="E385" s="246"/>
      <c r="F385" s="246"/>
      <c r="G385" s="246"/>
      <c r="H385" s="247"/>
      <c r="I385" s="229" t="str">
        <f t="shared" si="193"/>
        <v>4</v>
      </c>
      <c r="J385" s="1015">
        <v>0.7</v>
      </c>
      <c r="K385" s="249">
        <v>0.7</v>
      </c>
      <c r="L385" s="244" t="s">
        <v>335</v>
      </c>
      <c r="M385" s="249">
        <f>K385</f>
        <v>0.7</v>
      </c>
      <c r="N385" s="172">
        <v>0</v>
      </c>
      <c r="O385" s="893"/>
      <c r="P385" s="896">
        <f t="shared" ref="P385:P397" si="215">M385-N385</f>
        <v>0.7</v>
      </c>
      <c r="Q385" s="249">
        <f t="shared" ref="Q385:Q397" si="216">P385-J385</f>
        <v>0</v>
      </c>
      <c r="R385" s="249">
        <f>Q385</f>
        <v>0</v>
      </c>
      <c r="S385" s="768" t="str">
        <f t="shared" si="198"/>
        <v/>
      </c>
      <c r="T385" s="257" t="str">
        <f t="shared" ref="T385:T413" si="217">IF(R385&lt;0,"закрыт","")</f>
        <v/>
      </c>
      <c r="U385" s="768">
        <f t="shared" ref="U385:U397" si="218">(J385*100)/(I385*1.05)</f>
        <v>16.666666666666664</v>
      </c>
      <c r="V385" s="768">
        <v>1.3</v>
      </c>
      <c r="W385" s="257" t="s">
        <v>3088</v>
      </c>
      <c r="X385" s="933"/>
      <c r="Y385" s="213">
        <v>280</v>
      </c>
      <c r="Z385" s="1327">
        <v>1</v>
      </c>
      <c r="AA385" s="1359" t="s">
        <v>247</v>
      </c>
      <c r="AB385" s="245">
        <f t="shared" si="194"/>
        <v>4</v>
      </c>
      <c r="AC385" s="246"/>
      <c r="AD385" s="246"/>
      <c r="AE385" s="246"/>
      <c r="AF385" s="1327"/>
      <c r="AG385" s="1298" t="str">
        <f t="shared" si="199"/>
        <v>4</v>
      </c>
      <c r="AH385" s="1358">
        <f>'Зона ТоЭс'!L9</f>
        <v>0</v>
      </c>
      <c r="AI385" s="1358">
        <f t="shared" si="214"/>
        <v>0.7</v>
      </c>
      <c r="AJ385" s="1304">
        <f t="shared" si="204"/>
        <v>0.7</v>
      </c>
      <c r="AK385" s="1298" t="str">
        <f t="shared" si="197"/>
        <v>1 сутки</v>
      </c>
      <c r="AL385" s="1304">
        <f t="shared" ref="AL385:AL397" si="219">AJ385</f>
        <v>0.7</v>
      </c>
      <c r="AM385" s="1298">
        <v>0</v>
      </c>
      <c r="AN385" s="896">
        <f t="shared" ref="AN385:AN397" si="220">AL385-AM385</f>
        <v>0.7</v>
      </c>
      <c r="AO385" s="1358">
        <f t="shared" ref="AO385:AO397" si="221">AN385-AI385</f>
        <v>0</v>
      </c>
      <c r="AP385" s="1358">
        <f>AO385</f>
        <v>0</v>
      </c>
      <c r="AQ385" s="1359" t="str">
        <f t="shared" si="200"/>
        <v/>
      </c>
      <c r="AR385" s="1359" t="str">
        <f t="shared" ref="AR385:AR413" si="222">IF(AP385&lt;0,"закрыт","")</f>
        <v/>
      </c>
      <c r="AS385" s="955">
        <f>(AI385*100)/(AG385*1.05)</f>
        <v>16.666666666666664</v>
      </c>
      <c r="AT385" s="1111" t="s">
        <v>96</v>
      </c>
      <c r="AU385" s="1113">
        <v>1976</v>
      </c>
      <c r="AV385" s="1119" t="s">
        <v>3286</v>
      </c>
      <c r="AW385" s="1121">
        <v>56.8301746418446</v>
      </c>
      <c r="AX385" s="1121">
        <v>34.607680731350698</v>
      </c>
    </row>
    <row r="386" spans="1:50" ht="20.100000000000001" customHeight="1" x14ac:dyDescent="0.25">
      <c r="A386" s="213">
        <v>281</v>
      </c>
      <c r="B386" s="244">
        <v>2</v>
      </c>
      <c r="C386" s="244" t="s">
        <v>248</v>
      </c>
      <c r="D386" s="245">
        <v>2.5</v>
      </c>
      <c r="E386" s="246"/>
      <c r="F386" s="246"/>
      <c r="G386" s="246"/>
      <c r="H386" s="247"/>
      <c r="I386" s="229" t="str">
        <f t="shared" si="193"/>
        <v>2,5</v>
      </c>
      <c r="J386" s="1015">
        <v>0.2</v>
      </c>
      <c r="K386" s="249">
        <v>0.2</v>
      </c>
      <c r="L386" s="244" t="s">
        <v>335</v>
      </c>
      <c r="M386" s="249">
        <f t="shared" ref="M386:M397" si="223">K386</f>
        <v>0.2</v>
      </c>
      <c r="N386" s="172">
        <v>0</v>
      </c>
      <c r="O386" s="893"/>
      <c r="P386" s="896">
        <f t="shared" si="215"/>
        <v>0.2</v>
      </c>
      <c r="Q386" s="249">
        <f t="shared" si="216"/>
        <v>0</v>
      </c>
      <c r="R386" s="249">
        <f t="shared" ref="R386:R408" si="224">Q386</f>
        <v>0</v>
      </c>
      <c r="S386" s="768" t="str">
        <f t="shared" si="198"/>
        <v/>
      </c>
      <c r="T386" s="257" t="str">
        <f t="shared" si="217"/>
        <v/>
      </c>
      <c r="U386" s="768">
        <f t="shared" si="218"/>
        <v>7.6190476190476186</v>
      </c>
      <c r="V386" s="768">
        <v>0.85</v>
      </c>
      <c r="W386" s="257" t="s">
        <v>3088</v>
      </c>
      <c r="X386" s="933"/>
      <c r="Y386" s="213">
        <v>281</v>
      </c>
      <c r="Z386" s="1327">
        <v>2</v>
      </c>
      <c r="AA386" s="1359" t="s">
        <v>248</v>
      </c>
      <c r="AB386" s="245">
        <f t="shared" si="194"/>
        <v>2.5</v>
      </c>
      <c r="AC386" s="246"/>
      <c r="AD386" s="246"/>
      <c r="AE386" s="246"/>
      <c r="AF386" s="1327"/>
      <c r="AG386" s="1298" t="str">
        <f t="shared" si="199"/>
        <v>2,5</v>
      </c>
      <c r="AH386" s="1358">
        <f>'Зона ТоЭс'!L13</f>
        <v>0.74999999999999989</v>
      </c>
      <c r="AI386" s="1358">
        <f t="shared" si="214"/>
        <v>0.95</v>
      </c>
      <c r="AJ386" s="1304">
        <f t="shared" si="204"/>
        <v>0.2</v>
      </c>
      <c r="AK386" s="1298" t="str">
        <f t="shared" si="197"/>
        <v>1 сутки</v>
      </c>
      <c r="AL386" s="1304">
        <f t="shared" si="219"/>
        <v>0.2</v>
      </c>
      <c r="AM386" s="1298">
        <v>0</v>
      </c>
      <c r="AN386" s="896">
        <f t="shared" si="220"/>
        <v>0.2</v>
      </c>
      <c r="AO386" s="1358">
        <f t="shared" si="221"/>
        <v>-0.75</v>
      </c>
      <c r="AP386" s="1358">
        <f>AO386</f>
        <v>-0.75</v>
      </c>
      <c r="AQ386" s="1359" t="str">
        <f t="shared" si="200"/>
        <v>закрыт</v>
      </c>
      <c r="AR386" s="1359" t="str">
        <f t="shared" si="222"/>
        <v>закрыт</v>
      </c>
      <c r="AS386" s="955">
        <f t="shared" ref="AS386:AS397" si="225">(AI386*100)/(AG386*1.05)</f>
        <v>36.19047619047619</v>
      </c>
      <c r="AT386" s="1111" t="s">
        <v>96</v>
      </c>
      <c r="AU386" s="1113">
        <v>1990</v>
      </c>
      <c r="AV386" s="1119" t="s">
        <v>3286</v>
      </c>
      <c r="AW386" s="1121">
        <v>56.890550852858198</v>
      </c>
      <c r="AX386" s="1121">
        <v>34.736810070502301</v>
      </c>
    </row>
    <row r="387" spans="1:50" ht="20.100000000000001" customHeight="1" x14ac:dyDescent="0.25">
      <c r="A387" s="213">
        <v>282</v>
      </c>
      <c r="B387" s="244">
        <v>3</v>
      </c>
      <c r="C387" s="244" t="s">
        <v>249</v>
      </c>
      <c r="D387" s="245">
        <v>0.56000000000000005</v>
      </c>
      <c r="E387" s="246"/>
      <c r="F387" s="246"/>
      <c r="G387" s="246"/>
      <c r="H387" s="247"/>
      <c r="I387" s="229" t="str">
        <f t="shared" si="193"/>
        <v>0,56</v>
      </c>
      <c r="J387" s="1015">
        <v>0.02</v>
      </c>
      <c r="K387" s="249">
        <v>0.02</v>
      </c>
      <c r="L387" s="244">
        <v>0</v>
      </c>
      <c r="M387" s="249">
        <f t="shared" si="223"/>
        <v>0.02</v>
      </c>
      <c r="N387" s="172">
        <v>0</v>
      </c>
      <c r="O387" s="893"/>
      <c r="P387" s="896">
        <f t="shared" si="215"/>
        <v>0.02</v>
      </c>
      <c r="Q387" s="249">
        <f t="shared" si="216"/>
        <v>0</v>
      </c>
      <c r="R387" s="249">
        <f t="shared" si="224"/>
        <v>0</v>
      </c>
      <c r="S387" s="244" t="str">
        <f t="shared" si="198"/>
        <v/>
      </c>
      <c r="T387" s="257" t="str">
        <f t="shared" si="217"/>
        <v/>
      </c>
      <c r="U387" s="768">
        <f t="shared" si="218"/>
        <v>3.4013605442176864</v>
      </c>
      <c r="V387" s="768">
        <v>0.86</v>
      </c>
      <c r="W387" s="257" t="s">
        <v>3088</v>
      </c>
      <c r="X387" s="933"/>
      <c r="Y387" s="213">
        <v>282</v>
      </c>
      <c r="Z387" s="1327">
        <v>3</v>
      </c>
      <c r="AA387" s="1359" t="s">
        <v>249</v>
      </c>
      <c r="AB387" s="245">
        <f t="shared" si="194"/>
        <v>0.56000000000000005</v>
      </c>
      <c r="AC387" s="246"/>
      <c r="AD387" s="246"/>
      <c r="AE387" s="246"/>
      <c r="AF387" s="1327"/>
      <c r="AG387" s="1298" t="str">
        <f t="shared" si="199"/>
        <v>0,56</v>
      </c>
      <c r="AH387" s="1358">
        <f>'Зона ТоЭс'!L16</f>
        <v>0</v>
      </c>
      <c r="AI387" s="1358">
        <f t="shared" si="214"/>
        <v>0.02</v>
      </c>
      <c r="AJ387" s="1304">
        <f t="shared" si="204"/>
        <v>0.02</v>
      </c>
      <c r="AK387" s="1298">
        <f t="shared" si="197"/>
        <v>0</v>
      </c>
      <c r="AL387" s="1304">
        <f t="shared" si="219"/>
        <v>0.02</v>
      </c>
      <c r="AM387" s="1298">
        <v>0</v>
      </c>
      <c r="AN387" s="896">
        <f t="shared" si="220"/>
        <v>0.02</v>
      </c>
      <c r="AO387" s="1358">
        <f t="shared" si="221"/>
        <v>0</v>
      </c>
      <c r="AP387" s="1358">
        <f>AO387</f>
        <v>0</v>
      </c>
      <c r="AQ387" s="248" t="str">
        <f t="shared" si="200"/>
        <v/>
      </c>
      <c r="AR387" s="1359" t="str">
        <f t="shared" si="222"/>
        <v/>
      </c>
      <c r="AS387" s="955">
        <f t="shared" si="225"/>
        <v>3.4013605442176864</v>
      </c>
      <c r="AT387" s="1111" t="s">
        <v>96</v>
      </c>
      <c r="AU387" s="1113">
        <v>1970</v>
      </c>
      <c r="AV387" s="1119" t="s">
        <v>3286</v>
      </c>
      <c r="AW387" s="1121">
        <v>57.178198819369499</v>
      </c>
      <c r="AX387" s="1121">
        <v>33.725861625238501</v>
      </c>
    </row>
    <row r="388" spans="1:50" ht="20.100000000000001" customHeight="1" x14ac:dyDescent="0.25">
      <c r="A388" s="213">
        <v>283</v>
      </c>
      <c r="B388" s="244">
        <v>4</v>
      </c>
      <c r="C388" s="244" t="s">
        <v>250</v>
      </c>
      <c r="D388" s="245">
        <v>2.5</v>
      </c>
      <c r="E388" s="246"/>
      <c r="F388" s="246"/>
      <c r="G388" s="246"/>
      <c r="H388" s="247"/>
      <c r="I388" s="229" t="str">
        <f t="shared" si="193"/>
        <v>2,5</v>
      </c>
      <c r="J388" s="1015">
        <v>1</v>
      </c>
      <c r="K388" s="249">
        <v>1</v>
      </c>
      <c r="L388" s="244" t="s">
        <v>335</v>
      </c>
      <c r="M388" s="249">
        <f t="shared" si="223"/>
        <v>1</v>
      </c>
      <c r="N388" s="172">
        <v>0</v>
      </c>
      <c r="O388" s="893"/>
      <c r="P388" s="896">
        <f t="shared" si="215"/>
        <v>1</v>
      </c>
      <c r="Q388" s="249">
        <f t="shared" si="216"/>
        <v>0</v>
      </c>
      <c r="R388" s="249">
        <f t="shared" si="224"/>
        <v>0</v>
      </c>
      <c r="S388" s="244" t="str">
        <f t="shared" si="198"/>
        <v/>
      </c>
      <c r="T388" s="257" t="str">
        <f t="shared" si="217"/>
        <v/>
      </c>
      <c r="U388" s="768">
        <f t="shared" si="218"/>
        <v>38.095238095238095</v>
      </c>
      <c r="V388" s="768">
        <v>0.91</v>
      </c>
      <c r="W388" s="257" t="s">
        <v>3088</v>
      </c>
      <c r="X388" s="933"/>
      <c r="Y388" s="213">
        <v>283</v>
      </c>
      <c r="Z388" s="1327">
        <v>4</v>
      </c>
      <c r="AA388" s="1359" t="s">
        <v>250</v>
      </c>
      <c r="AB388" s="245">
        <f t="shared" si="194"/>
        <v>2.5</v>
      </c>
      <c r="AC388" s="246"/>
      <c r="AD388" s="246"/>
      <c r="AE388" s="246"/>
      <c r="AF388" s="1327"/>
      <c r="AG388" s="1298" t="str">
        <f t="shared" si="199"/>
        <v>2,5</v>
      </c>
      <c r="AH388" s="1358">
        <f>'Зона ТоЭс'!L19</f>
        <v>0</v>
      </c>
      <c r="AI388" s="1358">
        <f t="shared" si="214"/>
        <v>1</v>
      </c>
      <c r="AJ388" s="1304">
        <f t="shared" si="204"/>
        <v>1</v>
      </c>
      <c r="AK388" s="1298" t="str">
        <f t="shared" si="197"/>
        <v>1 сутки</v>
      </c>
      <c r="AL388" s="1304">
        <f t="shared" si="219"/>
        <v>1</v>
      </c>
      <c r="AM388" s="1298">
        <v>0</v>
      </c>
      <c r="AN388" s="896">
        <f t="shared" si="220"/>
        <v>1</v>
      </c>
      <c r="AO388" s="1358">
        <f t="shared" si="221"/>
        <v>0</v>
      </c>
      <c r="AP388" s="1358">
        <f t="shared" ref="AP388:AP412" si="226">AO388</f>
        <v>0</v>
      </c>
      <c r="AQ388" s="248" t="str">
        <f t="shared" si="200"/>
        <v/>
      </c>
      <c r="AR388" s="1359" t="str">
        <f t="shared" si="222"/>
        <v/>
      </c>
      <c r="AS388" s="955">
        <f t="shared" si="225"/>
        <v>38.095238095238095</v>
      </c>
      <c r="AT388" s="1111" t="s">
        <v>96</v>
      </c>
      <c r="AU388" s="1113">
        <v>1991</v>
      </c>
      <c r="AV388" s="1119" t="s">
        <v>3286</v>
      </c>
      <c r="AW388" s="1121">
        <v>56.9354846584773</v>
      </c>
      <c r="AX388" s="1121">
        <v>34.451795016160503</v>
      </c>
    </row>
    <row r="389" spans="1:50" ht="20.100000000000001" customHeight="1" x14ac:dyDescent="0.25">
      <c r="A389" s="213">
        <v>284</v>
      </c>
      <c r="B389" s="244">
        <v>5</v>
      </c>
      <c r="C389" s="244" t="s">
        <v>251</v>
      </c>
      <c r="D389" s="245">
        <v>1.6</v>
      </c>
      <c r="E389" s="246"/>
      <c r="F389" s="246"/>
      <c r="G389" s="246"/>
      <c r="H389" s="247"/>
      <c r="I389" s="229" t="str">
        <f t="shared" si="193"/>
        <v>1,6</v>
      </c>
      <c r="J389" s="1015">
        <v>0.3</v>
      </c>
      <c r="K389" s="249">
        <v>0</v>
      </c>
      <c r="L389" s="244">
        <v>0</v>
      </c>
      <c r="M389" s="249">
        <f>K389</f>
        <v>0</v>
      </c>
      <c r="N389" s="172">
        <v>0</v>
      </c>
      <c r="O389" s="893"/>
      <c r="P389" s="896">
        <f t="shared" si="215"/>
        <v>0</v>
      </c>
      <c r="Q389" s="249">
        <f t="shared" si="216"/>
        <v>-0.3</v>
      </c>
      <c r="R389" s="249">
        <f t="shared" si="224"/>
        <v>-0.3</v>
      </c>
      <c r="S389" s="244" t="str">
        <f t="shared" si="198"/>
        <v>закрыт</v>
      </c>
      <c r="T389" s="257" t="str">
        <f t="shared" si="217"/>
        <v>закрыт</v>
      </c>
      <c r="U389" s="768">
        <f t="shared" si="218"/>
        <v>17.857142857142854</v>
      </c>
      <c r="V389" s="768">
        <v>0.5</v>
      </c>
      <c r="W389" s="257" t="s">
        <v>3088</v>
      </c>
      <c r="X389" s="933"/>
      <c r="Y389" s="213">
        <v>284</v>
      </c>
      <c r="Z389" s="1327">
        <v>5</v>
      </c>
      <c r="AA389" s="1359" t="s">
        <v>251</v>
      </c>
      <c r="AB389" s="245">
        <f t="shared" si="194"/>
        <v>1.6</v>
      </c>
      <c r="AC389" s="246"/>
      <c r="AD389" s="246"/>
      <c r="AE389" s="246"/>
      <c r="AF389" s="1327"/>
      <c r="AG389" s="1298" t="str">
        <f t="shared" si="199"/>
        <v>1,6</v>
      </c>
      <c r="AH389" s="1358">
        <f>'Зона ТоЭс'!L22</f>
        <v>0</v>
      </c>
      <c r="AI389" s="1358">
        <f t="shared" ref="AI389:AI420" si="227">AH389+J389</f>
        <v>0.3</v>
      </c>
      <c r="AJ389" s="1304">
        <f t="shared" si="204"/>
        <v>0</v>
      </c>
      <c r="AK389" s="1298">
        <f t="shared" si="197"/>
        <v>0</v>
      </c>
      <c r="AL389" s="1304">
        <f t="shared" si="219"/>
        <v>0</v>
      </c>
      <c r="AM389" s="1298">
        <v>0</v>
      </c>
      <c r="AN389" s="896">
        <f t="shared" si="220"/>
        <v>0</v>
      </c>
      <c r="AO389" s="1358">
        <f t="shared" si="221"/>
        <v>-0.3</v>
      </c>
      <c r="AP389" s="1358">
        <f t="shared" si="226"/>
        <v>-0.3</v>
      </c>
      <c r="AQ389" s="248" t="str">
        <f t="shared" si="200"/>
        <v>закрыт</v>
      </c>
      <c r="AR389" s="1359" t="str">
        <f t="shared" si="222"/>
        <v>закрыт</v>
      </c>
      <c r="AS389" s="955">
        <f t="shared" si="225"/>
        <v>17.857142857142854</v>
      </c>
      <c r="AT389" s="1111" t="s">
        <v>96</v>
      </c>
      <c r="AU389" s="1113">
        <v>1967</v>
      </c>
      <c r="AV389" s="1119" t="s">
        <v>3286</v>
      </c>
      <c r="AW389" s="1121">
        <v>57.0901837567651</v>
      </c>
      <c r="AX389" s="1121">
        <v>34.158526964322803</v>
      </c>
    </row>
    <row r="390" spans="1:50" ht="20.100000000000001" customHeight="1" x14ac:dyDescent="0.25">
      <c r="A390" s="213">
        <v>285</v>
      </c>
      <c r="B390" s="244">
        <v>6</v>
      </c>
      <c r="C390" s="244" t="s">
        <v>252</v>
      </c>
      <c r="D390" s="245">
        <v>2.5</v>
      </c>
      <c r="E390" s="246"/>
      <c r="F390" s="246"/>
      <c r="G390" s="246"/>
      <c r="H390" s="247"/>
      <c r="I390" s="229" t="str">
        <f t="shared" si="193"/>
        <v>2,5</v>
      </c>
      <c r="J390" s="1015">
        <v>0.1</v>
      </c>
      <c r="K390" s="249">
        <v>0.1</v>
      </c>
      <c r="L390" s="244" t="s">
        <v>335</v>
      </c>
      <c r="M390" s="249">
        <f>K390</f>
        <v>0.1</v>
      </c>
      <c r="N390" s="172">
        <v>0</v>
      </c>
      <c r="O390" s="893"/>
      <c r="P390" s="896">
        <f t="shared" si="215"/>
        <v>0.1</v>
      </c>
      <c r="Q390" s="249">
        <f t="shared" si="216"/>
        <v>0</v>
      </c>
      <c r="R390" s="249">
        <f t="shared" si="224"/>
        <v>0</v>
      </c>
      <c r="S390" s="244" t="str">
        <f t="shared" si="198"/>
        <v/>
      </c>
      <c r="T390" s="257" t="str">
        <f t="shared" si="217"/>
        <v/>
      </c>
      <c r="U390" s="768">
        <f t="shared" si="218"/>
        <v>3.8095238095238093</v>
      </c>
      <c r="V390" s="768" t="s">
        <v>3479</v>
      </c>
      <c r="W390" s="257"/>
      <c r="X390" s="933"/>
      <c r="Y390" s="213">
        <v>285</v>
      </c>
      <c r="Z390" s="1327">
        <v>6</v>
      </c>
      <c r="AA390" s="1359" t="s">
        <v>252</v>
      </c>
      <c r="AB390" s="245">
        <f t="shared" si="194"/>
        <v>2.5</v>
      </c>
      <c r="AC390" s="246"/>
      <c r="AD390" s="246"/>
      <c r="AE390" s="246"/>
      <c r="AF390" s="1327"/>
      <c r="AG390" s="1298" t="str">
        <f t="shared" si="199"/>
        <v>2,5</v>
      </c>
      <c r="AH390" s="1358">
        <f>'Зона ТоЭс'!L25</f>
        <v>7.4999999999999997E-2</v>
      </c>
      <c r="AI390" s="1358">
        <f t="shared" si="227"/>
        <v>0.17499999999999999</v>
      </c>
      <c r="AJ390" s="1304">
        <f>K390</f>
        <v>0.1</v>
      </c>
      <c r="AK390" s="1298" t="str">
        <f t="shared" si="197"/>
        <v>1 сутки</v>
      </c>
      <c r="AL390" s="1304">
        <f t="shared" si="219"/>
        <v>0.1</v>
      </c>
      <c r="AM390" s="1298">
        <v>0</v>
      </c>
      <c r="AN390" s="896">
        <f t="shared" si="220"/>
        <v>0.1</v>
      </c>
      <c r="AO390" s="1358">
        <f t="shared" si="221"/>
        <v>-7.4999999999999983E-2</v>
      </c>
      <c r="AP390" s="1358">
        <f t="shared" si="226"/>
        <v>-7.4999999999999983E-2</v>
      </c>
      <c r="AQ390" s="248" t="str">
        <f t="shared" si="200"/>
        <v>закрыт</v>
      </c>
      <c r="AR390" s="1359" t="str">
        <f t="shared" si="222"/>
        <v>закрыт</v>
      </c>
      <c r="AS390" s="955">
        <f t="shared" si="225"/>
        <v>6.666666666666667</v>
      </c>
      <c r="AT390" s="1111" t="s">
        <v>96</v>
      </c>
      <c r="AU390" s="1113">
        <v>2005</v>
      </c>
      <c r="AV390" s="1119" t="s">
        <v>3286</v>
      </c>
      <c r="AW390" s="1121">
        <v>57.109680251436501</v>
      </c>
      <c r="AX390" s="1121">
        <v>33.772291400337799</v>
      </c>
    </row>
    <row r="391" spans="1:50" ht="20.100000000000001" customHeight="1" x14ac:dyDescent="0.25">
      <c r="A391" s="213">
        <v>286</v>
      </c>
      <c r="B391" s="244">
        <v>7</v>
      </c>
      <c r="C391" s="244" t="s">
        <v>253</v>
      </c>
      <c r="D391" s="245">
        <v>2.5</v>
      </c>
      <c r="E391" s="246"/>
      <c r="F391" s="246"/>
      <c r="G391" s="246"/>
      <c r="H391" s="247"/>
      <c r="I391" s="229" t="str">
        <f t="shared" si="193"/>
        <v>2,5</v>
      </c>
      <c r="J391" s="1015">
        <v>0.6</v>
      </c>
      <c r="K391" s="249">
        <v>0.6</v>
      </c>
      <c r="L391" s="244" t="s">
        <v>335</v>
      </c>
      <c r="M391" s="249">
        <f t="shared" si="223"/>
        <v>0.6</v>
      </c>
      <c r="N391" s="172">
        <v>0</v>
      </c>
      <c r="O391" s="893"/>
      <c r="P391" s="896">
        <f t="shared" si="215"/>
        <v>0.6</v>
      </c>
      <c r="Q391" s="249">
        <f t="shared" si="216"/>
        <v>0</v>
      </c>
      <c r="R391" s="249">
        <f t="shared" si="224"/>
        <v>0</v>
      </c>
      <c r="S391" s="244" t="str">
        <f t="shared" si="198"/>
        <v/>
      </c>
      <c r="T391" s="257" t="str">
        <f t="shared" si="217"/>
        <v/>
      </c>
      <c r="U391" s="768">
        <f t="shared" si="218"/>
        <v>22.857142857142858</v>
      </c>
      <c r="V391" s="768">
        <v>0.4</v>
      </c>
      <c r="W391" s="257" t="s">
        <v>3088</v>
      </c>
      <c r="X391" s="933"/>
      <c r="Y391" s="213">
        <v>286</v>
      </c>
      <c r="Z391" s="1327">
        <v>7</v>
      </c>
      <c r="AA391" s="1359" t="s">
        <v>253</v>
      </c>
      <c r="AB391" s="245">
        <f t="shared" si="194"/>
        <v>2.5</v>
      </c>
      <c r="AC391" s="246"/>
      <c r="AD391" s="246"/>
      <c r="AE391" s="246"/>
      <c r="AF391" s="1327"/>
      <c r="AG391" s="1298" t="str">
        <f t="shared" si="199"/>
        <v>2,5</v>
      </c>
      <c r="AH391" s="1358">
        <f>'Зона ТоЭс'!L27</f>
        <v>0</v>
      </c>
      <c r="AI391" s="1358">
        <f t="shared" si="227"/>
        <v>0.6</v>
      </c>
      <c r="AJ391" s="1304">
        <f t="shared" si="204"/>
        <v>0.6</v>
      </c>
      <c r="AK391" s="1298" t="str">
        <f t="shared" si="197"/>
        <v>1 сутки</v>
      </c>
      <c r="AL391" s="1304">
        <f t="shared" si="219"/>
        <v>0.6</v>
      </c>
      <c r="AM391" s="1298">
        <v>0</v>
      </c>
      <c r="AN391" s="896">
        <f t="shared" si="220"/>
        <v>0.6</v>
      </c>
      <c r="AO391" s="1358">
        <f t="shared" si="221"/>
        <v>0</v>
      </c>
      <c r="AP391" s="1358">
        <f t="shared" si="226"/>
        <v>0</v>
      </c>
      <c r="AQ391" s="248" t="str">
        <f t="shared" si="200"/>
        <v/>
      </c>
      <c r="AR391" s="1359" t="str">
        <f t="shared" si="222"/>
        <v/>
      </c>
      <c r="AS391" s="955">
        <f t="shared" si="225"/>
        <v>22.857142857142858</v>
      </c>
      <c r="AT391" s="1111" t="s">
        <v>96</v>
      </c>
      <c r="AU391" s="1113">
        <v>1967</v>
      </c>
      <c r="AV391" s="1119" t="s">
        <v>3286</v>
      </c>
      <c r="AW391" s="1121">
        <v>56.655166180638801</v>
      </c>
      <c r="AX391" s="1121">
        <v>33.265810048735098</v>
      </c>
    </row>
    <row r="392" spans="1:50" ht="20.100000000000001" customHeight="1" x14ac:dyDescent="0.25">
      <c r="A392" s="213">
        <v>287</v>
      </c>
      <c r="B392" s="244">
        <v>8</v>
      </c>
      <c r="C392" s="244" t="s">
        <v>254</v>
      </c>
      <c r="D392" s="245">
        <v>1.6</v>
      </c>
      <c r="E392" s="246"/>
      <c r="F392" s="246"/>
      <c r="G392" s="246"/>
      <c r="H392" s="247"/>
      <c r="I392" s="229" t="str">
        <f t="shared" si="193"/>
        <v>1,6</v>
      </c>
      <c r="J392" s="1015">
        <v>0.2</v>
      </c>
      <c r="K392" s="249">
        <v>0.2</v>
      </c>
      <c r="L392" s="244" t="s">
        <v>335</v>
      </c>
      <c r="M392" s="249">
        <f t="shared" si="223"/>
        <v>0.2</v>
      </c>
      <c r="N392" s="172">
        <v>0</v>
      </c>
      <c r="O392" s="893"/>
      <c r="P392" s="896">
        <f t="shared" si="215"/>
        <v>0.2</v>
      </c>
      <c r="Q392" s="249">
        <f t="shared" si="216"/>
        <v>0</v>
      </c>
      <c r="R392" s="249">
        <f t="shared" si="224"/>
        <v>0</v>
      </c>
      <c r="S392" s="244" t="str">
        <f t="shared" si="198"/>
        <v/>
      </c>
      <c r="T392" s="257" t="str">
        <f t="shared" si="217"/>
        <v/>
      </c>
      <c r="U392" s="768">
        <f t="shared" si="218"/>
        <v>11.904761904761903</v>
      </c>
      <c r="V392" s="768">
        <v>0.76</v>
      </c>
      <c r="W392" s="257" t="s">
        <v>3088</v>
      </c>
      <c r="X392" s="933"/>
      <c r="Y392" s="213">
        <v>287</v>
      </c>
      <c r="Z392" s="1327">
        <v>8</v>
      </c>
      <c r="AA392" s="1359" t="s">
        <v>254</v>
      </c>
      <c r="AB392" s="245">
        <f t="shared" si="194"/>
        <v>1.6</v>
      </c>
      <c r="AC392" s="246"/>
      <c r="AD392" s="246"/>
      <c r="AE392" s="246"/>
      <c r="AF392" s="1327"/>
      <c r="AG392" s="1298" t="str">
        <f t="shared" si="199"/>
        <v>1,6</v>
      </c>
      <c r="AH392" s="1358">
        <f>'Зона ТоЭс'!L30</f>
        <v>0</v>
      </c>
      <c r="AI392" s="1358">
        <f t="shared" si="227"/>
        <v>0.2</v>
      </c>
      <c r="AJ392" s="1304">
        <f t="shared" si="204"/>
        <v>0.2</v>
      </c>
      <c r="AK392" s="1298" t="str">
        <f t="shared" si="197"/>
        <v>1 сутки</v>
      </c>
      <c r="AL392" s="1304">
        <f t="shared" si="219"/>
        <v>0.2</v>
      </c>
      <c r="AM392" s="1298">
        <v>0</v>
      </c>
      <c r="AN392" s="896">
        <f t="shared" si="220"/>
        <v>0.2</v>
      </c>
      <c r="AO392" s="1358">
        <f t="shared" si="221"/>
        <v>0</v>
      </c>
      <c r="AP392" s="1358">
        <f t="shared" si="226"/>
        <v>0</v>
      </c>
      <c r="AQ392" s="248" t="str">
        <f t="shared" si="200"/>
        <v/>
      </c>
      <c r="AR392" s="1359" t="str">
        <f t="shared" si="222"/>
        <v/>
      </c>
      <c r="AS392" s="955">
        <f t="shared" si="225"/>
        <v>11.904761904761903</v>
      </c>
      <c r="AT392" s="1111" t="s">
        <v>96</v>
      </c>
      <c r="AU392" s="1113">
        <v>1986</v>
      </c>
      <c r="AV392" s="1119" t="s">
        <v>3286</v>
      </c>
      <c r="AW392" s="1121">
        <v>56.799069622315798</v>
      </c>
      <c r="AX392" s="1121">
        <v>33.365244784147997</v>
      </c>
    </row>
    <row r="393" spans="1:50" ht="20.100000000000001" customHeight="1" x14ac:dyDescent="0.25">
      <c r="A393" s="213">
        <v>288</v>
      </c>
      <c r="B393" s="244">
        <v>9</v>
      </c>
      <c r="C393" s="244" t="s">
        <v>255</v>
      </c>
      <c r="D393" s="245">
        <v>1</v>
      </c>
      <c r="E393" s="246"/>
      <c r="F393" s="246"/>
      <c r="G393" s="246"/>
      <c r="H393" s="247"/>
      <c r="I393" s="229" t="str">
        <f t="shared" ref="I393:I433" si="228">CONCATENATE(D393,E393,F393,G393,H393)</f>
        <v>1</v>
      </c>
      <c r="J393" s="1015">
        <v>0.3</v>
      </c>
      <c r="K393" s="249">
        <v>0.3</v>
      </c>
      <c r="L393" s="244" t="s">
        <v>335</v>
      </c>
      <c r="M393" s="249">
        <f t="shared" si="223"/>
        <v>0.3</v>
      </c>
      <c r="N393" s="172">
        <v>0</v>
      </c>
      <c r="O393" s="893"/>
      <c r="P393" s="896">
        <f t="shared" si="215"/>
        <v>0.3</v>
      </c>
      <c r="Q393" s="249">
        <f t="shared" si="216"/>
        <v>0</v>
      </c>
      <c r="R393" s="249">
        <f t="shared" si="224"/>
        <v>0</v>
      </c>
      <c r="S393" s="244" t="str">
        <f t="shared" si="198"/>
        <v/>
      </c>
      <c r="T393" s="257" t="str">
        <f t="shared" si="217"/>
        <v/>
      </c>
      <c r="U393" s="768">
        <f t="shared" si="218"/>
        <v>28.571428571428569</v>
      </c>
      <c r="V393" s="768">
        <v>0.7</v>
      </c>
      <c r="W393" s="257" t="s">
        <v>3088</v>
      </c>
      <c r="X393" s="933"/>
      <c r="Y393" s="213">
        <v>288</v>
      </c>
      <c r="Z393" s="1327">
        <v>9</v>
      </c>
      <c r="AA393" s="1359" t="s">
        <v>255</v>
      </c>
      <c r="AB393" s="245">
        <f t="shared" ref="AB393:AB433" si="229">D393</f>
        <v>1</v>
      </c>
      <c r="AC393" s="246"/>
      <c r="AD393" s="246"/>
      <c r="AE393" s="246"/>
      <c r="AF393" s="1327"/>
      <c r="AG393" s="1298" t="str">
        <f t="shared" si="199"/>
        <v>1</v>
      </c>
      <c r="AH393" s="1358">
        <f>'Зона ТоЭс'!L32</f>
        <v>0</v>
      </c>
      <c r="AI393" s="1358">
        <f t="shared" si="227"/>
        <v>0.3</v>
      </c>
      <c r="AJ393" s="1304">
        <f t="shared" si="204"/>
        <v>0.3</v>
      </c>
      <c r="AK393" s="1298" t="str">
        <f t="shared" ref="AK393:AK433" si="230">L393</f>
        <v>1 сутки</v>
      </c>
      <c r="AL393" s="1304">
        <f t="shared" si="219"/>
        <v>0.3</v>
      </c>
      <c r="AM393" s="1298">
        <v>0</v>
      </c>
      <c r="AN393" s="896">
        <f t="shared" si="220"/>
        <v>0.3</v>
      </c>
      <c r="AO393" s="1358">
        <f t="shared" si="221"/>
        <v>0</v>
      </c>
      <c r="AP393" s="1358">
        <f t="shared" si="226"/>
        <v>0</v>
      </c>
      <c r="AQ393" s="248" t="str">
        <f t="shared" si="200"/>
        <v/>
      </c>
      <c r="AR393" s="1359" t="str">
        <f t="shared" si="222"/>
        <v/>
      </c>
      <c r="AS393" s="955">
        <f t="shared" si="225"/>
        <v>28.571428571428569</v>
      </c>
      <c r="AT393" s="1111" t="s">
        <v>96</v>
      </c>
      <c r="AU393" s="1113">
        <v>1991</v>
      </c>
      <c r="AV393" s="1119" t="s">
        <v>3286</v>
      </c>
      <c r="AW393" s="1121">
        <v>56.6577175697605</v>
      </c>
      <c r="AX393" s="1121">
        <v>33.471842528405297</v>
      </c>
    </row>
    <row r="394" spans="1:50" ht="20.100000000000001" customHeight="1" x14ac:dyDescent="0.25">
      <c r="A394" s="213">
        <v>289</v>
      </c>
      <c r="B394" s="244">
        <v>10</v>
      </c>
      <c r="C394" s="244" t="s">
        <v>256</v>
      </c>
      <c r="D394" s="245">
        <v>6.3</v>
      </c>
      <c r="E394" s="246"/>
      <c r="F394" s="246"/>
      <c r="G394" s="246"/>
      <c r="H394" s="247"/>
      <c r="I394" s="229" t="str">
        <f t="shared" si="228"/>
        <v>6,3</v>
      </c>
      <c r="J394" s="1015">
        <v>4.5999999999999996</v>
      </c>
      <c r="K394" s="249">
        <v>0</v>
      </c>
      <c r="L394" s="244">
        <v>0</v>
      </c>
      <c r="M394" s="249">
        <f t="shared" si="223"/>
        <v>0</v>
      </c>
      <c r="N394" s="172">
        <v>0</v>
      </c>
      <c r="O394" s="893"/>
      <c r="P394" s="896">
        <f t="shared" si="215"/>
        <v>0</v>
      </c>
      <c r="Q394" s="249">
        <f t="shared" si="216"/>
        <v>-4.5999999999999996</v>
      </c>
      <c r="R394" s="249">
        <f t="shared" si="224"/>
        <v>-4.5999999999999996</v>
      </c>
      <c r="S394" s="244" t="str">
        <f t="shared" si="198"/>
        <v>закрыт</v>
      </c>
      <c r="T394" s="257" t="str">
        <f t="shared" si="217"/>
        <v>закрыт</v>
      </c>
      <c r="U394" s="768">
        <f t="shared" si="218"/>
        <v>69.538926681783821</v>
      </c>
      <c r="V394" s="768">
        <v>0.87</v>
      </c>
      <c r="W394" s="257" t="s">
        <v>3088</v>
      </c>
      <c r="X394" s="933"/>
      <c r="Y394" s="213">
        <v>289</v>
      </c>
      <c r="Z394" s="1327">
        <v>10</v>
      </c>
      <c r="AA394" s="1359" t="s">
        <v>256</v>
      </c>
      <c r="AB394" s="245">
        <f t="shared" si="229"/>
        <v>6.3</v>
      </c>
      <c r="AC394" s="246"/>
      <c r="AD394" s="246"/>
      <c r="AE394" s="246"/>
      <c r="AF394" s="1327"/>
      <c r="AG394" s="1298" t="str">
        <f t="shared" si="199"/>
        <v>6,3</v>
      </c>
      <c r="AH394" s="1358">
        <f>'Зона ТоЭс'!L45</f>
        <v>1.17</v>
      </c>
      <c r="AI394" s="1358">
        <f t="shared" si="227"/>
        <v>5.77</v>
      </c>
      <c r="AJ394" s="1304">
        <f t="shared" si="204"/>
        <v>0</v>
      </c>
      <c r="AK394" s="1298">
        <f t="shared" si="230"/>
        <v>0</v>
      </c>
      <c r="AL394" s="1304">
        <f t="shared" si="219"/>
        <v>0</v>
      </c>
      <c r="AM394" s="1298">
        <v>0</v>
      </c>
      <c r="AN394" s="896">
        <f t="shared" si="220"/>
        <v>0</v>
      </c>
      <c r="AO394" s="1358">
        <f t="shared" si="221"/>
        <v>-5.77</v>
      </c>
      <c r="AP394" s="1358">
        <f>AO394</f>
        <v>-5.77</v>
      </c>
      <c r="AQ394" s="248" t="str">
        <f t="shared" si="200"/>
        <v>закрыт</v>
      </c>
      <c r="AR394" s="1359" t="str">
        <f t="shared" si="222"/>
        <v>закрыт</v>
      </c>
      <c r="AS394" s="955">
        <f t="shared" si="225"/>
        <v>87.226001511715793</v>
      </c>
      <c r="AT394" s="1111" t="s">
        <v>96</v>
      </c>
      <c r="AU394" s="1113">
        <v>1969</v>
      </c>
      <c r="AV394" s="1119" t="s">
        <v>3286</v>
      </c>
      <c r="AW394" s="1121">
        <v>57.282362313331902</v>
      </c>
      <c r="AX394" s="1121">
        <v>32.919448251431298</v>
      </c>
    </row>
    <row r="395" spans="1:50" ht="20.100000000000001" customHeight="1" x14ac:dyDescent="0.25">
      <c r="A395" s="213">
        <v>290</v>
      </c>
      <c r="B395" s="244">
        <v>11</v>
      </c>
      <c r="C395" s="244" t="s">
        <v>257</v>
      </c>
      <c r="D395" s="245">
        <v>1.6</v>
      </c>
      <c r="E395" s="246"/>
      <c r="F395" s="246"/>
      <c r="G395" s="246"/>
      <c r="H395" s="247"/>
      <c r="I395" s="229" t="str">
        <f t="shared" si="228"/>
        <v>1,6</v>
      </c>
      <c r="J395" s="1015">
        <v>0.2</v>
      </c>
      <c r="K395" s="249">
        <v>0</v>
      </c>
      <c r="L395" s="244">
        <v>0</v>
      </c>
      <c r="M395" s="249">
        <f t="shared" si="223"/>
        <v>0</v>
      </c>
      <c r="N395" s="172">
        <v>0</v>
      </c>
      <c r="O395" s="893"/>
      <c r="P395" s="896">
        <f t="shared" si="215"/>
        <v>0</v>
      </c>
      <c r="Q395" s="249">
        <f t="shared" si="216"/>
        <v>-0.2</v>
      </c>
      <c r="R395" s="249">
        <f t="shared" si="224"/>
        <v>-0.2</v>
      </c>
      <c r="S395" s="244" t="str">
        <f t="shared" ref="S395:S431" si="231">T395</f>
        <v>закрыт</v>
      </c>
      <c r="T395" s="257" t="str">
        <f t="shared" si="217"/>
        <v>закрыт</v>
      </c>
      <c r="U395" s="768">
        <f t="shared" si="218"/>
        <v>11.904761904761903</v>
      </c>
      <c r="V395" s="768">
        <v>0.61</v>
      </c>
      <c r="W395" s="257" t="s">
        <v>3088</v>
      </c>
      <c r="X395" s="933"/>
      <c r="Y395" s="213">
        <v>290</v>
      </c>
      <c r="Z395" s="1327">
        <v>11</v>
      </c>
      <c r="AA395" s="1359" t="s">
        <v>257</v>
      </c>
      <c r="AB395" s="245">
        <f t="shared" si="229"/>
        <v>1.6</v>
      </c>
      <c r="AC395" s="246"/>
      <c r="AD395" s="246"/>
      <c r="AE395" s="246"/>
      <c r="AF395" s="1327"/>
      <c r="AG395" s="1298" t="str">
        <f t="shared" ref="AG395:AG433" si="232">CONCATENATE(AB395,AC395,AD395,AE395,AF395)</f>
        <v>1,6</v>
      </c>
      <c r="AH395" s="1358">
        <f>'Зона ТоЭс'!L47</f>
        <v>0</v>
      </c>
      <c r="AI395" s="1358">
        <f t="shared" si="227"/>
        <v>0.2</v>
      </c>
      <c r="AJ395" s="1304">
        <f t="shared" si="204"/>
        <v>0</v>
      </c>
      <c r="AK395" s="1298">
        <f t="shared" si="230"/>
        <v>0</v>
      </c>
      <c r="AL395" s="1304">
        <f t="shared" si="219"/>
        <v>0</v>
      </c>
      <c r="AM395" s="1298">
        <v>0</v>
      </c>
      <c r="AN395" s="896">
        <f t="shared" si="220"/>
        <v>0</v>
      </c>
      <c r="AO395" s="1358">
        <f t="shared" si="221"/>
        <v>-0.2</v>
      </c>
      <c r="AP395" s="1358">
        <f t="shared" si="226"/>
        <v>-0.2</v>
      </c>
      <c r="AQ395" s="248" t="str">
        <f t="shared" ref="AQ395:AQ430" si="233">AR395</f>
        <v>закрыт</v>
      </c>
      <c r="AR395" s="1359" t="str">
        <f t="shared" si="222"/>
        <v>закрыт</v>
      </c>
      <c r="AS395" s="955">
        <f t="shared" si="225"/>
        <v>11.904761904761903</v>
      </c>
      <c r="AT395" s="1111" t="s">
        <v>96</v>
      </c>
      <c r="AU395" s="1113">
        <v>1974</v>
      </c>
      <c r="AV395" s="1119" t="s">
        <v>3286</v>
      </c>
      <c r="AW395" s="1121">
        <v>56.641229897302701</v>
      </c>
      <c r="AX395" s="1121">
        <v>32.847676704850599</v>
      </c>
    </row>
    <row r="396" spans="1:50" ht="20.100000000000001" customHeight="1" x14ac:dyDescent="0.25">
      <c r="A396" s="213">
        <v>291</v>
      </c>
      <c r="B396" s="244">
        <v>12</v>
      </c>
      <c r="C396" s="244" t="s">
        <v>258</v>
      </c>
      <c r="D396" s="245">
        <v>1</v>
      </c>
      <c r="E396" s="246"/>
      <c r="F396" s="246"/>
      <c r="G396" s="246"/>
      <c r="H396" s="247"/>
      <c r="I396" s="229" t="str">
        <f t="shared" si="228"/>
        <v>1</v>
      </c>
      <c r="J396" s="1015">
        <v>0.4</v>
      </c>
      <c r="K396" s="249">
        <v>0</v>
      </c>
      <c r="L396" s="244">
        <v>0</v>
      </c>
      <c r="M396" s="249">
        <f t="shared" si="223"/>
        <v>0</v>
      </c>
      <c r="N396" s="172">
        <v>0</v>
      </c>
      <c r="O396" s="893"/>
      <c r="P396" s="896">
        <f t="shared" si="215"/>
        <v>0</v>
      </c>
      <c r="Q396" s="249">
        <f t="shared" si="216"/>
        <v>-0.4</v>
      </c>
      <c r="R396" s="249">
        <f t="shared" si="224"/>
        <v>-0.4</v>
      </c>
      <c r="S396" s="244" t="str">
        <f t="shared" si="231"/>
        <v>закрыт</v>
      </c>
      <c r="T396" s="257" t="str">
        <f t="shared" si="217"/>
        <v>закрыт</v>
      </c>
      <c r="U396" s="768">
        <f t="shared" si="218"/>
        <v>38.095238095238095</v>
      </c>
      <c r="V396" s="768">
        <v>0.3</v>
      </c>
      <c r="W396" s="257" t="s">
        <v>3088</v>
      </c>
      <c r="X396" s="933"/>
      <c r="Y396" s="213">
        <v>291</v>
      </c>
      <c r="Z396" s="1327">
        <v>12</v>
      </c>
      <c r="AA396" s="1359" t="s">
        <v>258</v>
      </c>
      <c r="AB396" s="245">
        <f t="shared" si="229"/>
        <v>1</v>
      </c>
      <c r="AC396" s="246"/>
      <c r="AD396" s="246"/>
      <c r="AE396" s="246"/>
      <c r="AF396" s="1327"/>
      <c r="AG396" s="1298" t="str">
        <f t="shared" si="232"/>
        <v>1</v>
      </c>
      <c r="AH396" s="1358">
        <f>'Зона ТоЭс'!L50</f>
        <v>0</v>
      </c>
      <c r="AI396" s="1358">
        <f t="shared" si="227"/>
        <v>0.4</v>
      </c>
      <c r="AJ396" s="1304">
        <f t="shared" ref="AJ396:AJ432" si="234">K396</f>
        <v>0</v>
      </c>
      <c r="AK396" s="1298">
        <f t="shared" si="230"/>
        <v>0</v>
      </c>
      <c r="AL396" s="1304">
        <f t="shared" si="219"/>
        <v>0</v>
      </c>
      <c r="AM396" s="1298">
        <v>0</v>
      </c>
      <c r="AN396" s="896">
        <f t="shared" si="220"/>
        <v>0</v>
      </c>
      <c r="AO396" s="1358">
        <f t="shared" si="221"/>
        <v>-0.4</v>
      </c>
      <c r="AP396" s="1358">
        <f t="shared" si="226"/>
        <v>-0.4</v>
      </c>
      <c r="AQ396" s="248" t="str">
        <f t="shared" si="233"/>
        <v>закрыт</v>
      </c>
      <c r="AR396" s="1359" t="str">
        <f t="shared" si="222"/>
        <v>закрыт</v>
      </c>
      <c r="AS396" s="955">
        <f t="shared" si="225"/>
        <v>38.095238095238095</v>
      </c>
      <c r="AT396" s="1111" t="s">
        <v>96</v>
      </c>
      <c r="AU396" s="1113">
        <v>1988</v>
      </c>
      <c r="AV396" s="1119" t="s">
        <v>3286</v>
      </c>
      <c r="AW396" s="1121">
        <v>56.959279923887401</v>
      </c>
      <c r="AX396" s="1121">
        <v>32.248864062105298</v>
      </c>
    </row>
    <row r="397" spans="1:50" ht="20.100000000000001" customHeight="1" x14ac:dyDescent="0.25">
      <c r="A397" s="213">
        <v>292</v>
      </c>
      <c r="B397" s="244">
        <v>13</v>
      </c>
      <c r="C397" s="244" t="s">
        <v>259</v>
      </c>
      <c r="D397" s="245">
        <v>1.6</v>
      </c>
      <c r="E397" s="246"/>
      <c r="F397" s="246"/>
      <c r="G397" s="246"/>
      <c r="H397" s="247"/>
      <c r="I397" s="229" t="str">
        <f t="shared" si="228"/>
        <v>1,6</v>
      </c>
      <c r="J397" s="1015">
        <v>0.6</v>
      </c>
      <c r="K397" s="249">
        <v>0</v>
      </c>
      <c r="L397" s="244">
        <v>0</v>
      </c>
      <c r="M397" s="249">
        <f t="shared" si="223"/>
        <v>0</v>
      </c>
      <c r="N397" s="172">
        <v>0</v>
      </c>
      <c r="O397" s="893"/>
      <c r="P397" s="896">
        <f t="shared" si="215"/>
        <v>0</v>
      </c>
      <c r="Q397" s="249">
        <f t="shared" si="216"/>
        <v>-0.6</v>
      </c>
      <c r="R397" s="249">
        <f t="shared" si="224"/>
        <v>-0.6</v>
      </c>
      <c r="S397" s="244" t="str">
        <f t="shared" si="231"/>
        <v>закрыт</v>
      </c>
      <c r="T397" s="257" t="str">
        <f t="shared" si="217"/>
        <v>закрыт</v>
      </c>
      <c r="U397" s="768">
        <f t="shared" si="218"/>
        <v>35.714285714285708</v>
      </c>
      <c r="V397" s="768">
        <v>0.3</v>
      </c>
      <c r="W397" s="257" t="s">
        <v>3088</v>
      </c>
      <c r="X397" s="933"/>
      <c r="Y397" s="213">
        <v>292</v>
      </c>
      <c r="Z397" s="1327">
        <v>13</v>
      </c>
      <c r="AA397" s="1359" t="s">
        <v>259</v>
      </c>
      <c r="AB397" s="245">
        <f t="shared" si="229"/>
        <v>1.6</v>
      </c>
      <c r="AC397" s="246"/>
      <c r="AD397" s="246"/>
      <c r="AE397" s="246"/>
      <c r="AF397" s="1327"/>
      <c r="AG397" s="1298" t="str">
        <f t="shared" si="232"/>
        <v>1,6</v>
      </c>
      <c r="AH397" s="1358">
        <f>'Зона ТоЭс'!L55</f>
        <v>1.8749999999999999E-2</v>
      </c>
      <c r="AI397" s="1358">
        <f t="shared" si="227"/>
        <v>0.61875000000000002</v>
      </c>
      <c r="AJ397" s="1304">
        <f t="shared" si="234"/>
        <v>0</v>
      </c>
      <c r="AK397" s="1298">
        <f t="shared" si="230"/>
        <v>0</v>
      </c>
      <c r="AL397" s="1304">
        <f t="shared" si="219"/>
        <v>0</v>
      </c>
      <c r="AM397" s="1298">
        <v>0</v>
      </c>
      <c r="AN397" s="896">
        <f t="shared" si="220"/>
        <v>0</v>
      </c>
      <c r="AO397" s="1358">
        <f t="shared" si="221"/>
        <v>-0.61875000000000002</v>
      </c>
      <c r="AP397" s="1358">
        <f t="shared" si="226"/>
        <v>-0.61875000000000002</v>
      </c>
      <c r="AQ397" s="248" t="str">
        <f t="shared" si="233"/>
        <v>закрыт</v>
      </c>
      <c r="AR397" s="1359" t="str">
        <f t="shared" si="222"/>
        <v>закрыт</v>
      </c>
      <c r="AS397" s="955">
        <f t="shared" si="225"/>
        <v>36.830357142857139</v>
      </c>
      <c r="AT397" s="1111" t="s">
        <v>96</v>
      </c>
      <c r="AU397" s="1113">
        <v>1968</v>
      </c>
      <c r="AV397" s="1119" t="s">
        <v>3286</v>
      </c>
      <c r="AW397" s="1121">
        <v>57.0576360351549</v>
      </c>
      <c r="AX397" s="1121">
        <v>32.331043312724397</v>
      </c>
    </row>
    <row r="398" spans="1:50" ht="20.100000000000001" customHeight="1" x14ac:dyDescent="0.25">
      <c r="A398" s="213">
        <v>293</v>
      </c>
      <c r="B398" s="244">
        <v>14</v>
      </c>
      <c r="C398" s="244" t="s">
        <v>260</v>
      </c>
      <c r="D398" s="245">
        <v>2.5</v>
      </c>
      <c r="E398" s="246" t="s">
        <v>785</v>
      </c>
      <c r="F398" s="246">
        <v>1.6</v>
      </c>
      <c r="G398" s="246"/>
      <c r="H398" s="247"/>
      <c r="I398" s="229" t="str">
        <f t="shared" si="228"/>
        <v>2,5+1,6</v>
      </c>
      <c r="J398" s="1015">
        <v>1.7</v>
      </c>
      <c r="K398" s="249">
        <v>0</v>
      </c>
      <c r="L398" s="244">
        <v>0</v>
      </c>
      <c r="M398" s="249">
        <f t="shared" ref="M398:M433" si="235">J398-K398</f>
        <v>1.7</v>
      </c>
      <c r="N398" s="172">
        <v>0</v>
      </c>
      <c r="O398" s="893"/>
      <c r="P398" s="896">
        <f t="shared" ref="P398:P433" si="236">MIN(D398:F398)*1.05</f>
        <v>1.6800000000000002</v>
      </c>
      <c r="Q398" s="249">
        <f t="shared" ref="Q398:Q410" si="237">P398-N398-M398</f>
        <v>-1.9999999999999796E-2</v>
      </c>
      <c r="R398" s="249">
        <f t="shared" si="224"/>
        <v>-1.9999999999999796E-2</v>
      </c>
      <c r="S398" s="244" t="str">
        <f t="shared" si="231"/>
        <v>закрыт</v>
      </c>
      <c r="T398" s="257" t="str">
        <f t="shared" si="217"/>
        <v>закрыт</v>
      </c>
      <c r="U398" s="768">
        <f t="shared" ref="U398:U413" si="238">(J398*100)/P398</f>
        <v>101.19047619047618</v>
      </c>
      <c r="V398" s="768">
        <v>0.47</v>
      </c>
      <c r="W398" s="257" t="s">
        <v>3088</v>
      </c>
      <c r="X398" s="933"/>
      <c r="Y398" s="213">
        <v>293</v>
      </c>
      <c r="Z398" s="1327">
        <v>14</v>
      </c>
      <c r="AA398" s="1359" t="s">
        <v>260</v>
      </c>
      <c r="AB398" s="245">
        <f t="shared" si="229"/>
        <v>2.5</v>
      </c>
      <c r="AC398" s="246" t="str">
        <f t="shared" ref="AC398:AC433" si="239">E398</f>
        <v>+</v>
      </c>
      <c r="AD398" s="246">
        <f t="shared" ref="AD398:AD433" si="240">F398</f>
        <v>1.6</v>
      </c>
      <c r="AE398" s="246"/>
      <c r="AF398" s="1327"/>
      <c r="AG398" s="1298" t="str">
        <f t="shared" si="232"/>
        <v>2,5+1,6</v>
      </c>
      <c r="AH398" s="1358">
        <f>'Зона ТоЭс'!L62</f>
        <v>0.17</v>
      </c>
      <c r="AI398" s="1358">
        <f t="shared" si="227"/>
        <v>1.8699999999999999</v>
      </c>
      <c r="AJ398" s="1304">
        <f t="shared" si="234"/>
        <v>0</v>
      </c>
      <c r="AK398" s="1298">
        <f t="shared" si="230"/>
        <v>0</v>
      </c>
      <c r="AL398" s="1304">
        <f t="shared" ref="AL398:AL433" si="241">AI398-AJ398</f>
        <v>1.8699999999999999</v>
      </c>
      <c r="AM398" s="1298">
        <v>0</v>
      </c>
      <c r="AN398" s="896">
        <f t="shared" ref="AN398:AN433" si="242">MIN(AB398:AF398)*1.05</f>
        <v>1.6800000000000002</v>
      </c>
      <c r="AO398" s="1358">
        <f t="shared" ref="AO398:AO433" si="243">AN398-AM398-AL398</f>
        <v>-0.18999999999999972</v>
      </c>
      <c r="AP398" s="1358">
        <f t="shared" si="226"/>
        <v>-0.18999999999999972</v>
      </c>
      <c r="AQ398" s="1358" t="str">
        <f t="shared" si="233"/>
        <v>закрыт</v>
      </c>
      <c r="AR398" s="1359" t="str">
        <f t="shared" si="222"/>
        <v>закрыт</v>
      </c>
      <c r="AS398" s="955">
        <f t="shared" ref="AS398:AS413" si="244">(AI398*100)/AN398</f>
        <v>111.3095238095238</v>
      </c>
      <c r="AT398" s="1111" t="s">
        <v>96</v>
      </c>
      <c r="AU398" s="1113">
        <v>1970</v>
      </c>
      <c r="AV398" s="1119" t="s">
        <v>3286</v>
      </c>
      <c r="AW398" s="1121">
        <v>56.835124665264999</v>
      </c>
      <c r="AX398" s="1121">
        <v>35.036505971403898</v>
      </c>
    </row>
    <row r="399" spans="1:50" ht="20.100000000000001" customHeight="1" x14ac:dyDescent="0.25">
      <c r="A399" s="213">
        <v>294</v>
      </c>
      <c r="B399" s="244">
        <v>15</v>
      </c>
      <c r="C399" s="244" t="s">
        <v>261</v>
      </c>
      <c r="D399" s="245">
        <v>4</v>
      </c>
      <c r="E399" s="246" t="s">
        <v>785</v>
      </c>
      <c r="F399" s="246">
        <v>2.5</v>
      </c>
      <c r="G399" s="246"/>
      <c r="H399" s="247"/>
      <c r="I399" s="229" t="str">
        <f t="shared" si="228"/>
        <v>4+2,5</v>
      </c>
      <c r="J399" s="1015">
        <v>1.1000000000000001</v>
      </c>
      <c r="K399" s="249">
        <v>0</v>
      </c>
      <c r="L399" s="244">
        <v>0</v>
      </c>
      <c r="M399" s="249">
        <f t="shared" si="235"/>
        <v>1.1000000000000001</v>
      </c>
      <c r="N399" s="172">
        <v>0</v>
      </c>
      <c r="O399" s="893"/>
      <c r="P399" s="896">
        <f t="shared" si="236"/>
        <v>2.625</v>
      </c>
      <c r="Q399" s="249">
        <f t="shared" si="237"/>
        <v>1.5249999999999999</v>
      </c>
      <c r="R399" s="249">
        <f t="shared" si="224"/>
        <v>1.5249999999999999</v>
      </c>
      <c r="S399" s="244" t="str">
        <f t="shared" si="231"/>
        <v/>
      </c>
      <c r="T399" s="257" t="str">
        <f t="shared" si="217"/>
        <v/>
      </c>
      <c r="U399" s="768">
        <f t="shared" si="238"/>
        <v>41.904761904761912</v>
      </c>
      <c r="V399" s="768">
        <v>0.56999999999999995</v>
      </c>
      <c r="W399" s="257" t="s">
        <v>3088</v>
      </c>
      <c r="X399" s="933"/>
      <c r="Y399" s="213">
        <v>294</v>
      </c>
      <c r="Z399" s="1327">
        <v>15</v>
      </c>
      <c r="AA399" s="1359" t="s">
        <v>261</v>
      </c>
      <c r="AB399" s="245">
        <f t="shared" si="229"/>
        <v>4</v>
      </c>
      <c r="AC399" s="246" t="str">
        <f t="shared" si="239"/>
        <v>+</v>
      </c>
      <c r="AD399" s="246">
        <f t="shared" si="240"/>
        <v>2.5</v>
      </c>
      <c r="AE399" s="246"/>
      <c r="AF399" s="1327"/>
      <c r="AG399" s="1298" t="str">
        <f t="shared" si="232"/>
        <v>4+2,5</v>
      </c>
      <c r="AH399" s="1358">
        <f>'Зона ТоЭс'!L65</f>
        <v>0.27999999999999997</v>
      </c>
      <c r="AI399" s="1358">
        <f t="shared" si="227"/>
        <v>1.3800000000000001</v>
      </c>
      <c r="AJ399" s="1304">
        <f t="shared" si="234"/>
        <v>0</v>
      </c>
      <c r="AK399" s="1298">
        <f t="shared" si="230"/>
        <v>0</v>
      </c>
      <c r="AL399" s="1304">
        <f t="shared" si="241"/>
        <v>1.3800000000000001</v>
      </c>
      <c r="AM399" s="1298">
        <v>0</v>
      </c>
      <c r="AN399" s="896">
        <f t="shared" si="242"/>
        <v>2.625</v>
      </c>
      <c r="AO399" s="1358">
        <f t="shared" si="243"/>
        <v>1.2449999999999999</v>
      </c>
      <c r="AP399" s="1358">
        <f t="shared" si="226"/>
        <v>1.2449999999999999</v>
      </c>
      <c r="AQ399" s="1358" t="str">
        <f t="shared" si="233"/>
        <v/>
      </c>
      <c r="AR399" s="1359" t="str">
        <f t="shared" si="222"/>
        <v/>
      </c>
      <c r="AS399" s="955">
        <f t="shared" si="244"/>
        <v>52.571428571428569</v>
      </c>
      <c r="AT399" s="1111" t="s">
        <v>96</v>
      </c>
      <c r="AU399" s="1113">
        <v>1968</v>
      </c>
      <c r="AV399" s="1119" t="s">
        <v>3286</v>
      </c>
      <c r="AW399" s="1121">
        <v>56.697932251352903</v>
      </c>
      <c r="AX399" s="1121">
        <v>34.906360128343799</v>
      </c>
    </row>
    <row r="400" spans="1:50" ht="20.100000000000001" customHeight="1" x14ac:dyDescent="0.25">
      <c r="A400" s="213">
        <v>295</v>
      </c>
      <c r="B400" s="244">
        <v>16</v>
      </c>
      <c r="C400" s="244" t="s">
        <v>262</v>
      </c>
      <c r="D400" s="245">
        <v>4</v>
      </c>
      <c r="E400" s="246" t="s">
        <v>785</v>
      </c>
      <c r="F400" s="246">
        <v>4</v>
      </c>
      <c r="G400" s="246"/>
      <c r="H400" s="247"/>
      <c r="I400" s="229" t="str">
        <f t="shared" si="228"/>
        <v>4+4</v>
      </c>
      <c r="J400" s="1015">
        <v>2.9</v>
      </c>
      <c r="K400" s="249">
        <v>0</v>
      </c>
      <c r="L400" s="244">
        <v>0</v>
      </c>
      <c r="M400" s="249">
        <f t="shared" si="235"/>
        <v>2.9</v>
      </c>
      <c r="N400" s="172">
        <v>0</v>
      </c>
      <c r="O400" s="893"/>
      <c r="P400" s="896">
        <f t="shared" si="236"/>
        <v>4.2</v>
      </c>
      <c r="Q400" s="249">
        <f t="shared" si="237"/>
        <v>1.3000000000000003</v>
      </c>
      <c r="R400" s="249">
        <f t="shared" si="224"/>
        <v>1.3000000000000003</v>
      </c>
      <c r="S400" s="244" t="str">
        <f t="shared" si="231"/>
        <v/>
      </c>
      <c r="T400" s="257" t="str">
        <f t="shared" si="217"/>
        <v/>
      </c>
      <c r="U400" s="768">
        <f t="shared" si="238"/>
        <v>69.047619047619051</v>
      </c>
      <c r="V400" s="768">
        <v>0.39</v>
      </c>
      <c r="W400" s="257" t="s">
        <v>3088</v>
      </c>
      <c r="X400" s="933"/>
      <c r="Y400" s="213">
        <v>295</v>
      </c>
      <c r="Z400" s="1327">
        <v>16</v>
      </c>
      <c r="AA400" s="1359" t="s">
        <v>262</v>
      </c>
      <c r="AB400" s="245">
        <f t="shared" si="229"/>
        <v>4</v>
      </c>
      <c r="AC400" s="246" t="str">
        <f t="shared" si="239"/>
        <v>+</v>
      </c>
      <c r="AD400" s="246">
        <f t="shared" si="240"/>
        <v>4</v>
      </c>
      <c r="AE400" s="246"/>
      <c r="AF400" s="1327"/>
      <c r="AG400" s="1298" t="str">
        <f t="shared" si="232"/>
        <v>4+4</v>
      </c>
      <c r="AH400" s="1358">
        <f>'Зона ТоЭс'!L82</f>
        <v>0.74562499999999998</v>
      </c>
      <c r="AI400" s="1358">
        <f t="shared" si="227"/>
        <v>3.6456249999999999</v>
      </c>
      <c r="AJ400" s="1304">
        <f t="shared" si="234"/>
        <v>0</v>
      </c>
      <c r="AK400" s="1298">
        <f t="shared" si="230"/>
        <v>0</v>
      </c>
      <c r="AL400" s="1304">
        <f t="shared" si="241"/>
        <v>3.6456249999999999</v>
      </c>
      <c r="AM400" s="1298">
        <v>0</v>
      </c>
      <c r="AN400" s="896">
        <f t="shared" si="242"/>
        <v>4.2</v>
      </c>
      <c r="AO400" s="1358">
        <f t="shared" si="243"/>
        <v>0.55437500000000028</v>
      </c>
      <c r="AP400" s="1358">
        <f t="shared" si="226"/>
        <v>0.55437500000000028</v>
      </c>
      <c r="AQ400" s="1358" t="str">
        <f t="shared" si="233"/>
        <v/>
      </c>
      <c r="AR400" s="1359" t="str">
        <f t="shared" si="222"/>
        <v/>
      </c>
      <c r="AS400" s="955">
        <f t="shared" si="244"/>
        <v>86.800595238095241</v>
      </c>
      <c r="AT400" s="1111" t="s">
        <v>96</v>
      </c>
      <c r="AU400" s="1113">
        <v>1978</v>
      </c>
      <c r="AV400" s="1119" t="s">
        <v>3286</v>
      </c>
      <c r="AW400" s="1121">
        <v>56.981818912281</v>
      </c>
      <c r="AX400" s="1121">
        <v>35.104686451727297</v>
      </c>
    </row>
    <row r="401" spans="1:50" ht="20.100000000000001" customHeight="1" x14ac:dyDescent="0.25">
      <c r="A401" s="213">
        <v>296</v>
      </c>
      <c r="B401" s="244">
        <v>17</v>
      </c>
      <c r="C401" s="244" t="s">
        <v>263</v>
      </c>
      <c r="D401" s="245">
        <v>2.5</v>
      </c>
      <c r="E401" s="246" t="s">
        <v>785</v>
      </c>
      <c r="F401" s="246">
        <v>2.5</v>
      </c>
      <c r="G401" s="246"/>
      <c r="H401" s="247"/>
      <c r="I401" s="229" t="str">
        <f t="shared" si="228"/>
        <v>2,5+2,5</v>
      </c>
      <c r="J401" s="1015">
        <v>0.1</v>
      </c>
      <c r="K401" s="249">
        <v>0</v>
      </c>
      <c r="L401" s="244">
        <v>0</v>
      </c>
      <c r="M401" s="249">
        <f t="shared" si="235"/>
        <v>0.1</v>
      </c>
      <c r="N401" s="172">
        <v>0</v>
      </c>
      <c r="O401" s="893"/>
      <c r="P401" s="896">
        <f t="shared" si="236"/>
        <v>2.625</v>
      </c>
      <c r="Q401" s="249">
        <f t="shared" si="237"/>
        <v>2.5249999999999999</v>
      </c>
      <c r="R401" s="249">
        <f t="shared" si="224"/>
        <v>2.5249999999999999</v>
      </c>
      <c r="S401" s="244" t="str">
        <f t="shared" si="231"/>
        <v/>
      </c>
      <c r="T401" s="257" t="str">
        <f t="shared" si="217"/>
        <v/>
      </c>
      <c r="U401" s="768">
        <f t="shared" si="238"/>
        <v>3.8095238095238093</v>
      </c>
      <c r="V401" s="768">
        <v>0.65</v>
      </c>
      <c r="W401" s="257" t="s">
        <v>3088</v>
      </c>
      <c r="X401" s="933"/>
      <c r="Y401" s="213">
        <v>296</v>
      </c>
      <c r="Z401" s="1327">
        <v>17</v>
      </c>
      <c r="AA401" s="1359" t="s">
        <v>263</v>
      </c>
      <c r="AB401" s="245">
        <f t="shared" si="229"/>
        <v>2.5</v>
      </c>
      <c r="AC401" s="246" t="str">
        <f t="shared" si="239"/>
        <v>+</v>
      </c>
      <c r="AD401" s="246">
        <f t="shared" si="240"/>
        <v>2.5</v>
      </c>
      <c r="AE401" s="246"/>
      <c r="AF401" s="1327"/>
      <c r="AG401" s="1298" t="str">
        <f t="shared" si="232"/>
        <v>2,5+2,5</v>
      </c>
      <c r="AH401" s="1358">
        <f>'Зона ТоЭс'!L85</f>
        <v>0.22687499999999999</v>
      </c>
      <c r="AI401" s="1358">
        <f t="shared" si="227"/>
        <v>0.32687500000000003</v>
      </c>
      <c r="AJ401" s="1304">
        <f t="shared" si="234"/>
        <v>0</v>
      </c>
      <c r="AK401" s="1298">
        <f t="shared" si="230"/>
        <v>0</v>
      </c>
      <c r="AL401" s="1304">
        <f t="shared" si="241"/>
        <v>0.32687500000000003</v>
      </c>
      <c r="AM401" s="1298">
        <v>0</v>
      </c>
      <c r="AN401" s="896">
        <f t="shared" si="242"/>
        <v>2.625</v>
      </c>
      <c r="AO401" s="1358">
        <f t="shared" si="243"/>
        <v>2.2981249999999998</v>
      </c>
      <c r="AP401" s="1358">
        <f t="shared" si="226"/>
        <v>2.2981249999999998</v>
      </c>
      <c r="AQ401" s="1358" t="str">
        <f t="shared" si="233"/>
        <v/>
      </c>
      <c r="AR401" s="1359" t="str">
        <f t="shared" si="222"/>
        <v/>
      </c>
      <c r="AS401" s="955">
        <f t="shared" si="244"/>
        <v>12.452380952380953</v>
      </c>
      <c r="AT401" s="1111" t="s">
        <v>96</v>
      </c>
      <c r="AU401" s="1113">
        <v>1961</v>
      </c>
      <c r="AV401" s="1119" t="s">
        <v>3286</v>
      </c>
      <c r="AW401" s="1121">
        <v>57.133121923718498</v>
      </c>
      <c r="AX401" s="1121">
        <v>34.672485597217602</v>
      </c>
    </row>
    <row r="402" spans="1:50" ht="20.100000000000001" customHeight="1" x14ac:dyDescent="0.25">
      <c r="A402" s="213">
        <v>297</v>
      </c>
      <c r="B402" s="244">
        <v>18</v>
      </c>
      <c r="C402" s="244" t="s">
        <v>264</v>
      </c>
      <c r="D402" s="245">
        <v>2.5</v>
      </c>
      <c r="E402" s="246" t="s">
        <v>785</v>
      </c>
      <c r="F402" s="246">
        <v>2.5</v>
      </c>
      <c r="G402" s="246"/>
      <c r="H402" s="247"/>
      <c r="I402" s="229" t="str">
        <f t="shared" si="228"/>
        <v>2,5+2,5</v>
      </c>
      <c r="J402" s="1015">
        <v>2.7</v>
      </c>
      <c r="K402" s="249">
        <v>0</v>
      </c>
      <c r="L402" s="244">
        <v>0</v>
      </c>
      <c r="M402" s="249">
        <f t="shared" si="235"/>
        <v>2.7</v>
      </c>
      <c r="N402" s="172">
        <v>0</v>
      </c>
      <c r="O402" s="893"/>
      <c r="P402" s="896">
        <f t="shared" si="236"/>
        <v>2.625</v>
      </c>
      <c r="Q402" s="249">
        <f t="shared" si="237"/>
        <v>-7.5000000000000178E-2</v>
      </c>
      <c r="R402" s="249">
        <f t="shared" si="224"/>
        <v>-7.5000000000000178E-2</v>
      </c>
      <c r="S402" s="244" t="str">
        <f t="shared" si="231"/>
        <v>закрыт</v>
      </c>
      <c r="T402" s="257" t="str">
        <f t="shared" si="217"/>
        <v>закрыт</v>
      </c>
      <c r="U402" s="768">
        <f t="shared" si="238"/>
        <v>102.85714285714286</v>
      </c>
      <c r="V402" s="768">
        <v>0.31</v>
      </c>
      <c r="W402" s="257" t="s">
        <v>3088</v>
      </c>
      <c r="X402" s="933"/>
      <c r="Y402" s="213">
        <v>297</v>
      </c>
      <c r="Z402" s="1327">
        <v>18</v>
      </c>
      <c r="AA402" s="1359" t="s">
        <v>264</v>
      </c>
      <c r="AB402" s="245">
        <f t="shared" si="229"/>
        <v>2.5</v>
      </c>
      <c r="AC402" s="246" t="str">
        <f t="shared" si="239"/>
        <v>+</v>
      </c>
      <c r="AD402" s="246">
        <f t="shared" si="240"/>
        <v>2.5</v>
      </c>
      <c r="AE402" s="246"/>
      <c r="AF402" s="1327"/>
      <c r="AG402" s="1298" t="str">
        <f t="shared" si="232"/>
        <v>2,5+2,5</v>
      </c>
      <c r="AH402" s="1358">
        <f>'Зона ТоЭс'!L94</f>
        <v>1.6499999999999997</v>
      </c>
      <c r="AI402" s="1358">
        <f>AH402+J402</f>
        <v>4.3499999999999996</v>
      </c>
      <c r="AJ402" s="1304">
        <f>K402</f>
        <v>0</v>
      </c>
      <c r="AK402" s="1298">
        <f t="shared" si="230"/>
        <v>0</v>
      </c>
      <c r="AL402" s="1304">
        <f t="shared" si="241"/>
        <v>4.3499999999999996</v>
      </c>
      <c r="AM402" s="1298">
        <v>0</v>
      </c>
      <c r="AN402" s="896">
        <f t="shared" si="242"/>
        <v>2.625</v>
      </c>
      <c r="AO402" s="1358">
        <f t="shared" si="243"/>
        <v>-1.7249999999999996</v>
      </c>
      <c r="AP402" s="1358">
        <f t="shared" si="226"/>
        <v>-1.7249999999999996</v>
      </c>
      <c r="AQ402" s="1358" t="str">
        <f t="shared" si="233"/>
        <v>закрыт</v>
      </c>
      <c r="AR402" s="1359" t="str">
        <f t="shared" si="222"/>
        <v>закрыт</v>
      </c>
      <c r="AS402" s="955">
        <f t="shared" si="244"/>
        <v>165.71428571428569</v>
      </c>
      <c r="AT402" s="1111" t="s">
        <v>96</v>
      </c>
      <c r="AU402" s="1113">
        <v>1980</v>
      </c>
      <c r="AV402" s="1119" t="s">
        <v>3286</v>
      </c>
      <c r="AW402" s="1121">
        <v>57.204716539039701</v>
      </c>
      <c r="AX402" s="1121">
        <v>34.9455300087211</v>
      </c>
    </row>
    <row r="403" spans="1:50" ht="20.100000000000001" customHeight="1" x14ac:dyDescent="0.25">
      <c r="A403" s="213">
        <v>298</v>
      </c>
      <c r="B403" s="244">
        <v>19</v>
      </c>
      <c r="C403" s="244" t="s">
        <v>265</v>
      </c>
      <c r="D403" s="245">
        <v>4</v>
      </c>
      <c r="E403" s="246" t="s">
        <v>785</v>
      </c>
      <c r="F403" s="246">
        <v>4</v>
      </c>
      <c r="G403" s="246"/>
      <c r="H403" s="247"/>
      <c r="I403" s="229" t="str">
        <f t="shared" si="228"/>
        <v>4+4</v>
      </c>
      <c r="J403" s="1015">
        <v>0.6</v>
      </c>
      <c r="K403" s="249">
        <v>0</v>
      </c>
      <c r="L403" s="244">
        <v>0</v>
      </c>
      <c r="M403" s="249">
        <f t="shared" si="235"/>
        <v>0.6</v>
      </c>
      <c r="N403" s="172">
        <v>0</v>
      </c>
      <c r="O403" s="893"/>
      <c r="P403" s="896">
        <f t="shared" si="236"/>
        <v>4.2</v>
      </c>
      <c r="Q403" s="249">
        <f t="shared" si="237"/>
        <v>3.6</v>
      </c>
      <c r="R403" s="249">
        <f t="shared" si="224"/>
        <v>3.6</v>
      </c>
      <c r="S403" s="244" t="str">
        <f t="shared" si="231"/>
        <v/>
      </c>
      <c r="T403" s="257" t="str">
        <f t="shared" si="217"/>
        <v/>
      </c>
      <c r="U403" s="768">
        <f t="shared" si="238"/>
        <v>14.285714285714285</v>
      </c>
      <c r="V403" s="768">
        <v>0.67</v>
      </c>
      <c r="W403" s="257" t="s">
        <v>3088</v>
      </c>
      <c r="X403" s="933"/>
      <c r="Y403" s="213">
        <v>298</v>
      </c>
      <c r="Z403" s="1327">
        <v>19</v>
      </c>
      <c r="AA403" s="1359" t="s">
        <v>265</v>
      </c>
      <c r="AB403" s="245">
        <f t="shared" si="229"/>
        <v>4</v>
      </c>
      <c r="AC403" s="246" t="str">
        <f t="shared" si="239"/>
        <v>+</v>
      </c>
      <c r="AD403" s="246">
        <f t="shared" si="240"/>
        <v>4</v>
      </c>
      <c r="AE403" s="246"/>
      <c r="AF403" s="1327"/>
      <c r="AG403" s="1298" t="str">
        <f t="shared" si="232"/>
        <v>4+4</v>
      </c>
      <c r="AH403" s="1358">
        <f>'Зона ТоЭс'!L99</f>
        <v>0.17</v>
      </c>
      <c r="AI403" s="1358">
        <f t="shared" si="227"/>
        <v>0.77</v>
      </c>
      <c r="AJ403" s="1304">
        <f t="shared" si="234"/>
        <v>0</v>
      </c>
      <c r="AK403" s="1298">
        <f t="shared" si="230"/>
        <v>0</v>
      </c>
      <c r="AL403" s="1304">
        <f t="shared" si="241"/>
        <v>0.77</v>
      </c>
      <c r="AM403" s="1298">
        <v>0</v>
      </c>
      <c r="AN403" s="896">
        <f t="shared" si="242"/>
        <v>4.2</v>
      </c>
      <c r="AO403" s="1358">
        <f t="shared" si="243"/>
        <v>3.43</v>
      </c>
      <c r="AP403" s="1358">
        <f t="shared" si="226"/>
        <v>3.43</v>
      </c>
      <c r="AQ403" s="1358" t="str">
        <f t="shared" si="233"/>
        <v/>
      </c>
      <c r="AR403" s="1359" t="str">
        <f t="shared" si="222"/>
        <v/>
      </c>
      <c r="AS403" s="955">
        <f t="shared" si="244"/>
        <v>18.333333333333332</v>
      </c>
      <c r="AT403" s="1111" t="s">
        <v>96</v>
      </c>
      <c r="AU403" s="1113">
        <v>1963</v>
      </c>
      <c r="AV403" s="1119" t="s">
        <v>3286</v>
      </c>
      <c r="AW403" s="1121">
        <v>56.665454737939299</v>
      </c>
      <c r="AX403" s="1121">
        <v>33.8508383047499</v>
      </c>
    </row>
    <row r="404" spans="1:50" ht="20.100000000000001" customHeight="1" x14ac:dyDescent="0.25">
      <c r="A404" s="213">
        <v>299</v>
      </c>
      <c r="B404" s="244">
        <v>20</v>
      </c>
      <c r="C404" s="244" t="s">
        <v>266</v>
      </c>
      <c r="D404" s="245">
        <v>4</v>
      </c>
      <c r="E404" s="246" t="s">
        <v>785</v>
      </c>
      <c r="F404" s="246">
        <v>4</v>
      </c>
      <c r="G404" s="246"/>
      <c r="H404" s="247"/>
      <c r="I404" s="229" t="str">
        <f t="shared" si="228"/>
        <v>4+4</v>
      </c>
      <c r="J404" s="1015">
        <v>1.9</v>
      </c>
      <c r="K404" s="249">
        <v>0</v>
      </c>
      <c r="L404" s="244">
        <v>0</v>
      </c>
      <c r="M404" s="249">
        <f t="shared" si="235"/>
        <v>1.9</v>
      </c>
      <c r="N404" s="172">
        <v>0</v>
      </c>
      <c r="O404" s="893"/>
      <c r="P404" s="896">
        <f t="shared" si="236"/>
        <v>4.2</v>
      </c>
      <c r="Q404" s="249">
        <f t="shared" si="237"/>
        <v>2.3000000000000003</v>
      </c>
      <c r="R404" s="249">
        <f t="shared" si="224"/>
        <v>2.3000000000000003</v>
      </c>
      <c r="S404" s="244" t="str">
        <f t="shared" si="231"/>
        <v/>
      </c>
      <c r="T404" s="257" t="str">
        <f t="shared" si="217"/>
        <v/>
      </c>
      <c r="U404" s="768">
        <f t="shared" si="238"/>
        <v>45.238095238095234</v>
      </c>
      <c r="V404" s="768">
        <v>0.4</v>
      </c>
      <c r="W404" s="257" t="s">
        <v>3088</v>
      </c>
      <c r="X404" s="933"/>
      <c r="Y404" s="213">
        <v>299</v>
      </c>
      <c r="Z404" s="1327">
        <v>20</v>
      </c>
      <c r="AA404" s="1359" t="s">
        <v>266</v>
      </c>
      <c r="AB404" s="245">
        <f t="shared" si="229"/>
        <v>4</v>
      </c>
      <c r="AC404" s="246" t="str">
        <f t="shared" si="239"/>
        <v>+</v>
      </c>
      <c r="AD404" s="246">
        <f t="shared" si="240"/>
        <v>4</v>
      </c>
      <c r="AE404" s="246"/>
      <c r="AF404" s="1327"/>
      <c r="AG404" s="1298" t="str">
        <f t="shared" si="232"/>
        <v>4+4</v>
      </c>
      <c r="AH404" s="1358">
        <f>'Зона ТоЭс'!L107</f>
        <v>0</v>
      </c>
      <c r="AI404" s="1358">
        <f t="shared" si="227"/>
        <v>1.9</v>
      </c>
      <c r="AJ404" s="1304">
        <f t="shared" si="234"/>
        <v>0</v>
      </c>
      <c r="AK404" s="1298">
        <f t="shared" si="230"/>
        <v>0</v>
      </c>
      <c r="AL404" s="1304">
        <f t="shared" si="241"/>
        <v>1.9</v>
      </c>
      <c r="AM404" s="1298">
        <v>0</v>
      </c>
      <c r="AN404" s="896">
        <f t="shared" si="242"/>
        <v>4.2</v>
      </c>
      <c r="AO404" s="1358">
        <f t="shared" si="243"/>
        <v>2.3000000000000003</v>
      </c>
      <c r="AP404" s="1358">
        <f t="shared" si="226"/>
        <v>2.3000000000000003</v>
      </c>
      <c r="AQ404" s="1358" t="str">
        <f t="shared" si="233"/>
        <v/>
      </c>
      <c r="AR404" s="1359" t="str">
        <f t="shared" si="222"/>
        <v/>
      </c>
      <c r="AS404" s="955">
        <f t="shared" si="244"/>
        <v>45.238095238095234</v>
      </c>
      <c r="AT404" s="1111" t="s">
        <v>96</v>
      </c>
      <c r="AU404" s="1113">
        <v>1967</v>
      </c>
      <c r="AV404" s="1119" t="s">
        <v>3286</v>
      </c>
      <c r="AW404" s="1121">
        <v>56.887111041744703</v>
      </c>
      <c r="AX404" s="1121">
        <v>33.302604380725498</v>
      </c>
    </row>
    <row r="405" spans="1:50" ht="20.100000000000001" customHeight="1" x14ac:dyDescent="0.25">
      <c r="A405" s="213">
        <v>300</v>
      </c>
      <c r="B405" s="244">
        <v>21</v>
      </c>
      <c r="C405" s="244" t="s">
        <v>267</v>
      </c>
      <c r="D405" s="245">
        <v>2.5</v>
      </c>
      <c r="E405" s="246" t="s">
        <v>785</v>
      </c>
      <c r="F405" s="246">
        <v>1.6</v>
      </c>
      <c r="G405" s="246"/>
      <c r="H405" s="247"/>
      <c r="I405" s="229" t="str">
        <f t="shared" si="228"/>
        <v>2,5+1,6</v>
      </c>
      <c r="J405" s="1015">
        <v>1</v>
      </c>
      <c r="K405" s="249">
        <v>0</v>
      </c>
      <c r="L405" s="244">
        <v>0</v>
      </c>
      <c r="M405" s="249">
        <f t="shared" si="235"/>
        <v>1</v>
      </c>
      <c r="N405" s="172">
        <v>0</v>
      </c>
      <c r="O405" s="893"/>
      <c r="P405" s="896">
        <f t="shared" si="236"/>
        <v>1.6800000000000002</v>
      </c>
      <c r="Q405" s="249">
        <f t="shared" si="237"/>
        <v>0.68000000000000016</v>
      </c>
      <c r="R405" s="249">
        <f t="shared" si="224"/>
        <v>0.68000000000000016</v>
      </c>
      <c r="S405" s="244" t="str">
        <f t="shared" si="231"/>
        <v/>
      </c>
      <c r="T405" s="257" t="str">
        <f t="shared" si="217"/>
        <v/>
      </c>
      <c r="U405" s="768">
        <f t="shared" si="238"/>
        <v>59.523809523809518</v>
      </c>
      <c r="V405" s="768">
        <v>0.45</v>
      </c>
      <c r="W405" s="257" t="s">
        <v>3088</v>
      </c>
      <c r="X405" s="933"/>
      <c r="Y405" s="213">
        <v>300</v>
      </c>
      <c r="Z405" s="1327">
        <v>21</v>
      </c>
      <c r="AA405" s="1359" t="s">
        <v>267</v>
      </c>
      <c r="AB405" s="245">
        <f t="shared" si="229"/>
        <v>2.5</v>
      </c>
      <c r="AC405" s="246" t="str">
        <f t="shared" si="239"/>
        <v>+</v>
      </c>
      <c r="AD405" s="246">
        <f t="shared" si="240"/>
        <v>1.6</v>
      </c>
      <c r="AE405" s="246"/>
      <c r="AF405" s="1327"/>
      <c r="AG405" s="1298" t="str">
        <f t="shared" si="232"/>
        <v>2,5+1,6</v>
      </c>
      <c r="AH405" s="1358">
        <f>'Зона ТоЭс'!L116</f>
        <v>0.20374999999999999</v>
      </c>
      <c r="AI405" s="1358">
        <f t="shared" si="227"/>
        <v>1.2037499999999999</v>
      </c>
      <c r="AJ405" s="1304">
        <f t="shared" si="234"/>
        <v>0</v>
      </c>
      <c r="AK405" s="1298">
        <f t="shared" si="230"/>
        <v>0</v>
      </c>
      <c r="AL405" s="1304">
        <f t="shared" si="241"/>
        <v>1.2037499999999999</v>
      </c>
      <c r="AM405" s="1298">
        <v>0</v>
      </c>
      <c r="AN405" s="896">
        <f t="shared" si="242"/>
        <v>1.6800000000000002</v>
      </c>
      <c r="AO405" s="1358">
        <f t="shared" si="243"/>
        <v>0.47625000000000028</v>
      </c>
      <c r="AP405" s="1358">
        <f t="shared" si="226"/>
        <v>0.47625000000000028</v>
      </c>
      <c r="AQ405" s="1358" t="str">
        <f t="shared" si="233"/>
        <v/>
      </c>
      <c r="AR405" s="1359" t="str">
        <f t="shared" si="222"/>
        <v/>
      </c>
      <c r="AS405" s="955">
        <f t="shared" si="244"/>
        <v>71.651785714285694</v>
      </c>
      <c r="AT405" s="1111" t="s">
        <v>96</v>
      </c>
      <c r="AU405" s="1113">
        <v>1973</v>
      </c>
      <c r="AV405" s="1119" t="s">
        <v>3286</v>
      </c>
      <c r="AW405" s="1121">
        <v>57.262977423873402</v>
      </c>
      <c r="AX405" s="1121">
        <v>33.360615571515098</v>
      </c>
    </row>
    <row r="406" spans="1:50" ht="20.100000000000001" customHeight="1" x14ac:dyDescent="0.25">
      <c r="A406" s="213">
        <v>301</v>
      </c>
      <c r="B406" s="244">
        <v>22</v>
      </c>
      <c r="C406" s="244" t="s">
        <v>268</v>
      </c>
      <c r="D406" s="245">
        <v>2.5</v>
      </c>
      <c r="E406" s="246" t="s">
        <v>785</v>
      </c>
      <c r="F406" s="246">
        <v>2.5</v>
      </c>
      <c r="G406" s="246"/>
      <c r="H406" s="247"/>
      <c r="I406" s="229" t="str">
        <f t="shared" si="228"/>
        <v>2,5+2,5</v>
      </c>
      <c r="J406" s="1015">
        <v>0.5</v>
      </c>
      <c r="K406" s="249">
        <v>0</v>
      </c>
      <c r="L406" s="244">
        <v>0</v>
      </c>
      <c r="M406" s="249">
        <f t="shared" si="235"/>
        <v>0.5</v>
      </c>
      <c r="N406" s="172">
        <v>0</v>
      </c>
      <c r="O406" s="893"/>
      <c r="P406" s="896">
        <f t="shared" si="236"/>
        <v>2.625</v>
      </c>
      <c r="Q406" s="249">
        <f t="shared" si="237"/>
        <v>2.125</v>
      </c>
      <c r="R406" s="249">
        <f t="shared" si="224"/>
        <v>2.125</v>
      </c>
      <c r="S406" s="244" t="str">
        <f t="shared" si="231"/>
        <v/>
      </c>
      <c r="T406" s="257" t="str">
        <f t="shared" si="217"/>
        <v/>
      </c>
      <c r="U406" s="768">
        <f t="shared" si="238"/>
        <v>19.047619047619047</v>
      </c>
      <c r="V406" s="768">
        <v>0.31</v>
      </c>
      <c r="W406" s="257" t="s">
        <v>3088</v>
      </c>
      <c r="X406" s="933"/>
      <c r="Y406" s="213">
        <v>301</v>
      </c>
      <c r="Z406" s="1327">
        <v>22</v>
      </c>
      <c r="AA406" s="1359" t="s">
        <v>268</v>
      </c>
      <c r="AB406" s="245">
        <f t="shared" si="229"/>
        <v>2.5</v>
      </c>
      <c r="AC406" s="246" t="str">
        <f t="shared" si="239"/>
        <v>+</v>
      </c>
      <c r="AD406" s="246">
        <f t="shared" si="240"/>
        <v>2.5</v>
      </c>
      <c r="AE406" s="246"/>
      <c r="AF406" s="1327"/>
      <c r="AG406" s="1298" t="str">
        <f t="shared" si="232"/>
        <v>2,5+2,5</v>
      </c>
      <c r="AH406" s="1358">
        <f>'Зона ТоЭс'!L119</f>
        <v>0.18749999999999997</v>
      </c>
      <c r="AI406" s="1358">
        <f t="shared" si="227"/>
        <v>0.6875</v>
      </c>
      <c r="AJ406" s="1304">
        <f t="shared" si="234"/>
        <v>0</v>
      </c>
      <c r="AK406" s="1298">
        <f t="shared" si="230"/>
        <v>0</v>
      </c>
      <c r="AL406" s="1304">
        <f t="shared" si="241"/>
        <v>0.6875</v>
      </c>
      <c r="AM406" s="1298">
        <v>0</v>
      </c>
      <c r="AN406" s="896">
        <f t="shared" si="242"/>
        <v>2.625</v>
      </c>
      <c r="AO406" s="1358">
        <f t="shared" si="243"/>
        <v>1.9375</v>
      </c>
      <c r="AP406" s="1358">
        <f t="shared" si="226"/>
        <v>1.9375</v>
      </c>
      <c r="AQ406" s="1358" t="str">
        <f t="shared" si="233"/>
        <v/>
      </c>
      <c r="AR406" s="1359" t="str">
        <f t="shared" si="222"/>
        <v/>
      </c>
      <c r="AS406" s="955">
        <f t="shared" si="244"/>
        <v>26.19047619047619</v>
      </c>
      <c r="AT406" s="1111" t="s">
        <v>96</v>
      </c>
      <c r="AU406" s="1113">
        <v>1979</v>
      </c>
      <c r="AV406" s="1119" t="s">
        <v>3286</v>
      </c>
      <c r="AW406" s="1121">
        <v>57.0472711405613</v>
      </c>
      <c r="AX406" s="1121">
        <v>33.375103516095102</v>
      </c>
    </row>
    <row r="407" spans="1:50" ht="20.100000000000001" customHeight="1" x14ac:dyDescent="0.25">
      <c r="A407" s="213">
        <v>302</v>
      </c>
      <c r="B407" s="244">
        <v>23</v>
      </c>
      <c r="C407" s="244" t="s">
        <v>269</v>
      </c>
      <c r="D407" s="245">
        <v>2.5</v>
      </c>
      <c r="E407" s="246" t="s">
        <v>785</v>
      </c>
      <c r="F407" s="246">
        <v>2.5</v>
      </c>
      <c r="G407" s="246"/>
      <c r="H407" s="247"/>
      <c r="I407" s="229" t="str">
        <f t="shared" si="228"/>
        <v>2,5+2,5</v>
      </c>
      <c r="J407" s="1015">
        <v>1.4</v>
      </c>
      <c r="K407" s="249">
        <v>0</v>
      </c>
      <c r="L407" s="244">
        <v>0</v>
      </c>
      <c r="M407" s="249">
        <f t="shared" si="235"/>
        <v>1.4</v>
      </c>
      <c r="N407" s="172">
        <v>0</v>
      </c>
      <c r="O407" s="893"/>
      <c r="P407" s="896">
        <f t="shared" si="236"/>
        <v>2.625</v>
      </c>
      <c r="Q407" s="249">
        <f t="shared" si="237"/>
        <v>1.2250000000000001</v>
      </c>
      <c r="R407" s="249">
        <f t="shared" si="224"/>
        <v>1.2250000000000001</v>
      </c>
      <c r="S407" s="244" t="str">
        <f t="shared" si="231"/>
        <v/>
      </c>
      <c r="T407" s="257" t="str">
        <f t="shared" si="217"/>
        <v/>
      </c>
      <c r="U407" s="768">
        <f t="shared" si="238"/>
        <v>53.333333333333336</v>
      </c>
      <c r="V407" s="768">
        <v>0.32</v>
      </c>
      <c r="W407" s="257" t="s">
        <v>3088</v>
      </c>
      <c r="X407" s="933"/>
      <c r="Y407" s="213">
        <v>302</v>
      </c>
      <c r="Z407" s="1327">
        <v>23</v>
      </c>
      <c r="AA407" s="1359" t="s">
        <v>269</v>
      </c>
      <c r="AB407" s="245">
        <f t="shared" si="229"/>
        <v>2.5</v>
      </c>
      <c r="AC407" s="246" t="str">
        <f t="shared" si="239"/>
        <v>+</v>
      </c>
      <c r="AD407" s="246">
        <f t="shared" si="240"/>
        <v>2.5</v>
      </c>
      <c r="AE407" s="246"/>
      <c r="AF407" s="1327"/>
      <c r="AG407" s="1298" t="str">
        <f t="shared" si="232"/>
        <v>2,5+2,5</v>
      </c>
      <c r="AH407" s="1358">
        <f>'Зона ТоЭс'!L127</f>
        <v>5.6249999999999994E-2</v>
      </c>
      <c r="AI407" s="1358">
        <f t="shared" si="227"/>
        <v>1.4562499999999998</v>
      </c>
      <c r="AJ407" s="1304">
        <f t="shared" si="234"/>
        <v>0</v>
      </c>
      <c r="AK407" s="1298">
        <f t="shared" si="230"/>
        <v>0</v>
      </c>
      <c r="AL407" s="1304">
        <f t="shared" si="241"/>
        <v>1.4562499999999998</v>
      </c>
      <c r="AM407" s="1298">
        <v>0</v>
      </c>
      <c r="AN407" s="896">
        <f t="shared" si="242"/>
        <v>2.625</v>
      </c>
      <c r="AO407" s="1358">
        <f t="shared" si="243"/>
        <v>1.1687500000000002</v>
      </c>
      <c r="AP407" s="1358">
        <f t="shared" si="226"/>
        <v>1.1687500000000002</v>
      </c>
      <c r="AQ407" s="1358" t="str">
        <f t="shared" si="233"/>
        <v/>
      </c>
      <c r="AR407" s="1359" t="str">
        <f t="shared" si="222"/>
        <v/>
      </c>
      <c r="AS407" s="955">
        <f t="shared" si="244"/>
        <v>55.476190476190467</v>
      </c>
      <c r="AT407" s="1111" t="s">
        <v>96</v>
      </c>
      <c r="AU407" s="1113">
        <v>1988</v>
      </c>
      <c r="AV407" s="1119" t="s">
        <v>3286</v>
      </c>
      <c r="AW407" s="1121">
        <v>57.242949227255899</v>
      </c>
      <c r="AX407" s="1121">
        <v>33.090655910757498</v>
      </c>
    </row>
    <row r="408" spans="1:50" ht="20.100000000000001" customHeight="1" x14ac:dyDescent="0.25">
      <c r="A408" s="213">
        <v>303</v>
      </c>
      <c r="B408" s="244">
        <v>24</v>
      </c>
      <c r="C408" s="244" t="s">
        <v>270</v>
      </c>
      <c r="D408" s="245">
        <v>63</v>
      </c>
      <c r="E408" s="246" t="s">
        <v>785</v>
      </c>
      <c r="F408" s="246">
        <v>63</v>
      </c>
      <c r="G408" s="246"/>
      <c r="H408" s="247"/>
      <c r="I408" s="229" t="str">
        <f t="shared" si="228"/>
        <v>63+63</v>
      </c>
      <c r="J408" s="1015">
        <v>5.0999999999999996</v>
      </c>
      <c r="K408" s="249">
        <v>0</v>
      </c>
      <c r="L408" s="244">
        <v>0</v>
      </c>
      <c r="M408" s="249">
        <f t="shared" si="235"/>
        <v>5.0999999999999996</v>
      </c>
      <c r="N408" s="172">
        <v>0</v>
      </c>
      <c r="O408" s="893"/>
      <c r="P408" s="896">
        <f t="shared" si="236"/>
        <v>66.150000000000006</v>
      </c>
      <c r="Q408" s="249">
        <f t="shared" si="237"/>
        <v>61.050000000000004</v>
      </c>
      <c r="R408" s="249">
        <f t="shared" si="224"/>
        <v>61.050000000000004</v>
      </c>
      <c r="S408" s="244" t="str">
        <f t="shared" si="231"/>
        <v/>
      </c>
      <c r="T408" s="257" t="str">
        <f t="shared" si="217"/>
        <v/>
      </c>
      <c r="U408" s="768">
        <f t="shared" si="238"/>
        <v>7.7097505668934225</v>
      </c>
      <c r="V408" s="768">
        <v>0.4</v>
      </c>
      <c r="W408" s="257" t="s">
        <v>3088</v>
      </c>
      <c r="X408" s="933"/>
      <c r="Y408" s="213">
        <v>303</v>
      </c>
      <c r="Z408" s="1327">
        <v>24</v>
      </c>
      <c r="AA408" s="1359" t="s">
        <v>270</v>
      </c>
      <c r="AB408" s="245">
        <f t="shared" si="229"/>
        <v>63</v>
      </c>
      <c r="AC408" s="246" t="str">
        <f t="shared" si="239"/>
        <v>+</v>
      </c>
      <c r="AD408" s="246">
        <f t="shared" si="240"/>
        <v>63</v>
      </c>
      <c r="AE408" s="246"/>
      <c r="AF408" s="1327"/>
      <c r="AG408" s="1298" t="str">
        <f t="shared" si="232"/>
        <v>63+63</v>
      </c>
      <c r="AH408" s="1358">
        <f>'Зона ТоЭс'!L129</f>
        <v>0</v>
      </c>
      <c r="AI408" s="1358">
        <f t="shared" si="227"/>
        <v>5.0999999999999996</v>
      </c>
      <c r="AJ408" s="1304">
        <f t="shared" si="234"/>
        <v>0</v>
      </c>
      <c r="AK408" s="1298">
        <f t="shared" si="230"/>
        <v>0</v>
      </c>
      <c r="AL408" s="1304">
        <f t="shared" si="241"/>
        <v>5.0999999999999996</v>
      </c>
      <c r="AM408" s="1298">
        <v>0</v>
      </c>
      <c r="AN408" s="896">
        <f t="shared" si="242"/>
        <v>66.150000000000006</v>
      </c>
      <c r="AO408" s="1358">
        <f t="shared" si="243"/>
        <v>61.050000000000004</v>
      </c>
      <c r="AP408" s="1358">
        <f t="shared" si="226"/>
        <v>61.050000000000004</v>
      </c>
      <c r="AQ408" s="1358" t="str">
        <f t="shared" si="233"/>
        <v/>
      </c>
      <c r="AR408" s="1359" t="str">
        <f t="shared" si="222"/>
        <v/>
      </c>
      <c r="AS408" s="955">
        <f t="shared" si="244"/>
        <v>7.7097505668934225</v>
      </c>
      <c r="AT408" s="1111" t="s">
        <v>96</v>
      </c>
      <c r="AU408" s="1113">
        <v>1981</v>
      </c>
      <c r="AV408" s="1119" t="s">
        <v>3286</v>
      </c>
      <c r="AW408" s="1121">
        <v>57.022266394424797</v>
      </c>
      <c r="AX408" s="1121">
        <v>35.013846333166498</v>
      </c>
    </row>
    <row r="409" spans="1:50" ht="20.100000000000001" customHeight="1" x14ac:dyDescent="0.25">
      <c r="A409" s="213">
        <v>304</v>
      </c>
      <c r="B409" s="244">
        <v>25</v>
      </c>
      <c r="C409" s="250" t="s">
        <v>271</v>
      </c>
      <c r="D409" s="245">
        <v>10</v>
      </c>
      <c r="E409" s="246" t="s">
        <v>785</v>
      </c>
      <c r="F409" s="246">
        <v>10</v>
      </c>
      <c r="G409" s="246"/>
      <c r="H409" s="247"/>
      <c r="I409" s="229" t="str">
        <f t="shared" si="228"/>
        <v>10+10</v>
      </c>
      <c r="J409" s="1015">
        <v>6.3</v>
      </c>
      <c r="K409" s="249">
        <v>0</v>
      </c>
      <c r="L409" s="244">
        <v>0</v>
      </c>
      <c r="M409" s="249">
        <f t="shared" si="235"/>
        <v>6.3</v>
      </c>
      <c r="N409" s="172">
        <v>0</v>
      </c>
      <c r="O409" s="893"/>
      <c r="P409" s="896">
        <f t="shared" si="236"/>
        <v>10.5</v>
      </c>
      <c r="Q409" s="249">
        <f t="shared" si="237"/>
        <v>4.2</v>
      </c>
      <c r="R409" s="249">
        <f>Q409</f>
        <v>4.2</v>
      </c>
      <c r="S409" s="244" t="str">
        <f t="shared" si="231"/>
        <v/>
      </c>
      <c r="T409" s="257" t="str">
        <f t="shared" si="217"/>
        <v/>
      </c>
      <c r="U409" s="768">
        <f t="shared" si="238"/>
        <v>60</v>
      </c>
      <c r="V409" s="768">
        <v>0.5</v>
      </c>
      <c r="W409" s="257" t="s">
        <v>3088</v>
      </c>
      <c r="X409" s="933"/>
      <c r="Y409" s="213">
        <v>304</v>
      </c>
      <c r="Z409" s="1327">
        <v>25</v>
      </c>
      <c r="AA409" s="250" t="s">
        <v>271</v>
      </c>
      <c r="AB409" s="245">
        <f t="shared" si="229"/>
        <v>10</v>
      </c>
      <c r="AC409" s="246" t="str">
        <f t="shared" si="239"/>
        <v>+</v>
      </c>
      <c r="AD409" s="246">
        <f t="shared" si="240"/>
        <v>10</v>
      </c>
      <c r="AE409" s="246"/>
      <c r="AF409" s="1327"/>
      <c r="AG409" s="1298" t="str">
        <f t="shared" si="232"/>
        <v>10+10</v>
      </c>
      <c r="AH409" s="1358">
        <f>'Зона ТоЭс'!L139</f>
        <v>0.85125000000000006</v>
      </c>
      <c r="AI409" s="1358">
        <f t="shared" si="227"/>
        <v>7.1512500000000001</v>
      </c>
      <c r="AJ409" s="1304">
        <f t="shared" si="234"/>
        <v>0</v>
      </c>
      <c r="AK409" s="1298">
        <f t="shared" si="230"/>
        <v>0</v>
      </c>
      <c r="AL409" s="1304">
        <f t="shared" si="241"/>
        <v>7.1512500000000001</v>
      </c>
      <c r="AM409" s="1298">
        <v>0</v>
      </c>
      <c r="AN409" s="896">
        <f t="shared" si="242"/>
        <v>10.5</v>
      </c>
      <c r="AO409" s="1358">
        <f t="shared" si="243"/>
        <v>3.3487499999999999</v>
      </c>
      <c r="AP409" s="1358">
        <f t="shared" si="226"/>
        <v>3.3487499999999999</v>
      </c>
      <c r="AQ409" s="1358" t="str">
        <f t="shared" si="233"/>
        <v/>
      </c>
      <c r="AR409" s="1359" t="str">
        <f t="shared" si="222"/>
        <v/>
      </c>
      <c r="AS409" s="955">
        <f t="shared" si="244"/>
        <v>68.107142857142861</v>
      </c>
      <c r="AT409" s="1111" t="s">
        <v>96</v>
      </c>
      <c r="AU409" s="1113">
        <v>1968</v>
      </c>
      <c r="AV409" s="1119" t="s">
        <v>3286</v>
      </c>
      <c r="AW409" s="1121">
        <v>57.014514502104603</v>
      </c>
      <c r="AX409" s="1121">
        <v>34.987797025961598</v>
      </c>
    </row>
    <row r="410" spans="1:50" ht="20.100000000000001" customHeight="1" x14ac:dyDescent="0.25">
      <c r="A410" s="213">
        <v>305</v>
      </c>
      <c r="B410" s="244">
        <v>26</v>
      </c>
      <c r="C410" s="244" t="s">
        <v>272</v>
      </c>
      <c r="D410" s="245">
        <v>25</v>
      </c>
      <c r="E410" s="246" t="s">
        <v>785</v>
      </c>
      <c r="F410" s="246">
        <v>25</v>
      </c>
      <c r="G410" s="246"/>
      <c r="H410" s="247"/>
      <c r="I410" s="229" t="str">
        <f t="shared" si="228"/>
        <v>25+25</v>
      </c>
      <c r="J410" s="1015">
        <v>0.2</v>
      </c>
      <c r="K410" s="249">
        <v>0</v>
      </c>
      <c r="L410" s="244">
        <v>0</v>
      </c>
      <c r="M410" s="249">
        <f t="shared" si="235"/>
        <v>0.2</v>
      </c>
      <c r="N410" s="172">
        <v>0</v>
      </c>
      <c r="O410" s="893"/>
      <c r="P410" s="896">
        <f t="shared" si="236"/>
        <v>26.25</v>
      </c>
      <c r="Q410" s="249">
        <f t="shared" si="237"/>
        <v>26.05</v>
      </c>
      <c r="R410" s="249">
        <f>Q410</f>
        <v>26.05</v>
      </c>
      <c r="S410" s="244" t="str">
        <f t="shared" si="231"/>
        <v/>
      </c>
      <c r="T410" s="257" t="str">
        <f t="shared" si="217"/>
        <v/>
      </c>
      <c r="U410" s="768">
        <f t="shared" si="238"/>
        <v>0.76190476190476186</v>
      </c>
      <c r="V410" s="768">
        <v>0.4</v>
      </c>
      <c r="W410" s="257" t="s">
        <v>3088</v>
      </c>
      <c r="X410" s="933"/>
      <c r="Y410" s="213">
        <v>305</v>
      </c>
      <c r="Z410" s="1327">
        <v>26</v>
      </c>
      <c r="AA410" s="1359" t="s">
        <v>272</v>
      </c>
      <c r="AB410" s="245">
        <f t="shared" si="229"/>
        <v>25</v>
      </c>
      <c r="AC410" s="246" t="str">
        <f t="shared" si="239"/>
        <v>+</v>
      </c>
      <c r="AD410" s="246">
        <f t="shared" si="240"/>
        <v>25</v>
      </c>
      <c r="AE410" s="246"/>
      <c r="AF410" s="1327"/>
      <c r="AG410" s="1298" t="str">
        <f t="shared" si="232"/>
        <v>25+25</v>
      </c>
      <c r="AH410" s="1358">
        <f>'Зона ТоЭс'!L142</f>
        <v>0</v>
      </c>
      <c r="AI410" s="1358">
        <f t="shared" si="227"/>
        <v>0.2</v>
      </c>
      <c r="AJ410" s="1304">
        <f t="shared" si="234"/>
        <v>0</v>
      </c>
      <c r="AK410" s="1298">
        <f t="shared" si="230"/>
        <v>0</v>
      </c>
      <c r="AL410" s="1304">
        <f t="shared" si="241"/>
        <v>0.2</v>
      </c>
      <c r="AM410" s="1298">
        <v>0</v>
      </c>
      <c r="AN410" s="896">
        <f t="shared" si="242"/>
        <v>26.25</v>
      </c>
      <c r="AO410" s="1358">
        <f t="shared" si="243"/>
        <v>26.05</v>
      </c>
      <c r="AP410" s="1358">
        <f t="shared" si="226"/>
        <v>26.05</v>
      </c>
      <c r="AQ410" s="1358" t="str">
        <f t="shared" si="233"/>
        <v/>
      </c>
      <c r="AR410" s="1359" t="str">
        <f t="shared" si="222"/>
        <v/>
      </c>
      <c r="AS410" s="955">
        <f t="shared" si="244"/>
        <v>0.76190476190476186</v>
      </c>
      <c r="AT410" s="1111" t="s">
        <v>96</v>
      </c>
      <c r="AU410" s="1113">
        <v>1988</v>
      </c>
      <c r="AV410" s="1119" t="s">
        <v>3286</v>
      </c>
      <c r="AW410" s="1121">
        <v>56.9466971165782</v>
      </c>
      <c r="AX410" s="1121">
        <v>34.866265535717403</v>
      </c>
    </row>
    <row r="411" spans="1:50" ht="20.100000000000001" customHeight="1" x14ac:dyDescent="0.25">
      <c r="A411" s="213">
        <v>306</v>
      </c>
      <c r="B411" s="244">
        <v>27</v>
      </c>
      <c r="C411" s="244" t="s">
        <v>273</v>
      </c>
      <c r="D411" s="245">
        <v>2.5</v>
      </c>
      <c r="E411" s="246" t="s">
        <v>785</v>
      </c>
      <c r="F411" s="246">
        <v>2.5</v>
      </c>
      <c r="G411" s="246"/>
      <c r="H411" s="247"/>
      <c r="I411" s="229" t="str">
        <f t="shared" si="228"/>
        <v>2,5+2,5</v>
      </c>
      <c r="J411" s="1015">
        <v>0.7</v>
      </c>
      <c r="K411" s="249">
        <v>0</v>
      </c>
      <c r="L411" s="244">
        <v>0</v>
      </c>
      <c r="M411" s="249">
        <f t="shared" si="235"/>
        <v>0.7</v>
      </c>
      <c r="N411" s="172">
        <v>0</v>
      </c>
      <c r="O411" s="893"/>
      <c r="P411" s="896">
        <f t="shared" si="236"/>
        <v>2.625</v>
      </c>
      <c r="Q411" s="249">
        <f t="shared" ref="Q411:Q433" si="245">P411-M411-N411</f>
        <v>1.925</v>
      </c>
      <c r="R411" s="249">
        <f>Q411</f>
        <v>1.925</v>
      </c>
      <c r="S411" s="244" t="str">
        <f t="shared" si="231"/>
        <v/>
      </c>
      <c r="T411" s="257" t="str">
        <f t="shared" si="217"/>
        <v/>
      </c>
      <c r="U411" s="768">
        <f t="shared" si="238"/>
        <v>26.666666666666668</v>
      </c>
      <c r="V411" s="768">
        <v>0.57999999999999996</v>
      </c>
      <c r="W411" s="257" t="s">
        <v>3088</v>
      </c>
      <c r="X411" s="933"/>
      <c r="Y411" s="213">
        <v>306</v>
      </c>
      <c r="Z411" s="1327">
        <v>27</v>
      </c>
      <c r="AA411" s="1359" t="s">
        <v>273</v>
      </c>
      <c r="AB411" s="245">
        <f t="shared" si="229"/>
        <v>2.5</v>
      </c>
      <c r="AC411" s="246" t="str">
        <f t="shared" si="239"/>
        <v>+</v>
      </c>
      <c r="AD411" s="246">
        <f t="shared" si="240"/>
        <v>2.5</v>
      </c>
      <c r="AE411" s="246"/>
      <c r="AF411" s="1327"/>
      <c r="AG411" s="1298" t="str">
        <f t="shared" si="232"/>
        <v>2,5+2,5</v>
      </c>
      <c r="AH411" s="1358">
        <f>'Зона ТоЭс'!L145</f>
        <v>0.1525</v>
      </c>
      <c r="AI411" s="1358">
        <f t="shared" si="227"/>
        <v>0.85249999999999992</v>
      </c>
      <c r="AJ411" s="1304">
        <f t="shared" si="234"/>
        <v>0</v>
      </c>
      <c r="AK411" s="1298">
        <f t="shared" si="230"/>
        <v>0</v>
      </c>
      <c r="AL411" s="1304">
        <f t="shared" si="241"/>
        <v>0.85249999999999992</v>
      </c>
      <c r="AM411" s="1298">
        <v>0</v>
      </c>
      <c r="AN411" s="896">
        <f t="shared" si="242"/>
        <v>2.625</v>
      </c>
      <c r="AO411" s="1358">
        <f t="shared" si="243"/>
        <v>1.7725</v>
      </c>
      <c r="AP411" s="1358">
        <f t="shared" si="226"/>
        <v>1.7725</v>
      </c>
      <c r="AQ411" s="1358" t="str">
        <f t="shared" si="233"/>
        <v/>
      </c>
      <c r="AR411" s="1359" t="str">
        <f t="shared" si="222"/>
        <v/>
      </c>
      <c r="AS411" s="955">
        <f t="shared" si="244"/>
        <v>32.476190476190467</v>
      </c>
      <c r="AT411" s="1111" t="s">
        <v>96</v>
      </c>
      <c r="AU411" s="1113">
        <v>1978</v>
      </c>
      <c r="AV411" s="1119" t="s">
        <v>3286</v>
      </c>
      <c r="AW411" s="1121">
        <v>57.0263069308048</v>
      </c>
      <c r="AX411" s="1121">
        <v>34.638122713710501</v>
      </c>
    </row>
    <row r="412" spans="1:50" ht="20.100000000000001" customHeight="1" x14ac:dyDescent="0.25">
      <c r="A412" s="213">
        <v>307</v>
      </c>
      <c r="B412" s="244">
        <v>28</v>
      </c>
      <c r="C412" s="244" t="s">
        <v>274</v>
      </c>
      <c r="D412" s="245">
        <v>6.3</v>
      </c>
      <c r="E412" s="246" t="s">
        <v>785</v>
      </c>
      <c r="F412" s="246">
        <v>6.3</v>
      </c>
      <c r="G412" s="246"/>
      <c r="H412" s="247"/>
      <c r="I412" s="229" t="str">
        <f t="shared" si="228"/>
        <v>6,3+6,3</v>
      </c>
      <c r="J412" s="1015">
        <v>4</v>
      </c>
      <c r="K412" s="249">
        <v>0</v>
      </c>
      <c r="L412" s="244">
        <v>0</v>
      </c>
      <c r="M412" s="249">
        <f t="shared" si="235"/>
        <v>4</v>
      </c>
      <c r="N412" s="172">
        <v>0</v>
      </c>
      <c r="O412" s="893"/>
      <c r="P412" s="896">
        <f t="shared" si="236"/>
        <v>6.6150000000000002</v>
      </c>
      <c r="Q412" s="249">
        <f t="shared" si="245"/>
        <v>2.6150000000000002</v>
      </c>
      <c r="R412" s="249">
        <f>Q412</f>
        <v>2.6150000000000002</v>
      </c>
      <c r="S412" s="244" t="str">
        <f t="shared" si="231"/>
        <v/>
      </c>
      <c r="T412" s="257" t="str">
        <f t="shared" si="217"/>
        <v/>
      </c>
      <c r="U412" s="768">
        <f t="shared" si="238"/>
        <v>60.468631897203323</v>
      </c>
      <c r="V412" s="768">
        <v>0.37</v>
      </c>
      <c r="W412" s="257" t="s">
        <v>3088</v>
      </c>
      <c r="X412" s="933"/>
      <c r="Y412" s="213">
        <v>307</v>
      </c>
      <c r="Z412" s="1327">
        <v>28</v>
      </c>
      <c r="AA412" s="1359" t="s">
        <v>274</v>
      </c>
      <c r="AB412" s="245">
        <f t="shared" si="229"/>
        <v>6.3</v>
      </c>
      <c r="AC412" s="246" t="str">
        <f t="shared" si="239"/>
        <v>+</v>
      </c>
      <c r="AD412" s="246">
        <f t="shared" si="240"/>
        <v>6.3</v>
      </c>
      <c r="AE412" s="246"/>
      <c r="AF412" s="1327"/>
      <c r="AG412" s="1298" t="str">
        <f t="shared" si="232"/>
        <v>6,3+6,3</v>
      </c>
      <c r="AH412" s="1358">
        <f>'Зона ТоЭс'!L158</f>
        <v>1.1217499999999998</v>
      </c>
      <c r="AI412" s="1358">
        <f t="shared" si="227"/>
        <v>5.1217499999999996</v>
      </c>
      <c r="AJ412" s="1304">
        <f t="shared" si="234"/>
        <v>0</v>
      </c>
      <c r="AK412" s="1298">
        <f t="shared" si="230"/>
        <v>0</v>
      </c>
      <c r="AL412" s="1304">
        <f t="shared" si="241"/>
        <v>5.1217499999999996</v>
      </c>
      <c r="AM412" s="1298">
        <v>0</v>
      </c>
      <c r="AN412" s="896">
        <f t="shared" si="242"/>
        <v>6.6150000000000002</v>
      </c>
      <c r="AO412" s="1358">
        <f t="shared" si="243"/>
        <v>1.4932500000000006</v>
      </c>
      <c r="AP412" s="1358">
        <f t="shared" si="226"/>
        <v>1.4932500000000006</v>
      </c>
      <c r="AQ412" s="1358" t="str">
        <f t="shared" si="233"/>
        <v/>
      </c>
      <c r="AR412" s="1359" t="str">
        <f t="shared" si="222"/>
        <v/>
      </c>
      <c r="AS412" s="955">
        <f t="shared" si="244"/>
        <v>77.426303854875272</v>
      </c>
      <c r="AT412" s="1111" t="s">
        <v>96</v>
      </c>
      <c r="AU412" s="1113">
        <v>1967</v>
      </c>
      <c r="AV412" s="1119" t="s">
        <v>3286</v>
      </c>
      <c r="AW412" s="1121">
        <v>56.899474218355699</v>
      </c>
      <c r="AX412" s="1121">
        <v>32.731618663198198</v>
      </c>
    </row>
    <row r="413" spans="1:50" ht="20.100000000000001" customHeight="1" x14ac:dyDescent="0.25">
      <c r="A413" s="1371">
        <v>308</v>
      </c>
      <c r="B413" s="1395">
        <v>29</v>
      </c>
      <c r="C413" s="244" t="s">
        <v>275</v>
      </c>
      <c r="D413" s="245">
        <v>40</v>
      </c>
      <c r="E413" s="246" t="s">
        <v>785</v>
      </c>
      <c r="F413" s="246">
        <v>40</v>
      </c>
      <c r="G413" s="246"/>
      <c r="H413" s="247"/>
      <c r="I413" s="229" t="str">
        <f t="shared" si="228"/>
        <v>40+40</v>
      </c>
      <c r="J413" s="1015">
        <v>23.3</v>
      </c>
      <c r="K413" s="249">
        <v>7.1</v>
      </c>
      <c r="L413" s="244">
        <v>120</v>
      </c>
      <c r="M413" s="249">
        <f t="shared" si="235"/>
        <v>16.200000000000003</v>
      </c>
      <c r="N413" s="172">
        <v>0</v>
      </c>
      <c r="O413" s="893"/>
      <c r="P413" s="896">
        <f>MIN(D413:F413)*1.05</f>
        <v>42</v>
      </c>
      <c r="Q413" s="249">
        <f t="shared" si="245"/>
        <v>25.799999999999997</v>
      </c>
      <c r="R413" s="1401">
        <f>MIN(Q413:Q415)</f>
        <v>25.799999999999997</v>
      </c>
      <c r="S413" s="1362" t="str">
        <f>T413</f>
        <v/>
      </c>
      <c r="T413" s="257" t="str">
        <f t="shared" si="217"/>
        <v/>
      </c>
      <c r="U413" s="1362">
        <f t="shared" si="238"/>
        <v>55.476190476190474</v>
      </c>
      <c r="V413" s="1362">
        <v>0.43</v>
      </c>
      <c r="W413" s="257" t="s">
        <v>3088</v>
      </c>
      <c r="X413" s="933"/>
      <c r="Y413" s="1371">
        <v>308</v>
      </c>
      <c r="Z413" s="1327">
        <v>29</v>
      </c>
      <c r="AA413" s="1359" t="s">
        <v>275</v>
      </c>
      <c r="AB413" s="245">
        <f t="shared" si="229"/>
        <v>40</v>
      </c>
      <c r="AC413" s="246" t="str">
        <f t="shared" si="239"/>
        <v>+</v>
      </c>
      <c r="AD413" s="246">
        <f t="shared" si="240"/>
        <v>40</v>
      </c>
      <c r="AE413" s="246"/>
      <c r="AF413" s="1327"/>
      <c r="AG413" s="1298" t="str">
        <f t="shared" si="232"/>
        <v>40+40</v>
      </c>
      <c r="AH413" s="1358">
        <f>SUM(AH414:AH415)</f>
        <v>3.5740624999999997</v>
      </c>
      <c r="AI413" s="1358">
        <f t="shared" si="227"/>
        <v>26.874062500000001</v>
      </c>
      <c r="AJ413" s="1304">
        <f t="shared" si="234"/>
        <v>7.1</v>
      </c>
      <c r="AK413" s="1298">
        <f t="shared" si="230"/>
        <v>120</v>
      </c>
      <c r="AL413" s="1304">
        <f t="shared" si="241"/>
        <v>19.774062499999999</v>
      </c>
      <c r="AM413" s="1298">
        <v>0</v>
      </c>
      <c r="AN413" s="896">
        <f t="shared" si="242"/>
        <v>42</v>
      </c>
      <c r="AO413" s="1358">
        <f t="shared" si="243"/>
        <v>22.225937500000001</v>
      </c>
      <c r="AP413" s="1320">
        <f>MIN(AO413:AO415)</f>
        <v>22.225937500000001</v>
      </c>
      <c r="AQ413" s="1320" t="str">
        <f t="shared" si="233"/>
        <v/>
      </c>
      <c r="AR413" s="1359" t="str">
        <f t="shared" si="222"/>
        <v/>
      </c>
      <c r="AS413" s="1348">
        <f t="shared" si="244"/>
        <v>63.985863095238095</v>
      </c>
      <c r="AT413" s="1112" t="s">
        <v>96</v>
      </c>
      <c r="AU413" s="1113">
        <v>1964</v>
      </c>
      <c r="AV413" s="1119" t="s">
        <v>3286</v>
      </c>
      <c r="AW413" s="1121">
        <v>57.074295205234499</v>
      </c>
      <c r="AX413" s="1121">
        <v>35.000555290347997</v>
      </c>
    </row>
    <row r="414" spans="1:50" ht="20.100000000000001" customHeight="1" x14ac:dyDescent="0.25">
      <c r="A414" s="1371"/>
      <c r="B414" s="1395"/>
      <c r="C414" s="244" t="s">
        <v>1792</v>
      </c>
      <c r="D414" s="245">
        <v>40</v>
      </c>
      <c r="E414" s="246" t="s">
        <v>785</v>
      </c>
      <c r="F414" s="246">
        <v>40</v>
      </c>
      <c r="G414" s="246"/>
      <c r="H414" s="247"/>
      <c r="I414" s="229" t="str">
        <f t="shared" si="228"/>
        <v>40+40</v>
      </c>
      <c r="J414" s="1015">
        <v>7.1</v>
      </c>
      <c r="K414" s="249">
        <v>7.1</v>
      </c>
      <c r="L414" s="244">
        <v>120</v>
      </c>
      <c r="M414" s="249">
        <f t="shared" si="235"/>
        <v>0</v>
      </c>
      <c r="N414" s="172">
        <v>0</v>
      </c>
      <c r="O414" s="893"/>
      <c r="P414" s="896">
        <f t="shared" si="236"/>
        <v>42</v>
      </c>
      <c r="Q414" s="249">
        <f t="shared" si="245"/>
        <v>42</v>
      </c>
      <c r="R414" s="1401"/>
      <c r="S414" s="1363"/>
      <c r="T414" s="257" t="str">
        <f>IF(R413&lt;0,"закрыт","")</f>
        <v/>
      </c>
      <c r="U414" s="1363"/>
      <c r="V414" s="1363"/>
      <c r="W414" s="257" t="s">
        <v>3088</v>
      </c>
      <c r="X414" s="933"/>
      <c r="Y414" s="1371"/>
      <c r="Z414" s="1327"/>
      <c r="AA414" s="1359" t="s">
        <v>1792</v>
      </c>
      <c r="AB414" s="245">
        <f t="shared" si="229"/>
        <v>40</v>
      </c>
      <c r="AC414" s="246" t="str">
        <f t="shared" si="239"/>
        <v>+</v>
      </c>
      <c r="AD414" s="246">
        <f t="shared" si="240"/>
        <v>40</v>
      </c>
      <c r="AE414" s="246"/>
      <c r="AF414" s="1327"/>
      <c r="AG414" s="1298" t="str">
        <f t="shared" si="232"/>
        <v>40+40</v>
      </c>
      <c r="AH414" s="1358">
        <f>SUM(AH398+AH399+AH400+AH401+AH402)</f>
        <v>3.0724999999999998</v>
      </c>
      <c r="AI414" s="1358">
        <f t="shared" si="227"/>
        <v>10.172499999999999</v>
      </c>
      <c r="AJ414" s="1304">
        <f t="shared" si="234"/>
        <v>7.1</v>
      </c>
      <c r="AK414" s="1298">
        <f t="shared" si="230"/>
        <v>120</v>
      </c>
      <c r="AL414" s="1304">
        <f t="shared" si="241"/>
        <v>3.0724999999999998</v>
      </c>
      <c r="AM414" s="1298">
        <v>0</v>
      </c>
      <c r="AN414" s="896">
        <f t="shared" si="242"/>
        <v>42</v>
      </c>
      <c r="AO414" s="1358">
        <f t="shared" si="243"/>
        <v>38.927500000000002</v>
      </c>
      <c r="AP414" s="1321"/>
      <c r="AQ414" s="1321" t="str">
        <f t="shared" si="233"/>
        <v/>
      </c>
      <c r="AR414" s="1359" t="str">
        <f>IF(AP413&lt;0,"закрыт","")</f>
        <v/>
      </c>
      <c r="AS414" s="1349"/>
      <c r="AT414" s="1112" t="s">
        <v>96</v>
      </c>
      <c r="AU414" s="1113">
        <v>1964</v>
      </c>
      <c r="AV414" s="1119" t="s">
        <v>3286</v>
      </c>
      <c r="AW414" s="1121">
        <v>57.074295205234499</v>
      </c>
      <c r="AX414" s="1121">
        <v>35.000555290347997</v>
      </c>
    </row>
    <row r="415" spans="1:50" ht="20.100000000000001" customHeight="1" x14ac:dyDescent="0.25">
      <c r="A415" s="1371"/>
      <c r="B415" s="1395"/>
      <c r="C415" s="244" t="s">
        <v>1791</v>
      </c>
      <c r="D415" s="245">
        <v>40</v>
      </c>
      <c r="E415" s="246" t="s">
        <v>785</v>
      </c>
      <c r="F415" s="246">
        <v>40</v>
      </c>
      <c r="G415" s="246"/>
      <c r="H415" s="247"/>
      <c r="I415" s="229" t="str">
        <f t="shared" si="228"/>
        <v>40+40</v>
      </c>
      <c r="J415" s="1015">
        <v>16.100000000000001</v>
      </c>
      <c r="K415" s="249">
        <v>0</v>
      </c>
      <c r="L415" s="244">
        <v>0</v>
      </c>
      <c r="M415" s="249">
        <f t="shared" si="235"/>
        <v>16.100000000000001</v>
      </c>
      <c r="N415" s="172">
        <v>0</v>
      </c>
      <c r="O415" s="893"/>
      <c r="P415" s="896">
        <f t="shared" si="236"/>
        <v>42</v>
      </c>
      <c r="Q415" s="249">
        <f t="shared" si="245"/>
        <v>25.9</v>
      </c>
      <c r="R415" s="1401"/>
      <c r="S415" s="1363"/>
      <c r="T415" s="257" t="str">
        <f>IF(R413&lt;0,"закрыт","")</f>
        <v/>
      </c>
      <c r="U415" s="1363"/>
      <c r="V415" s="1363"/>
      <c r="W415" s="257" t="s">
        <v>3088</v>
      </c>
      <c r="X415" s="933"/>
      <c r="Y415" s="1371"/>
      <c r="Z415" s="1327"/>
      <c r="AA415" s="1359" t="s">
        <v>1791</v>
      </c>
      <c r="AB415" s="245">
        <f t="shared" si="229"/>
        <v>40</v>
      </c>
      <c r="AC415" s="246" t="str">
        <f t="shared" si="239"/>
        <v>+</v>
      </c>
      <c r="AD415" s="246">
        <f t="shared" si="240"/>
        <v>40</v>
      </c>
      <c r="AE415" s="246"/>
      <c r="AF415" s="1327"/>
      <c r="AG415" s="1298" t="str">
        <f t="shared" si="232"/>
        <v>40+40</v>
      </c>
      <c r="AH415" s="1358">
        <f>'Зона ТоЭс'!L168</f>
        <v>0.50156249999999991</v>
      </c>
      <c r="AI415" s="1358">
        <f t="shared" si="227"/>
        <v>16.6015625</v>
      </c>
      <c r="AJ415" s="1304">
        <f t="shared" si="234"/>
        <v>0</v>
      </c>
      <c r="AK415" s="1298">
        <f t="shared" si="230"/>
        <v>0</v>
      </c>
      <c r="AL415" s="1304">
        <f t="shared" si="241"/>
        <v>16.6015625</v>
      </c>
      <c r="AM415" s="1298">
        <v>0</v>
      </c>
      <c r="AN415" s="896">
        <f t="shared" si="242"/>
        <v>42</v>
      </c>
      <c r="AO415" s="1358">
        <f t="shared" si="243"/>
        <v>25.3984375</v>
      </c>
      <c r="AP415" s="1322"/>
      <c r="AQ415" s="1322" t="str">
        <f t="shared" si="233"/>
        <v/>
      </c>
      <c r="AR415" s="1359" t="str">
        <f>IF(AP413&lt;0,"закрыт","")</f>
        <v/>
      </c>
      <c r="AS415" s="1350"/>
      <c r="AT415" s="1112" t="s">
        <v>96</v>
      </c>
      <c r="AU415" s="1113">
        <v>1964</v>
      </c>
      <c r="AV415" s="1119" t="s">
        <v>3286</v>
      </c>
      <c r="AW415" s="1121">
        <v>57.074295205234499</v>
      </c>
      <c r="AX415" s="1121">
        <v>35.000555290347997</v>
      </c>
    </row>
    <row r="416" spans="1:50" ht="20.100000000000001" customHeight="1" x14ac:dyDescent="0.25">
      <c r="A416" s="1371">
        <v>309</v>
      </c>
      <c r="B416" s="1395">
        <v>30</v>
      </c>
      <c r="C416" s="244" t="s">
        <v>276</v>
      </c>
      <c r="D416" s="245">
        <v>25</v>
      </c>
      <c r="E416" s="246" t="s">
        <v>785</v>
      </c>
      <c r="F416" s="246">
        <v>25</v>
      </c>
      <c r="G416" s="246"/>
      <c r="H416" s="247"/>
      <c r="I416" s="229" t="str">
        <f t="shared" si="228"/>
        <v>25+25</v>
      </c>
      <c r="J416" s="1015">
        <v>5</v>
      </c>
      <c r="K416" s="249">
        <v>0.2</v>
      </c>
      <c r="L416" s="244">
        <v>120</v>
      </c>
      <c r="M416" s="249">
        <f t="shared" si="235"/>
        <v>4.8</v>
      </c>
      <c r="N416" s="172">
        <v>0</v>
      </c>
      <c r="O416" s="893"/>
      <c r="P416" s="896">
        <f t="shared" si="236"/>
        <v>26.25</v>
      </c>
      <c r="Q416" s="249">
        <f t="shared" si="245"/>
        <v>21.45</v>
      </c>
      <c r="R416" s="1367">
        <f>MIN(Q416:Q418)</f>
        <v>21.45</v>
      </c>
      <c r="S416" s="1362" t="str">
        <f t="shared" si="231"/>
        <v/>
      </c>
      <c r="T416" s="257" t="str">
        <f>IF(R416&lt;0,"закрыт","")</f>
        <v/>
      </c>
      <c r="U416" s="1362">
        <f>(J416*100)/P416</f>
        <v>19.047619047619047</v>
      </c>
      <c r="V416" s="1362">
        <v>0.26</v>
      </c>
      <c r="W416" s="257" t="s">
        <v>3088</v>
      </c>
      <c r="X416" s="933"/>
      <c r="Y416" s="1371">
        <v>309</v>
      </c>
      <c r="Z416" s="1327">
        <v>30</v>
      </c>
      <c r="AA416" s="1359" t="s">
        <v>276</v>
      </c>
      <c r="AB416" s="245">
        <f t="shared" si="229"/>
        <v>25</v>
      </c>
      <c r="AC416" s="246" t="str">
        <f t="shared" si="239"/>
        <v>+</v>
      </c>
      <c r="AD416" s="246">
        <f t="shared" si="240"/>
        <v>25</v>
      </c>
      <c r="AE416" s="246"/>
      <c r="AF416" s="1327"/>
      <c r="AG416" s="1298" t="str">
        <f t="shared" si="232"/>
        <v>25+25</v>
      </c>
      <c r="AH416" s="1358">
        <f>SUM(AH417:AH418)</f>
        <v>1.0468999999999999</v>
      </c>
      <c r="AI416" s="1358">
        <f t="shared" si="227"/>
        <v>6.0468999999999999</v>
      </c>
      <c r="AJ416" s="1304">
        <f t="shared" si="234"/>
        <v>0.2</v>
      </c>
      <c r="AK416" s="1298">
        <f t="shared" si="230"/>
        <v>120</v>
      </c>
      <c r="AL416" s="1304">
        <f t="shared" si="241"/>
        <v>5.8468999999999998</v>
      </c>
      <c r="AM416" s="1298">
        <v>0</v>
      </c>
      <c r="AN416" s="896">
        <f t="shared" si="242"/>
        <v>26.25</v>
      </c>
      <c r="AO416" s="1358">
        <f t="shared" si="243"/>
        <v>20.403100000000002</v>
      </c>
      <c r="AP416" s="1320">
        <f>MIN(AO416:AO418)</f>
        <v>20.403100000000002</v>
      </c>
      <c r="AQ416" s="1320" t="str">
        <f t="shared" si="233"/>
        <v/>
      </c>
      <c r="AR416" s="1359" t="str">
        <f>IF(AP416&lt;0,"закрыт","")</f>
        <v/>
      </c>
      <c r="AS416" s="1348">
        <f>(AI416*100)/AN416</f>
        <v>23.035809523809522</v>
      </c>
      <c r="AT416" s="1112" t="s">
        <v>96</v>
      </c>
      <c r="AU416" s="1113">
        <v>1979</v>
      </c>
      <c r="AV416" s="1119" t="s">
        <v>3286</v>
      </c>
      <c r="AW416" s="1121">
        <v>57.0221461517501</v>
      </c>
      <c r="AX416" s="1121">
        <v>34.952349550117397</v>
      </c>
    </row>
    <row r="417" spans="1:50" ht="20.100000000000001" customHeight="1" x14ac:dyDescent="0.25">
      <c r="A417" s="1371"/>
      <c r="B417" s="1395"/>
      <c r="C417" s="244" t="s">
        <v>1792</v>
      </c>
      <c r="D417" s="245">
        <v>25</v>
      </c>
      <c r="E417" s="246" t="s">
        <v>785</v>
      </c>
      <c r="F417" s="246">
        <v>25</v>
      </c>
      <c r="G417" s="246"/>
      <c r="H417" s="247"/>
      <c r="I417" s="229" t="str">
        <f t="shared" si="228"/>
        <v>25+25</v>
      </c>
      <c r="J417" s="1015">
        <v>0.2</v>
      </c>
      <c r="K417" s="249">
        <v>0.2</v>
      </c>
      <c r="L417" s="244">
        <v>120</v>
      </c>
      <c r="M417" s="249">
        <f t="shared" si="235"/>
        <v>0</v>
      </c>
      <c r="N417" s="172">
        <v>0</v>
      </c>
      <c r="O417" s="893"/>
      <c r="P417" s="896">
        <f t="shared" si="236"/>
        <v>26.25</v>
      </c>
      <c r="Q417" s="249">
        <f t="shared" si="245"/>
        <v>26.25</v>
      </c>
      <c r="R417" s="1368"/>
      <c r="S417" s="1363" t="str">
        <f t="shared" si="231"/>
        <v/>
      </c>
      <c r="T417" s="257" t="str">
        <f>IF(R416&lt;0,"закрыт","")</f>
        <v/>
      </c>
      <c r="U417" s="1363"/>
      <c r="V417" s="1363"/>
      <c r="W417" s="257" t="s">
        <v>3088</v>
      </c>
      <c r="X417" s="933"/>
      <c r="Y417" s="1371"/>
      <c r="Z417" s="1327"/>
      <c r="AA417" s="1359" t="s">
        <v>1792</v>
      </c>
      <c r="AB417" s="245">
        <f t="shared" si="229"/>
        <v>25</v>
      </c>
      <c r="AC417" s="246" t="str">
        <f t="shared" si="239"/>
        <v>+</v>
      </c>
      <c r="AD417" s="246">
        <f t="shared" si="240"/>
        <v>25</v>
      </c>
      <c r="AE417" s="246"/>
      <c r="AF417" s="1327"/>
      <c r="AG417" s="1298" t="str">
        <f t="shared" si="232"/>
        <v>25+25</v>
      </c>
      <c r="AH417" s="1358">
        <f>SUM(AH385+AH386)</f>
        <v>0.74999999999999989</v>
      </c>
      <c r="AI417" s="1358">
        <f t="shared" si="227"/>
        <v>0.95</v>
      </c>
      <c r="AJ417" s="1304">
        <f t="shared" si="234"/>
        <v>0.2</v>
      </c>
      <c r="AK417" s="1298">
        <f t="shared" si="230"/>
        <v>120</v>
      </c>
      <c r="AL417" s="1304">
        <f t="shared" si="241"/>
        <v>0.75</v>
      </c>
      <c r="AM417" s="1298">
        <v>0</v>
      </c>
      <c r="AN417" s="896">
        <f t="shared" si="242"/>
        <v>26.25</v>
      </c>
      <c r="AO417" s="1358">
        <f t="shared" si="243"/>
        <v>25.5</v>
      </c>
      <c r="AP417" s="1321"/>
      <c r="AQ417" s="1321" t="str">
        <f t="shared" si="233"/>
        <v/>
      </c>
      <c r="AR417" s="1359" t="str">
        <f>IF(AP416&lt;0,"закрыт","")</f>
        <v/>
      </c>
      <c r="AS417" s="1349"/>
      <c r="AT417" s="1112" t="s">
        <v>96</v>
      </c>
      <c r="AU417" s="1113">
        <v>1979</v>
      </c>
      <c r="AV417" s="1119" t="s">
        <v>3286</v>
      </c>
      <c r="AW417" s="1121">
        <v>57.0221461517501</v>
      </c>
      <c r="AX417" s="1121">
        <v>34.952349550117397</v>
      </c>
    </row>
    <row r="418" spans="1:50" ht="20.100000000000001" customHeight="1" x14ac:dyDescent="0.25">
      <c r="A418" s="1371"/>
      <c r="B418" s="1395"/>
      <c r="C418" s="244" t="s">
        <v>1791</v>
      </c>
      <c r="D418" s="245">
        <v>25</v>
      </c>
      <c r="E418" s="246" t="s">
        <v>785</v>
      </c>
      <c r="F418" s="246">
        <v>25</v>
      </c>
      <c r="G418" s="246"/>
      <c r="H418" s="247"/>
      <c r="I418" s="229" t="str">
        <f t="shared" si="228"/>
        <v>25+25</v>
      </c>
      <c r="J418" s="1015">
        <v>4.8</v>
      </c>
      <c r="K418" s="249">
        <v>0</v>
      </c>
      <c r="L418" s="244">
        <v>0</v>
      </c>
      <c r="M418" s="249">
        <f t="shared" si="235"/>
        <v>4.8</v>
      </c>
      <c r="N418" s="172">
        <v>0</v>
      </c>
      <c r="O418" s="893"/>
      <c r="P418" s="896">
        <f t="shared" si="236"/>
        <v>26.25</v>
      </c>
      <c r="Q418" s="249">
        <f t="shared" si="245"/>
        <v>21.45</v>
      </c>
      <c r="R418" s="1369"/>
      <c r="S418" s="1363" t="str">
        <f t="shared" si="231"/>
        <v/>
      </c>
      <c r="T418" s="257" t="str">
        <f>IF(R416&lt;0,"закрыт","")</f>
        <v/>
      </c>
      <c r="U418" s="1363"/>
      <c r="V418" s="1363"/>
      <c r="W418" s="257" t="s">
        <v>3088</v>
      </c>
      <c r="X418" s="933"/>
      <c r="Y418" s="1371"/>
      <c r="Z418" s="1327"/>
      <c r="AA418" s="1359" t="s">
        <v>1791</v>
      </c>
      <c r="AB418" s="245">
        <f t="shared" si="229"/>
        <v>25</v>
      </c>
      <c r="AC418" s="246" t="str">
        <f t="shared" si="239"/>
        <v>+</v>
      </c>
      <c r="AD418" s="246">
        <f t="shared" si="240"/>
        <v>25</v>
      </c>
      <c r="AE418" s="246"/>
      <c r="AF418" s="1327"/>
      <c r="AG418" s="1298" t="str">
        <f t="shared" si="232"/>
        <v>25+25</v>
      </c>
      <c r="AH418" s="1358">
        <f>'Зона ТоЭс'!L177</f>
        <v>0.2969</v>
      </c>
      <c r="AI418" s="1358">
        <f t="shared" si="227"/>
        <v>5.0968999999999998</v>
      </c>
      <c r="AJ418" s="1304">
        <f t="shared" si="234"/>
        <v>0</v>
      </c>
      <c r="AK418" s="1298">
        <f t="shared" si="230"/>
        <v>0</v>
      </c>
      <c r="AL418" s="1304">
        <f t="shared" si="241"/>
        <v>5.0968999999999998</v>
      </c>
      <c r="AM418" s="1298">
        <v>0</v>
      </c>
      <c r="AN418" s="896">
        <f t="shared" si="242"/>
        <v>26.25</v>
      </c>
      <c r="AO418" s="1358">
        <f t="shared" si="243"/>
        <v>21.153100000000002</v>
      </c>
      <c r="AP418" s="1322"/>
      <c r="AQ418" s="1322" t="str">
        <f t="shared" si="233"/>
        <v/>
      </c>
      <c r="AR418" s="1359" t="str">
        <f>IF(AP416&lt;0,"закрыт","")</f>
        <v/>
      </c>
      <c r="AS418" s="1350"/>
      <c r="AT418" s="1112" t="s">
        <v>96</v>
      </c>
      <c r="AU418" s="1113">
        <v>1979</v>
      </c>
      <c r="AV418" s="1119" t="s">
        <v>3286</v>
      </c>
      <c r="AW418" s="1121">
        <v>57.0221461517501</v>
      </c>
      <c r="AX418" s="1121">
        <v>34.952349550117397</v>
      </c>
    </row>
    <row r="419" spans="1:50" ht="20.100000000000001" customHeight="1" x14ac:dyDescent="0.25">
      <c r="A419" s="1371">
        <v>310</v>
      </c>
      <c r="B419" s="1395">
        <v>31</v>
      </c>
      <c r="C419" s="244" t="s">
        <v>277</v>
      </c>
      <c r="D419" s="245">
        <v>40</v>
      </c>
      <c r="E419" s="246" t="s">
        <v>785</v>
      </c>
      <c r="F419" s="246">
        <v>25</v>
      </c>
      <c r="G419" s="246"/>
      <c r="H419" s="247"/>
      <c r="I419" s="229" t="str">
        <f t="shared" si="228"/>
        <v>40+25</v>
      </c>
      <c r="J419" s="1015">
        <v>14</v>
      </c>
      <c r="K419" s="249">
        <v>3.1</v>
      </c>
      <c r="L419" s="244">
        <v>120</v>
      </c>
      <c r="M419" s="249">
        <f t="shared" si="235"/>
        <v>10.9</v>
      </c>
      <c r="N419" s="172">
        <v>0</v>
      </c>
      <c r="O419" s="893"/>
      <c r="P419" s="896">
        <f t="shared" si="236"/>
        <v>26.25</v>
      </c>
      <c r="Q419" s="249">
        <f t="shared" si="245"/>
        <v>15.35</v>
      </c>
      <c r="R419" s="1367">
        <f>MIN(Q419:Q421)</f>
        <v>15.35</v>
      </c>
      <c r="S419" s="1362" t="str">
        <f t="shared" si="231"/>
        <v/>
      </c>
      <c r="T419" s="257" t="str">
        <f>IF(R419&lt;0,"закрыт","")</f>
        <v/>
      </c>
      <c r="U419" s="1362">
        <f>(J419*100)/P419</f>
        <v>53.333333333333336</v>
      </c>
      <c r="V419" s="1362">
        <v>0.22</v>
      </c>
      <c r="W419" s="257" t="s">
        <v>3088</v>
      </c>
      <c r="X419" s="933"/>
      <c r="Y419" s="1371">
        <v>310</v>
      </c>
      <c r="Z419" s="1327">
        <v>31</v>
      </c>
      <c r="AA419" s="1359" t="s">
        <v>277</v>
      </c>
      <c r="AB419" s="245">
        <f t="shared" si="229"/>
        <v>40</v>
      </c>
      <c r="AC419" s="246" t="str">
        <f t="shared" si="239"/>
        <v>+</v>
      </c>
      <c r="AD419" s="246">
        <f t="shared" si="240"/>
        <v>25</v>
      </c>
      <c r="AE419" s="246"/>
      <c r="AF419" s="1327"/>
      <c r="AG419" s="1298" t="str">
        <f t="shared" si="232"/>
        <v>40+25</v>
      </c>
      <c r="AH419" s="1358">
        <f>SUM(AH420:AH421)</f>
        <v>22.5</v>
      </c>
      <c r="AI419" s="1358">
        <f t="shared" si="227"/>
        <v>36.5</v>
      </c>
      <c r="AJ419" s="1304">
        <f>K419</f>
        <v>3.1</v>
      </c>
      <c r="AK419" s="1298">
        <f t="shared" si="230"/>
        <v>120</v>
      </c>
      <c r="AL419" s="1304">
        <f t="shared" si="241"/>
        <v>33.4</v>
      </c>
      <c r="AM419" s="1298">
        <v>0</v>
      </c>
      <c r="AN419" s="896">
        <f t="shared" si="242"/>
        <v>26.25</v>
      </c>
      <c r="AO419" s="1358">
        <f t="shared" si="243"/>
        <v>-7.1499999999999986</v>
      </c>
      <c r="AP419" s="1320">
        <f>MIN(AO419:AO421)</f>
        <v>-7.1499999999999986</v>
      </c>
      <c r="AQ419" s="1320" t="str">
        <f>AR419</f>
        <v>закрыт</v>
      </c>
      <c r="AR419" s="1359" t="str">
        <f>IF(AP419&lt;0,"закрыт","")</f>
        <v>закрыт</v>
      </c>
      <c r="AS419" s="1348">
        <f>(AI419*100)/AN419</f>
        <v>139.04761904761904</v>
      </c>
      <c r="AT419" s="1112" t="s">
        <v>96</v>
      </c>
      <c r="AU419" s="1113">
        <v>1983</v>
      </c>
      <c r="AV419" s="1119">
        <v>2012</v>
      </c>
      <c r="AW419" s="1121">
        <v>57.007873237507198</v>
      </c>
      <c r="AX419" s="1121">
        <v>34.173895079503602</v>
      </c>
    </row>
    <row r="420" spans="1:50" ht="20.100000000000001" customHeight="1" x14ac:dyDescent="0.25">
      <c r="A420" s="1371"/>
      <c r="B420" s="1395"/>
      <c r="C420" s="244" t="s">
        <v>1792</v>
      </c>
      <c r="D420" s="245">
        <v>40</v>
      </c>
      <c r="E420" s="246" t="s">
        <v>785</v>
      </c>
      <c r="F420" s="246">
        <v>25</v>
      </c>
      <c r="G420" s="246"/>
      <c r="H420" s="247"/>
      <c r="I420" s="229" t="str">
        <f t="shared" si="228"/>
        <v>40+25</v>
      </c>
      <c r="J420" s="1015">
        <v>3.1</v>
      </c>
      <c r="K420" s="249">
        <v>3.1</v>
      </c>
      <c r="L420" s="244">
        <v>120</v>
      </c>
      <c r="M420" s="249">
        <f t="shared" si="235"/>
        <v>0</v>
      </c>
      <c r="N420" s="172">
        <v>0</v>
      </c>
      <c r="O420" s="893"/>
      <c r="P420" s="896">
        <f t="shared" si="236"/>
        <v>26.25</v>
      </c>
      <c r="Q420" s="249">
        <f t="shared" si="245"/>
        <v>26.25</v>
      </c>
      <c r="R420" s="1368"/>
      <c r="S420" s="1363" t="str">
        <f t="shared" si="231"/>
        <v/>
      </c>
      <c r="T420" s="257" t="str">
        <f>IF(R419&lt;0,"закрыт","")</f>
        <v/>
      </c>
      <c r="U420" s="1363"/>
      <c r="V420" s="1363"/>
      <c r="W420" s="257" t="s">
        <v>3088</v>
      </c>
      <c r="X420" s="933"/>
      <c r="Y420" s="1371"/>
      <c r="Z420" s="1327"/>
      <c r="AA420" s="1359" t="s">
        <v>1792</v>
      </c>
      <c r="AB420" s="245">
        <f t="shared" si="229"/>
        <v>40</v>
      </c>
      <c r="AC420" s="246" t="str">
        <f t="shared" si="239"/>
        <v>+</v>
      </c>
      <c r="AD420" s="246">
        <f t="shared" si="240"/>
        <v>25</v>
      </c>
      <c r="AE420" s="246"/>
      <c r="AF420" s="1327"/>
      <c r="AG420" s="1298" t="str">
        <f t="shared" si="232"/>
        <v>40+25</v>
      </c>
      <c r="AH420" s="1358">
        <f>SUM(AH388+AH389)</f>
        <v>0</v>
      </c>
      <c r="AI420" s="1358">
        <f t="shared" si="227"/>
        <v>3.1</v>
      </c>
      <c r="AJ420" s="1304">
        <f t="shared" si="234"/>
        <v>3.1</v>
      </c>
      <c r="AK420" s="1298">
        <f t="shared" si="230"/>
        <v>120</v>
      </c>
      <c r="AL420" s="1304">
        <f t="shared" si="241"/>
        <v>0</v>
      </c>
      <c r="AM420" s="1298">
        <v>0</v>
      </c>
      <c r="AN420" s="896">
        <f t="shared" si="242"/>
        <v>26.25</v>
      </c>
      <c r="AO420" s="1358">
        <f t="shared" si="243"/>
        <v>26.25</v>
      </c>
      <c r="AP420" s="1321"/>
      <c r="AQ420" s="1321"/>
      <c r="AR420" s="1359" t="str">
        <f>IF(AP419&lt;0,"закрыт","")</f>
        <v>закрыт</v>
      </c>
      <c r="AS420" s="1349"/>
      <c r="AT420" s="1112" t="s">
        <v>96</v>
      </c>
      <c r="AU420" s="1113">
        <v>1983</v>
      </c>
      <c r="AV420" s="1119">
        <v>2012</v>
      </c>
      <c r="AW420" s="1121">
        <v>57.007873237507198</v>
      </c>
      <c r="AX420" s="1121">
        <v>34.173895079503602</v>
      </c>
    </row>
    <row r="421" spans="1:50" ht="20.100000000000001" customHeight="1" x14ac:dyDescent="0.25">
      <c r="A421" s="1371"/>
      <c r="B421" s="1395"/>
      <c r="C421" s="244" t="s">
        <v>1791</v>
      </c>
      <c r="D421" s="245">
        <v>40</v>
      </c>
      <c r="E421" s="246" t="s">
        <v>785</v>
      </c>
      <c r="F421" s="246">
        <v>25</v>
      </c>
      <c r="G421" s="246"/>
      <c r="H421" s="247"/>
      <c r="I421" s="229" t="str">
        <f t="shared" si="228"/>
        <v>40+25</v>
      </c>
      <c r="J421" s="1015">
        <v>10.9</v>
      </c>
      <c r="K421" s="249">
        <v>0</v>
      </c>
      <c r="L421" s="244">
        <v>0</v>
      </c>
      <c r="M421" s="249">
        <f t="shared" si="235"/>
        <v>10.9</v>
      </c>
      <c r="N421" s="172">
        <v>0</v>
      </c>
      <c r="O421" s="893"/>
      <c r="P421" s="896">
        <f t="shared" si="236"/>
        <v>26.25</v>
      </c>
      <c r="Q421" s="249">
        <f t="shared" si="245"/>
        <v>15.35</v>
      </c>
      <c r="R421" s="1369"/>
      <c r="S421" s="1363" t="str">
        <f t="shared" si="231"/>
        <v/>
      </c>
      <c r="T421" s="257" t="str">
        <f>IF(R419&lt;0,"закрыт","")</f>
        <v/>
      </c>
      <c r="U421" s="1363"/>
      <c r="V421" s="1363"/>
      <c r="W421" s="257" t="s">
        <v>3088</v>
      </c>
      <c r="X421" s="933"/>
      <c r="Y421" s="1371"/>
      <c r="Z421" s="1327"/>
      <c r="AA421" s="1359" t="s">
        <v>1791</v>
      </c>
      <c r="AB421" s="245">
        <f t="shared" si="229"/>
        <v>40</v>
      </c>
      <c r="AC421" s="246" t="str">
        <f t="shared" si="239"/>
        <v>+</v>
      </c>
      <c r="AD421" s="246">
        <f t="shared" si="240"/>
        <v>25</v>
      </c>
      <c r="AE421" s="246"/>
      <c r="AF421" s="1327"/>
      <c r="AG421" s="1298" t="str">
        <f t="shared" si="232"/>
        <v>40+25</v>
      </c>
      <c r="AH421" s="1358">
        <f>'Зона ТоЭс'!L185</f>
        <v>22.5</v>
      </c>
      <c r="AI421" s="1358">
        <f t="shared" ref="AI421:AI433" si="246">AH421+J421</f>
        <v>33.4</v>
      </c>
      <c r="AJ421" s="1304">
        <f t="shared" si="234"/>
        <v>0</v>
      </c>
      <c r="AK421" s="1298">
        <f t="shared" si="230"/>
        <v>0</v>
      </c>
      <c r="AL421" s="1304">
        <f t="shared" si="241"/>
        <v>33.4</v>
      </c>
      <c r="AM421" s="1298">
        <v>0</v>
      </c>
      <c r="AN421" s="896">
        <f t="shared" si="242"/>
        <v>26.25</v>
      </c>
      <c r="AO421" s="1358">
        <f t="shared" si="243"/>
        <v>-7.1499999999999986</v>
      </c>
      <c r="AP421" s="1322"/>
      <c r="AQ421" s="1322"/>
      <c r="AR421" s="1359" t="str">
        <f>IF(AP419&lt;0,"закрыт","")</f>
        <v>закрыт</v>
      </c>
      <c r="AS421" s="1350"/>
      <c r="AT421" s="1112" t="s">
        <v>96</v>
      </c>
      <c r="AU421" s="1113">
        <v>1983</v>
      </c>
      <c r="AV421" s="1119">
        <v>2012</v>
      </c>
      <c r="AW421" s="1121">
        <v>57.007873237507198</v>
      </c>
      <c r="AX421" s="1121">
        <v>34.173895079503602</v>
      </c>
    </row>
    <row r="422" spans="1:50" ht="20.100000000000001" customHeight="1" x14ac:dyDescent="0.25">
      <c r="A422" s="1371">
        <v>311</v>
      </c>
      <c r="B422" s="1395">
        <v>32</v>
      </c>
      <c r="C422" s="244" t="s">
        <v>278</v>
      </c>
      <c r="D422" s="245">
        <v>16</v>
      </c>
      <c r="E422" s="246" t="s">
        <v>785</v>
      </c>
      <c r="F422" s="246">
        <v>10</v>
      </c>
      <c r="G422" s="246"/>
      <c r="H422" s="247"/>
      <c r="I422" s="229" t="str">
        <f t="shared" si="228"/>
        <v>16+10</v>
      </c>
      <c r="J422" s="1015">
        <v>9.1</v>
      </c>
      <c r="K422" s="249">
        <v>0</v>
      </c>
      <c r="L422" s="244">
        <v>0</v>
      </c>
      <c r="M422" s="249">
        <f t="shared" si="235"/>
        <v>9.1</v>
      </c>
      <c r="N422" s="172">
        <v>0</v>
      </c>
      <c r="O422" s="893"/>
      <c r="P422" s="896">
        <f t="shared" si="236"/>
        <v>10.5</v>
      </c>
      <c r="Q422" s="249">
        <f t="shared" si="245"/>
        <v>1.4000000000000004</v>
      </c>
      <c r="R422" s="1367">
        <f>MIN(Q422:Q424)</f>
        <v>1.4000000000000004</v>
      </c>
      <c r="S422" s="1362" t="str">
        <f t="shared" si="231"/>
        <v/>
      </c>
      <c r="T422" s="257" t="str">
        <f>IF(R422&lt;0,"закрыт","")</f>
        <v/>
      </c>
      <c r="U422" s="1362">
        <f>(J422*100)/P422</f>
        <v>86.666666666666671</v>
      </c>
      <c r="V422" s="1362">
        <v>0.5</v>
      </c>
      <c r="W422" s="257" t="s">
        <v>3088</v>
      </c>
      <c r="X422" s="933"/>
      <c r="Y422" s="1371">
        <v>311</v>
      </c>
      <c r="Z422" s="1327">
        <v>32</v>
      </c>
      <c r="AA422" s="1359" t="s">
        <v>278</v>
      </c>
      <c r="AB422" s="245">
        <f t="shared" si="229"/>
        <v>16</v>
      </c>
      <c r="AC422" s="246" t="str">
        <f t="shared" si="239"/>
        <v>+</v>
      </c>
      <c r="AD422" s="246">
        <f t="shared" si="240"/>
        <v>10</v>
      </c>
      <c r="AE422" s="246"/>
      <c r="AF422" s="1327"/>
      <c r="AG422" s="1298" t="str">
        <f t="shared" si="232"/>
        <v>16+10</v>
      </c>
      <c r="AH422" s="1358">
        <f>SUM(AH423:AH424)</f>
        <v>0.16500000000000001</v>
      </c>
      <c r="AI422" s="1358">
        <f t="shared" si="246"/>
        <v>9.2649999999999988</v>
      </c>
      <c r="AJ422" s="1304">
        <f t="shared" si="234"/>
        <v>0</v>
      </c>
      <c r="AK422" s="1298">
        <f t="shared" si="230"/>
        <v>0</v>
      </c>
      <c r="AL422" s="1304">
        <f t="shared" si="241"/>
        <v>9.2649999999999988</v>
      </c>
      <c r="AM422" s="1298">
        <v>0</v>
      </c>
      <c r="AN422" s="896">
        <f t="shared" si="242"/>
        <v>10.5</v>
      </c>
      <c r="AO422" s="1358">
        <f t="shared" si="243"/>
        <v>1.2350000000000012</v>
      </c>
      <c r="AP422" s="1320">
        <f>MIN(AO422:AO424)</f>
        <v>1.2350000000000012</v>
      </c>
      <c r="AQ422" s="1320" t="str">
        <f t="shared" si="233"/>
        <v/>
      </c>
      <c r="AR422" s="1359" t="str">
        <f>IF(AP422&lt;0,"закрыт","")</f>
        <v/>
      </c>
      <c r="AS422" s="1348">
        <f>(AI422*100)/AN422</f>
        <v>88.238095238095227</v>
      </c>
      <c r="AT422" s="1112" t="s">
        <v>96</v>
      </c>
      <c r="AU422" s="1113">
        <v>1978</v>
      </c>
      <c r="AV422" s="1119" t="s">
        <v>3286</v>
      </c>
      <c r="AW422" s="1121">
        <v>56.853146924655697</v>
      </c>
      <c r="AX422" s="1121">
        <v>33.4977328072369</v>
      </c>
    </row>
    <row r="423" spans="1:50" ht="20.100000000000001" customHeight="1" x14ac:dyDescent="0.25">
      <c r="A423" s="1371"/>
      <c r="B423" s="1395"/>
      <c r="C423" s="244" t="s">
        <v>1792</v>
      </c>
      <c r="D423" s="245">
        <v>16</v>
      </c>
      <c r="E423" s="246" t="s">
        <v>785</v>
      </c>
      <c r="F423" s="246">
        <v>10</v>
      </c>
      <c r="G423" s="246"/>
      <c r="H423" s="247"/>
      <c r="I423" s="229" t="str">
        <f t="shared" si="228"/>
        <v>16+10</v>
      </c>
      <c r="J423" s="1015">
        <v>2.5</v>
      </c>
      <c r="K423" s="249">
        <v>0</v>
      </c>
      <c r="L423" s="244">
        <v>0</v>
      </c>
      <c r="M423" s="249">
        <f t="shared" si="235"/>
        <v>2.5</v>
      </c>
      <c r="N423" s="172">
        <v>0</v>
      </c>
      <c r="O423" s="893"/>
      <c r="P423" s="896">
        <f t="shared" si="236"/>
        <v>10.5</v>
      </c>
      <c r="Q423" s="249">
        <f t="shared" si="245"/>
        <v>8</v>
      </c>
      <c r="R423" s="1368"/>
      <c r="S423" s="1363" t="str">
        <f t="shared" si="231"/>
        <v/>
      </c>
      <c r="T423" s="257" t="str">
        <f>IF(R422&lt;0,"закрыт","")</f>
        <v/>
      </c>
      <c r="U423" s="1363"/>
      <c r="V423" s="1363"/>
      <c r="W423" s="257" t="s">
        <v>3088</v>
      </c>
      <c r="X423" s="933"/>
      <c r="Y423" s="1371"/>
      <c r="Z423" s="1327"/>
      <c r="AA423" s="1359" t="s">
        <v>1792</v>
      </c>
      <c r="AB423" s="245">
        <f t="shared" si="229"/>
        <v>16</v>
      </c>
      <c r="AC423" s="246" t="str">
        <f t="shared" si="239"/>
        <v>+</v>
      </c>
      <c r="AD423" s="246">
        <f t="shared" si="240"/>
        <v>10</v>
      </c>
      <c r="AE423" s="246"/>
      <c r="AF423" s="1327"/>
      <c r="AG423" s="1298" t="str">
        <f t="shared" si="232"/>
        <v>16+10</v>
      </c>
      <c r="AH423" s="1358">
        <v>0</v>
      </c>
      <c r="AI423" s="1358">
        <f t="shared" si="246"/>
        <v>2.5</v>
      </c>
      <c r="AJ423" s="1304">
        <f t="shared" si="234"/>
        <v>0</v>
      </c>
      <c r="AK423" s="1298">
        <f t="shared" si="230"/>
        <v>0</v>
      </c>
      <c r="AL423" s="1304">
        <f t="shared" si="241"/>
        <v>2.5</v>
      </c>
      <c r="AM423" s="1298">
        <v>0</v>
      </c>
      <c r="AN423" s="896">
        <f t="shared" si="242"/>
        <v>10.5</v>
      </c>
      <c r="AO423" s="1358">
        <f t="shared" si="243"/>
        <v>8</v>
      </c>
      <c r="AP423" s="1321"/>
      <c r="AQ423" s="1321" t="str">
        <f t="shared" si="233"/>
        <v/>
      </c>
      <c r="AR423" s="1359" t="str">
        <f>IF(AP422&lt;0,"закрыт","")</f>
        <v/>
      </c>
      <c r="AS423" s="1349"/>
      <c r="AT423" s="1112" t="s">
        <v>96</v>
      </c>
      <c r="AU423" s="1113">
        <v>1978</v>
      </c>
      <c r="AV423" s="1119" t="s">
        <v>3286</v>
      </c>
      <c r="AW423" s="1121">
        <v>56.853146924655697</v>
      </c>
      <c r="AX423" s="1121">
        <v>33.4977328072369</v>
      </c>
    </row>
    <row r="424" spans="1:50" ht="20.100000000000001" customHeight="1" x14ac:dyDescent="0.25">
      <c r="A424" s="1371"/>
      <c r="B424" s="1395"/>
      <c r="C424" s="244" t="s">
        <v>1791</v>
      </c>
      <c r="D424" s="245">
        <v>16</v>
      </c>
      <c r="E424" s="246" t="s">
        <v>785</v>
      </c>
      <c r="F424" s="246">
        <v>10</v>
      </c>
      <c r="G424" s="246"/>
      <c r="H424" s="247"/>
      <c r="I424" s="229" t="str">
        <f t="shared" si="228"/>
        <v>16+10</v>
      </c>
      <c r="J424" s="1015">
        <v>6.6</v>
      </c>
      <c r="K424" s="249">
        <v>0</v>
      </c>
      <c r="L424" s="244">
        <v>0</v>
      </c>
      <c r="M424" s="249">
        <f t="shared" si="235"/>
        <v>6.6</v>
      </c>
      <c r="N424" s="172">
        <v>0</v>
      </c>
      <c r="O424" s="893"/>
      <c r="P424" s="896">
        <f t="shared" si="236"/>
        <v>10.5</v>
      </c>
      <c r="Q424" s="249">
        <f t="shared" si="245"/>
        <v>3.9000000000000004</v>
      </c>
      <c r="R424" s="1369"/>
      <c r="S424" s="1363" t="str">
        <f t="shared" si="231"/>
        <v/>
      </c>
      <c r="T424" s="257" t="str">
        <f>IF(R422&lt;0,"закрыт","")</f>
        <v/>
      </c>
      <c r="U424" s="1363"/>
      <c r="V424" s="1363"/>
      <c r="W424" s="257" t="s">
        <v>3088</v>
      </c>
      <c r="X424" s="933"/>
      <c r="Y424" s="1371"/>
      <c r="Z424" s="1327"/>
      <c r="AA424" s="1359" t="s">
        <v>1791</v>
      </c>
      <c r="AB424" s="245">
        <f t="shared" si="229"/>
        <v>16</v>
      </c>
      <c r="AC424" s="246" t="str">
        <f t="shared" si="239"/>
        <v>+</v>
      </c>
      <c r="AD424" s="246">
        <f t="shared" si="240"/>
        <v>10</v>
      </c>
      <c r="AE424" s="246"/>
      <c r="AF424" s="1327"/>
      <c r="AG424" s="1298" t="str">
        <f t="shared" si="232"/>
        <v>16+10</v>
      </c>
      <c r="AH424" s="1358">
        <f>'Зона ТоЭс'!L194</f>
        <v>0.16500000000000001</v>
      </c>
      <c r="AI424" s="1358">
        <f t="shared" si="246"/>
        <v>6.7649999999999997</v>
      </c>
      <c r="AJ424" s="1304">
        <f t="shared" si="234"/>
        <v>0</v>
      </c>
      <c r="AK424" s="1298">
        <f t="shared" si="230"/>
        <v>0</v>
      </c>
      <c r="AL424" s="1304">
        <f t="shared" si="241"/>
        <v>6.7649999999999997</v>
      </c>
      <c r="AM424" s="1298">
        <v>0</v>
      </c>
      <c r="AN424" s="896">
        <f t="shared" si="242"/>
        <v>10.5</v>
      </c>
      <c r="AO424" s="1358">
        <f t="shared" si="243"/>
        <v>3.7350000000000003</v>
      </c>
      <c r="AP424" s="1322"/>
      <c r="AQ424" s="1322" t="str">
        <f t="shared" si="233"/>
        <v/>
      </c>
      <c r="AR424" s="1359" t="str">
        <f>IF(AP422&lt;0,"закрыт","")</f>
        <v/>
      </c>
      <c r="AS424" s="1350"/>
      <c r="AT424" s="1112" t="s">
        <v>96</v>
      </c>
      <c r="AU424" s="1113">
        <v>1978</v>
      </c>
      <c r="AV424" s="1119" t="s">
        <v>3286</v>
      </c>
      <c r="AW424" s="1121">
        <v>56.853146924655697</v>
      </c>
      <c r="AX424" s="1121">
        <v>33.4977328072369</v>
      </c>
    </row>
    <row r="425" spans="1:50" ht="20.100000000000001" customHeight="1" x14ac:dyDescent="0.25">
      <c r="A425" s="1371">
        <v>312</v>
      </c>
      <c r="B425" s="1395">
        <v>33</v>
      </c>
      <c r="C425" s="244" t="s">
        <v>279</v>
      </c>
      <c r="D425" s="245">
        <v>25</v>
      </c>
      <c r="E425" s="246" t="s">
        <v>785</v>
      </c>
      <c r="F425" s="246">
        <v>25</v>
      </c>
      <c r="G425" s="246"/>
      <c r="H425" s="247"/>
      <c r="I425" s="229" t="str">
        <f t="shared" si="228"/>
        <v>25+25</v>
      </c>
      <c r="J425" s="1015">
        <v>1.7</v>
      </c>
      <c r="K425" s="249">
        <v>0.7</v>
      </c>
      <c r="L425" s="244">
        <v>120</v>
      </c>
      <c r="M425" s="249">
        <f t="shared" si="235"/>
        <v>1</v>
      </c>
      <c r="N425" s="172">
        <v>0</v>
      </c>
      <c r="O425" s="893"/>
      <c r="P425" s="896">
        <f t="shared" si="236"/>
        <v>26.25</v>
      </c>
      <c r="Q425" s="249">
        <f t="shared" si="245"/>
        <v>25.25</v>
      </c>
      <c r="R425" s="1367">
        <f>MIN(Q425:Q427)</f>
        <v>25.25</v>
      </c>
      <c r="S425" s="1362" t="str">
        <f t="shared" si="231"/>
        <v/>
      </c>
      <c r="T425" s="257" t="str">
        <f>IF(R425&lt;0,"закрыт","")</f>
        <v/>
      </c>
      <c r="U425" s="1362">
        <f>(J425*100)/P425</f>
        <v>6.4761904761904763</v>
      </c>
      <c r="V425" s="1362">
        <v>0.4</v>
      </c>
      <c r="W425" s="257" t="s">
        <v>3088</v>
      </c>
      <c r="X425" s="933"/>
      <c r="Y425" s="1371">
        <v>312</v>
      </c>
      <c r="Z425" s="1327">
        <v>33</v>
      </c>
      <c r="AA425" s="1359" t="s">
        <v>279</v>
      </c>
      <c r="AB425" s="245">
        <f t="shared" si="229"/>
        <v>25</v>
      </c>
      <c r="AC425" s="246" t="str">
        <f t="shared" si="239"/>
        <v>+</v>
      </c>
      <c r="AD425" s="246">
        <f t="shared" si="240"/>
        <v>25</v>
      </c>
      <c r="AE425" s="246"/>
      <c r="AF425" s="1327"/>
      <c r="AG425" s="1298" t="str">
        <f t="shared" si="232"/>
        <v>25+25</v>
      </c>
      <c r="AH425" s="1358">
        <f>SUM(AH426:AH427)</f>
        <v>0.17</v>
      </c>
      <c r="AI425" s="1358">
        <f t="shared" si="246"/>
        <v>1.8699999999999999</v>
      </c>
      <c r="AJ425" s="1304">
        <f t="shared" si="234"/>
        <v>0.7</v>
      </c>
      <c r="AK425" s="1298">
        <f t="shared" si="230"/>
        <v>120</v>
      </c>
      <c r="AL425" s="1304">
        <f t="shared" si="241"/>
        <v>1.17</v>
      </c>
      <c r="AM425" s="1298">
        <v>0</v>
      </c>
      <c r="AN425" s="896">
        <f t="shared" si="242"/>
        <v>26.25</v>
      </c>
      <c r="AO425" s="1358">
        <f t="shared" si="243"/>
        <v>25.08</v>
      </c>
      <c r="AP425" s="1320">
        <f>MIN(AO425:AO427)</f>
        <v>25.08</v>
      </c>
      <c r="AQ425" s="1320" t="str">
        <f t="shared" si="233"/>
        <v/>
      </c>
      <c r="AR425" s="1359" t="str">
        <f>IF(AP425&lt;0,"закрыт","")</f>
        <v/>
      </c>
      <c r="AS425" s="1348">
        <f>(AI425*100)/AN425</f>
        <v>7.1238095238095234</v>
      </c>
      <c r="AT425" s="1112" t="s">
        <v>96</v>
      </c>
      <c r="AU425" s="1113">
        <v>1980</v>
      </c>
      <c r="AV425" s="1119" t="s">
        <v>3286</v>
      </c>
      <c r="AW425" s="1121">
        <v>56.7828357560401</v>
      </c>
      <c r="AX425" s="1121">
        <v>33.525905056328497</v>
      </c>
    </row>
    <row r="426" spans="1:50" ht="20.100000000000001" customHeight="1" x14ac:dyDescent="0.25">
      <c r="A426" s="1371"/>
      <c r="B426" s="1395"/>
      <c r="C426" s="244" t="s">
        <v>1792</v>
      </c>
      <c r="D426" s="245">
        <v>25</v>
      </c>
      <c r="E426" s="246" t="s">
        <v>785</v>
      </c>
      <c r="F426" s="246">
        <v>25</v>
      </c>
      <c r="G426" s="246"/>
      <c r="H426" s="247"/>
      <c r="I426" s="229" t="str">
        <f t="shared" si="228"/>
        <v>25+25</v>
      </c>
      <c r="J426" s="1015">
        <v>0.7</v>
      </c>
      <c r="K426" s="249">
        <v>0.7</v>
      </c>
      <c r="L426" s="244">
        <v>120</v>
      </c>
      <c r="M426" s="249">
        <f t="shared" si="235"/>
        <v>0</v>
      </c>
      <c r="N426" s="172">
        <v>0</v>
      </c>
      <c r="O426" s="893"/>
      <c r="P426" s="896">
        <f t="shared" si="236"/>
        <v>26.25</v>
      </c>
      <c r="Q426" s="249">
        <f t="shared" si="245"/>
        <v>26.25</v>
      </c>
      <c r="R426" s="1368"/>
      <c r="S426" s="1363" t="str">
        <f t="shared" si="231"/>
        <v/>
      </c>
      <c r="T426" s="257" t="str">
        <f>IF(R425&lt;0,"закрыт","")</f>
        <v/>
      </c>
      <c r="U426" s="1363"/>
      <c r="V426" s="1363"/>
      <c r="W426" s="257" t="s">
        <v>3088</v>
      </c>
      <c r="X426" s="933"/>
      <c r="Y426" s="1371"/>
      <c r="Z426" s="1327"/>
      <c r="AA426" s="1359" t="s">
        <v>1792</v>
      </c>
      <c r="AB426" s="245">
        <f t="shared" si="229"/>
        <v>25</v>
      </c>
      <c r="AC426" s="246" t="str">
        <f t="shared" si="239"/>
        <v>+</v>
      </c>
      <c r="AD426" s="246">
        <f t="shared" si="240"/>
        <v>25</v>
      </c>
      <c r="AE426" s="246"/>
      <c r="AF426" s="1327"/>
      <c r="AG426" s="1298" t="str">
        <f t="shared" si="232"/>
        <v>25+25</v>
      </c>
      <c r="AH426" s="1358">
        <f>SUM(AH403+AH393)</f>
        <v>0.17</v>
      </c>
      <c r="AI426" s="1358">
        <f t="shared" si="246"/>
        <v>0.87</v>
      </c>
      <c r="AJ426" s="1304">
        <f t="shared" si="234"/>
        <v>0.7</v>
      </c>
      <c r="AK426" s="1298">
        <f t="shared" si="230"/>
        <v>120</v>
      </c>
      <c r="AL426" s="1304">
        <f t="shared" si="241"/>
        <v>0.17000000000000004</v>
      </c>
      <c r="AM426" s="1298">
        <v>0</v>
      </c>
      <c r="AN426" s="896">
        <f t="shared" si="242"/>
        <v>26.25</v>
      </c>
      <c r="AO426" s="1358">
        <f t="shared" si="243"/>
        <v>26.08</v>
      </c>
      <c r="AP426" s="1321"/>
      <c r="AQ426" s="1321" t="str">
        <f t="shared" si="233"/>
        <v/>
      </c>
      <c r="AR426" s="1359" t="str">
        <f>IF(AP425&lt;0,"закрыт","")</f>
        <v/>
      </c>
      <c r="AS426" s="1349"/>
      <c r="AT426" s="1112" t="s">
        <v>96</v>
      </c>
      <c r="AU426" s="1113">
        <v>1980</v>
      </c>
      <c r="AV426" s="1119" t="s">
        <v>3286</v>
      </c>
      <c r="AW426" s="1121">
        <v>56.7828357560401</v>
      </c>
      <c r="AX426" s="1121">
        <v>33.525905056328497</v>
      </c>
    </row>
    <row r="427" spans="1:50" ht="20.100000000000001" customHeight="1" x14ac:dyDescent="0.25">
      <c r="A427" s="1371"/>
      <c r="B427" s="1395"/>
      <c r="C427" s="244" t="s">
        <v>1791</v>
      </c>
      <c r="D427" s="245">
        <v>25</v>
      </c>
      <c r="E427" s="246" t="s">
        <v>785</v>
      </c>
      <c r="F427" s="246">
        <v>25</v>
      </c>
      <c r="G427" s="246"/>
      <c r="H427" s="247"/>
      <c r="I427" s="229" t="str">
        <f t="shared" si="228"/>
        <v>25+25</v>
      </c>
      <c r="J427" s="1015">
        <v>0.8</v>
      </c>
      <c r="K427" s="249">
        <v>0</v>
      </c>
      <c r="L427" s="244">
        <v>0</v>
      </c>
      <c r="M427" s="249">
        <f t="shared" si="235"/>
        <v>0.8</v>
      </c>
      <c r="N427" s="172">
        <v>0</v>
      </c>
      <c r="O427" s="893"/>
      <c r="P427" s="896">
        <f t="shared" si="236"/>
        <v>26.25</v>
      </c>
      <c r="Q427" s="249">
        <f t="shared" si="245"/>
        <v>25.45</v>
      </c>
      <c r="R427" s="1369"/>
      <c r="S427" s="1363" t="str">
        <f t="shared" si="231"/>
        <v/>
      </c>
      <c r="T427" s="257" t="str">
        <f>IF(R425&lt;0,"закрыт","")</f>
        <v/>
      </c>
      <c r="U427" s="1363"/>
      <c r="V427" s="1363"/>
      <c r="W427" s="257" t="s">
        <v>3088</v>
      </c>
      <c r="X427" s="933"/>
      <c r="Y427" s="1371"/>
      <c r="Z427" s="1327"/>
      <c r="AA427" s="1359" t="s">
        <v>1791</v>
      </c>
      <c r="AB427" s="245">
        <f t="shared" si="229"/>
        <v>25</v>
      </c>
      <c r="AC427" s="246" t="str">
        <f t="shared" si="239"/>
        <v>+</v>
      </c>
      <c r="AD427" s="246">
        <f t="shared" si="240"/>
        <v>25</v>
      </c>
      <c r="AE427" s="246"/>
      <c r="AF427" s="1327"/>
      <c r="AG427" s="1298" t="str">
        <f t="shared" si="232"/>
        <v>25+25</v>
      </c>
      <c r="AH427" s="1358">
        <f>'Зона ТоЭс'!L196</f>
        <v>0</v>
      </c>
      <c r="AI427" s="1358">
        <f t="shared" si="246"/>
        <v>0.8</v>
      </c>
      <c r="AJ427" s="1304">
        <f t="shared" si="234"/>
        <v>0</v>
      </c>
      <c r="AK427" s="1298">
        <f t="shared" si="230"/>
        <v>0</v>
      </c>
      <c r="AL427" s="1304">
        <f t="shared" si="241"/>
        <v>0.8</v>
      </c>
      <c r="AM427" s="1298">
        <v>0</v>
      </c>
      <c r="AN427" s="896">
        <f t="shared" si="242"/>
        <v>26.25</v>
      </c>
      <c r="AO427" s="1358">
        <f t="shared" si="243"/>
        <v>25.45</v>
      </c>
      <c r="AP427" s="1322"/>
      <c r="AQ427" s="1322" t="str">
        <f t="shared" si="233"/>
        <v/>
      </c>
      <c r="AR427" s="1359" t="str">
        <f>IF(AP425&lt;0,"закрыт","")</f>
        <v/>
      </c>
      <c r="AS427" s="1350"/>
      <c r="AT427" s="1112" t="s">
        <v>96</v>
      </c>
      <c r="AU427" s="1113">
        <v>1980</v>
      </c>
      <c r="AV427" s="1119" t="s">
        <v>3286</v>
      </c>
      <c r="AW427" s="1121">
        <v>56.7828357560401</v>
      </c>
      <c r="AX427" s="1121">
        <v>33.525905056328497</v>
      </c>
    </row>
    <row r="428" spans="1:50" ht="20.100000000000001" customHeight="1" x14ac:dyDescent="0.25">
      <c r="A428" s="1371">
        <v>313</v>
      </c>
      <c r="B428" s="1395">
        <v>34</v>
      </c>
      <c r="C428" s="244" t="s">
        <v>280</v>
      </c>
      <c r="D428" s="245">
        <v>25</v>
      </c>
      <c r="E428" s="246" t="s">
        <v>785</v>
      </c>
      <c r="F428" s="246">
        <v>25</v>
      </c>
      <c r="G428" s="246"/>
      <c r="H428" s="247"/>
      <c r="I428" s="229" t="str">
        <f t="shared" si="228"/>
        <v>25+25</v>
      </c>
      <c r="J428" s="1015">
        <v>18</v>
      </c>
      <c r="K428" s="249">
        <v>0</v>
      </c>
      <c r="L428" s="244">
        <v>0</v>
      </c>
      <c r="M428" s="249">
        <f t="shared" si="235"/>
        <v>18</v>
      </c>
      <c r="N428" s="172">
        <v>0</v>
      </c>
      <c r="O428" s="893"/>
      <c r="P428" s="896">
        <f t="shared" si="236"/>
        <v>26.25</v>
      </c>
      <c r="Q428" s="249">
        <f t="shared" si="245"/>
        <v>8.25</v>
      </c>
      <c r="R428" s="1401">
        <f>MIN(Q428:Q430)</f>
        <v>8.25</v>
      </c>
      <c r="S428" s="1362" t="str">
        <f t="shared" si="231"/>
        <v/>
      </c>
      <c r="T428" s="257" t="str">
        <f>IF(R428&lt;0,"закрыт","")</f>
        <v/>
      </c>
      <c r="U428" s="1362">
        <f>(J428*100)/P428</f>
        <v>68.571428571428569</v>
      </c>
      <c r="V428" s="1362">
        <v>0.28999999999999998</v>
      </c>
      <c r="W428" s="257" t="s">
        <v>3088</v>
      </c>
      <c r="X428" s="933"/>
      <c r="Y428" s="1371">
        <v>313</v>
      </c>
      <c r="Z428" s="1327">
        <v>34</v>
      </c>
      <c r="AA428" s="1359" t="s">
        <v>280</v>
      </c>
      <c r="AB428" s="245">
        <f t="shared" si="229"/>
        <v>25</v>
      </c>
      <c r="AC428" s="246" t="str">
        <f t="shared" si="239"/>
        <v>+</v>
      </c>
      <c r="AD428" s="246">
        <f t="shared" si="240"/>
        <v>25</v>
      </c>
      <c r="AE428" s="246"/>
      <c r="AF428" s="1327"/>
      <c r="AG428" s="1298" t="str">
        <f t="shared" si="232"/>
        <v>25+25</v>
      </c>
      <c r="AH428" s="1358">
        <f>SUM(AH429:AH430)</f>
        <v>0.6349999999999999</v>
      </c>
      <c r="AI428" s="1358">
        <f t="shared" si="246"/>
        <v>18.635000000000002</v>
      </c>
      <c r="AJ428" s="1304">
        <f t="shared" si="234"/>
        <v>0</v>
      </c>
      <c r="AK428" s="1298">
        <f t="shared" si="230"/>
        <v>0</v>
      </c>
      <c r="AL428" s="1304">
        <f t="shared" si="241"/>
        <v>18.635000000000002</v>
      </c>
      <c r="AM428" s="1298">
        <v>0</v>
      </c>
      <c r="AN428" s="896">
        <f t="shared" si="242"/>
        <v>26.25</v>
      </c>
      <c r="AO428" s="1358">
        <f t="shared" si="243"/>
        <v>7.6149999999999984</v>
      </c>
      <c r="AP428" s="1320">
        <f>MIN(AO428:AO430)</f>
        <v>7.6149999999999984</v>
      </c>
      <c r="AQ428" s="1320" t="str">
        <f>AR428</f>
        <v/>
      </c>
      <c r="AR428" s="1359" t="str">
        <f>IF(AP428&lt;0,"закрыт","")</f>
        <v/>
      </c>
      <c r="AS428" s="1348">
        <f>(AI428*100)/AN428</f>
        <v>70.990476190476201</v>
      </c>
      <c r="AT428" s="1112" t="s">
        <v>96</v>
      </c>
      <c r="AU428" s="1113">
        <v>1982</v>
      </c>
      <c r="AV428" s="1119" t="s">
        <v>3286</v>
      </c>
      <c r="AW428" s="1121">
        <v>57.137287048507098</v>
      </c>
      <c r="AX428" s="1121">
        <v>33.1036333908744</v>
      </c>
    </row>
    <row r="429" spans="1:50" ht="20.100000000000001" customHeight="1" x14ac:dyDescent="0.25">
      <c r="A429" s="1371"/>
      <c r="B429" s="1395"/>
      <c r="C429" s="244" t="s">
        <v>1792</v>
      </c>
      <c r="D429" s="245">
        <v>25</v>
      </c>
      <c r="E429" s="246" t="s">
        <v>785</v>
      </c>
      <c r="F429" s="246">
        <v>25</v>
      </c>
      <c r="G429" s="246"/>
      <c r="H429" s="247"/>
      <c r="I429" s="229" t="str">
        <f t="shared" si="228"/>
        <v>25+25</v>
      </c>
      <c r="J429" s="1015">
        <v>1.8</v>
      </c>
      <c r="K429" s="249">
        <v>0</v>
      </c>
      <c r="L429" s="244">
        <v>0</v>
      </c>
      <c r="M429" s="249">
        <f t="shared" si="235"/>
        <v>1.8</v>
      </c>
      <c r="N429" s="172">
        <v>0</v>
      </c>
      <c r="O429" s="893"/>
      <c r="P429" s="896">
        <f t="shared" si="236"/>
        <v>26.25</v>
      </c>
      <c r="Q429" s="249">
        <f t="shared" si="245"/>
        <v>24.45</v>
      </c>
      <c r="R429" s="1401"/>
      <c r="S429" s="1363"/>
      <c r="T429" s="257" t="str">
        <f>IF(R428&lt;0,"закрыт","")</f>
        <v/>
      </c>
      <c r="U429" s="1363"/>
      <c r="V429" s="1363"/>
      <c r="W429" s="257" t="s">
        <v>3088</v>
      </c>
      <c r="X429" s="933"/>
      <c r="Y429" s="1371"/>
      <c r="Z429" s="1327"/>
      <c r="AA429" s="1359" t="s">
        <v>1792</v>
      </c>
      <c r="AB429" s="245">
        <f t="shared" si="229"/>
        <v>25</v>
      </c>
      <c r="AC429" s="246" t="str">
        <f t="shared" si="239"/>
        <v>+</v>
      </c>
      <c r="AD429" s="246">
        <f t="shared" si="240"/>
        <v>25</v>
      </c>
      <c r="AE429" s="246"/>
      <c r="AF429" s="1327"/>
      <c r="AG429" s="1298" t="str">
        <f t="shared" si="232"/>
        <v>25+25</v>
      </c>
      <c r="AH429" s="1358">
        <f>SUM(AH406+AH407)</f>
        <v>0.24374999999999997</v>
      </c>
      <c r="AI429" s="1358">
        <f t="shared" si="246"/>
        <v>2.0437500000000002</v>
      </c>
      <c r="AJ429" s="1304">
        <f t="shared" si="234"/>
        <v>0</v>
      </c>
      <c r="AK429" s="1298">
        <f t="shared" si="230"/>
        <v>0</v>
      </c>
      <c r="AL429" s="1304">
        <f t="shared" si="241"/>
        <v>2.0437500000000002</v>
      </c>
      <c r="AM429" s="1298">
        <v>0</v>
      </c>
      <c r="AN429" s="896">
        <f t="shared" si="242"/>
        <v>26.25</v>
      </c>
      <c r="AO429" s="1358">
        <f t="shared" si="243"/>
        <v>24.206250000000001</v>
      </c>
      <c r="AP429" s="1321"/>
      <c r="AQ429" s="1321" t="str">
        <f t="shared" si="233"/>
        <v/>
      </c>
      <c r="AR429" s="1359" t="str">
        <f>IF(AP428&lt;0,"закрыт","")</f>
        <v/>
      </c>
      <c r="AS429" s="1349"/>
      <c r="AT429" s="1112" t="s">
        <v>96</v>
      </c>
      <c r="AU429" s="1113">
        <v>1982</v>
      </c>
      <c r="AV429" s="1119" t="s">
        <v>3286</v>
      </c>
      <c r="AW429" s="1121">
        <v>57.137287048507098</v>
      </c>
      <c r="AX429" s="1121">
        <v>33.1036333908744</v>
      </c>
    </row>
    <row r="430" spans="1:50" ht="20.100000000000001" customHeight="1" x14ac:dyDescent="0.25">
      <c r="A430" s="1371"/>
      <c r="B430" s="1395"/>
      <c r="C430" s="244" t="s">
        <v>1791</v>
      </c>
      <c r="D430" s="245">
        <v>25</v>
      </c>
      <c r="E430" s="246" t="s">
        <v>785</v>
      </c>
      <c r="F430" s="246">
        <v>25</v>
      </c>
      <c r="G430" s="246"/>
      <c r="H430" s="247"/>
      <c r="I430" s="229" t="str">
        <f t="shared" si="228"/>
        <v>25+25</v>
      </c>
      <c r="J430" s="1015">
        <v>16.3</v>
      </c>
      <c r="K430" s="249">
        <v>0</v>
      </c>
      <c r="L430" s="244">
        <v>0</v>
      </c>
      <c r="M430" s="249">
        <f t="shared" si="235"/>
        <v>16.3</v>
      </c>
      <c r="N430" s="172">
        <v>0</v>
      </c>
      <c r="O430" s="893"/>
      <c r="P430" s="896">
        <f t="shared" si="236"/>
        <v>26.25</v>
      </c>
      <c r="Q430" s="249">
        <f t="shared" si="245"/>
        <v>9.9499999999999993</v>
      </c>
      <c r="R430" s="1401"/>
      <c r="S430" s="1363"/>
      <c r="T430" s="257" t="str">
        <f>IF(R428&lt;0,"закрыт","")</f>
        <v/>
      </c>
      <c r="U430" s="1363"/>
      <c r="V430" s="1363"/>
      <c r="W430" s="257" t="s">
        <v>3088</v>
      </c>
      <c r="X430" s="933"/>
      <c r="Y430" s="1371"/>
      <c r="Z430" s="1327"/>
      <c r="AA430" s="1359" t="s">
        <v>1791</v>
      </c>
      <c r="AB430" s="245">
        <f t="shared" si="229"/>
        <v>25</v>
      </c>
      <c r="AC430" s="246" t="str">
        <f t="shared" si="239"/>
        <v>+</v>
      </c>
      <c r="AD430" s="246">
        <f t="shared" si="240"/>
        <v>25</v>
      </c>
      <c r="AE430" s="246"/>
      <c r="AF430" s="1327"/>
      <c r="AG430" s="1298" t="str">
        <f t="shared" si="232"/>
        <v>25+25</v>
      </c>
      <c r="AH430" s="1358">
        <f>'Зона ТоЭс'!L205</f>
        <v>0.39124999999999993</v>
      </c>
      <c r="AI430" s="1358">
        <f t="shared" si="246"/>
        <v>16.69125</v>
      </c>
      <c r="AJ430" s="1304">
        <f t="shared" si="234"/>
        <v>0</v>
      </c>
      <c r="AK430" s="1298">
        <f t="shared" si="230"/>
        <v>0</v>
      </c>
      <c r="AL430" s="1304">
        <f t="shared" si="241"/>
        <v>16.69125</v>
      </c>
      <c r="AM430" s="1298">
        <v>0</v>
      </c>
      <c r="AN430" s="896">
        <f t="shared" si="242"/>
        <v>26.25</v>
      </c>
      <c r="AO430" s="1358">
        <f t="shared" si="243"/>
        <v>9.5587499999999999</v>
      </c>
      <c r="AP430" s="1322"/>
      <c r="AQ430" s="1322" t="str">
        <f t="shared" si="233"/>
        <v/>
      </c>
      <c r="AR430" s="1359" t="str">
        <f>IF(AP428&lt;0,"закрыт","")</f>
        <v/>
      </c>
      <c r="AS430" s="1350"/>
      <c r="AT430" s="1112" t="s">
        <v>96</v>
      </c>
      <c r="AU430" s="1113">
        <v>1982</v>
      </c>
      <c r="AV430" s="1119" t="s">
        <v>3286</v>
      </c>
      <c r="AW430" s="1121">
        <v>57.137287048507098</v>
      </c>
      <c r="AX430" s="1121">
        <v>33.1036333908744</v>
      </c>
    </row>
    <row r="431" spans="1:50" ht="20.100000000000001" customHeight="1" x14ac:dyDescent="0.25">
      <c r="A431" s="1371">
        <v>314</v>
      </c>
      <c r="B431" s="1395">
        <v>35</v>
      </c>
      <c r="C431" s="244" t="s">
        <v>281</v>
      </c>
      <c r="D431" s="245">
        <v>10</v>
      </c>
      <c r="E431" s="246" t="s">
        <v>785</v>
      </c>
      <c r="F431" s="246">
        <v>10</v>
      </c>
      <c r="G431" s="246"/>
      <c r="H431" s="247"/>
      <c r="I431" s="229" t="str">
        <f t="shared" si="228"/>
        <v>10+10</v>
      </c>
      <c r="J431" s="1015">
        <v>9.1999999999999993</v>
      </c>
      <c r="K431" s="249">
        <v>0</v>
      </c>
      <c r="L431" s="244">
        <v>0</v>
      </c>
      <c r="M431" s="249">
        <f t="shared" si="235"/>
        <v>9.1999999999999993</v>
      </c>
      <c r="N431" s="172">
        <v>0</v>
      </c>
      <c r="O431" s="893"/>
      <c r="P431" s="896">
        <f t="shared" si="236"/>
        <v>10.5</v>
      </c>
      <c r="Q431" s="249">
        <f t="shared" si="245"/>
        <v>1.3000000000000007</v>
      </c>
      <c r="R431" s="1367">
        <f>MIN(Q431:Q433)</f>
        <v>1.3000000000000007</v>
      </c>
      <c r="S431" s="1362" t="str">
        <f t="shared" si="231"/>
        <v/>
      </c>
      <c r="T431" s="257" t="str">
        <f>IF(R431&lt;0,"закрыт","")</f>
        <v/>
      </c>
      <c r="U431" s="1362">
        <f>(J431*100)/P431</f>
        <v>87.619047619047606</v>
      </c>
      <c r="V431" s="1362">
        <v>0.38</v>
      </c>
      <c r="W431" s="257" t="s">
        <v>3088</v>
      </c>
      <c r="X431" s="933"/>
      <c r="Y431" s="1371">
        <v>314</v>
      </c>
      <c r="Z431" s="1327">
        <v>35</v>
      </c>
      <c r="AA431" s="1359" t="s">
        <v>281</v>
      </c>
      <c r="AB431" s="245">
        <f t="shared" si="229"/>
        <v>10</v>
      </c>
      <c r="AC431" s="246" t="str">
        <f t="shared" si="239"/>
        <v>+</v>
      </c>
      <c r="AD431" s="246">
        <f t="shared" si="240"/>
        <v>10</v>
      </c>
      <c r="AE431" s="246"/>
      <c r="AF431" s="1327"/>
      <c r="AG431" s="1298" t="str">
        <f t="shared" si="232"/>
        <v>10+10</v>
      </c>
      <c r="AH431" s="1358">
        <f>SUM(AH432:AH433)</f>
        <v>1.17</v>
      </c>
      <c r="AI431" s="1358">
        <f t="shared" si="246"/>
        <v>10.37</v>
      </c>
      <c r="AJ431" s="1304">
        <f t="shared" si="234"/>
        <v>0</v>
      </c>
      <c r="AK431" s="1298">
        <f t="shared" si="230"/>
        <v>0</v>
      </c>
      <c r="AL431" s="1304">
        <f t="shared" si="241"/>
        <v>10.37</v>
      </c>
      <c r="AM431" s="1298">
        <v>0</v>
      </c>
      <c r="AN431" s="896">
        <f t="shared" si="242"/>
        <v>10.5</v>
      </c>
      <c r="AO431" s="1358">
        <f t="shared" si="243"/>
        <v>0.13000000000000078</v>
      </c>
      <c r="AP431" s="1320">
        <f>MIN(AO431:AO433)</f>
        <v>0.13000000000000078</v>
      </c>
      <c r="AQ431" s="1320" t="str">
        <f>AR431</f>
        <v/>
      </c>
      <c r="AR431" s="1359" t="str">
        <f>IF(AP431&lt;0,"закрыт","")</f>
        <v/>
      </c>
      <c r="AS431" s="1348">
        <f>(AI431*100)/AN431</f>
        <v>98.761904761904759</v>
      </c>
      <c r="AT431" s="1112" t="s">
        <v>96</v>
      </c>
      <c r="AU431" s="1113">
        <v>1967</v>
      </c>
      <c r="AV431" s="1119" t="s">
        <v>3286</v>
      </c>
      <c r="AW431" s="1121">
        <v>57.193513743186898</v>
      </c>
      <c r="AX431" s="1121">
        <v>33.014034325895501</v>
      </c>
    </row>
    <row r="432" spans="1:50" ht="20.100000000000001" customHeight="1" x14ac:dyDescent="0.25">
      <c r="A432" s="1371"/>
      <c r="B432" s="1395"/>
      <c r="C432" s="244" t="s">
        <v>1792</v>
      </c>
      <c r="D432" s="245">
        <v>10</v>
      </c>
      <c r="E432" s="246" t="s">
        <v>785</v>
      </c>
      <c r="F432" s="246">
        <v>10</v>
      </c>
      <c r="G432" s="246"/>
      <c r="H432" s="247"/>
      <c r="I432" s="229" t="str">
        <f t="shared" si="228"/>
        <v>10+10</v>
      </c>
      <c r="J432" s="1015">
        <v>4.7</v>
      </c>
      <c r="K432" s="249">
        <v>0</v>
      </c>
      <c r="L432" s="244">
        <v>0</v>
      </c>
      <c r="M432" s="249">
        <f t="shared" si="235"/>
        <v>4.7</v>
      </c>
      <c r="N432" s="172">
        <v>0</v>
      </c>
      <c r="O432" s="893"/>
      <c r="P432" s="896">
        <f t="shared" si="236"/>
        <v>10.5</v>
      </c>
      <c r="Q432" s="249">
        <f t="shared" si="245"/>
        <v>5.8</v>
      </c>
      <c r="R432" s="1368"/>
      <c r="S432" s="1362"/>
      <c r="T432" s="257" t="str">
        <f>IF(R431&lt;0,"закрыт","")</f>
        <v/>
      </c>
      <c r="U432" s="1362"/>
      <c r="V432" s="1362"/>
      <c r="W432" s="257" t="s">
        <v>3088</v>
      </c>
      <c r="X432" s="933"/>
      <c r="Y432" s="1371"/>
      <c r="Z432" s="1327"/>
      <c r="AA432" s="1359" t="s">
        <v>1792</v>
      </c>
      <c r="AB432" s="245">
        <f t="shared" si="229"/>
        <v>10</v>
      </c>
      <c r="AC432" s="246" t="str">
        <f t="shared" si="239"/>
        <v>+</v>
      </c>
      <c r="AD432" s="246">
        <f t="shared" si="240"/>
        <v>10</v>
      </c>
      <c r="AE432" s="246"/>
      <c r="AF432" s="1327"/>
      <c r="AG432" s="1298" t="str">
        <f t="shared" si="232"/>
        <v>10+10</v>
      </c>
      <c r="AH432" s="1358">
        <f>SUM(AH394)</f>
        <v>1.17</v>
      </c>
      <c r="AI432" s="1358">
        <f t="shared" si="246"/>
        <v>5.87</v>
      </c>
      <c r="AJ432" s="1304">
        <f t="shared" si="234"/>
        <v>0</v>
      </c>
      <c r="AK432" s="1298">
        <f t="shared" si="230"/>
        <v>0</v>
      </c>
      <c r="AL432" s="1304">
        <f t="shared" si="241"/>
        <v>5.87</v>
      </c>
      <c r="AM432" s="1298">
        <v>0</v>
      </c>
      <c r="AN432" s="896">
        <f t="shared" si="242"/>
        <v>10.5</v>
      </c>
      <c r="AO432" s="1358">
        <f t="shared" si="243"/>
        <v>4.63</v>
      </c>
      <c r="AP432" s="1321"/>
      <c r="AQ432" s="1321"/>
      <c r="AR432" s="1359" t="str">
        <f>IF(AP431&lt;0,"закрыт","")</f>
        <v/>
      </c>
      <c r="AS432" s="1349"/>
      <c r="AT432" s="1112" t="s">
        <v>96</v>
      </c>
      <c r="AU432" s="1113">
        <v>1967</v>
      </c>
      <c r="AV432" s="1119" t="s">
        <v>3286</v>
      </c>
      <c r="AW432" s="1121">
        <v>57.193513743186898</v>
      </c>
      <c r="AX432" s="1121">
        <v>33.014034325895501</v>
      </c>
    </row>
    <row r="433" spans="1:50" ht="20.100000000000001" customHeight="1" x14ac:dyDescent="0.25">
      <c r="A433" s="1371"/>
      <c r="B433" s="1396"/>
      <c r="C433" s="251" t="s">
        <v>1791</v>
      </c>
      <c r="D433" s="245">
        <v>10</v>
      </c>
      <c r="E433" s="246" t="s">
        <v>785</v>
      </c>
      <c r="F433" s="246">
        <v>10</v>
      </c>
      <c r="G433" s="246"/>
      <c r="H433" s="247"/>
      <c r="I433" s="229" t="str">
        <f t="shared" si="228"/>
        <v>10+10</v>
      </c>
      <c r="J433" s="1015">
        <v>4.5</v>
      </c>
      <c r="K433" s="249">
        <v>0</v>
      </c>
      <c r="L433" s="244">
        <v>0</v>
      </c>
      <c r="M433" s="249">
        <f t="shared" si="235"/>
        <v>4.5</v>
      </c>
      <c r="N433" s="172">
        <v>0</v>
      </c>
      <c r="O433" s="893"/>
      <c r="P433" s="896">
        <f t="shared" si="236"/>
        <v>10.5</v>
      </c>
      <c r="Q433" s="252">
        <f t="shared" si="245"/>
        <v>6</v>
      </c>
      <c r="R433" s="1369"/>
      <c r="S433" s="1362"/>
      <c r="T433" s="257" t="str">
        <f>IF(R431&lt;0,"закрыт","")</f>
        <v/>
      </c>
      <c r="U433" s="1362"/>
      <c r="V433" s="1362"/>
      <c r="W433" s="257" t="s">
        <v>3088</v>
      </c>
      <c r="X433" s="933"/>
      <c r="Y433" s="1371"/>
      <c r="Z433" s="1361"/>
      <c r="AA433" s="1360" t="s">
        <v>1791</v>
      </c>
      <c r="AB433" s="245">
        <f t="shared" si="229"/>
        <v>10</v>
      </c>
      <c r="AC433" s="246" t="str">
        <f t="shared" si="239"/>
        <v>+</v>
      </c>
      <c r="AD433" s="246">
        <f t="shared" si="240"/>
        <v>10</v>
      </c>
      <c r="AE433" s="246"/>
      <c r="AF433" s="1327"/>
      <c r="AG433" s="1298" t="str">
        <f t="shared" si="232"/>
        <v>10+10</v>
      </c>
      <c r="AH433" s="1320">
        <f>'Зона ТоЭс'!L210</f>
        <v>0</v>
      </c>
      <c r="AI433" s="1320">
        <f t="shared" si="246"/>
        <v>4.5</v>
      </c>
      <c r="AJ433" s="1304">
        <f>K433</f>
        <v>0</v>
      </c>
      <c r="AK433" s="1298">
        <f t="shared" si="230"/>
        <v>0</v>
      </c>
      <c r="AL433" s="1304">
        <f t="shared" si="241"/>
        <v>4.5</v>
      </c>
      <c r="AM433" s="1298">
        <v>0</v>
      </c>
      <c r="AN433" s="896">
        <f t="shared" si="242"/>
        <v>10.5</v>
      </c>
      <c r="AO433" s="1320">
        <f t="shared" si="243"/>
        <v>6</v>
      </c>
      <c r="AP433" s="1322"/>
      <c r="AQ433" s="1322"/>
      <c r="AR433" s="1359" t="str">
        <f>IF(AP431&lt;0,"закрыт","")</f>
        <v/>
      </c>
      <c r="AS433" s="1350"/>
      <c r="AT433" s="1112" t="s">
        <v>96</v>
      </c>
      <c r="AU433" s="1113">
        <v>1967</v>
      </c>
      <c r="AV433" s="1119" t="s">
        <v>3286</v>
      </c>
      <c r="AW433" s="1121">
        <v>57.193513743186898</v>
      </c>
      <c r="AX433" s="1121">
        <v>33.014034325895501</v>
      </c>
    </row>
    <row r="434" spans="1:50" ht="20.100000000000001" customHeight="1" x14ac:dyDescent="0.25">
      <c r="A434" s="254"/>
      <c r="B434" s="1391" t="s">
        <v>1789</v>
      </c>
      <c r="C434" s="1392"/>
      <c r="D434" s="1398">
        <f>SUMIF(C8:C433,"*ПС*",D8:D433)+SUMIF(C8:C433,"*ПС*",F8:F433)+SUMIF(C8:C433,"*ПС*",H8:H433)</f>
        <v>4075.759999999997</v>
      </c>
      <c r="E434" s="1399"/>
      <c r="F434" s="1399"/>
      <c r="G434" s="1399"/>
      <c r="H434" s="1400"/>
      <c r="I434" s="243">
        <v>3938.22</v>
      </c>
      <c r="J434" s="907">
        <f>SUMIF(C8:C433,"*ПС*",J8:J433)</f>
        <v>1196.3157837083538</v>
      </c>
      <c r="K434" s="237"/>
      <c r="L434" s="237"/>
      <c r="M434" s="914"/>
      <c r="N434" s="237"/>
      <c r="O434" s="910"/>
      <c r="P434" s="910"/>
      <c r="Q434" s="237"/>
      <c r="R434" s="237"/>
      <c r="S434" s="237"/>
      <c r="T434" s="237"/>
      <c r="U434" s="910"/>
      <c r="V434" s="237"/>
      <c r="W434" s="237"/>
      <c r="X434" s="929"/>
      <c r="Y434" s="254"/>
      <c r="Z434" s="1325" t="s">
        <v>1789</v>
      </c>
      <c r="AA434" s="1326"/>
      <c r="AB434" s="1356">
        <f>SUMIF(AA8:AA433,"*ПС*",AB8:AB433)+SUMIF(AA8:AA433,"*ПС*",AD8:AD433)+SUMIF(AA8:AA433,"*ПС*",AF8:AF433)</f>
        <v>4075.759999999997</v>
      </c>
      <c r="AC434" s="1356"/>
      <c r="AD434" s="1356"/>
      <c r="AE434" s="1356"/>
      <c r="AF434" s="1357"/>
      <c r="AG434" s="243">
        <v>3938.22</v>
      </c>
      <c r="AH434" s="253">
        <f>SUMIF(AA8:AA433,"*ПС*",AH8:AH433)</f>
        <v>226.01317499999996</v>
      </c>
      <c r="AI434" s="253">
        <f>SUMIF(AA8:AA433,"*ПС*",AI8:AI433)</f>
        <v>1419.2989587083541</v>
      </c>
      <c r="AJ434" s="237"/>
      <c r="AK434" s="237"/>
      <c r="AL434" s="237"/>
      <c r="AM434" s="237"/>
      <c r="AN434" s="1355"/>
      <c r="AO434" s="239"/>
      <c r="AP434" s="239"/>
      <c r="AQ434" s="239"/>
      <c r="AR434" s="237"/>
      <c r="AS434" s="956"/>
      <c r="AT434" s="957"/>
      <c r="AV434" s="953"/>
      <c r="AW434" s="172"/>
      <c r="AX434" s="172"/>
    </row>
    <row r="435" spans="1:50" ht="20.100000000000001" customHeight="1" x14ac:dyDescent="0.25">
      <c r="A435" s="254"/>
      <c r="B435" s="1391" t="s">
        <v>899</v>
      </c>
      <c r="C435" s="1392"/>
      <c r="D435" s="1397"/>
      <c r="E435" s="1397"/>
      <c r="F435" s="1397"/>
      <c r="G435" s="1397"/>
      <c r="H435" s="1392"/>
      <c r="I435" s="237"/>
      <c r="J435" s="908"/>
      <c r="K435" s="237"/>
      <c r="L435" s="237"/>
      <c r="M435" s="914"/>
      <c r="N435" s="237"/>
      <c r="O435" s="910"/>
      <c r="P435" s="910"/>
      <c r="Q435" s="237"/>
      <c r="R435" s="1261">
        <f>SUMIF(R8:R433,"&lt;0",R8:R433)</f>
        <v>-72.392196994228414</v>
      </c>
      <c r="S435" s="238"/>
      <c r="T435" s="237"/>
      <c r="U435" s="910"/>
      <c r="V435" s="237"/>
      <c r="W435" s="237"/>
      <c r="X435" s="939"/>
      <c r="Y435" s="254"/>
      <c r="Z435" s="1325" t="s">
        <v>899</v>
      </c>
      <c r="AA435" s="1326"/>
      <c r="AB435" s="1354"/>
      <c r="AC435" s="1354"/>
      <c r="AD435" s="1354"/>
      <c r="AE435" s="1354"/>
      <c r="AF435" s="1355"/>
      <c r="AG435" s="237"/>
      <c r="AH435" s="239"/>
      <c r="AI435" s="239"/>
      <c r="AJ435" s="237"/>
      <c r="AK435" s="237"/>
      <c r="AL435" s="237"/>
      <c r="AM435" s="237"/>
      <c r="AN435" s="1355"/>
      <c r="AO435" s="239"/>
      <c r="AP435" s="1261">
        <f>SUMIF(AP8:AP433,"&lt;0",AP8:AP433)</f>
        <v>-182.78579945022844</v>
      </c>
      <c r="AQ435" s="238"/>
      <c r="AR435" s="237"/>
      <c r="AS435" s="956"/>
      <c r="AT435" s="957"/>
      <c r="AV435" s="953"/>
      <c r="AW435" s="172"/>
      <c r="AX435" s="172"/>
    </row>
    <row r="436" spans="1:50" ht="18.75" customHeight="1" x14ac:dyDescent="0.25">
      <c r="A436" s="254"/>
      <c r="B436" s="1391" t="s">
        <v>900</v>
      </c>
      <c r="C436" s="1392"/>
      <c r="D436" s="1397"/>
      <c r="E436" s="1397"/>
      <c r="F436" s="1397"/>
      <c r="G436" s="1397"/>
      <c r="H436" s="1392"/>
      <c r="I436" s="237"/>
      <c r="J436" s="908"/>
      <c r="K436" s="237"/>
      <c r="L436" s="237"/>
      <c r="M436" s="914"/>
      <c r="N436" s="237"/>
      <c r="O436" s="910"/>
      <c r="P436" s="910"/>
      <c r="Q436" s="237"/>
      <c r="R436" s="1261">
        <f>SUMIF(R8:R433,"&gt;=0",R8:R433)</f>
        <v>934.31946617104779</v>
      </c>
      <c r="S436" s="238"/>
      <c r="T436" s="237"/>
      <c r="U436" s="910"/>
      <c r="V436" s="237"/>
      <c r="W436" s="237"/>
      <c r="X436" s="939"/>
      <c r="Y436" s="254"/>
      <c r="Z436" s="1325" t="s">
        <v>900</v>
      </c>
      <c r="AA436" s="1326"/>
      <c r="AB436" s="1354"/>
      <c r="AC436" s="1354"/>
      <c r="AD436" s="1354"/>
      <c r="AE436" s="1354"/>
      <c r="AF436" s="1355"/>
      <c r="AG436" s="237"/>
      <c r="AH436" s="239"/>
      <c r="AI436" s="239"/>
      <c r="AJ436" s="237"/>
      <c r="AK436" s="237"/>
      <c r="AL436" s="237"/>
      <c r="AM436" s="237"/>
      <c r="AN436" s="1355"/>
      <c r="AO436" s="239"/>
      <c r="AP436" s="1261">
        <f>SUMIF(AP8:AP433,"&gt;=0",AP8:AP433)</f>
        <v>842.27398462704798</v>
      </c>
      <c r="AQ436" s="238"/>
      <c r="AR436" s="237"/>
      <c r="AS436" s="956"/>
      <c r="AT436" s="957"/>
      <c r="AV436" s="953"/>
      <c r="AW436" s="172"/>
      <c r="AX436" s="172"/>
    </row>
    <row r="437" spans="1:50" ht="15" hidden="1" customHeight="1" x14ac:dyDescent="0.25">
      <c r="A437" s="870"/>
      <c r="B437" s="871"/>
      <c r="C437" s="958" t="s">
        <v>1789</v>
      </c>
      <c r="D437" s="1384">
        <f>SUMIF(C8:C77,"*ПС*",D8:D77)+SUMIF(C8:C77,"*ПС*",F8:F77)+SUMIF(C8:C77,"*ПС*",H8:H77)</f>
        <v>343.70000000000005</v>
      </c>
      <c r="E437" s="1385"/>
      <c r="F437" s="1385"/>
      <c r="G437" s="1385"/>
      <c r="H437" s="1386"/>
      <c r="I437" s="872"/>
      <c r="J437" s="909">
        <f>SUMIF(C8:C77,"*ПС*",J8:J77)</f>
        <v>84.7</v>
      </c>
      <c r="K437" s="911"/>
      <c r="L437" s="911"/>
      <c r="M437" s="959"/>
      <c r="N437" s="911"/>
      <c r="O437" s="960"/>
      <c r="P437" s="874"/>
      <c r="Q437" s="961"/>
      <c r="R437" s="875"/>
      <c r="S437" s="874"/>
      <c r="T437" s="874"/>
      <c r="U437" s="962"/>
      <c r="V437" s="960"/>
      <c r="W437" s="960"/>
      <c r="Y437" s="870"/>
      <c r="Z437" s="871"/>
      <c r="AA437" s="958" t="s">
        <v>1789</v>
      </c>
      <c r="AB437" s="1351">
        <f>SUMIF(AA8:AA77,"*ПС*",AB8:AB77)+SUMIF(AA8:AA77,"*ПС*",AD8:AD77)+SUMIF(AA8:AA77,"*ПС*",AF8:AF77)</f>
        <v>343.70000000000005</v>
      </c>
      <c r="AC437" s="1352"/>
      <c r="AD437" s="1352"/>
      <c r="AE437" s="1352"/>
      <c r="AF437" s="1353"/>
      <c r="AG437" s="579"/>
      <c r="AH437" s="873">
        <f>SUMIF(AA8:AA77,"*ПС*",AH8:AH77)</f>
        <v>8.9344999999999999</v>
      </c>
      <c r="AI437" s="1330"/>
      <c r="AJ437" s="1331"/>
      <c r="AK437" s="1331"/>
      <c r="AL437" s="1331"/>
      <c r="AM437" s="1331"/>
      <c r="AN437" s="1331"/>
      <c r="AO437" s="876"/>
      <c r="AP437" s="877"/>
      <c r="AQ437" s="963"/>
      <c r="AR437" s="964"/>
      <c r="AS437" s="965"/>
      <c r="AT437" s="966" t="s">
        <v>754</v>
      </c>
      <c r="AU437" s="940"/>
    </row>
    <row r="438" spans="1:50" ht="15" hidden="1" customHeight="1" x14ac:dyDescent="0.25">
      <c r="A438" s="967"/>
      <c r="B438" s="945"/>
      <c r="C438" s="968" t="s">
        <v>899</v>
      </c>
      <c r="D438" s="969"/>
      <c r="E438" s="970"/>
      <c r="F438" s="225"/>
      <c r="G438" s="970"/>
      <c r="H438" s="970"/>
      <c r="I438" s="971"/>
      <c r="J438" s="971"/>
      <c r="K438" s="972"/>
      <c r="L438" s="972"/>
      <c r="M438" s="973"/>
      <c r="N438" s="972"/>
      <c r="O438" s="971"/>
      <c r="P438" s="971"/>
      <c r="Q438" s="1389">
        <f>SUMIF(R8:R77,"&lt;0",R8:R77)</f>
        <v>-2.67</v>
      </c>
      <c r="R438" s="1390"/>
      <c r="S438" s="971"/>
      <c r="T438" s="878"/>
      <c r="U438" s="974"/>
      <c r="V438" s="975"/>
      <c r="W438" s="975"/>
      <c r="Y438" s="967"/>
      <c r="Z438" s="945"/>
      <c r="AA438" s="968" t="s">
        <v>899</v>
      </c>
      <c r="AB438" s="230"/>
      <c r="AC438" s="976"/>
      <c r="AD438" s="976"/>
      <c r="AE438" s="976"/>
      <c r="AF438" s="976"/>
      <c r="AG438" s="977"/>
      <c r="AH438" s="977"/>
      <c r="AI438" s="977"/>
      <c r="AJ438" s="977"/>
      <c r="AK438" s="977"/>
      <c r="AL438" s="977"/>
      <c r="AM438" s="977"/>
      <c r="AN438" s="978"/>
      <c r="AO438" s="1323">
        <f>SUMIF(AP8:AP77,"&lt;0",AP8:AP77)</f>
        <v>-4.2387499999999987</v>
      </c>
      <c r="AP438" s="1324"/>
      <c r="AQ438" s="979"/>
      <c r="AR438" s="980"/>
      <c r="AS438" s="981"/>
      <c r="AT438" s="982" t="s">
        <v>754</v>
      </c>
      <c r="AU438" s="940"/>
    </row>
    <row r="439" spans="1:50" ht="15.75" hidden="1" customHeight="1" thickBot="1" x14ac:dyDescent="0.3">
      <c r="A439" s="983"/>
      <c r="B439" s="984"/>
      <c r="C439" s="985" t="s">
        <v>900</v>
      </c>
      <c r="D439" s="986"/>
      <c r="E439" s="879"/>
      <c r="F439" s="879"/>
      <c r="G439" s="879"/>
      <c r="H439" s="879"/>
      <c r="I439" s="879"/>
      <c r="J439" s="879"/>
      <c r="K439" s="911"/>
      <c r="L439" s="911"/>
      <c r="M439" s="959"/>
      <c r="N439" s="911"/>
      <c r="O439" s="987"/>
      <c r="P439" s="879"/>
      <c r="Q439" s="1387">
        <f>SUMIF(R8:R77,"&gt;=0",R8:R77)</f>
        <v>95.160000000000011</v>
      </c>
      <c r="R439" s="1388"/>
      <c r="S439" s="879"/>
      <c r="T439" s="879"/>
      <c r="U439" s="988"/>
      <c r="V439" s="960"/>
      <c r="W439" s="960"/>
      <c r="Y439" s="983"/>
      <c r="Z439" s="984"/>
      <c r="AA439" s="985" t="s">
        <v>900</v>
      </c>
      <c r="AB439" s="989"/>
      <c r="AC439" s="990"/>
      <c r="AD439" s="990"/>
      <c r="AE439" s="990"/>
      <c r="AF439" s="990"/>
      <c r="AG439" s="990"/>
      <c r="AH439" s="990"/>
      <c r="AI439" s="990"/>
      <c r="AJ439" s="990"/>
      <c r="AK439" s="990"/>
      <c r="AL439" s="990"/>
      <c r="AM439" s="990"/>
      <c r="AN439" s="991"/>
      <c r="AO439" s="1328">
        <f>SUMIF(AP8:AP77,"&gt;=0",AP8:AP77)</f>
        <v>88.600875000000002</v>
      </c>
      <c r="AP439" s="1329"/>
      <c r="AQ439" s="992"/>
      <c r="AR439" s="993"/>
      <c r="AS439" s="994"/>
      <c r="AT439" s="995" t="s">
        <v>754</v>
      </c>
      <c r="AU439" s="940"/>
    </row>
    <row r="440" spans="1:50" ht="30" hidden="1" customHeight="1" x14ac:dyDescent="0.25">
      <c r="A440" s="870"/>
      <c r="B440" s="871"/>
      <c r="C440" s="958" t="s">
        <v>1789</v>
      </c>
      <c r="D440" s="1384">
        <f>SUMIF(C78:C155,"*ПС*",D78:D155)+SUMIF(C78:C155,"*ПС*",F78:F155)+SUMIF(C78:C155,"*ПС*",H78:H155)</f>
        <v>649.79999999999995</v>
      </c>
      <c r="E440" s="1385"/>
      <c r="F440" s="1385"/>
      <c r="G440" s="1385"/>
      <c r="H440" s="1386"/>
      <c r="I440" s="872"/>
      <c r="J440" s="909">
        <f>SUMIF(C78:C155,"*ПС*",J78:J155)</f>
        <v>145.98199999999997</v>
      </c>
      <c r="K440" s="911"/>
      <c r="L440" s="911"/>
      <c r="M440" s="959"/>
      <c r="N440" s="911"/>
      <c r="O440" s="960"/>
      <c r="P440" s="874"/>
      <c r="Q440" s="961"/>
      <c r="R440" s="875"/>
      <c r="S440" s="874"/>
      <c r="T440" s="874"/>
      <c r="U440" s="962"/>
      <c r="V440" s="960"/>
      <c r="W440" s="960"/>
      <c r="Y440" s="870"/>
      <c r="Z440" s="871"/>
      <c r="AA440" s="958" t="s">
        <v>1789</v>
      </c>
      <c r="AB440" s="1351">
        <f>SUMIF(AA78:AA155,"*ПС*",AB78:AB155)+SUMIF(AA78:AA155,"*ПС*",AD78:AD155)+SUMIF(AA78:AA155,"*ПС*",AF78:AF155)</f>
        <v>649.79999999999995</v>
      </c>
      <c r="AC440" s="1352"/>
      <c r="AD440" s="1352"/>
      <c r="AE440" s="1352"/>
      <c r="AF440" s="1353"/>
      <c r="AG440" s="872"/>
      <c r="AH440" s="873">
        <f>SUMIF(AA78:AA155,"*ПС*",AH78:AH155)</f>
        <v>5.9431250000000002</v>
      </c>
      <c r="AI440" s="1330"/>
      <c r="AJ440" s="1331"/>
      <c r="AK440" s="1331"/>
      <c r="AL440" s="1331"/>
      <c r="AM440" s="1331"/>
      <c r="AN440" s="1331"/>
      <c r="AO440" s="876"/>
      <c r="AP440" s="877"/>
      <c r="AQ440" s="963"/>
      <c r="AR440" s="964"/>
      <c r="AS440" s="965"/>
      <c r="AT440" s="966" t="s">
        <v>755</v>
      </c>
      <c r="AU440" s="940"/>
    </row>
    <row r="441" spans="1:50" ht="30" hidden="1" customHeight="1" x14ac:dyDescent="0.25">
      <c r="A441" s="967"/>
      <c r="B441" s="945"/>
      <c r="C441" s="968" t="s">
        <v>899</v>
      </c>
      <c r="D441" s="969"/>
      <c r="E441" s="970"/>
      <c r="F441" s="225"/>
      <c r="G441" s="970"/>
      <c r="H441" s="970"/>
      <c r="I441" s="971"/>
      <c r="J441" s="971"/>
      <c r="K441" s="972"/>
      <c r="L441" s="972"/>
      <c r="M441" s="973"/>
      <c r="N441" s="972"/>
      <c r="O441" s="971"/>
      <c r="P441" s="971"/>
      <c r="Q441" s="1389">
        <f>SUMIF(R78:R155,"&lt;0",R78:R155)</f>
        <v>-2.2899999999999996</v>
      </c>
      <c r="R441" s="1390"/>
      <c r="S441" s="971"/>
      <c r="T441" s="878"/>
      <c r="U441" s="974"/>
      <c r="V441" s="975"/>
      <c r="W441" s="975"/>
      <c r="Y441" s="967"/>
      <c r="Z441" s="945"/>
      <c r="AA441" s="968" t="s">
        <v>899</v>
      </c>
      <c r="AB441" s="230"/>
      <c r="AC441" s="976"/>
      <c r="AD441" s="976"/>
      <c r="AE441" s="976"/>
      <c r="AF441" s="976"/>
      <c r="AG441" s="977"/>
      <c r="AH441" s="977"/>
      <c r="AI441" s="977"/>
      <c r="AJ441" s="977"/>
      <c r="AK441" s="977"/>
      <c r="AL441" s="977"/>
      <c r="AM441" s="977"/>
      <c r="AN441" s="978"/>
      <c r="AO441" s="1323">
        <f>SUMIF(AP78:AP155,"&lt;0",AP78:AP155)</f>
        <v>-2.6649999999999996</v>
      </c>
      <c r="AP441" s="1324"/>
      <c r="AQ441" s="979"/>
      <c r="AR441" s="980"/>
      <c r="AS441" s="981"/>
      <c r="AT441" s="982" t="s">
        <v>755</v>
      </c>
      <c r="AU441" s="940"/>
    </row>
    <row r="442" spans="1:50" ht="30.75" hidden="1" customHeight="1" thickBot="1" x14ac:dyDescent="0.3">
      <c r="A442" s="983"/>
      <c r="B442" s="984"/>
      <c r="C442" s="985" t="s">
        <v>900</v>
      </c>
      <c r="D442" s="986"/>
      <c r="E442" s="879"/>
      <c r="F442" s="879"/>
      <c r="G442" s="879"/>
      <c r="H442" s="879"/>
      <c r="I442" s="879"/>
      <c r="J442" s="879"/>
      <c r="K442" s="911"/>
      <c r="L442" s="911"/>
      <c r="M442" s="959"/>
      <c r="N442" s="911"/>
      <c r="O442" s="987"/>
      <c r="P442" s="879"/>
      <c r="Q442" s="1387">
        <f>SUMIF(R78:R155,"&gt;=0",R78:R155)</f>
        <v>237.649</v>
      </c>
      <c r="R442" s="1388"/>
      <c r="S442" s="879"/>
      <c r="T442" s="879"/>
      <c r="U442" s="988"/>
      <c r="V442" s="960"/>
      <c r="W442" s="960"/>
      <c r="Y442" s="983"/>
      <c r="Z442" s="984"/>
      <c r="AA442" s="985" t="s">
        <v>900</v>
      </c>
      <c r="AB442" s="989"/>
      <c r="AC442" s="990"/>
      <c r="AD442" s="990"/>
      <c r="AE442" s="990"/>
      <c r="AF442" s="990"/>
      <c r="AG442" s="990"/>
      <c r="AH442" s="990"/>
      <c r="AI442" s="990"/>
      <c r="AJ442" s="990"/>
      <c r="AK442" s="990"/>
      <c r="AL442" s="990"/>
      <c r="AM442" s="990"/>
      <c r="AN442" s="991"/>
      <c r="AO442" s="1328">
        <f>SUMIF(AP78:AP155,"&gt;=0",AP78:AP155)</f>
        <v>232.04425000000006</v>
      </c>
      <c r="AP442" s="1329"/>
      <c r="AQ442" s="992"/>
      <c r="AR442" s="993"/>
      <c r="AS442" s="994"/>
      <c r="AT442" s="995" t="s">
        <v>755</v>
      </c>
      <c r="AU442" s="940"/>
    </row>
    <row r="443" spans="1:50" ht="15" hidden="1" customHeight="1" x14ac:dyDescent="0.25">
      <c r="A443" s="870"/>
      <c r="B443" s="871"/>
      <c r="C443" s="958" t="s">
        <v>1789</v>
      </c>
      <c r="D443" s="1384">
        <f>SUMIF(C156:C205,"*ПС*",D156:D205)+SUMIF(C156:C205,"*ПС*",F156:F205)+SUMIF(C156:C205,"*ПС*",H156:H205)</f>
        <v>524.6</v>
      </c>
      <c r="E443" s="1385"/>
      <c r="F443" s="1385"/>
      <c r="G443" s="1385"/>
      <c r="H443" s="1386"/>
      <c r="I443" s="872"/>
      <c r="J443" s="909">
        <f>SUMIF(C156:C205,"*ПС*",J156:J205)</f>
        <v>153.48000000000002</v>
      </c>
      <c r="K443" s="911"/>
      <c r="L443" s="911"/>
      <c r="M443" s="959"/>
      <c r="N443" s="911"/>
      <c r="O443" s="960"/>
      <c r="P443" s="874"/>
      <c r="Q443" s="961"/>
      <c r="R443" s="875"/>
      <c r="S443" s="874"/>
      <c r="T443" s="874"/>
      <c r="U443" s="962"/>
      <c r="V443" s="960"/>
      <c r="W443" s="960"/>
      <c r="Y443" s="870"/>
      <c r="Z443" s="871"/>
      <c r="AA443" s="958" t="s">
        <v>1789</v>
      </c>
      <c r="AB443" s="1351">
        <f>SUMIF(AA156:AA205,"*ПС*",AB156:AB205)+SUMIF(AA156:AA205,"*ПС*",AD156:AD205)+SUMIF(AA156:AA205,"*ПС*",AF156:AF205)</f>
        <v>524.6</v>
      </c>
      <c r="AC443" s="1352"/>
      <c r="AD443" s="1352"/>
      <c r="AE443" s="1352"/>
      <c r="AF443" s="1353"/>
      <c r="AG443" s="872"/>
      <c r="AH443" s="873">
        <f>SUMIF(AA156:AA205,"*ПС*",AH156:AH205)</f>
        <v>33.013749999999995</v>
      </c>
      <c r="AI443" s="1330"/>
      <c r="AJ443" s="1331"/>
      <c r="AK443" s="1331"/>
      <c r="AL443" s="1331"/>
      <c r="AM443" s="1331"/>
      <c r="AN443" s="1331"/>
      <c r="AO443" s="876"/>
      <c r="AP443" s="877"/>
      <c r="AQ443" s="963"/>
      <c r="AR443" s="964"/>
      <c r="AS443" s="965"/>
      <c r="AT443" s="966" t="s">
        <v>757</v>
      </c>
      <c r="AU443" s="940"/>
    </row>
    <row r="444" spans="1:50" ht="15" hidden="1" customHeight="1" x14ac:dyDescent="0.25">
      <c r="A444" s="967"/>
      <c r="B444" s="945"/>
      <c r="C444" s="968" t="s">
        <v>899</v>
      </c>
      <c r="D444" s="969"/>
      <c r="E444" s="970"/>
      <c r="F444" s="225"/>
      <c r="G444" s="970"/>
      <c r="H444" s="970"/>
      <c r="I444" s="971"/>
      <c r="J444" s="971"/>
      <c r="K444" s="972"/>
      <c r="L444" s="972"/>
      <c r="M444" s="973"/>
      <c r="N444" s="972"/>
      <c r="O444" s="971"/>
      <c r="P444" s="971"/>
      <c r="Q444" s="1389">
        <f>SUMIF(R156:R205,"&lt;0",R156:R205)</f>
        <v>-9.9200000000000017</v>
      </c>
      <c r="R444" s="1390"/>
      <c r="S444" s="971"/>
      <c r="T444" s="878"/>
      <c r="U444" s="974"/>
      <c r="V444" s="975"/>
      <c r="W444" s="975"/>
      <c r="Y444" s="967"/>
      <c r="Z444" s="945"/>
      <c r="AA444" s="968" t="s">
        <v>899</v>
      </c>
      <c r="AB444" s="230"/>
      <c r="AC444" s="976"/>
      <c r="AD444" s="976"/>
      <c r="AE444" s="976"/>
      <c r="AF444" s="976"/>
      <c r="AG444" s="977"/>
      <c r="AH444" s="977"/>
      <c r="AI444" s="977"/>
      <c r="AJ444" s="977"/>
      <c r="AK444" s="977"/>
      <c r="AL444" s="977"/>
      <c r="AM444" s="977"/>
      <c r="AN444" s="978"/>
      <c r="AO444" s="1323">
        <f>SUMIF(AP156:AP205,"&lt;0",AP156:AP205)</f>
        <v>-25.711874999999999</v>
      </c>
      <c r="AP444" s="1324"/>
      <c r="AQ444" s="979"/>
      <c r="AR444" s="980"/>
      <c r="AS444" s="981"/>
      <c r="AT444" s="982" t="s">
        <v>757</v>
      </c>
      <c r="AU444" s="940"/>
    </row>
    <row r="445" spans="1:50" ht="15.75" hidden="1" customHeight="1" thickBot="1" x14ac:dyDescent="0.3">
      <c r="A445" s="983"/>
      <c r="B445" s="984"/>
      <c r="C445" s="985" t="s">
        <v>900</v>
      </c>
      <c r="D445" s="986"/>
      <c r="E445" s="879"/>
      <c r="F445" s="879"/>
      <c r="G445" s="879"/>
      <c r="H445" s="879"/>
      <c r="I445" s="879"/>
      <c r="J445" s="879"/>
      <c r="K445" s="911"/>
      <c r="L445" s="911"/>
      <c r="M445" s="959"/>
      <c r="N445" s="911"/>
      <c r="O445" s="987"/>
      <c r="P445" s="879"/>
      <c r="Q445" s="1387">
        <f>SUMIF(R156:R205,"&gt;=0",R156:R205)</f>
        <v>112.245</v>
      </c>
      <c r="R445" s="1388"/>
      <c r="S445" s="879"/>
      <c r="T445" s="879"/>
      <c r="U445" s="988"/>
      <c r="V445" s="960"/>
      <c r="W445" s="960"/>
      <c r="Y445" s="983"/>
      <c r="Z445" s="984"/>
      <c r="AA445" s="985" t="s">
        <v>900</v>
      </c>
      <c r="AB445" s="989"/>
      <c r="AC445" s="990"/>
      <c r="AD445" s="990"/>
      <c r="AE445" s="990"/>
      <c r="AF445" s="990"/>
      <c r="AG445" s="990"/>
      <c r="AH445" s="990"/>
      <c r="AI445" s="990"/>
      <c r="AJ445" s="990"/>
      <c r="AK445" s="990"/>
      <c r="AL445" s="990"/>
      <c r="AM445" s="990"/>
      <c r="AN445" s="991"/>
      <c r="AO445" s="1328">
        <f>SUMIF(AP156:AP205,"&gt;=0",AP156:AP205)</f>
        <v>96.249375000000043</v>
      </c>
      <c r="AP445" s="1329"/>
      <c r="AQ445" s="992"/>
      <c r="AR445" s="993"/>
      <c r="AS445" s="994"/>
      <c r="AT445" s="995" t="s">
        <v>757</v>
      </c>
      <c r="AU445" s="940"/>
    </row>
    <row r="446" spans="1:50" ht="15" hidden="1" customHeight="1" x14ac:dyDescent="0.25">
      <c r="A446" s="870"/>
      <c r="B446" s="871"/>
      <c r="C446" s="958" t="s">
        <v>1789</v>
      </c>
      <c r="D446" s="1384">
        <f>SUMIF(C206:C242,"*ПС*",D206:D242)+SUMIF(C206:C242,"*ПС*",F206:F242)+SUMIF(C206:C242,"*ПС*",H206:H242)</f>
        <v>256.09999999999997</v>
      </c>
      <c r="E446" s="1385"/>
      <c r="F446" s="1385"/>
      <c r="G446" s="1385"/>
      <c r="H446" s="1386"/>
      <c r="I446" s="872"/>
      <c r="J446" s="909">
        <f>SUMIF(C206:C242,"*ПС*",J206:J242)</f>
        <v>68.954610000000002</v>
      </c>
      <c r="K446" s="911"/>
      <c r="L446" s="911"/>
      <c r="M446" s="959"/>
      <c r="N446" s="911"/>
      <c r="O446" s="960"/>
      <c r="P446" s="874"/>
      <c r="Q446" s="961"/>
      <c r="R446" s="875"/>
      <c r="S446" s="874"/>
      <c r="T446" s="874"/>
      <c r="U446" s="962"/>
      <c r="V446" s="960"/>
      <c r="W446" s="960"/>
      <c r="Y446" s="870"/>
      <c r="Z446" s="871"/>
      <c r="AA446" s="958" t="s">
        <v>1789</v>
      </c>
      <c r="AB446" s="1351">
        <f>SUMIF(AA206:AA242,"*ПС*",AB206:AB242)+SUMIF(AA206:AA242,"*ПС*",AD206:AD242)+SUMIF(AA206:AA242,"*ПС*",AF206:AF242)</f>
        <v>256.09999999999997</v>
      </c>
      <c r="AC446" s="1352"/>
      <c r="AD446" s="1352"/>
      <c r="AE446" s="1352"/>
      <c r="AF446" s="1353"/>
      <c r="AG446" s="872"/>
      <c r="AH446" s="873">
        <f>SUMIF(AA206:AA242,"*ПС*",AH206:AH242)</f>
        <v>1.304575</v>
      </c>
      <c r="AI446" s="1330"/>
      <c r="AJ446" s="1331"/>
      <c r="AK446" s="1331"/>
      <c r="AL446" s="1331"/>
      <c r="AM446" s="1331"/>
      <c r="AN446" s="1331"/>
      <c r="AO446" s="876"/>
      <c r="AP446" s="877"/>
      <c r="AQ446" s="963"/>
      <c r="AR446" s="964"/>
      <c r="AS446" s="996"/>
      <c r="AT446" s="966" t="s">
        <v>95</v>
      </c>
      <c r="AU446" s="940"/>
    </row>
    <row r="447" spans="1:50" ht="15" hidden="1" customHeight="1" x14ac:dyDescent="0.25">
      <c r="A447" s="967"/>
      <c r="B447" s="945"/>
      <c r="C447" s="968" t="s">
        <v>899</v>
      </c>
      <c r="D447" s="969"/>
      <c r="E447" s="970"/>
      <c r="F447" s="225"/>
      <c r="G447" s="970"/>
      <c r="H447" s="970"/>
      <c r="I447" s="971"/>
      <c r="J447" s="971"/>
      <c r="K447" s="972"/>
      <c r="L447" s="972"/>
      <c r="M447" s="973"/>
      <c r="N447" s="972"/>
      <c r="O447" s="971"/>
      <c r="P447" s="971"/>
      <c r="Q447" s="1389">
        <f>SUMIF(R206:R242,"&lt;0",R206:R242)</f>
        <v>-2.8982689999999991</v>
      </c>
      <c r="R447" s="1390"/>
      <c r="S447" s="971"/>
      <c r="T447" s="878"/>
      <c r="U447" s="974"/>
      <c r="V447" s="975"/>
      <c r="W447" s="975"/>
      <c r="Y447" s="967"/>
      <c r="Z447" s="945"/>
      <c r="AA447" s="968" t="s">
        <v>899</v>
      </c>
      <c r="AB447" s="230"/>
      <c r="AC447" s="976"/>
      <c r="AD447" s="976"/>
      <c r="AE447" s="976"/>
      <c r="AF447" s="976"/>
      <c r="AG447" s="977"/>
      <c r="AH447" s="977"/>
      <c r="AI447" s="977"/>
      <c r="AJ447" s="977"/>
      <c r="AK447" s="977"/>
      <c r="AL447" s="977"/>
      <c r="AM447" s="977"/>
      <c r="AN447" s="978"/>
      <c r="AO447" s="1323">
        <f>SUMIF(AP206:AP242,"&lt;0",AP206:AP242)</f>
        <v>-2.9357689999999996</v>
      </c>
      <c r="AP447" s="1324"/>
      <c r="AQ447" s="979"/>
      <c r="AR447" s="980"/>
      <c r="AS447" s="997"/>
      <c r="AT447" s="982" t="s">
        <v>95</v>
      </c>
      <c r="AU447" s="940"/>
    </row>
    <row r="448" spans="1:50" ht="15.75" hidden="1" customHeight="1" thickBot="1" x14ac:dyDescent="0.3">
      <c r="A448" s="983"/>
      <c r="B448" s="984"/>
      <c r="C448" s="985" t="s">
        <v>900</v>
      </c>
      <c r="D448" s="986"/>
      <c r="E448" s="879"/>
      <c r="F448" s="879"/>
      <c r="G448" s="879"/>
      <c r="H448" s="879"/>
      <c r="I448" s="879"/>
      <c r="J448" s="879"/>
      <c r="K448" s="911"/>
      <c r="L448" s="911"/>
      <c r="M448" s="959"/>
      <c r="N448" s="911"/>
      <c r="O448" s="987"/>
      <c r="P448" s="879"/>
      <c r="Q448" s="1387">
        <f>SUMIF(R206:R242,"&gt;=0",R206:R242)</f>
        <v>65.658659</v>
      </c>
      <c r="R448" s="1388"/>
      <c r="S448" s="879"/>
      <c r="T448" s="879"/>
      <c r="U448" s="988"/>
      <c r="V448" s="960"/>
      <c r="W448" s="960"/>
      <c r="Y448" s="983"/>
      <c r="Z448" s="984"/>
      <c r="AA448" s="985" t="s">
        <v>900</v>
      </c>
      <c r="AB448" s="989"/>
      <c r="AC448" s="990"/>
      <c r="AD448" s="990"/>
      <c r="AE448" s="990"/>
      <c r="AF448" s="990"/>
      <c r="AG448" s="990"/>
      <c r="AH448" s="990"/>
      <c r="AI448" s="990"/>
      <c r="AJ448" s="990"/>
      <c r="AK448" s="990"/>
      <c r="AL448" s="990"/>
      <c r="AM448" s="990"/>
      <c r="AN448" s="991"/>
      <c r="AO448" s="1328">
        <f>SUMIF(AP206:AP242,"&gt;=0",AP206:AP242)</f>
        <v>67.421583999999996</v>
      </c>
      <c r="AP448" s="1329"/>
      <c r="AQ448" s="992"/>
      <c r="AR448" s="993"/>
      <c r="AS448" s="998"/>
      <c r="AT448" s="995" t="s">
        <v>95</v>
      </c>
      <c r="AU448" s="940"/>
    </row>
    <row r="449" spans="1:47" ht="15" hidden="1" customHeight="1" x14ac:dyDescent="0.25">
      <c r="A449" s="870"/>
      <c r="B449" s="871"/>
      <c r="C449" s="958" t="s">
        <v>1789</v>
      </c>
      <c r="D449" s="1384">
        <f>SUMIF(C243:C281,"*ПС*",D243:D281)+SUMIF(C243:C281,"*ПС*",F243:F281)+SUMIF(C243:C281,"*ПС*",H243:H281)</f>
        <v>331.79999999999995</v>
      </c>
      <c r="E449" s="1385"/>
      <c r="F449" s="1385"/>
      <c r="G449" s="1385"/>
      <c r="H449" s="1386"/>
      <c r="I449" s="872"/>
      <c r="J449" s="909">
        <f>SUMIF(C243:C281,"*ПС*",J243:J281)</f>
        <v>117.50664460835395</v>
      </c>
      <c r="K449" s="911"/>
      <c r="L449" s="911"/>
      <c r="M449" s="959"/>
      <c r="N449" s="911"/>
      <c r="O449" s="960"/>
      <c r="P449" s="874"/>
      <c r="Q449" s="961"/>
      <c r="R449" s="875"/>
      <c r="S449" s="874"/>
      <c r="T449" s="874"/>
      <c r="U449" s="962"/>
      <c r="V449" s="960"/>
      <c r="W449" s="960"/>
      <c r="Y449" s="870"/>
      <c r="Z449" s="871"/>
      <c r="AA449" s="958" t="s">
        <v>1789</v>
      </c>
      <c r="AB449" s="1351">
        <f>SUMIF(AA243:AA281,"*ПС*",AB243:AB281)+SUMIF(AA243:AA281,"*ПС*",AD243:AD281)+SUMIF(AA243:AA281,"*ПС*",AF243:AF281)</f>
        <v>331.79999999999995</v>
      </c>
      <c r="AC449" s="1352"/>
      <c r="AD449" s="1352"/>
      <c r="AE449" s="1352"/>
      <c r="AF449" s="1353"/>
      <c r="AG449" s="872"/>
      <c r="AH449" s="873">
        <f>SUMIF(AA243:AA281,"*ПС*",AH243:AH281)</f>
        <v>16.7943</v>
      </c>
      <c r="AI449" s="1330"/>
      <c r="AJ449" s="1331"/>
      <c r="AK449" s="1331"/>
      <c r="AL449" s="1331"/>
      <c r="AM449" s="1331"/>
      <c r="AN449" s="1331"/>
      <c r="AO449" s="876"/>
      <c r="AP449" s="877"/>
      <c r="AQ449" s="963"/>
      <c r="AR449" s="964"/>
      <c r="AS449" s="996"/>
      <c r="AT449" s="966" t="s">
        <v>758</v>
      </c>
      <c r="AU449" s="940"/>
    </row>
    <row r="450" spans="1:47" ht="15" hidden="1" customHeight="1" x14ac:dyDescent="0.25">
      <c r="A450" s="967"/>
      <c r="B450" s="945"/>
      <c r="C450" s="968" t="s">
        <v>899</v>
      </c>
      <c r="D450" s="969"/>
      <c r="E450" s="970"/>
      <c r="F450" s="225"/>
      <c r="G450" s="970"/>
      <c r="H450" s="970"/>
      <c r="I450" s="971"/>
      <c r="J450" s="971"/>
      <c r="K450" s="972"/>
      <c r="L450" s="972"/>
      <c r="M450" s="973"/>
      <c r="N450" s="972"/>
      <c r="O450" s="971"/>
      <c r="P450" s="971"/>
      <c r="Q450" s="1389">
        <f>SUMIF(R243:R281,"&lt;0",R243:R281)</f>
        <v>-5.3286036942284074</v>
      </c>
      <c r="R450" s="1390"/>
      <c r="S450" s="971"/>
      <c r="T450" s="878"/>
      <c r="U450" s="974"/>
      <c r="V450" s="975"/>
      <c r="W450" s="975"/>
      <c r="Y450" s="967"/>
      <c r="Z450" s="945"/>
      <c r="AA450" s="968" t="s">
        <v>899</v>
      </c>
      <c r="AB450" s="230"/>
      <c r="AC450" s="976"/>
      <c r="AD450" s="976"/>
      <c r="AE450" s="976"/>
      <c r="AF450" s="976"/>
      <c r="AG450" s="977"/>
      <c r="AH450" s="977"/>
      <c r="AI450" s="977"/>
      <c r="AJ450" s="977"/>
      <c r="AK450" s="977"/>
      <c r="AL450" s="977"/>
      <c r="AM450" s="977"/>
      <c r="AN450" s="978"/>
      <c r="AO450" s="1323">
        <f>SUMIF(AP243:AP281,"&lt;0",AP243:AP281)</f>
        <v>-6.9367536942284085</v>
      </c>
      <c r="AP450" s="1324"/>
      <c r="AQ450" s="979"/>
      <c r="AR450" s="980"/>
      <c r="AS450" s="997"/>
      <c r="AT450" s="982" t="s">
        <v>758</v>
      </c>
      <c r="AU450" s="940"/>
    </row>
    <row r="451" spans="1:47" ht="15.75" hidden="1" customHeight="1" thickBot="1" x14ac:dyDescent="0.3">
      <c r="A451" s="983"/>
      <c r="B451" s="984"/>
      <c r="C451" s="985" t="s">
        <v>900</v>
      </c>
      <c r="D451" s="986"/>
      <c r="E451" s="879"/>
      <c r="F451" s="879"/>
      <c r="G451" s="879"/>
      <c r="H451" s="879"/>
      <c r="I451" s="879"/>
      <c r="J451" s="879"/>
      <c r="K451" s="911"/>
      <c r="L451" s="911"/>
      <c r="M451" s="959"/>
      <c r="N451" s="911"/>
      <c r="O451" s="987"/>
      <c r="P451" s="879"/>
      <c r="Q451" s="1387">
        <f>SUMIF(R243:R281,"&gt;=0",R243:R281)</f>
        <v>61.777337627047913</v>
      </c>
      <c r="R451" s="1388"/>
      <c r="S451" s="879"/>
      <c r="T451" s="879"/>
      <c r="U451" s="988"/>
      <c r="V451" s="960"/>
      <c r="W451" s="960"/>
      <c r="Y451" s="983"/>
      <c r="Z451" s="984"/>
      <c r="AA451" s="985" t="s">
        <v>900</v>
      </c>
      <c r="AB451" s="989"/>
      <c r="AC451" s="990"/>
      <c r="AD451" s="990"/>
      <c r="AE451" s="990"/>
      <c r="AF451" s="990"/>
      <c r="AG451" s="990"/>
      <c r="AH451" s="990"/>
      <c r="AI451" s="990"/>
      <c r="AJ451" s="990"/>
      <c r="AK451" s="990"/>
      <c r="AL451" s="990"/>
      <c r="AM451" s="990"/>
      <c r="AN451" s="991"/>
      <c r="AO451" s="1328">
        <f>SUMIF(AP243:AP281,"&gt;=0",AP243:AP281)</f>
        <v>61.201187627047922</v>
      </c>
      <c r="AP451" s="1329"/>
      <c r="AQ451" s="992"/>
      <c r="AR451" s="993"/>
      <c r="AS451" s="998"/>
      <c r="AT451" s="995" t="s">
        <v>758</v>
      </c>
      <c r="AU451" s="940"/>
    </row>
    <row r="452" spans="1:47" ht="15" hidden="1" customHeight="1" x14ac:dyDescent="0.25">
      <c r="A452" s="870"/>
      <c r="B452" s="871"/>
      <c r="C452" s="958" t="s">
        <v>1789</v>
      </c>
      <c r="D452" s="1384">
        <f>SUMIF(C282:C384,"*ПС*",D282:D384)+SUMIF(C282:C384,"*ПС*",F282:F384)+SUMIF(C282:C384,"*ПС*",H282:H384)</f>
        <v>1327.2000000000003</v>
      </c>
      <c r="E452" s="1385"/>
      <c r="F452" s="1385"/>
      <c r="G452" s="1385"/>
      <c r="H452" s="1386"/>
      <c r="I452" s="872"/>
      <c r="J452" s="909">
        <f>SUMIF(C282:C384,"*ПС*",J282:J384)</f>
        <v>505.97252909999992</v>
      </c>
      <c r="K452" s="911"/>
      <c r="L452" s="911"/>
      <c r="M452" s="959"/>
      <c r="N452" s="911"/>
      <c r="O452" s="960"/>
      <c r="P452" s="874"/>
      <c r="Q452" s="961"/>
      <c r="R452" s="875"/>
      <c r="S452" s="874"/>
      <c r="T452" s="874"/>
      <c r="U452" s="962"/>
      <c r="V452" s="960"/>
      <c r="W452" s="960"/>
      <c r="Y452" s="870"/>
      <c r="Z452" s="871"/>
      <c r="AA452" s="958" t="s">
        <v>1789</v>
      </c>
      <c r="AB452" s="1351">
        <f>SUMIF(AA282:AA384,"*ПС*",AB282:AB384)+SUMIF(AA282:AA384,"*ПС*",AD282:AD384)+SUMIF(AA282:AA384,"*ПС*",AF282:AF384)</f>
        <v>1327.2000000000003</v>
      </c>
      <c r="AC452" s="1352"/>
      <c r="AD452" s="1352"/>
      <c r="AE452" s="1352"/>
      <c r="AF452" s="1353"/>
      <c r="AG452" s="872"/>
      <c r="AH452" s="873">
        <f>SUMIF(AA282:AA384,"*ПС*",AH282:AH384)</f>
        <v>122.93271249999999</v>
      </c>
      <c r="AI452" s="1330"/>
      <c r="AJ452" s="1331"/>
      <c r="AK452" s="1331"/>
      <c r="AL452" s="1331"/>
      <c r="AM452" s="1331"/>
      <c r="AN452" s="1331"/>
      <c r="AO452" s="876"/>
      <c r="AP452" s="877"/>
      <c r="AQ452" s="963"/>
      <c r="AR452" s="964"/>
      <c r="AS452" s="996"/>
      <c r="AT452" s="966" t="s">
        <v>97</v>
      </c>
      <c r="AU452" s="940"/>
    </row>
    <row r="453" spans="1:47" ht="15" hidden="1" customHeight="1" x14ac:dyDescent="0.25">
      <c r="A453" s="967"/>
      <c r="B453" s="945"/>
      <c r="C453" s="968" t="s">
        <v>899</v>
      </c>
      <c r="D453" s="969"/>
      <c r="E453" s="970"/>
      <c r="F453" s="225"/>
      <c r="G453" s="970"/>
      <c r="H453" s="970"/>
      <c r="I453" s="971"/>
      <c r="J453" s="971"/>
      <c r="K453" s="972"/>
      <c r="L453" s="972"/>
      <c r="M453" s="973"/>
      <c r="N453" s="972"/>
      <c r="O453" s="971"/>
      <c r="P453" s="971"/>
      <c r="Q453" s="1389">
        <f>SUMIF(R282:R384,"&lt;0",R282:R384)</f>
        <v>-43.090324299999999</v>
      </c>
      <c r="R453" s="1390"/>
      <c r="S453" s="971"/>
      <c r="T453" s="878"/>
      <c r="U453" s="974"/>
      <c r="V453" s="975"/>
      <c r="W453" s="975"/>
      <c r="Y453" s="967"/>
      <c r="Z453" s="945"/>
      <c r="AA453" s="968" t="s">
        <v>899</v>
      </c>
      <c r="AB453" s="230"/>
      <c r="AC453" s="976"/>
      <c r="AD453" s="976"/>
      <c r="AE453" s="976"/>
      <c r="AF453" s="976"/>
      <c r="AG453" s="977"/>
      <c r="AH453" s="977"/>
      <c r="AI453" s="977"/>
      <c r="AJ453" s="977"/>
      <c r="AK453" s="977"/>
      <c r="AL453" s="977"/>
      <c r="AM453" s="977"/>
      <c r="AN453" s="978"/>
      <c r="AO453" s="1323">
        <f>SUMIF(AP282:AP384,"&lt;0",AP282:AP384)</f>
        <v>-123.118901756</v>
      </c>
      <c r="AP453" s="1324"/>
      <c r="AQ453" s="979"/>
      <c r="AR453" s="980"/>
      <c r="AS453" s="997"/>
      <c r="AT453" s="982" t="s">
        <v>97</v>
      </c>
      <c r="AU453" s="940"/>
    </row>
    <row r="454" spans="1:47" ht="15.75" hidden="1" customHeight="1" thickBot="1" x14ac:dyDescent="0.3">
      <c r="A454" s="983"/>
      <c r="B454" s="984"/>
      <c r="C454" s="985" t="s">
        <v>900</v>
      </c>
      <c r="D454" s="986"/>
      <c r="E454" s="879"/>
      <c r="F454" s="879"/>
      <c r="G454" s="879"/>
      <c r="H454" s="879"/>
      <c r="I454" s="879"/>
      <c r="J454" s="879"/>
      <c r="K454" s="911"/>
      <c r="L454" s="911"/>
      <c r="M454" s="959"/>
      <c r="N454" s="911"/>
      <c r="O454" s="987"/>
      <c r="P454" s="879"/>
      <c r="Q454" s="1387">
        <f>SUMIF(R282:R384,"&gt;=0",R282:R384)</f>
        <v>151.90946954400002</v>
      </c>
      <c r="R454" s="1388"/>
      <c r="S454" s="879"/>
      <c r="T454" s="879"/>
      <c r="U454" s="988"/>
      <c r="V454" s="960"/>
      <c r="W454" s="960"/>
      <c r="Y454" s="983"/>
      <c r="Z454" s="984"/>
      <c r="AA454" s="985" t="s">
        <v>900</v>
      </c>
      <c r="AB454" s="989"/>
      <c r="AC454" s="990"/>
      <c r="AD454" s="990"/>
      <c r="AE454" s="990"/>
      <c r="AF454" s="990"/>
      <c r="AG454" s="990"/>
      <c r="AH454" s="990"/>
      <c r="AI454" s="990"/>
      <c r="AJ454" s="990"/>
      <c r="AK454" s="990"/>
      <c r="AL454" s="990"/>
      <c r="AM454" s="990"/>
      <c r="AN454" s="991"/>
      <c r="AO454" s="1328">
        <f>SUMIF(AP282:AP384,"&gt;=0",AP282:AP384)</f>
        <v>112.94317550000001</v>
      </c>
      <c r="AP454" s="1329"/>
      <c r="AQ454" s="992"/>
      <c r="AR454" s="993"/>
      <c r="AS454" s="998"/>
      <c r="AT454" s="995" t="s">
        <v>97</v>
      </c>
      <c r="AU454" s="940"/>
    </row>
    <row r="455" spans="1:47" ht="15" hidden="1" customHeight="1" x14ac:dyDescent="0.25">
      <c r="A455" s="870"/>
      <c r="B455" s="871"/>
      <c r="C455" s="958" t="s">
        <v>1789</v>
      </c>
      <c r="D455" s="1384">
        <f>SUMIF(C385:C433,"*ПС*",D385:D433)+SUMIF(C385:C433,"*ПС*",F385:F433)+SUMIF(C385:C433,"*ПС*",H385:H433)</f>
        <v>642.55999999999995</v>
      </c>
      <c r="E455" s="1385"/>
      <c r="F455" s="1385"/>
      <c r="G455" s="1385"/>
      <c r="H455" s="1386"/>
      <c r="I455" s="872"/>
      <c r="J455" s="909">
        <f>SUMIF(C385:C433,"*ПС*",J385:J433)</f>
        <v>119.72</v>
      </c>
      <c r="K455" s="911"/>
      <c r="L455" s="911"/>
      <c r="M455" s="959"/>
      <c r="N455" s="911"/>
      <c r="O455" s="960"/>
      <c r="P455" s="874"/>
      <c r="Q455" s="961"/>
      <c r="R455" s="875"/>
      <c r="S455" s="874"/>
      <c r="T455" s="874"/>
      <c r="U455" s="962"/>
      <c r="V455" s="960"/>
      <c r="W455" s="960"/>
      <c r="Y455" s="870"/>
      <c r="Z455" s="871"/>
      <c r="AA455" s="958" t="s">
        <v>1789</v>
      </c>
      <c r="AB455" s="1351">
        <f>SUMIF(AA385:AA433,"*ПС*",AB385:AB433)+SUMIF(AA385:AA433,"*ПС*",AD385:AD433)+SUMIF(AA385:AA433,"*ПС*",AF385:AF433)</f>
        <v>642.55999999999995</v>
      </c>
      <c r="AC455" s="1352"/>
      <c r="AD455" s="1352"/>
      <c r="AE455" s="1352"/>
      <c r="AF455" s="1353"/>
      <c r="AG455" s="872"/>
      <c r="AH455" s="873">
        <f>SUMIF(AA385:AA433,"*ПС*",AH385:AH433)</f>
        <v>37.0902125</v>
      </c>
      <c r="AI455" s="1330"/>
      <c r="AJ455" s="1331"/>
      <c r="AK455" s="1331"/>
      <c r="AL455" s="1331"/>
      <c r="AM455" s="1331"/>
      <c r="AN455" s="1331"/>
      <c r="AO455" s="876"/>
      <c r="AP455" s="877"/>
      <c r="AQ455" s="963"/>
      <c r="AR455" s="964"/>
      <c r="AS455" s="996"/>
      <c r="AT455" s="966" t="s">
        <v>96</v>
      </c>
      <c r="AU455" s="940"/>
    </row>
    <row r="456" spans="1:47" ht="15" hidden="1" customHeight="1" x14ac:dyDescent="0.25">
      <c r="A456" s="967"/>
      <c r="B456" s="945"/>
      <c r="C456" s="968" t="s">
        <v>899</v>
      </c>
      <c r="D456" s="969"/>
      <c r="E456" s="970"/>
      <c r="F456" s="225"/>
      <c r="G456" s="970"/>
      <c r="H456" s="970"/>
      <c r="I456" s="971"/>
      <c r="J456" s="971"/>
      <c r="K456" s="972"/>
      <c r="L456" s="972"/>
      <c r="M456" s="973"/>
      <c r="N456" s="972"/>
      <c r="O456" s="971"/>
      <c r="P456" s="971"/>
      <c r="Q456" s="1389">
        <f>SUMIF(R385:R433,"&lt;0",R385:R433)</f>
        <v>-6.1949999999999994</v>
      </c>
      <c r="R456" s="1390"/>
      <c r="S456" s="971"/>
      <c r="T456" s="878"/>
      <c r="U456" s="974"/>
      <c r="V456" s="975"/>
      <c r="W456" s="975"/>
      <c r="Y456" s="967"/>
      <c r="Z456" s="945"/>
      <c r="AA456" s="968" t="s">
        <v>899</v>
      </c>
      <c r="AB456" s="230"/>
      <c r="AC456" s="976"/>
      <c r="AD456" s="976"/>
      <c r="AE456" s="976"/>
      <c r="AF456" s="976"/>
      <c r="AG456" s="977"/>
      <c r="AH456" s="977"/>
      <c r="AI456" s="977"/>
      <c r="AJ456" s="977"/>
      <c r="AK456" s="977"/>
      <c r="AL456" s="977"/>
      <c r="AM456" s="977"/>
      <c r="AN456" s="978"/>
      <c r="AO456" s="1323">
        <f>SUMIF(AP385:AP433,"&lt;0",AP385:AP433)</f>
        <v>-17.178749999999997</v>
      </c>
      <c r="AP456" s="1324"/>
      <c r="AQ456" s="979"/>
      <c r="AR456" s="980"/>
      <c r="AS456" s="997"/>
      <c r="AT456" s="982" t="s">
        <v>96</v>
      </c>
      <c r="AU456" s="940"/>
    </row>
    <row r="457" spans="1:47" ht="15.75" hidden="1" customHeight="1" thickBot="1" x14ac:dyDescent="0.3">
      <c r="A457" s="983"/>
      <c r="B457" s="984"/>
      <c r="C457" s="985" t="s">
        <v>900</v>
      </c>
      <c r="D457" s="986"/>
      <c r="E457" s="879"/>
      <c r="F457" s="879"/>
      <c r="G457" s="879"/>
      <c r="H457" s="879"/>
      <c r="I457" s="879"/>
      <c r="J457" s="879"/>
      <c r="K457" s="911"/>
      <c r="L457" s="911"/>
      <c r="M457" s="959"/>
      <c r="N457" s="911"/>
      <c r="O457" s="987"/>
      <c r="P457" s="879"/>
      <c r="Q457" s="1387">
        <f>SUMIF(R385:R433,"&gt;=0",R385:R433)</f>
        <v>209.92</v>
      </c>
      <c r="R457" s="1388"/>
      <c r="S457" s="879"/>
      <c r="T457" s="879"/>
      <c r="U457" s="988"/>
      <c r="V457" s="960"/>
      <c r="W457" s="960"/>
      <c r="Y457" s="983"/>
      <c r="Z457" s="984"/>
      <c r="AA457" s="985" t="s">
        <v>900</v>
      </c>
      <c r="AB457" s="989"/>
      <c r="AC457" s="990"/>
      <c r="AD457" s="990"/>
      <c r="AE457" s="990"/>
      <c r="AF457" s="990"/>
      <c r="AG457" s="990"/>
      <c r="AH457" s="990"/>
      <c r="AI457" s="990"/>
      <c r="AJ457" s="990"/>
      <c r="AK457" s="990"/>
      <c r="AL457" s="990"/>
      <c r="AM457" s="990"/>
      <c r="AN457" s="991"/>
      <c r="AO457" s="1328">
        <f>SUMIF(AP385:AP433,"&gt;=0",AP385:AP433)</f>
        <v>183.8135375</v>
      </c>
      <c r="AP457" s="1329"/>
      <c r="AQ457" s="992"/>
      <c r="AR457" s="993"/>
      <c r="AS457" s="998"/>
      <c r="AT457" s="995" t="s">
        <v>96</v>
      </c>
      <c r="AU457" s="940"/>
    </row>
    <row r="458" spans="1:47" ht="15" hidden="1" customHeight="1" x14ac:dyDescent="0.25">
      <c r="B458" s="224"/>
      <c r="C458" s="225"/>
      <c r="D458" s="999"/>
      <c r="E458" s="225"/>
      <c r="F458" s="231"/>
      <c r="G458" s="225"/>
      <c r="H458" s="225"/>
      <c r="I458" s="231"/>
      <c r="J458" s="226"/>
      <c r="K458" s="225"/>
      <c r="L458" s="225"/>
      <c r="M458" s="1000"/>
      <c r="N458" s="225"/>
      <c r="O458" s="225"/>
      <c r="P458" s="225"/>
      <c r="Q458" s="1371" t="s">
        <v>1837</v>
      </c>
      <c r="R458" s="1371"/>
      <c r="S458" s="1371"/>
      <c r="T458" s="1371"/>
      <c r="U458" s="227">
        <f>COUNTIF(U8:U433,"&lt;30")</f>
        <v>134</v>
      </c>
      <c r="V458" s="928"/>
      <c r="W458" s="928"/>
      <c r="X458" s="1001"/>
      <c r="Y458" s="953"/>
      <c r="Z458" s="256"/>
      <c r="AA458" s="256"/>
      <c r="AB458" s="256"/>
      <c r="AC458" s="256"/>
      <c r="AD458" s="256"/>
      <c r="AE458" s="256"/>
      <c r="AF458" s="1002"/>
      <c r="AG458" s="256"/>
      <c r="AH458" s="1003"/>
      <c r="AI458" s="1003"/>
      <c r="AJ458" s="256"/>
      <c r="AK458" s="256"/>
      <c r="AL458" s="256"/>
      <c r="AM458" s="256"/>
      <c r="AN458" s="256"/>
      <c r="AO458" s="1330" t="s">
        <v>1837</v>
      </c>
      <c r="AP458" s="1331"/>
      <c r="AQ458" s="1331"/>
      <c r="AR458" s="1332"/>
      <c r="AS458" s="227">
        <f>COUNTIF(AS8:AS433,"&lt;30")</f>
        <v>123</v>
      </c>
      <c r="AT458" s="1004"/>
    </row>
    <row r="459" spans="1:47" ht="15" hidden="1" customHeight="1" x14ac:dyDescent="0.25">
      <c r="B459" s="224"/>
      <c r="C459" s="225"/>
      <c r="D459" s="999"/>
      <c r="E459" s="225"/>
      <c r="F459" s="225"/>
      <c r="G459" s="225"/>
      <c r="H459" s="225"/>
      <c r="I459" s="231"/>
      <c r="J459" s="226"/>
      <c r="K459" s="225"/>
      <c r="L459" s="225"/>
      <c r="M459" s="1000"/>
      <c r="N459" s="225"/>
      <c r="O459" s="225"/>
      <c r="P459" s="225"/>
      <c r="Q459" s="1371" t="s">
        <v>1838</v>
      </c>
      <c r="R459" s="1371"/>
      <c r="S459" s="1371"/>
      <c r="T459" s="1371"/>
      <c r="U459" s="227">
        <f>COUNTIF(U8:U433,"&lt;70")-COUNTIF(U8:U433,"&lt;=30")</f>
        <v>109</v>
      </c>
      <c r="V459" s="928"/>
      <c r="W459" s="928"/>
      <c r="X459" s="1001"/>
      <c r="Y459" s="953"/>
      <c r="Z459" s="256"/>
      <c r="AA459" s="256"/>
      <c r="AB459" s="256"/>
      <c r="AC459" s="256"/>
      <c r="AD459" s="256"/>
      <c r="AE459" s="256"/>
      <c r="AF459" s="256"/>
      <c r="AG459" s="256"/>
      <c r="AH459" s="1003"/>
      <c r="AI459" s="1003"/>
      <c r="AJ459" s="256"/>
      <c r="AK459" s="256"/>
      <c r="AL459" s="256"/>
      <c r="AM459" s="256"/>
      <c r="AN459" s="256"/>
      <c r="AO459" s="1314" t="s">
        <v>1838</v>
      </c>
      <c r="AP459" s="1315"/>
      <c r="AQ459" s="1315"/>
      <c r="AR459" s="1316"/>
      <c r="AS459" s="227">
        <f>COUNTIF(AS8:AS433,"&lt;70")-COUNTIF(AS8:AS433,"&lt;=30")</f>
        <v>91</v>
      </c>
      <c r="AT459" s="1004"/>
    </row>
    <row r="460" spans="1:47" ht="15" hidden="1" customHeight="1" x14ac:dyDescent="0.25">
      <c r="B460" s="224"/>
      <c r="C460" s="225"/>
      <c r="D460" s="999"/>
      <c r="E460" s="225"/>
      <c r="F460" s="225"/>
      <c r="G460" s="225"/>
      <c r="H460" s="225"/>
      <c r="I460" s="225"/>
      <c r="J460" s="226"/>
      <c r="K460" s="225"/>
      <c r="L460" s="225"/>
      <c r="M460" s="1000"/>
      <c r="N460" s="225"/>
      <c r="O460" s="225"/>
      <c r="P460" s="225"/>
      <c r="Q460" s="1371" t="s">
        <v>283</v>
      </c>
      <c r="R460" s="1371"/>
      <c r="S460" s="1371"/>
      <c r="T460" s="1371"/>
      <c r="U460" s="227">
        <f>COUNTIF(U8:U433,"&lt;100")-COUNTIF(U8:U433,"&lt;=70")</f>
        <v>53</v>
      </c>
      <c r="V460" s="928"/>
      <c r="W460" s="928"/>
      <c r="X460" s="1001"/>
      <c r="Y460" s="953"/>
      <c r="Z460" s="256"/>
      <c r="AA460" s="256"/>
      <c r="AB460" s="256"/>
      <c r="AC460" s="256"/>
      <c r="AD460" s="256"/>
      <c r="AE460" s="256"/>
      <c r="AF460" s="256"/>
      <c r="AG460" s="256"/>
      <c r="AH460" s="1003"/>
      <c r="AI460" s="1003"/>
      <c r="AJ460" s="256"/>
      <c r="AK460" s="256"/>
      <c r="AL460" s="256"/>
      <c r="AM460" s="256"/>
      <c r="AN460" s="256"/>
      <c r="AO460" s="1314" t="s">
        <v>2162</v>
      </c>
      <c r="AP460" s="1315"/>
      <c r="AQ460" s="1315"/>
      <c r="AR460" s="1316"/>
      <c r="AS460" s="227">
        <f>COUNTIF(AS8:AS433,"&lt;100")-COUNTIF(AS8:AS433,"&lt;=70")</f>
        <v>54</v>
      </c>
      <c r="AT460" s="1004"/>
    </row>
    <row r="461" spans="1:47" ht="15" hidden="1" customHeight="1" x14ac:dyDescent="0.25">
      <c r="B461" s="224"/>
      <c r="C461" s="225"/>
      <c r="D461" s="999"/>
      <c r="E461" s="225"/>
      <c r="F461" s="225"/>
      <c r="G461" s="225"/>
      <c r="H461" s="225"/>
      <c r="I461" s="225"/>
      <c r="J461" s="226"/>
      <c r="K461" s="225"/>
      <c r="L461" s="225"/>
      <c r="M461" s="1000"/>
      <c r="N461" s="225"/>
      <c r="O461" s="225"/>
      <c r="P461" s="225"/>
      <c r="Q461" s="1371" t="s">
        <v>1839</v>
      </c>
      <c r="R461" s="1371"/>
      <c r="S461" s="1371"/>
      <c r="T461" s="1371"/>
      <c r="U461" s="227">
        <f>COUNTIF(U8:U433,"&gt;=100")</f>
        <v>18</v>
      </c>
      <c r="V461" s="928"/>
      <c r="W461" s="928"/>
      <c r="X461" s="1001"/>
      <c r="Y461" s="953"/>
      <c r="Z461" s="256"/>
      <c r="AA461" s="256"/>
      <c r="AB461" s="256"/>
      <c r="AC461" s="256"/>
      <c r="AD461" s="256"/>
      <c r="AE461" s="256"/>
      <c r="AF461" s="256"/>
      <c r="AG461" s="256"/>
      <c r="AH461" s="1003"/>
      <c r="AI461" s="1003"/>
      <c r="AJ461" s="256"/>
      <c r="AK461" s="256"/>
      <c r="AL461" s="256"/>
      <c r="AM461" s="256"/>
      <c r="AN461" s="256"/>
      <c r="AO461" s="1314" t="s">
        <v>1839</v>
      </c>
      <c r="AP461" s="1315"/>
      <c r="AQ461" s="1315"/>
      <c r="AR461" s="1316"/>
      <c r="AS461" s="227">
        <f>COUNTIF(AS8:AS433,"&gt;=100")</f>
        <v>46</v>
      </c>
      <c r="AT461" s="1004"/>
    </row>
    <row r="462" spans="1:47" ht="15" hidden="1" customHeight="1" x14ac:dyDescent="0.25">
      <c r="B462" s="224"/>
      <c r="C462" s="225"/>
      <c r="D462" s="999"/>
      <c r="E462" s="225"/>
      <c r="F462" s="225"/>
      <c r="G462" s="225"/>
      <c r="H462" s="225"/>
      <c r="I462" s="225"/>
      <c r="J462" s="226"/>
      <c r="K462" s="225"/>
      <c r="L462" s="225"/>
      <c r="M462" s="1000"/>
      <c r="N462" s="225"/>
      <c r="O462" s="225"/>
      <c r="P462" s="225"/>
      <c r="Q462" s="1371" t="s">
        <v>1986</v>
      </c>
      <c r="R462" s="1371"/>
      <c r="S462" s="1371"/>
      <c r="T462" s="1371"/>
      <c r="U462" s="227">
        <f>COUNTIF(S8:S433,"закрыт")</f>
        <v>52</v>
      </c>
      <c r="V462" s="928"/>
      <c r="W462" s="928"/>
      <c r="X462" s="1001"/>
      <c r="Y462" s="1005"/>
      <c r="Z462" s="1006"/>
      <c r="AA462" s="1814"/>
      <c r="AB462" s="1814"/>
      <c r="AC462" s="1814"/>
      <c r="AD462" s="1814"/>
      <c r="AE462" s="1814"/>
      <c r="AF462" s="1814"/>
      <c r="AG462" s="1814"/>
      <c r="AH462" s="1815"/>
      <c r="AI462" s="1007"/>
      <c r="AJ462" s="1001"/>
      <c r="AK462" s="1001"/>
      <c r="AL462" s="1001"/>
      <c r="AM462" s="1001"/>
      <c r="AN462" s="1001"/>
      <c r="AO462" s="1314" t="s">
        <v>1986</v>
      </c>
      <c r="AP462" s="1315"/>
      <c r="AQ462" s="1315"/>
      <c r="AR462" s="1316"/>
      <c r="AS462" s="227">
        <f>COUNTIF(AQ8:AQ433,"закрыт")</f>
        <v>80</v>
      </c>
      <c r="AT462" s="953"/>
      <c r="AU462" s="940"/>
    </row>
    <row r="463" spans="1:47" ht="15" hidden="1" customHeight="1" x14ac:dyDescent="0.25">
      <c r="B463" s="224"/>
      <c r="C463" s="225"/>
      <c r="D463" s="999"/>
      <c r="E463" s="225"/>
      <c r="F463" s="225"/>
      <c r="G463" s="225"/>
      <c r="H463" s="225"/>
      <c r="I463" s="225"/>
      <c r="J463" s="226"/>
      <c r="K463" s="225"/>
      <c r="L463" s="225"/>
      <c r="M463" s="1000"/>
      <c r="N463" s="225"/>
      <c r="O463" s="225"/>
      <c r="P463" s="225"/>
      <c r="Q463" s="1371" t="s">
        <v>282</v>
      </c>
      <c r="R463" s="1371"/>
      <c r="S463" s="1371"/>
      <c r="T463" s="1371"/>
      <c r="U463" s="227">
        <f>COUNTIFS(S8:S433,"*крыт*",U8:U433,"&gt;100")</f>
        <v>14</v>
      </c>
      <c r="V463" s="928"/>
      <c r="W463" s="928"/>
      <c r="X463" s="1001"/>
      <c r="Y463" s="953"/>
      <c r="Z463" s="1006"/>
      <c r="AA463" s="1814"/>
      <c r="AB463" s="1814"/>
      <c r="AC463" s="1814"/>
      <c r="AD463" s="1814"/>
      <c r="AE463" s="1814"/>
      <c r="AF463" s="1814"/>
      <c r="AG463" s="1814"/>
      <c r="AH463" s="1815"/>
      <c r="AI463" s="1007"/>
      <c r="AJ463" s="1001"/>
      <c r="AK463" s="1001"/>
      <c r="AL463" s="1001"/>
      <c r="AM463" s="1001"/>
      <c r="AN463" s="1001"/>
      <c r="AO463" s="1314" t="s">
        <v>282</v>
      </c>
      <c r="AP463" s="1315"/>
      <c r="AQ463" s="1315"/>
      <c r="AR463" s="1316"/>
      <c r="AS463" s="227">
        <f>COUNTIFS(AQ8:AQ433,"*крыт*",AS8:AS433,"&gt;100")</f>
        <v>40</v>
      </c>
      <c r="AT463" s="1005"/>
      <c r="AU463" s="940"/>
    </row>
    <row r="464" spans="1:47" ht="20.100000000000001" customHeight="1" x14ac:dyDescent="0.25">
      <c r="AR464" s="944"/>
      <c r="AS464" s="940"/>
      <c r="AT464" s="940"/>
      <c r="AU464" s="940"/>
    </row>
    <row r="465" spans="19:47" ht="20.100000000000001" customHeight="1" x14ac:dyDescent="0.25">
      <c r="S465" s="1010"/>
      <c r="AR465" s="944"/>
      <c r="AS465" s="940"/>
      <c r="AT465" s="1011"/>
      <c r="AU465" s="940"/>
    </row>
    <row r="466" spans="19:47" ht="20.100000000000001" customHeight="1" x14ac:dyDescent="0.25">
      <c r="AR466" s="944"/>
      <c r="AS466" s="940"/>
      <c r="AT466" s="940"/>
      <c r="AU466" s="940"/>
    </row>
    <row r="467" spans="19:47" ht="20.100000000000001" customHeight="1" x14ac:dyDescent="0.25">
      <c r="AR467" s="944"/>
      <c r="AS467" s="940"/>
      <c r="AT467" s="940"/>
      <c r="AU467" s="940"/>
    </row>
    <row r="468" spans="19:47" ht="20.100000000000001" customHeight="1" x14ac:dyDescent="0.25">
      <c r="AR468" s="944"/>
      <c r="AS468" s="940"/>
      <c r="AT468" s="940"/>
      <c r="AU468" s="940"/>
    </row>
    <row r="469" spans="19:47" ht="20.100000000000001" customHeight="1" x14ac:dyDescent="0.25">
      <c r="AR469" s="944"/>
      <c r="AS469" s="940"/>
      <c r="AT469" s="940"/>
      <c r="AU469" s="940"/>
    </row>
    <row r="470" spans="19:47" ht="20.100000000000001" customHeight="1" x14ac:dyDescent="0.25">
      <c r="AR470" s="944"/>
      <c r="AS470" s="940"/>
      <c r="AT470" s="940"/>
      <c r="AU470" s="940"/>
    </row>
    <row r="471" spans="19:47" ht="20.100000000000001" customHeight="1" x14ac:dyDescent="0.25">
      <c r="AR471" s="944"/>
      <c r="AS471" s="940"/>
      <c r="AT471" s="940"/>
      <c r="AU471" s="940"/>
    </row>
    <row r="472" spans="19:47" ht="20.100000000000001" customHeight="1" x14ac:dyDescent="0.25">
      <c r="AR472" s="944"/>
      <c r="AS472" s="940"/>
      <c r="AT472" s="940"/>
      <c r="AU472" s="940"/>
    </row>
    <row r="473" spans="19:47" ht="20.100000000000001" customHeight="1" x14ac:dyDescent="0.25">
      <c r="AR473" s="944"/>
      <c r="AS473" s="940"/>
      <c r="AT473" s="940"/>
      <c r="AU473" s="940"/>
    </row>
    <row r="474" spans="19:47" ht="20.100000000000001" customHeight="1" x14ac:dyDescent="0.25">
      <c r="AR474" s="944"/>
      <c r="AS474" s="940"/>
      <c r="AT474" s="940"/>
      <c r="AU474" s="940"/>
    </row>
    <row r="475" spans="19:47" ht="20.100000000000001" customHeight="1" x14ac:dyDescent="0.25">
      <c r="AR475" s="944"/>
      <c r="AS475" s="940"/>
      <c r="AT475" s="940"/>
      <c r="AU475" s="940"/>
    </row>
    <row r="476" spans="19:47" ht="20.100000000000001" customHeight="1" x14ac:dyDescent="0.25">
      <c r="AR476" s="944"/>
      <c r="AS476" s="940"/>
      <c r="AT476" s="940"/>
      <c r="AU476" s="940"/>
    </row>
    <row r="477" spans="19:47" ht="20.100000000000001" customHeight="1" x14ac:dyDescent="0.25">
      <c r="AR477" s="944"/>
      <c r="AS477" s="940"/>
      <c r="AT477" s="940"/>
      <c r="AU477" s="940"/>
    </row>
    <row r="478" spans="19:47" ht="20.100000000000001" customHeight="1" x14ac:dyDescent="0.25">
      <c r="AR478" s="944"/>
      <c r="AS478" s="940"/>
      <c r="AT478" s="940"/>
      <c r="AU478" s="940"/>
    </row>
    <row r="479" spans="19:47" ht="20.100000000000001" customHeight="1" x14ac:dyDescent="0.25">
      <c r="AR479" s="944"/>
      <c r="AS479" s="940"/>
      <c r="AT479" s="940"/>
      <c r="AU479" s="940"/>
    </row>
    <row r="480" spans="19:47" ht="20.100000000000001" customHeight="1" x14ac:dyDescent="0.25">
      <c r="AR480" s="944"/>
      <c r="AS480" s="940"/>
      <c r="AT480" s="940"/>
      <c r="AU480" s="940"/>
    </row>
    <row r="481" spans="44:47" ht="20.100000000000001" customHeight="1" x14ac:dyDescent="0.25">
      <c r="AR481" s="944"/>
      <c r="AS481" s="940"/>
      <c r="AT481" s="940"/>
      <c r="AU481" s="940"/>
    </row>
    <row r="482" spans="44:47" ht="20.100000000000001" customHeight="1" x14ac:dyDescent="0.25">
      <c r="AR482" s="944"/>
      <c r="AS482" s="940"/>
      <c r="AT482" s="940"/>
      <c r="AU482" s="940"/>
    </row>
    <row r="483" spans="44:47" ht="20.100000000000001" customHeight="1" x14ac:dyDescent="0.25">
      <c r="AR483" s="944"/>
      <c r="AS483" s="940"/>
      <c r="AT483" s="940"/>
      <c r="AU483" s="940"/>
    </row>
    <row r="484" spans="44:47" ht="20.100000000000001" customHeight="1" x14ac:dyDescent="0.25">
      <c r="AR484" s="944"/>
      <c r="AS484" s="940"/>
      <c r="AT484" s="940"/>
      <c r="AU484" s="940"/>
    </row>
    <row r="485" spans="44:47" ht="20.100000000000001" customHeight="1" x14ac:dyDescent="0.25">
      <c r="AR485" s="944"/>
      <c r="AS485" s="940"/>
      <c r="AT485" s="940"/>
      <c r="AU485" s="940"/>
    </row>
    <row r="486" spans="44:47" ht="20.100000000000001" customHeight="1" x14ac:dyDescent="0.25">
      <c r="AR486" s="944"/>
      <c r="AS486" s="940"/>
      <c r="AT486" s="940"/>
      <c r="AU486" s="940"/>
    </row>
    <row r="487" spans="44:47" ht="20.100000000000001" customHeight="1" x14ac:dyDescent="0.25">
      <c r="AR487" s="944"/>
      <c r="AS487" s="940"/>
      <c r="AT487" s="940"/>
      <c r="AU487" s="940"/>
    </row>
    <row r="488" spans="44:47" ht="20.100000000000001" customHeight="1" x14ac:dyDescent="0.25">
      <c r="AR488" s="944"/>
      <c r="AS488" s="940"/>
      <c r="AT488" s="940"/>
      <c r="AU488" s="940"/>
    </row>
    <row r="489" spans="44:47" ht="20.100000000000001" customHeight="1" x14ac:dyDescent="0.25">
      <c r="AR489" s="944"/>
      <c r="AS489" s="940"/>
      <c r="AT489" s="940"/>
      <c r="AU489" s="940"/>
    </row>
    <row r="490" spans="44:47" ht="20.100000000000001" customHeight="1" x14ac:dyDescent="0.25">
      <c r="AR490" s="944"/>
      <c r="AS490" s="940"/>
      <c r="AT490" s="940"/>
      <c r="AU490" s="940"/>
    </row>
    <row r="491" spans="44:47" ht="20.100000000000001" customHeight="1" x14ac:dyDescent="0.25">
      <c r="AR491" s="944"/>
      <c r="AS491" s="940"/>
      <c r="AT491" s="940"/>
      <c r="AU491" s="940"/>
    </row>
    <row r="492" spans="44:47" ht="20.100000000000001" customHeight="1" x14ac:dyDescent="0.25">
      <c r="AR492" s="944"/>
      <c r="AS492" s="940"/>
      <c r="AT492" s="940"/>
      <c r="AU492" s="940"/>
    </row>
    <row r="493" spans="44:47" ht="20.100000000000001" customHeight="1" x14ac:dyDescent="0.25">
      <c r="AR493" s="944"/>
      <c r="AS493" s="940"/>
      <c r="AT493" s="940"/>
      <c r="AU493" s="940"/>
    </row>
    <row r="494" spans="44:47" ht="20.100000000000001" customHeight="1" x14ac:dyDescent="0.25">
      <c r="AR494" s="944"/>
      <c r="AS494" s="940"/>
      <c r="AT494" s="940"/>
      <c r="AU494" s="940"/>
    </row>
    <row r="495" spans="44:47" ht="20.100000000000001" customHeight="1" x14ac:dyDescent="0.25">
      <c r="AR495" s="944"/>
      <c r="AS495" s="940"/>
      <c r="AT495" s="940"/>
      <c r="AU495" s="940"/>
    </row>
    <row r="496" spans="44:47" ht="20.100000000000001" customHeight="1" x14ac:dyDescent="0.25">
      <c r="AR496" s="944"/>
      <c r="AS496" s="940"/>
      <c r="AT496" s="940"/>
      <c r="AU496" s="940"/>
    </row>
    <row r="497" spans="44:47" ht="20.100000000000001" customHeight="1" x14ac:dyDescent="0.25">
      <c r="AR497" s="944"/>
      <c r="AS497" s="940"/>
      <c r="AT497" s="940"/>
      <c r="AU497" s="940"/>
    </row>
    <row r="498" spans="44:47" ht="20.100000000000001" customHeight="1" x14ac:dyDescent="0.25">
      <c r="AR498" s="944"/>
      <c r="AS498" s="940"/>
      <c r="AT498" s="940"/>
      <c r="AU498" s="940"/>
    </row>
    <row r="499" spans="44:47" ht="20.100000000000001" customHeight="1" x14ac:dyDescent="0.25">
      <c r="AR499" s="944"/>
      <c r="AS499" s="940"/>
      <c r="AT499" s="940"/>
      <c r="AU499" s="940"/>
    </row>
    <row r="500" spans="44:47" ht="20.100000000000001" customHeight="1" x14ac:dyDescent="0.25">
      <c r="AR500" s="944"/>
      <c r="AS500" s="940"/>
      <c r="AT500" s="940"/>
      <c r="AU500" s="940"/>
    </row>
    <row r="501" spans="44:47" ht="20.100000000000001" customHeight="1" x14ac:dyDescent="0.25">
      <c r="AR501" s="944"/>
      <c r="AS501" s="940"/>
      <c r="AT501" s="940"/>
      <c r="AU501" s="940"/>
    </row>
    <row r="502" spans="44:47" ht="20.100000000000001" customHeight="1" x14ac:dyDescent="0.25">
      <c r="AR502" s="944"/>
      <c r="AS502" s="940"/>
      <c r="AT502" s="940"/>
      <c r="AU502" s="940"/>
    </row>
    <row r="503" spans="44:47" ht="20.100000000000001" customHeight="1" x14ac:dyDescent="0.25">
      <c r="AR503" s="944"/>
      <c r="AS503" s="940"/>
      <c r="AT503" s="940"/>
      <c r="AU503" s="940"/>
    </row>
    <row r="504" spans="44:47" ht="20.100000000000001" customHeight="1" x14ac:dyDescent="0.25">
      <c r="AR504" s="944"/>
      <c r="AS504" s="940"/>
      <c r="AT504" s="940"/>
      <c r="AU504" s="940"/>
    </row>
    <row r="505" spans="44:47" ht="20.100000000000001" customHeight="1" x14ac:dyDescent="0.25">
      <c r="AR505" s="944"/>
      <c r="AS505" s="940"/>
      <c r="AT505" s="940"/>
      <c r="AU505" s="940"/>
    </row>
    <row r="506" spans="44:47" ht="20.100000000000001" customHeight="1" x14ac:dyDescent="0.25">
      <c r="AR506" s="944"/>
      <c r="AS506" s="940"/>
      <c r="AT506" s="940"/>
      <c r="AU506" s="940"/>
    </row>
    <row r="507" spans="44:47" ht="20.100000000000001" customHeight="1" x14ac:dyDescent="0.25">
      <c r="AR507" s="944"/>
      <c r="AS507" s="940"/>
      <c r="AT507" s="940"/>
      <c r="AU507" s="940"/>
    </row>
    <row r="508" spans="44:47" ht="20.100000000000001" customHeight="1" x14ac:dyDescent="0.25">
      <c r="AR508" s="944"/>
      <c r="AS508" s="940"/>
      <c r="AT508" s="940"/>
      <c r="AU508" s="940"/>
    </row>
    <row r="509" spans="44:47" ht="20.100000000000001" customHeight="1" x14ac:dyDescent="0.25">
      <c r="AR509" s="944"/>
      <c r="AS509" s="940"/>
      <c r="AT509" s="940"/>
      <c r="AU509" s="940"/>
    </row>
    <row r="510" spans="44:47" ht="20.100000000000001" customHeight="1" x14ac:dyDescent="0.25">
      <c r="AR510" s="944"/>
      <c r="AS510" s="940"/>
      <c r="AT510" s="940"/>
      <c r="AU510" s="940"/>
    </row>
    <row r="511" spans="44:47" ht="20.100000000000001" customHeight="1" x14ac:dyDescent="0.25">
      <c r="AR511" s="944"/>
      <c r="AS511" s="940"/>
      <c r="AT511" s="940"/>
      <c r="AU511" s="940"/>
    </row>
    <row r="512" spans="44:47" ht="20.100000000000001" customHeight="1" x14ac:dyDescent="0.25">
      <c r="AR512" s="944"/>
      <c r="AS512" s="940"/>
      <c r="AT512" s="940"/>
      <c r="AU512" s="940"/>
    </row>
    <row r="513" spans="44:47" ht="20.100000000000001" customHeight="1" x14ac:dyDescent="0.25">
      <c r="AR513" s="944"/>
      <c r="AS513" s="940"/>
      <c r="AT513" s="940"/>
      <c r="AU513" s="940"/>
    </row>
    <row r="514" spans="44:47" ht="20.100000000000001" customHeight="1" x14ac:dyDescent="0.25">
      <c r="AR514" s="944"/>
      <c r="AS514" s="940"/>
      <c r="AT514" s="940"/>
      <c r="AU514" s="940"/>
    </row>
    <row r="515" spans="44:47" ht="20.100000000000001" customHeight="1" x14ac:dyDescent="0.25">
      <c r="AR515" s="944"/>
      <c r="AS515" s="940"/>
      <c r="AT515" s="940"/>
      <c r="AU515" s="940"/>
    </row>
    <row r="516" spans="44:47" ht="20.100000000000001" customHeight="1" x14ac:dyDescent="0.25">
      <c r="AR516" s="944"/>
      <c r="AS516" s="940"/>
      <c r="AT516" s="940"/>
      <c r="AU516" s="940"/>
    </row>
    <row r="517" spans="44:47" ht="20.100000000000001" customHeight="1" x14ac:dyDescent="0.25">
      <c r="AR517" s="944"/>
      <c r="AS517" s="940"/>
      <c r="AT517" s="940"/>
      <c r="AU517" s="940"/>
    </row>
    <row r="518" spans="44:47" ht="20.100000000000001" customHeight="1" x14ac:dyDescent="0.25">
      <c r="AR518" s="944"/>
      <c r="AS518" s="940"/>
      <c r="AT518" s="940"/>
      <c r="AU518" s="940"/>
    </row>
    <row r="519" spans="44:47" ht="20.100000000000001" customHeight="1" x14ac:dyDescent="0.25">
      <c r="AR519" s="944"/>
      <c r="AS519" s="940"/>
      <c r="AT519" s="940"/>
      <c r="AU519" s="940"/>
    </row>
    <row r="520" spans="44:47" ht="20.100000000000001" customHeight="1" x14ac:dyDescent="0.25">
      <c r="AR520" s="944"/>
      <c r="AS520" s="940"/>
      <c r="AT520" s="940"/>
      <c r="AU520" s="940"/>
    </row>
    <row r="521" spans="44:47" ht="20.100000000000001" customHeight="1" x14ac:dyDescent="0.25">
      <c r="AR521" s="944"/>
      <c r="AS521" s="940"/>
      <c r="AT521" s="940"/>
      <c r="AU521" s="940"/>
    </row>
    <row r="522" spans="44:47" ht="20.100000000000001" customHeight="1" x14ac:dyDescent="0.25">
      <c r="AR522" s="944"/>
      <c r="AS522" s="940"/>
      <c r="AT522" s="940"/>
      <c r="AU522" s="940"/>
    </row>
    <row r="523" spans="44:47" ht="20.100000000000001" customHeight="1" x14ac:dyDescent="0.25">
      <c r="AR523" s="944"/>
      <c r="AS523" s="940"/>
      <c r="AT523" s="940"/>
      <c r="AU523" s="940"/>
    </row>
    <row r="524" spans="44:47" ht="20.100000000000001" customHeight="1" x14ac:dyDescent="0.25">
      <c r="AR524" s="944"/>
      <c r="AS524" s="940"/>
      <c r="AT524" s="940"/>
      <c r="AU524" s="940"/>
    </row>
    <row r="525" spans="44:47" ht="20.100000000000001" customHeight="1" x14ac:dyDescent="0.25">
      <c r="AR525" s="944"/>
      <c r="AS525" s="940"/>
      <c r="AT525" s="940"/>
      <c r="AU525" s="940"/>
    </row>
    <row r="526" spans="44:47" ht="20.100000000000001" customHeight="1" x14ac:dyDescent="0.25">
      <c r="AR526" s="944"/>
      <c r="AS526" s="940"/>
      <c r="AT526" s="940"/>
      <c r="AU526" s="940"/>
    </row>
    <row r="527" spans="44:47" ht="20.100000000000001" customHeight="1" x14ac:dyDescent="0.25">
      <c r="AR527" s="944"/>
      <c r="AS527" s="940"/>
      <c r="AT527" s="940"/>
      <c r="AU527" s="940"/>
    </row>
    <row r="528" spans="44:47" ht="20.100000000000001" customHeight="1" x14ac:dyDescent="0.25">
      <c r="AR528" s="944"/>
      <c r="AS528" s="940"/>
      <c r="AT528" s="940"/>
      <c r="AU528" s="940"/>
    </row>
    <row r="529" spans="44:47" ht="20.100000000000001" customHeight="1" x14ac:dyDescent="0.25">
      <c r="AR529" s="944"/>
      <c r="AS529" s="940"/>
      <c r="AT529" s="940"/>
      <c r="AU529" s="940"/>
    </row>
    <row r="530" spans="44:47" ht="20.100000000000001" customHeight="1" x14ac:dyDescent="0.25">
      <c r="AR530" s="944"/>
      <c r="AS530" s="940"/>
      <c r="AT530" s="940"/>
      <c r="AU530" s="940"/>
    </row>
    <row r="531" spans="44:47" ht="20.100000000000001" customHeight="1" x14ac:dyDescent="0.25">
      <c r="AR531" s="944"/>
      <c r="AS531" s="940"/>
      <c r="AT531" s="940"/>
      <c r="AU531" s="940"/>
    </row>
    <row r="532" spans="44:47" ht="20.100000000000001" customHeight="1" x14ac:dyDescent="0.25">
      <c r="AR532" s="944"/>
      <c r="AS532" s="940"/>
      <c r="AT532" s="940"/>
      <c r="AU532" s="940"/>
    </row>
    <row r="533" spans="44:47" ht="20.100000000000001" customHeight="1" x14ac:dyDescent="0.25">
      <c r="AR533" s="944"/>
      <c r="AS533" s="940"/>
      <c r="AT533" s="940"/>
      <c r="AU533" s="940"/>
    </row>
    <row r="534" spans="44:47" ht="20.100000000000001" customHeight="1" x14ac:dyDescent="0.25">
      <c r="AR534" s="944"/>
      <c r="AS534" s="940"/>
      <c r="AT534" s="940"/>
      <c r="AU534" s="940"/>
    </row>
    <row r="535" spans="44:47" ht="20.100000000000001" customHeight="1" x14ac:dyDescent="0.25">
      <c r="AR535" s="944"/>
      <c r="AS535" s="940"/>
      <c r="AT535" s="940"/>
      <c r="AU535" s="940"/>
    </row>
    <row r="536" spans="44:47" ht="20.100000000000001" customHeight="1" x14ac:dyDescent="0.25">
      <c r="AR536" s="944"/>
      <c r="AS536" s="940"/>
      <c r="AT536" s="940"/>
      <c r="AU536" s="940"/>
    </row>
    <row r="537" spans="44:47" ht="20.100000000000001" customHeight="1" x14ac:dyDescent="0.25">
      <c r="AR537" s="944"/>
      <c r="AS537" s="940"/>
      <c r="AT537" s="940"/>
      <c r="AU537" s="940"/>
    </row>
    <row r="538" spans="44:47" ht="20.100000000000001" customHeight="1" x14ac:dyDescent="0.25">
      <c r="AR538" s="944"/>
      <c r="AS538" s="940"/>
      <c r="AT538" s="940"/>
      <c r="AU538" s="940"/>
    </row>
    <row r="539" spans="44:47" ht="20.100000000000001" customHeight="1" x14ac:dyDescent="0.25">
      <c r="AR539" s="944"/>
      <c r="AS539" s="940"/>
      <c r="AT539" s="940"/>
      <c r="AU539" s="940"/>
    </row>
    <row r="540" spans="44:47" ht="20.100000000000001" customHeight="1" x14ac:dyDescent="0.25">
      <c r="AR540" s="944"/>
      <c r="AS540" s="940"/>
      <c r="AT540" s="940"/>
      <c r="AU540" s="940"/>
    </row>
    <row r="541" spans="44:47" ht="20.100000000000001" customHeight="1" x14ac:dyDescent="0.25">
      <c r="AR541" s="944"/>
      <c r="AS541" s="940"/>
      <c r="AT541" s="940"/>
      <c r="AU541" s="940"/>
    </row>
    <row r="542" spans="44:47" ht="20.100000000000001" customHeight="1" x14ac:dyDescent="0.25">
      <c r="AR542" s="944"/>
      <c r="AS542" s="940"/>
      <c r="AT542" s="940"/>
      <c r="AU542" s="940"/>
    </row>
    <row r="543" spans="44:47" ht="20.100000000000001" customHeight="1" x14ac:dyDescent="0.25">
      <c r="AR543" s="944"/>
      <c r="AS543" s="940"/>
      <c r="AT543" s="940"/>
      <c r="AU543" s="940"/>
    </row>
    <row r="544" spans="44:47" ht="20.100000000000001" customHeight="1" x14ac:dyDescent="0.25">
      <c r="AR544" s="944"/>
      <c r="AS544" s="940"/>
      <c r="AT544" s="940"/>
      <c r="AU544" s="940"/>
    </row>
    <row r="545" spans="44:47" ht="20.100000000000001" customHeight="1" x14ac:dyDescent="0.25">
      <c r="AR545" s="944"/>
      <c r="AS545" s="940"/>
      <c r="AT545" s="940"/>
      <c r="AU545" s="940"/>
    </row>
    <row r="546" spans="44:47" ht="20.100000000000001" customHeight="1" x14ac:dyDescent="0.25">
      <c r="AR546" s="944"/>
      <c r="AS546" s="940"/>
      <c r="AT546" s="940"/>
      <c r="AU546" s="940"/>
    </row>
    <row r="547" spans="44:47" ht="20.100000000000001" customHeight="1" x14ac:dyDescent="0.25">
      <c r="AR547" s="944"/>
      <c r="AS547" s="940"/>
      <c r="AT547" s="940"/>
      <c r="AU547" s="940"/>
    </row>
    <row r="548" spans="44:47" ht="20.100000000000001" customHeight="1" x14ac:dyDescent="0.25">
      <c r="AR548" s="944"/>
      <c r="AS548" s="940"/>
      <c r="AT548" s="940"/>
      <c r="AU548" s="940"/>
    </row>
    <row r="549" spans="44:47" ht="20.100000000000001" customHeight="1" x14ac:dyDescent="0.25">
      <c r="AR549" s="944"/>
      <c r="AS549" s="940"/>
      <c r="AT549" s="940"/>
      <c r="AU549" s="940"/>
    </row>
    <row r="550" spans="44:47" ht="20.100000000000001" customHeight="1" x14ac:dyDescent="0.25">
      <c r="AR550" s="944"/>
      <c r="AS550" s="940"/>
      <c r="AT550" s="940"/>
      <c r="AU550" s="940"/>
    </row>
    <row r="551" spans="44:47" ht="20.100000000000001" customHeight="1" x14ac:dyDescent="0.25">
      <c r="AR551" s="944"/>
      <c r="AS551" s="940"/>
      <c r="AT551" s="940"/>
      <c r="AU551" s="940"/>
    </row>
    <row r="552" spans="44:47" ht="20.100000000000001" customHeight="1" x14ac:dyDescent="0.25">
      <c r="AR552" s="944"/>
      <c r="AS552" s="940"/>
      <c r="AT552" s="940"/>
      <c r="AU552" s="940"/>
    </row>
    <row r="553" spans="44:47" ht="20.100000000000001" customHeight="1" x14ac:dyDescent="0.25">
      <c r="AR553" s="944"/>
      <c r="AS553" s="940"/>
      <c r="AT553" s="940"/>
      <c r="AU553" s="940"/>
    </row>
    <row r="554" spans="44:47" ht="20.100000000000001" customHeight="1" x14ac:dyDescent="0.25">
      <c r="AR554" s="944"/>
      <c r="AS554" s="940"/>
      <c r="AT554" s="940"/>
      <c r="AU554" s="940"/>
    </row>
    <row r="555" spans="44:47" ht="20.100000000000001" customHeight="1" x14ac:dyDescent="0.25">
      <c r="AR555" s="944"/>
      <c r="AS555" s="940"/>
      <c r="AT555" s="940"/>
      <c r="AU555" s="940"/>
    </row>
    <row r="556" spans="44:47" ht="20.100000000000001" customHeight="1" x14ac:dyDescent="0.25">
      <c r="AR556" s="944"/>
      <c r="AS556" s="940"/>
      <c r="AT556" s="940"/>
      <c r="AU556" s="940"/>
    </row>
    <row r="557" spans="44:47" ht="20.100000000000001" customHeight="1" x14ac:dyDescent="0.25">
      <c r="AR557" s="944"/>
      <c r="AS557" s="940"/>
      <c r="AT557" s="940"/>
      <c r="AU557" s="940"/>
    </row>
    <row r="558" spans="44:47" ht="20.100000000000001" customHeight="1" x14ac:dyDescent="0.25">
      <c r="AR558" s="944"/>
      <c r="AS558" s="940"/>
      <c r="AT558" s="940"/>
      <c r="AU558" s="940"/>
    </row>
    <row r="559" spans="44:47" ht="20.100000000000001" customHeight="1" x14ac:dyDescent="0.25">
      <c r="AR559" s="944"/>
      <c r="AS559" s="940"/>
      <c r="AT559" s="940"/>
      <c r="AU559" s="940"/>
    </row>
    <row r="560" spans="44:47" ht="20.100000000000001" customHeight="1" x14ac:dyDescent="0.25">
      <c r="AR560" s="944"/>
      <c r="AS560" s="940"/>
      <c r="AT560" s="940"/>
      <c r="AU560" s="940"/>
    </row>
    <row r="561" spans="44:47" ht="20.100000000000001" customHeight="1" x14ac:dyDescent="0.25">
      <c r="AR561" s="944"/>
      <c r="AS561" s="940"/>
      <c r="AT561" s="940"/>
      <c r="AU561" s="940"/>
    </row>
    <row r="562" spans="44:47" ht="20.100000000000001" customHeight="1" x14ac:dyDescent="0.25">
      <c r="AR562" s="944"/>
      <c r="AS562" s="940"/>
      <c r="AT562" s="940"/>
      <c r="AU562" s="940"/>
    </row>
    <row r="563" spans="44:47" ht="20.100000000000001" customHeight="1" x14ac:dyDescent="0.25">
      <c r="AR563" s="944"/>
      <c r="AS563" s="940"/>
      <c r="AT563" s="940"/>
      <c r="AU563" s="940"/>
    </row>
    <row r="564" spans="44:47" ht="20.100000000000001" customHeight="1" x14ac:dyDescent="0.25">
      <c r="AR564" s="944"/>
      <c r="AS564" s="940"/>
      <c r="AT564" s="940"/>
      <c r="AU564" s="940"/>
    </row>
    <row r="565" spans="44:47" ht="20.100000000000001" customHeight="1" x14ac:dyDescent="0.25">
      <c r="AR565" s="944"/>
      <c r="AS565" s="940"/>
      <c r="AT565" s="940"/>
      <c r="AU565" s="940"/>
    </row>
    <row r="566" spans="44:47" ht="20.100000000000001" customHeight="1" x14ac:dyDescent="0.25">
      <c r="AR566" s="944"/>
      <c r="AS566" s="940"/>
      <c r="AT566" s="940"/>
      <c r="AU566" s="940"/>
    </row>
    <row r="567" spans="44:47" ht="20.100000000000001" customHeight="1" x14ac:dyDescent="0.25">
      <c r="AR567" s="944"/>
      <c r="AS567" s="940"/>
      <c r="AT567" s="940"/>
      <c r="AU567" s="940"/>
    </row>
    <row r="568" spans="44:47" ht="20.100000000000001" customHeight="1" x14ac:dyDescent="0.25">
      <c r="AR568" s="944"/>
      <c r="AS568" s="940"/>
      <c r="AT568" s="940"/>
      <c r="AU568" s="940"/>
    </row>
    <row r="569" spans="44:47" ht="20.100000000000001" customHeight="1" x14ac:dyDescent="0.25">
      <c r="AR569" s="944"/>
      <c r="AS569" s="940"/>
      <c r="AT569" s="940"/>
      <c r="AU569" s="940"/>
    </row>
    <row r="570" spans="44:47" ht="20.100000000000001" customHeight="1" x14ac:dyDescent="0.25">
      <c r="AR570" s="944"/>
      <c r="AS570" s="940"/>
      <c r="AT570" s="940"/>
      <c r="AU570" s="940"/>
    </row>
    <row r="571" spans="44:47" ht="20.100000000000001" customHeight="1" x14ac:dyDescent="0.25">
      <c r="AR571" s="944"/>
      <c r="AS571" s="940"/>
      <c r="AT571" s="940"/>
      <c r="AU571" s="940"/>
    </row>
    <row r="572" spans="44:47" ht="20.100000000000001" customHeight="1" x14ac:dyDescent="0.25">
      <c r="AR572" s="944"/>
      <c r="AS572" s="940"/>
      <c r="AT572" s="940"/>
      <c r="AU572" s="940"/>
    </row>
    <row r="573" spans="44:47" ht="20.100000000000001" customHeight="1" x14ac:dyDescent="0.25">
      <c r="AR573" s="944"/>
      <c r="AS573" s="940"/>
      <c r="AT573" s="940"/>
      <c r="AU573" s="940"/>
    </row>
    <row r="574" spans="44:47" ht="20.100000000000001" customHeight="1" x14ac:dyDescent="0.25">
      <c r="AR574" s="944"/>
      <c r="AS574" s="940"/>
      <c r="AT574" s="940"/>
      <c r="AU574" s="940"/>
    </row>
    <row r="575" spans="44:47" ht="20.100000000000001" customHeight="1" x14ac:dyDescent="0.25">
      <c r="AR575" s="944"/>
      <c r="AS575" s="940"/>
      <c r="AT575" s="940"/>
      <c r="AU575" s="940"/>
    </row>
    <row r="576" spans="44:47" ht="20.100000000000001" customHeight="1" x14ac:dyDescent="0.25">
      <c r="AR576" s="944"/>
      <c r="AS576" s="940"/>
      <c r="AT576" s="940"/>
      <c r="AU576" s="940"/>
    </row>
    <row r="577" spans="44:47" ht="20.100000000000001" customHeight="1" x14ac:dyDescent="0.25">
      <c r="AR577" s="944"/>
      <c r="AS577" s="940"/>
      <c r="AT577" s="940"/>
      <c r="AU577" s="940"/>
    </row>
    <row r="578" spans="44:47" ht="20.100000000000001" customHeight="1" x14ac:dyDescent="0.25">
      <c r="AR578" s="944"/>
      <c r="AS578" s="940"/>
      <c r="AT578" s="940"/>
      <c r="AU578" s="940"/>
    </row>
    <row r="579" spans="44:47" ht="20.100000000000001" customHeight="1" x14ac:dyDescent="0.25">
      <c r="AR579" s="944"/>
      <c r="AS579" s="940"/>
      <c r="AT579" s="940"/>
      <c r="AU579" s="940"/>
    </row>
    <row r="580" spans="44:47" ht="20.100000000000001" customHeight="1" x14ac:dyDescent="0.25">
      <c r="AR580" s="944"/>
      <c r="AS580" s="940"/>
      <c r="AT580" s="940"/>
      <c r="AU580" s="940"/>
    </row>
    <row r="581" spans="44:47" ht="20.100000000000001" customHeight="1" x14ac:dyDescent="0.25">
      <c r="AR581" s="944"/>
      <c r="AS581" s="940"/>
      <c r="AT581" s="940"/>
      <c r="AU581" s="940"/>
    </row>
    <row r="582" spans="44:47" ht="20.100000000000001" customHeight="1" x14ac:dyDescent="0.25">
      <c r="AR582" s="944"/>
      <c r="AS582" s="940"/>
      <c r="AT582" s="940"/>
      <c r="AU582" s="940"/>
    </row>
    <row r="583" spans="44:47" ht="20.100000000000001" customHeight="1" x14ac:dyDescent="0.25">
      <c r="AR583" s="944"/>
      <c r="AS583" s="940"/>
      <c r="AT583" s="940"/>
      <c r="AU583" s="940"/>
    </row>
    <row r="584" spans="44:47" ht="20.100000000000001" customHeight="1" x14ac:dyDescent="0.25">
      <c r="AR584" s="944"/>
      <c r="AS584" s="940"/>
      <c r="AT584" s="940"/>
      <c r="AU584" s="940"/>
    </row>
    <row r="585" spans="44:47" ht="20.100000000000001" customHeight="1" x14ac:dyDescent="0.25">
      <c r="AR585" s="944"/>
      <c r="AS585" s="940"/>
      <c r="AT585" s="940"/>
      <c r="AU585" s="940"/>
    </row>
    <row r="586" spans="44:47" ht="20.100000000000001" customHeight="1" x14ac:dyDescent="0.25">
      <c r="AR586" s="944"/>
      <c r="AS586" s="940"/>
      <c r="AT586" s="940"/>
      <c r="AU586" s="940"/>
    </row>
    <row r="587" spans="44:47" ht="20.100000000000001" customHeight="1" x14ac:dyDescent="0.25">
      <c r="AR587" s="944"/>
      <c r="AS587" s="940"/>
      <c r="AT587" s="940"/>
      <c r="AU587" s="940"/>
    </row>
    <row r="588" spans="44:47" ht="20.100000000000001" customHeight="1" x14ac:dyDescent="0.25">
      <c r="AR588" s="944"/>
      <c r="AS588" s="940"/>
      <c r="AT588" s="940"/>
      <c r="AU588" s="940"/>
    </row>
    <row r="589" spans="44:47" ht="20.100000000000001" customHeight="1" x14ac:dyDescent="0.25">
      <c r="AR589" s="944"/>
      <c r="AS589" s="940"/>
      <c r="AT589" s="940"/>
      <c r="AU589" s="940"/>
    </row>
    <row r="590" spans="44:47" ht="20.100000000000001" customHeight="1" x14ac:dyDescent="0.25">
      <c r="AR590" s="944"/>
      <c r="AS590" s="940"/>
      <c r="AT590" s="940"/>
      <c r="AU590" s="940"/>
    </row>
    <row r="591" spans="44:47" ht="20.100000000000001" customHeight="1" x14ac:dyDescent="0.25">
      <c r="AR591" s="944"/>
      <c r="AS591" s="940"/>
      <c r="AT591" s="940"/>
      <c r="AU591" s="940"/>
    </row>
    <row r="592" spans="44:47" ht="20.100000000000001" customHeight="1" x14ac:dyDescent="0.25">
      <c r="AR592" s="944"/>
      <c r="AS592" s="940"/>
      <c r="AT592" s="940"/>
      <c r="AU592" s="940"/>
    </row>
    <row r="593" spans="44:47" ht="20.100000000000001" customHeight="1" x14ac:dyDescent="0.25">
      <c r="AR593" s="944"/>
      <c r="AS593" s="940"/>
      <c r="AT593" s="940"/>
      <c r="AU593" s="940"/>
    </row>
    <row r="594" spans="44:47" ht="20.100000000000001" customHeight="1" x14ac:dyDescent="0.25">
      <c r="AR594" s="944"/>
      <c r="AS594" s="940"/>
      <c r="AT594" s="940"/>
      <c r="AU594" s="940"/>
    </row>
    <row r="595" spans="44:47" ht="20.100000000000001" customHeight="1" x14ac:dyDescent="0.25">
      <c r="AR595" s="944"/>
      <c r="AS595" s="940"/>
      <c r="AT595" s="940"/>
      <c r="AU595" s="940"/>
    </row>
    <row r="596" spans="44:47" ht="20.100000000000001" customHeight="1" x14ac:dyDescent="0.25">
      <c r="AR596" s="944"/>
      <c r="AS596" s="940"/>
      <c r="AT596" s="940"/>
      <c r="AU596" s="940"/>
    </row>
    <row r="597" spans="44:47" ht="20.100000000000001" customHeight="1" x14ac:dyDescent="0.25">
      <c r="AT597" s="1013"/>
    </row>
    <row r="598" spans="44:47" ht="20.100000000000001" customHeight="1" x14ac:dyDescent="0.25"/>
    <row r="599" spans="44:47" ht="20.100000000000001" customHeight="1" x14ac:dyDescent="0.25"/>
    <row r="600" spans="44:47" ht="20.100000000000001" customHeight="1" x14ac:dyDescent="0.25"/>
    <row r="601" spans="44:47" ht="20.100000000000001" customHeight="1" x14ac:dyDescent="0.25"/>
    <row r="602" spans="44:47" ht="20.100000000000001" customHeight="1" x14ac:dyDescent="0.25"/>
    <row r="603" spans="44:47" ht="20.100000000000001" customHeight="1" x14ac:dyDescent="0.25"/>
    <row r="604" spans="44:47" ht="20.100000000000001" customHeight="1" x14ac:dyDescent="0.25"/>
    <row r="605" spans="44:47" ht="20.100000000000001" customHeight="1" x14ac:dyDescent="0.25"/>
    <row r="606" spans="44:47" ht="20.100000000000001" customHeight="1" x14ac:dyDescent="0.25"/>
    <row r="607" spans="44:47" ht="20.100000000000001" customHeight="1" x14ac:dyDescent="0.25"/>
    <row r="608" spans="44:47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39" customHeight="1" x14ac:dyDescent="0.25"/>
    <row r="880" ht="33" customHeight="1" x14ac:dyDescent="0.25"/>
    <row r="881" ht="30.75" customHeight="1" x14ac:dyDescent="0.25"/>
    <row r="882" ht="33" customHeight="1" x14ac:dyDescent="0.25"/>
  </sheetData>
  <sheetProtection formatCells="0" formatColumns="0" formatRows="0" insertColumns="0" insertRows="0" insertHyperlinks="0" deleteColumns="0" deleteRows="0" pivotTables="0"/>
  <autoFilter ref="A7:AX463">
    <filterColumn colId="3" showButton="0"/>
    <filterColumn colId="4" showButton="0"/>
    <filterColumn colId="5" showButton="0"/>
    <filterColumn colId="6" showButton="0"/>
    <filterColumn colId="27" showButton="0"/>
    <filterColumn colId="28" showButton="0"/>
    <filterColumn colId="29" showButton="0"/>
    <filterColumn colId="30" showButton="0"/>
  </autoFilter>
  <mergeCells count="447">
    <mergeCell ref="A45:A47"/>
    <mergeCell ref="V132:V134"/>
    <mergeCell ref="V135:V137"/>
    <mergeCell ref="V138:V140"/>
    <mergeCell ref="V141:V143"/>
    <mergeCell ref="V144:V146"/>
    <mergeCell ref="V147:V149"/>
    <mergeCell ref="Y129:Y131"/>
    <mergeCell ref="Y69:Y71"/>
    <mergeCell ref="Y72:Y74"/>
    <mergeCell ref="U75:U77"/>
    <mergeCell ref="S69:S71"/>
    <mergeCell ref="Y75:Y77"/>
    <mergeCell ref="U63:U65"/>
    <mergeCell ref="V75:V77"/>
    <mergeCell ref="W75:W77"/>
    <mergeCell ref="V129:V131"/>
    <mergeCell ref="V69:V71"/>
    <mergeCell ref="W69:W71"/>
    <mergeCell ref="V72:V74"/>
    <mergeCell ref="W72:W74"/>
    <mergeCell ref="R63:R65"/>
    <mergeCell ref="R72:R74"/>
    <mergeCell ref="S72:S74"/>
    <mergeCell ref="V231:V233"/>
    <mergeCell ref="AX4:AX6"/>
    <mergeCell ref="AU4:AU6"/>
    <mergeCell ref="AV4:AV6"/>
    <mergeCell ref="AW4:AW6"/>
    <mergeCell ref="Q463:T463"/>
    <mergeCell ref="Q450:R450"/>
    <mergeCell ref="U382:U384"/>
    <mergeCell ref="S355:S357"/>
    <mergeCell ref="Q461:T461"/>
    <mergeCell ref="Q459:T459"/>
    <mergeCell ref="Q462:T462"/>
    <mergeCell ref="Q460:T460"/>
    <mergeCell ref="S370:S372"/>
    <mergeCell ref="R370:R372"/>
    <mergeCell ref="R425:R427"/>
    <mergeCell ref="S358:S360"/>
    <mergeCell ref="V379:V381"/>
    <mergeCell ref="V431:V433"/>
    <mergeCell ref="V355:V357"/>
    <mergeCell ref="V358:V360"/>
    <mergeCell ref="V361:V363"/>
    <mergeCell ref="Q1:R1"/>
    <mergeCell ref="R42:R44"/>
    <mergeCell ref="Q5:R6"/>
    <mergeCell ref="T4:T6"/>
    <mergeCell ref="B2:T2"/>
    <mergeCell ref="Y182:Y184"/>
    <mergeCell ref="Y191:Y193"/>
    <mergeCell ref="Y203:Y205"/>
    <mergeCell ref="C4:C6"/>
    <mergeCell ref="U39:U41"/>
    <mergeCell ref="B3:T3"/>
    <mergeCell ref="U4:U6"/>
    <mergeCell ref="B4:B6"/>
    <mergeCell ref="D4:R4"/>
    <mergeCell ref="M5:M6"/>
    <mergeCell ref="I5:I6"/>
    <mergeCell ref="N5:N6"/>
    <mergeCell ref="W39:W41"/>
    <mergeCell ref="R39:R41"/>
    <mergeCell ref="P5:P6"/>
    <mergeCell ref="S4:S6"/>
    <mergeCell ref="B39:B41"/>
    <mergeCell ref="W4:W6"/>
    <mergeCell ref="Y4:Y6"/>
    <mergeCell ref="D5:H6"/>
    <mergeCell ref="V42:V44"/>
    <mergeCell ref="W42:W44"/>
    <mergeCell ref="J5:J6"/>
    <mergeCell ref="K5:L5"/>
    <mergeCell ref="D7:H7"/>
    <mergeCell ref="O5:O6"/>
    <mergeCell ref="S39:S41"/>
    <mergeCell ref="V45:V47"/>
    <mergeCell ref="W45:W47"/>
    <mergeCell ref="V48:V50"/>
    <mergeCell ref="W48:W50"/>
    <mergeCell ref="V60:V62"/>
    <mergeCell ref="W60:W62"/>
    <mergeCell ref="V63:V65"/>
    <mergeCell ref="W63:W65"/>
    <mergeCell ref="V66:V68"/>
    <mergeCell ref="W66:W68"/>
    <mergeCell ref="Y63:Y65"/>
    <mergeCell ref="Y66:Y68"/>
    <mergeCell ref="Y45:Y47"/>
    <mergeCell ref="Y42:Y44"/>
    <mergeCell ref="U42:U44"/>
    <mergeCell ref="U45:U47"/>
    <mergeCell ref="V39:V41"/>
    <mergeCell ref="V4:V6"/>
    <mergeCell ref="Y39:Y41"/>
    <mergeCell ref="Y60:Y62"/>
    <mergeCell ref="U60:U62"/>
    <mergeCell ref="U258:U260"/>
    <mergeCell ref="U358:U360"/>
    <mergeCell ref="U66:U68"/>
    <mergeCell ref="B135:B137"/>
    <mergeCell ref="S75:S77"/>
    <mergeCell ref="R75:R77"/>
    <mergeCell ref="S132:S134"/>
    <mergeCell ref="S66:S68"/>
    <mergeCell ref="R69:R71"/>
    <mergeCell ref="R129:R131"/>
    <mergeCell ref="U69:U71"/>
    <mergeCell ref="S129:S131"/>
    <mergeCell ref="B69:B71"/>
    <mergeCell ref="B75:B77"/>
    <mergeCell ref="B72:B74"/>
    <mergeCell ref="B129:B131"/>
    <mergeCell ref="U72:U74"/>
    <mergeCell ref="B132:B134"/>
    <mergeCell ref="R132:R134"/>
    <mergeCell ref="Q458:T458"/>
    <mergeCell ref="R422:R424"/>
    <mergeCell ref="S416:S418"/>
    <mergeCell ref="S428:S430"/>
    <mergeCell ref="S367:S369"/>
    <mergeCell ref="S279:S281"/>
    <mergeCell ref="S352:S354"/>
    <mergeCell ref="Q453:R453"/>
    <mergeCell ref="U267:U269"/>
    <mergeCell ref="Q457:R457"/>
    <mergeCell ref="S425:S427"/>
    <mergeCell ref="U364:U366"/>
    <mergeCell ref="S364:S366"/>
    <mergeCell ref="U352:U354"/>
    <mergeCell ref="U276:U278"/>
    <mergeCell ref="R267:R269"/>
    <mergeCell ref="U355:U357"/>
    <mergeCell ref="S422:S424"/>
    <mergeCell ref="R419:R421"/>
    <mergeCell ref="R147:R149"/>
    <mergeCell ref="B237:B239"/>
    <mergeCell ref="B197:B199"/>
    <mergeCell ref="B194:B196"/>
    <mergeCell ref="B191:B193"/>
    <mergeCell ref="B147:B149"/>
    <mergeCell ref="B153:B155"/>
    <mergeCell ref="B182:B184"/>
    <mergeCell ref="B188:B190"/>
    <mergeCell ref="R153:R155"/>
    <mergeCell ref="R150:R152"/>
    <mergeCell ref="B138:B140"/>
    <mergeCell ref="U129:U131"/>
    <mergeCell ref="R138:R140"/>
    <mergeCell ref="R141:R143"/>
    <mergeCell ref="S138:S140"/>
    <mergeCell ref="U132:U134"/>
    <mergeCell ref="U135:U137"/>
    <mergeCell ref="S135:S137"/>
    <mergeCell ref="R135:R137"/>
    <mergeCell ref="U138:U140"/>
    <mergeCell ref="B141:B143"/>
    <mergeCell ref="S141:S143"/>
    <mergeCell ref="B60:B62"/>
    <mergeCell ref="B63:B65"/>
    <mergeCell ref="B66:B68"/>
    <mergeCell ref="S42:S44"/>
    <mergeCell ref="R60:R62"/>
    <mergeCell ref="R66:R68"/>
    <mergeCell ref="S63:S65"/>
    <mergeCell ref="B42:B44"/>
    <mergeCell ref="S45:S47"/>
    <mergeCell ref="S60:S62"/>
    <mergeCell ref="R45:R47"/>
    <mergeCell ref="Y138:Y140"/>
    <mergeCell ref="Y141:Y143"/>
    <mergeCell ref="Y135:Y137"/>
    <mergeCell ref="Y132:Y134"/>
    <mergeCell ref="U185:U187"/>
    <mergeCell ref="S188:S190"/>
    <mergeCell ref="Y144:Y146"/>
    <mergeCell ref="U182:U184"/>
    <mergeCell ref="U188:U190"/>
    <mergeCell ref="U153:U155"/>
    <mergeCell ref="V150:V152"/>
    <mergeCell ref="V153:V155"/>
    <mergeCell ref="U141:U143"/>
    <mergeCell ref="S150:S152"/>
    <mergeCell ref="S153:S155"/>
    <mergeCell ref="R144:R146"/>
    <mergeCell ref="B144:B146"/>
    <mergeCell ref="S147:S149"/>
    <mergeCell ref="B185:B187"/>
    <mergeCell ref="B150:B152"/>
    <mergeCell ref="S144:S146"/>
    <mergeCell ref="Y150:Y152"/>
    <mergeCell ref="U150:U152"/>
    <mergeCell ref="B240:B242"/>
    <mergeCell ref="S182:S184"/>
    <mergeCell ref="S185:S187"/>
    <mergeCell ref="B231:B233"/>
    <mergeCell ref="U231:U233"/>
    <mergeCell ref="R182:R184"/>
    <mergeCell ref="R185:R187"/>
    <mergeCell ref="U203:U205"/>
    <mergeCell ref="R188:R190"/>
    <mergeCell ref="S194:S196"/>
    <mergeCell ref="R197:R199"/>
    <mergeCell ref="U194:U196"/>
    <mergeCell ref="S191:S193"/>
    <mergeCell ref="V240:V242"/>
    <mergeCell ref="U240:U242"/>
    <mergeCell ref="U197:U199"/>
    <mergeCell ref="S200:S202"/>
    <mergeCell ref="S203:S205"/>
    <mergeCell ref="S197:S199"/>
    <mergeCell ref="B234:B236"/>
    <mergeCell ref="R203:R205"/>
    <mergeCell ref="B276:B278"/>
    <mergeCell ref="S273:S275"/>
    <mergeCell ref="S270:S272"/>
    <mergeCell ref="S349:S351"/>
    <mergeCell ref="B200:B202"/>
    <mergeCell ref="B203:B205"/>
    <mergeCell ref="B270:B272"/>
    <mergeCell ref="R237:R239"/>
    <mergeCell ref="B267:B269"/>
    <mergeCell ref="R240:R242"/>
    <mergeCell ref="S240:S242"/>
    <mergeCell ref="B273:B275"/>
    <mergeCell ref="R273:R275"/>
    <mergeCell ref="S258:S260"/>
    <mergeCell ref="S237:S239"/>
    <mergeCell ref="S231:S233"/>
    <mergeCell ref="R231:R233"/>
    <mergeCell ref="B279:B281"/>
    <mergeCell ref="B258:B260"/>
    <mergeCell ref="U191:U193"/>
    <mergeCell ref="Y355:Y357"/>
    <mergeCell ref="Y364:Y366"/>
    <mergeCell ref="Y361:Y363"/>
    <mergeCell ref="Y376:Y378"/>
    <mergeCell ref="Y358:Y360"/>
    <mergeCell ref="Y425:Y427"/>
    <mergeCell ref="V258:V260"/>
    <mergeCell ref="V267:V269"/>
    <mergeCell ref="Y258:Y260"/>
    <mergeCell ref="Y352:Y354"/>
    <mergeCell ref="V270:V272"/>
    <mergeCell ref="U349:U351"/>
    <mergeCell ref="V376:V378"/>
    <mergeCell ref="V237:V239"/>
    <mergeCell ref="Y234:Y236"/>
    <mergeCell ref="Y349:Y351"/>
    <mergeCell ref="Y237:Y239"/>
    <mergeCell ref="Y240:Y242"/>
    <mergeCell ref="Y267:Y269"/>
    <mergeCell ref="Y276:Y278"/>
    <mergeCell ref="Y279:Y281"/>
    <mergeCell ref="V279:V281"/>
    <mergeCell ref="V349:V351"/>
    <mergeCell ref="Y270:Y272"/>
    <mergeCell ref="Y273:Y275"/>
    <mergeCell ref="V352:V354"/>
    <mergeCell ref="U425:U427"/>
    <mergeCell ref="S382:S384"/>
    <mergeCell ref="V382:V384"/>
    <mergeCell ref="V413:V415"/>
    <mergeCell ref="V416:V418"/>
    <mergeCell ref="V419:V421"/>
    <mergeCell ref="V422:V424"/>
    <mergeCell ref="V425:V427"/>
    <mergeCell ref="Y367:Y369"/>
    <mergeCell ref="Y370:Y372"/>
    <mergeCell ref="U416:U418"/>
    <mergeCell ref="U367:U369"/>
    <mergeCell ref="V367:V369"/>
    <mergeCell ref="U361:U363"/>
    <mergeCell ref="D455:H455"/>
    <mergeCell ref="Q456:R456"/>
    <mergeCell ref="Q447:R447"/>
    <mergeCell ref="Q442:R442"/>
    <mergeCell ref="D435:H435"/>
    <mergeCell ref="R382:R384"/>
    <mergeCell ref="R431:R433"/>
    <mergeCell ref="D434:H434"/>
    <mergeCell ref="R428:R430"/>
    <mergeCell ref="Q454:R454"/>
    <mergeCell ref="Q439:R439"/>
    <mergeCell ref="R416:R418"/>
    <mergeCell ref="Y428:Y430"/>
    <mergeCell ref="Y431:Y433"/>
    <mergeCell ref="S431:S433"/>
    <mergeCell ref="R413:R415"/>
    <mergeCell ref="Q444:R444"/>
    <mergeCell ref="D452:H452"/>
    <mergeCell ref="Q451:R451"/>
    <mergeCell ref="Q448:R448"/>
    <mergeCell ref="Q445:R445"/>
    <mergeCell ref="D446:H446"/>
    <mergeCell ref="U373:U375"/>
    <mergeCell ref="Y416:Y418"/>
    <mergeCell ref="Y419:Y421"/>
    <mergeCell ref="Y382:Y384"/>
    <mergeCell ref="Y413:Y415"/>
    <mergeCell ref="U376:U378"/>
    <mergeCell ref="U428:U430"/>
    <mergeCell ref="D436:H436"/>
    <mergeCell ref="Y422:Y424"/>
    <mergeCell ref="Y379:Y381"/>
    <mergeCell ref="Y373:Y375"/>
    <mergeCell ref="S413:S415"/>
    <mergeCell ref="U413:U415"/>
    <mergeCell ref="U419:U421"/>
    <mergeCell ref="U422:U424"/>
    <mergeCell ref="S419:S421"/>
    <mergeCell ref="D449:H449"/>
    <mergeCell ref="Q441:R441"/>
    <mergeCell ref="D443:H443"/>
    <mergeCell ref="A358:A360"/>
    <mergeCell ref="B425:B427"/>
    <mergeCell ref="B422:B424"/>
    <mergeCell ref="B434:C434"/>
    <mergeCell ref="B431:B433"/>
    <mergeCell ref="B435:C435"/>
    <mergeCell ref="B413:B415"/>
    <mergeCell ref="B416:B418"/>
    <mergeCell ref="B428:B430"/>
    <mergeCell ref="B382:B384"/>
    <mergeCell ref="B419:B421"/>
    <mergeCell ref="B373:B375"/>
    <mergeCell ref="B361:B363"/>
    <mergeCell ref="R358:R360"/>
    <mergeCell ref="B358:B360"/>
    <mergeCell ref="B379:B381"/>
    <mergeCell ref="B364:B366"/>
    <mergeCell ref="B370:B372"/>
    <mergeCell ref="R361:R363"/>
    <mergeCell ref="B367:B369"/>
    <mergeCell ref="B376:B378"/>
    <mergeCell ref="A72:A74"/>
    <mergeCell ref="A144:A146"/>
    <mergeCell ref="A147:A149"/>
    <mergeCell ref="A422:A424"/>
    <mergeCell ref="A370:A372"/>
    <mergeCell ref="A373:A375"/>
    <mergeCell ref="A376:A378"/>
    <mergeCell ref="A382:A384"/>
    <mergeCell ref="A200:A202"/>
    <mergeCell ref="A203:A205"/>
    <mergeCell ref="A416:A418"/>
    <mergeCell ref="A419:A421"/>
    <mergeCell ref="A279:A281"/>
    <mergeCell ref="A355:A357"/>
    <mergeCell ref="A234:A236"/>
    <mergeCell ref="A150:A152"/>
    <mergeCell ref="A153:A155"/>
    <mergeCell ref="A4:A6"/>
    <mergeCell ref="A39:A41"/>
    <mergeCell ref="A42:A44"/>
    <mergeCell ref="A132:A134"/>
    <mergeCell ref="A135:A137"/>
    <mergeCell ref="A352:A354"/>
    <mergeCell ref="A276:A278"/>
    <mergeCell ref="A185:A187"/>
    <mergeCell ref="A191:A193"/>
    <mergeCell ref="A60:A62"/>
    <mergeCell ref="A63:A65"/>
    <mergeCell ref="A66:A68"/>
    <mergeCell ref="A138:A140"/>
    <mergeCell ref="A141:A143"/>
    <mergeCell ref="A197:A199"/>
    <mergeCell ref="A188:A190"/>
    <mergeCell ref="A273:A275"/>
    <mergeCell ref="A129:A131"/>
    <mergeCell ref="A69:A71"/>
    <mergeCell ref="A182:A184"/>
    <mergeCell ref="A75:A77"/>
    <mergeCell ref="A267:A269"/>
    <mergeCell ref="A270:A272"/>
    <mergeCell ref="A231:A233"/>
    <mergeCell ref="R234:R236"/>
    <mergeCell ref="R279:R281"/>
    <mergeCell ref="S276:S278"/>
    <mergeCell ref="B349:B351"/>
    <mergeCell ref="U431:U433"/>
    <mergeCell ref="D437:H437"/>
    <mergeCell ref="A428:A430"/>
    <mergeCell ref="A431:A433"/>
    <mergeCell ref="D440:H440"/>
    <mergeCell ref="Q438:R438"/>
    <mergeCell ref="B436:C436"/>
    <mergeCell ref="V428:V430"/>
    <mergeCell ref="U279:U281"/>
    <mergeCell ref="U270:U272"/>
    <mergeCell ref="U379:U381"/>
    <mergeCell ref="R379:R381"/>
    <mergeCell ref="U370:U372"/>
    <mergeCell ref="S361:S363"/>
    <mergeCell ref="S373:S375"/>
    <mergeCell ref="R355:R357"/>
    <mergeCell ref="R373:R375"/>
    <mergeCell ref="R376:R378"/>
    <mergeCell ref="B352:B354"/>
    <mergeCell ref="R352:R354"/>
    <mergeCell ref="B355:B357"/>
    <mergeCell ref="A425:A427"/>
    <mergeCell ref="S376:S378"/>
    <mergeCell ref="S379:S381"/>
    <mergeCell ref="A364:A366"/>
    <mergeCell ref="A367:A369"/>
    <mergeCell ref="A413:A415"/>
    <mergeCell ref="A349:A351"/>
    <mergeCell ref="A361:A363"/>
    <mergeCell ref="A379:A381"/>
    <mergeCell ref="R367:R369"/>
    <mergeCell ref="R349:R351"/>
    <mergeCell ref="R364:R366"/>
    <mergeCell ref="R270:R272"/>
    <mergeCell ref="A194:A196"/>
    <mergeCell ref="R191:R193"/>
    <mergeCell ref="R258:R260"/>
    <mergeCell ref="R200:R202"/>
    <mergeCell ref="R194:R196"/>
    <mergeCell ref="U144:U146"/>
    <mergeCell ref="U147:U149"/>
    <mergeCell ref="Y185:Y187"/>
    <mergeCell ref="U200:U202"/>
    <mergeCell ref="Y188:Y190"/>
    <mergeCell ref="U234:U236"/>
    <mergeCell ref="V234:V236"/>
    <mergeCell ref="U237:U239"/>
    <mergeCell ref="A258:A260"/>
    <mergeCell ref="A237:A239"/>
    <mergeCell ref="A240:A242"/>
    <mergeCell ref="R276:R278"/>
    <mergeCell ref="U273:U275"/>
    <mergeCell ref="S267:S269"/>
    <mergeCell ref="S234:S236"/>
    <mergeCell ref="Y231:Y233"/>
    <mergeCell ref="Y194:Y196"/>
    <mergeCell ref="Y147:Y149"/>
    <mergeCell ref="Y153:Y155"/>
    <mergeCell ref="Y197:Y199"/>
    <mergeCell ref="Y200:Y202"/>
    <mergeCell ref="V370:V372"/>
    <mergeCell ref="V373:V375"/>
    <mergeCell ref="V364:V366"/>
    <mergeCell ref="V273:V275"/>
    <mergeCell ref="V276:V278"/>
  </mergeCells>
  <phoneticPr fontId="4" type="noConversion"/>
  <conditionalFormatting sqref="AT443:AT457">
    <cfRule type="expression" dxfId="65" priority="248" stopIfTrue="1">
      <formula>$AR443="закрыт"</formula>
    </cfRule>
  </conditionalFormatting>
  <conditionalFormatting sqref="AT446:AT457">
    <cfRule type="expression" dxfId="64" priority="245" stopIfTrue="1">
      <formula>$AR446="закрыт"</formula>
    </cfRule>
  </conditionalFormatting>
  <conditionalFormatting sqref="AT449:AT457">
    <cfRule type="expression" dxfId="63" priority="243" stopIfTrue="1">
      <formula>$AR449="закрыт"</formula>
    </cfRule>
  </conditionalFormatting>
  <conditionalFormatting sqref="AT437:AT439">
    <cfRule type="expression" dxfId="62" priority="242" stopIfTrue="1">
      <formula>$AR437="закрыт"</formula>
    </cfRule>
  </conditionalFormatting>
  <conditionalFormatting sqref="AT437:AT439">
    <cfRule type="expression" dxfId="61" priority="241" stopIfTrue="1">
      <formula>$AR437="закрыт"</formula>
    </cfRule>
  </conditionalFormatting>
  <conditionalFormatting sqref="AT437:AT439">
    <cfRule type="expression" dxfId="60" priority="240" stopIfTrue="1">
      <formula>$AR437="закрыт"</formula>
    </cfRule>
  </conditionalFormatting>
  <conditionalFormatting sqref="AT440:AT442">
    <cfRule type="expression" dxfId="59" priority="239" stopIfTrue="1">
      <formula>$AR440="закрыт"</formula>
    </cfRule>
  </conditionalFormatting>
  <conditionalFormatting sqref="AT440:AT442">
    <cfRule type="expression" dxfId="58" priority="238" stopIfTrue="1">
      <formula>$AR440="закрыт"</formula>
    </cfRule>
  </conditionalFormatting>
  <conditionalFormatting sqref="AT440:AT442">
    <cfRule type="expression" dxfId="57" priority="237" stopIfTrue="1">
      <formula>$AR440="закрыт"</formula>
    </cfRule>
  </conditionalFormatting>
  <conditionalFormatting sqref="AT443:AT445">
    <cfRule type="expression" dxfId="56" priority="236" stopIfTrue="1">
      <formula>$AR443="закрыт"</formula>
    </cfRule>
  </conditionalFormatting>
  <conditionalFormatting sqref="AT443:AT445">
    <cfRule type="expression" dxfId="55" priority="235" stopIfTrue="1">
      <formula>$AR443="закрыт"</formula>
    </cfRule>
  </conditionalFormatting>
  <conditionalFormatting sqref="AT443:AT445">
    <cfRule type="expression" dxfId="54" priority="234" stopIfTrue="1">
      <formula>$AR443="закрыт"</formula>
    </cfRule>
  </conditionalFormatting>
  <conditionalFormatting sqref="AT452:AT457">
    <cfRule type="expression" dxfId="53" priority="233" stopIfTrue="1">
      <formula>$AR452="закрыт"</formula>
    </cfRule>
  </conditionalFormatting>
  <conditionalFormatting sqref="AT455:AT457">
    <cfRule type="expression" dxfId="52" priority="232" stopIfTrue="1">
      <formula>$AR455="закрыт"</formula>
    </cfRule>
  </conditionalFormatting>
  <conditionalFormatting sqref="X61:X63">
    <cfRule type="expression" dxfId="51" priority="55" stopIfTrue="1">
      <formula>$T61="закрыт"</formula>
    </cfRule>
  </conditionalFormatting>
  <conditionalFormatting sqref="R261:R433 R8:R258 A8:Q433 V8:W433 U8:U45 U48:U433 T8:T433 S8:S361 S364:S433">
    <cfRule type="expression" dxfId="50" priority="33" stopIfTrue="1">
      <formula>$T8="закрыт"</formula>
    </cfRule>
  </conditionalFormatting>
  <conditionalFormatting sqref="AQ352:AQ355 AQ422:AQ433 AQ364:AQ419 AQ358:AQ361 AQ261:AQ349 AQ197:AQ200 AQ8:AQ39 AQ42 AQ45 AQ48:AQ194 AQ203:AQ258 Y8:AA433 AB8:AF319 AB321:AF433 AG8:AK433 AM8:AP433">
    <cfRule type="expression" dxfId="49" priority="29" stopIfTrue="1">
      <formula>$AR8="закрыт"</formula>
    </cfRule>
  </conditionalFormatting>
  <conditionalFormatting sqref="AL8:AL433">
    <cfRule type="expression" dxfId="48" priority="28" stopIfTrue="1">
      <formula>$AR8="закрыт"</formula>
    </cfRule>
  </conditionalFormatting>
  <conditionalFormatting sqref="L257:L261">
    <cfRule type="expression" dxfId="47" priority="27" stopIfTrue="1">
      <formula>$T257="закрыт"</formula>
    </cfRule>
  </conditionalFormatting>
  <conditionalFormatting sqref="L265:L274">
    <cfRule type="expression" dxfId="46" priority="26" stopIfTrue="1">
      <formula>$T265="закрыт"</formula>
    </cfRule>
  </conditionalFormatting>
  <conditionalFormatting sqref="L282:L433">
    <cfRule type="expression" dxfId="45" priority="25" stopIfTrue="1">
      <formula>$T282="закрыт"</formula>
    </cfRule>
  </conditionalFormatting>
  <conditionalFormatting sqref="L282:L384">
    <cfRule type="expression" dxfId="44" priority="24" stopIfTrue="1">
      <formula>$T282="закрыт"</formula>
    </cfRule>
  </conditionalFormatting>
  <conditionalFormatting sqref="L385:L433">
    <cfRule type="expression" dxfId="43" priority="23" stopIfTrue="1">
      <formula>$T385="закрыт"</formula>
    </cfRule>
  </conditionalFormatting>
  <conditionalFormatting sqref="W244:W248 W8:W242">
    <cfRule type="expression" dxfId="42" priority="22" stopIfTrue="1">
      <formula>$T8="закрыт"</formula>
    </cfRule>
  </conditionalFormatting>
  <conditionalFormatting sqref="V8:V433 W250:W433">
    <cfRule type="expression" dxfId="41" priority="21" stopIfTrue="1">
      <formula>$T8="закрыт"</formula>
    </cfRule>
  </conditionalFormatting>
  <conditionalFormatting sqref="W249">
    <cfRule type="expression" dxfId="40" priority="20" stopIfTrue="1">
      <formula>$T243="закрыт"</formula>
    </cfRule>
  </conditionalFormatting>
  <conditionalFormatting sqref="V8:V77">
    <cfRule type="expression" dxfId="39" priority="19" stopIfTrue="1">
      <formula>$T8="закрыт"</formula>
    </cfRule>
  </conditionalFormatting>
  <conditionalFormatting sqref="W8:W77">
    <cfRule type="expression" dxfId="38" priority="18" stopIfTrue="1">
      <formula>$T8="закрыт"</formula>
    </cfRule>
  </conditionalFormatting>
  <conditionalFormatting sqref="V206:W242">
    <cfRule type="expression" dxfId="37" priority="17" stopIfTrue="1">
      <formula>$T206="закрыт"</formula>
    </cfRule>
  </conditionalFormatting>
  <conditionalFormatting sqref="V156:W205">
    <cfRule type="expression" dxfId="36" priority="16" stopIfTrue="1">
      <formula>$T156="ЦП закрыт"</formula>
    </cfRule>
  </conditionalFormatting>
  <conditionalFormatting sqref="W156:W205">
    <cfRule type="expression" dxfId="35" priority="15" stopIfTrue="1">
      <formula>$T156="ЦП закрыт"</formula>
    </cfRule>
  </conditionalFormatting>
  <conditionalFormatting sqref="V206:W242">
    <cfRule type="expression" dxfId="34" priority="14" stopIfTrue="1">
      <formula>$T206="закрыт"</formula>
    </cfRule>
  </conditionalFormatting>
  <conditionalFormatting sqref="V385:W433">
    <cfRule type="expression" dxfId="33" priority="13" stopIfTrue="1">
      <formula>$T385="закрыт"</formula>
    </cfRule>
  </conditionalFormatting>
  <conditionalFormatting sqref="V156:W205">
    <cfRule type="expression" dxfId="32" priority="12" stopIfTrue="1">
      <formula>$T156="ЦП закрыт"</formula>
    </cfRule>
  </conditionalFormatting>
  <conditionalFormatting sqref="V78:V155">
    <cfRule type="expression" dxfId="31" priority="11" stopIfTrue="1">
      <formula>$T78="закрыт"</formula>
    </cfRule>
  </conditionalFormatting>
  <conditionalFormatting sqref="W78:W96">
    <cfRule type="expression" dxfId="30" priority="10" stopIfTrue="1">
      <formula>$T78="ЦП закрыт"</formula>
    </cfRule>
  </conditionalFormatting>
  <conditionalFormatting sqref="W78:W96">
    <cfRule type="expression" dxfId="29" priority="9" stopIfTrue="1">
      <formula>$T78="ЦП закрыт"</formula>
    </cfRule>
  </conditionalFormatting>
  <conditionalFormatting sqref="W78:W96">
    <cfRule type="expression" dxfId="28" priority="8" stopIfTrue="1">
      <formula>$T78="ЦП закрыт"</formula>
    </cfRule>
  </conditionalFormatting>
  <conditionalFormatting sqref="W98">
    <cfRule type="expression" dxfId="27" priority="7" stopIfTrue="1">
      <formula>$T98="ЦП закрыт"</formula>
    </cfRule>
  </conditionalFormatting>
  <conditionalFormatting sqref="W98">
    <cfRule type="expression" dxfId="26" priority="6" stopIfTrue="1">
      <formula>$T98="ЦП закрыт"</formula>
    </cfRule>
  </conditionalFormatting>
  <conditionalFormatting sqref="W98">
    <cfRule type="expression" dxfId="25" priority="5" stopIfTrue="1">
      <formula>$T98="ЦП закрыт"</formula>
    </cfRule>
  </conditionalFormatting>
  <conditionalFormatting sqref="W100:W128">
    <cfRule type="expression" dxfId="24" priority="4" stopIfTrue="1">
      <formula>$T100="ЦП закрыт"</formula>
    </cfRule>
  </conditionalFormatting>
  <conditionalFormatting sqref="W100:W128">
    <cfRule type="expression" dxfId="23" priority="3" stopIfTrue="1">
      <formula>$T100="ЦП закрыт"</formula>
    </cfRule>
  </conditionalFormatting>
  <conditionalFormatting sqref="W100:W128">
    <cfRule type="expression" dxfId="22" priority="2" stopIfTrue="1">
      <formula>$T100="ЦП закрыт"</formula>
    </cfRule>
  </conditionalFormatting>
  <conditionalFormatting sqref="AB8:AF319 AB321:AF433">
    <cfRule type="expression" dxfId="21" priority="1" stopIfTrue="1">
      <formula>$T8="закрыт"</formula>
    </cfRule>
  </conditionalFormatting>
  <dataValidations disablePrompts="1" count="1">
    <dataValidation type="whole" operator="equal" allowBlank="1" showInputMessage="1" showErrorMessage="1" sqref="F458">
      <formula1>F434</formula1>
    </dataValidation>
  </dataValidations>
  <pageMargins left="0.39370078740157483" right="0.39370078740157483" top="0.39370078740157483" bottom="0.39370078740157483" header="0.39370078740157483" footer="0.39370078740157483"/>
  <pageSetup paperSize="8" scale="34" orientation="landscape" r:id="rId1"/>
  <headerFooter alignWithMargins="0"/>
  <ignoredErrors>
    <ignoredError sqref="M385:M389 AH385:AI394 AH413:AH433 Q385:S433 AN385:AO412 AH395:AJ401 P385:P397 AP385:AP433 AQ8:AQ225 M391:M433 AQ227:AQ433 AB385:AF430 AB431:AD433 P399:P401 P403:P433 AH403:AJ412 AH402" unlockedFormula="1"/>
    <ignoredError sqref="AI413 AI414:AJ418 AI433 AN413:AO433 AI420:AJ432 AI419" formula="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W1364"/>
  <sheetViews>
    <sheetView zoomScale="70" zoomScaleNormal="70" workbookViewId="0">
      <pane xSplit="1" ySplit="6" topLeftCell="B567" activePane="bottomRight" state="frozen"/>
      <selection pane="topRight" activeCell="B1" sqref="B1"/>
      <selection pane="bottomLeft" activeCell="A7" sqref="A7"/>
      <selection pane="bottomRight" activeCell="G287" sqref="G287"/>
    </sheetView>
  </sheetViews>
  <sheetFormatPr defaultColWidth="13.7109375" defaultRowHeight="15" x14ac:dyDescent="0.25"/>
  <cols>
    <col min="1" max="1" width="31.28515625" style="135" customWidth="1"/>
    <col min="2" max="2" width="8.85546875" style="135" customWidth="1"/>
    <col min="3" max="3" width="5.5703125" style="135" customWidth="1"/>
    <col min="4" max="5" width="6.7109375" style="135" customWidth="1"/>
    <col min="6" max="6" width="6.42578125" style="135" customWidth="1"/>
    <col min="7" max="11" width="13.7109375" style="135" customWidth="1"/>
    <col min="12" max="12" width="13.7109375" style="185" customWidth="1"/>
    <col min="13" max="13" width="27.7109375" style="135" customWidth="1"/>
    <col min="14" max="14" width="18.5703125" style="135" customWidth="1"/>
    <col min="15" max="17" width="13.7109375" style="135" customWidth="1"/>
    <col min="18" max="18" width="13.7109375" style="67" customWidth="1"/>
    <col min="19" max="16384" width="13.7109375" style="3"/>
  </cols>
  <sheetData>
    <row r="1" spans="1:23" ht="15.75" customHeight="1" x14ac:dyDescent="0.25">
      <c r="A1" s="1723" t="s">
        <v>2238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</row>
    <row r="2" spans="1:23" ht="15" customHeight="1" x14ac:dyDescent="0.25">
      <c r="A2" s="1737" t="s">
        <v>331</v>
      </c>
      <c r="B2" s="1529" t="s">
        <v>1786</v>
      </c>
      <c r="C2" s="1530"/>
      <c r="D2" s="1530"/>
      <c r="E2" s="1530"/>
      <c r="F2" s="1531"/>
      <c r="G2" s="1740" t="s">
        <v>1841</v>
      </c>
      <c r="H2" s="1741"/>
      <c r="I2" s="1741"/>
      <c r="J2" s="1741"/>
      <c r="K2" s="1741"/>
      <c r="L2" s="1577"/>
      <c r="M2" s="1740" t="s">
        <v>1842</v>
      </c>
      <c r="N2" s="1741"/>
      <c r="O2" s="1741"/>
      <c r="P2" s="1741"/>
      <c r="Q2" s="1577"/>
      <c r="R2" s="1489" t="s">
        <v>2535</v>
      </c>
      <c r="S2" s="1489"/>
      <c r="T2" s="1489"/>
      <c r="U2" s="1489"/>
      <c r="V2" s="1489"/>
      <c r="W2" s="1489"/>
    </row>
    <row r="3" spans="1:23" ht="15" customHeight="1" x14ac:dyDescent="0.25">
      <c r="A3" s="1738"/>
      <c r="B3" s="1532"/>
      <c r="C3" s="1492"/>
      <c r="D3" s="1492"/>
      <c r="E3" s="1492"/>
      <c r="F3" s="1533"/>
      <c r="G3" s="1529" t="s">
        <v>1845</v>
      </c>
      <c r="H3" s="1530"/>
      <c r="I3" s="1530"/>
      <c r="J3" s="1530"/>
      <c r="K3" s="1530"/>
      <c r="L3" s="1531"/>
      <c r="M3" s="1529" t="s">
        <v>1846</v>
      </c>
      <c r="N3" s="1530"/>
      <c r="O3" s="1530"/>
      <c r="P3" s="1530"/>
      <c r="Q3" s="1531"/>
      <c r="R3" s="1490" t="s">
        <v>2536</v>
      </c>
      <c r="S3" s="1489"/>
      <c r="T3" s="1489"/>
      <c r="U3" s="1489"/>
      <c r="V3" s="1489"/>
      <c r="W3" s="1489"/>
    </row>
    <row r="4" spans="1:23" x14ac:dyDescent="0.25">
      <c r="A4" s="1738"/>
      <c r="B4" s="1532"/>
      <c r="C4" s="1492"/>
      <c r="D4" s="1492"/>
      <c r="E4" s="1492"/>
      <c r="F4" s="1533"/>
      <c r="G4" s="1534"/>
      <c r="H4" s="1535"/>
      <c r="I4" s="1535"/>
      <c r="J4" s="1535"/>
      <c r="K4" s="1535"/>
      <c r="L4" s="1536"/>
      <c r="M4" s="1534"/>
      <c r="N4" s="1535"/>
      <c r="O4" s="1535"/>
      <c r="P4" s="1535"/>
      <c r="Q4" s="1536"/>
      <c r="R4" s="1489"/>
      <c r="S4" s="1489"/>
      <c r="T4" s="1489"/>
      <c r="U4" s="1489"/>
      <c r="V4" s="1489"/>
      <c r="W4" s="1489"/>
    </row>
    <row r="5" spans="1:23" ht="58.5" customHeight="1" x14ac:dyDescent="0.25">
      <c r="A5" s="1739"/>
      <c r="B5" s="1534"/>
      <c r="C5" s="1535"/>
      <c r="D5" s="1535"/>
      <c r="E5" s="1535"/>
      <c r="F5" s="1536"/>
      <c r="G5" s="143" t="s">
        <v>1849</v>
      </c>
      <c r="H5" s="143" t="s">
        <v>1855</v>
      </c>
      <c r="I5" s="143" t="s">
        <v>1851</v>
      </c>
      <c r="J5" s="143" t="s">
        <v>1852</v>
      </c>
      <c r="K5" s="143" t="s">
        <v>1853</v>
      </c>
      <c r="L5" s="142" t="s">
        <v>1854</v>
      </c>
      <c r="M5" s="143" t="s">
        <v>1849</v>
      </c>
      <c r="N5" s="143" t="s">
        <v>1855</v>
      </c>
      <c r="O5" s="143" t="s">
        <v>1852</v>
      </c>
      <c r="P5" s="143" t="s">
        <v>1853</v>
      </c>
      <c r="Q5" s="143" t="s">
        <v>1854</v>
      </c>
      <c r="R5" s="143" t="s">
        <v>1849</v>
      </c>
      <c r="S5" s="143" t="s">
        <v>1855</v>
      </c>
      <c r="T5" s="143" t="s">
        <v>1851</v>
      </c>
      <c r="U5" s="143" t="s">
        <v>1852</v>
      </c>
      <c r="V5" s="143" t="s">
        <v>1853</v>
      </c>
      <c r="W5" s="142" t="s">
        <v>1854</v>
      </c>
    </row>
    <row r="6" spans="1:23" ht="15.75" thickBot="1" x14ac:dyDescent="0.3">
      <c r="A6" s="205">
        <v>1</v>
      </c>
      <c r="B6" s="1529">
        <v>2</v>
      </c>
      <c r="C6" s="1530"/>
      <c r="D6" s="1530"/>
      <c r="E6" s="1530"/>
      <c r="F6" s="1531"/>
      <c r="G6" s="183">
        <v>3</v>
      </c>
      <c r="H6" s="183">
        <v>4</v>
      </c>
      <c r="I6" s="183">
        <v>5</v>
      </c>
      <c r="J6" s="183">
        <v>6</v>
      </c>
      <c r="K6" s="183">
        <v>7</v>
      </c>
      <c r="L6" s="91">
        <v>8</v>
      </c>
      <c r="M6" s="183">
        <v>9</v>
      </c>
      <c r="N6" s="183">
        <v>10</v>
      </c>
      <c r="O6" s="183">
        <v>11</v>
      </c>
      <c r="P6" s="183">
        <v>12</v>
      </c>
      <c r="Q6" s="183">
        <v>13</v>
      </c>
      <c r="R6" s="183">
        <v>3</v>
      </c>
      <c r="S6" s="183">
        <v>4</v>
      </c>
      <c r="T6" s="183">
        <v>5</v>
      </c>
      <c r="U6" s="183">
        <v>6</v>
      </c>
      <c r="V6" s="183">
        <v>7</v>
      </c>
      <c r="W6" s="91">
        <v>8</v>
      </c>
    </row>
    <row r="7" spans="1:23" ht="20.100000000000001" customHeight="1" x14ac:dyDescent="0.25">
      <c r="A7" s="1743" t="str">
        <f>'Расчет ЦП - общая форма'!C282</f>
        <v xml:space="preserve">ПС 110/10 кВ Золоотвал </v>
      </c>
      <c r="B7" s="1721">
        <f>'Расчет ЦП - общая форма'!D282</f>
        <v>2.5</v>
      </c>
      <c r="C7" s="391"/>
      <c r="D7" s="391"/>
      <c r="E7" s="391"/>
      <c r="F7" s="392"/>
      <c r="G7" s="1720" t="s">
        <v>1989</v>
      </c>
      <c r="H7" s="1720"/>
      <c r="I7" s="1720"/>
      <c r="J7" s="1720"/>
      <c r="K7" s="1720"/>
      <c r="L7" s="1688"/>
      <c r="M7" s="42"/>
      <c r="N7" s="42"/>
      <c r="O7" s="42"/>
      <c r="P7" s="42"/>
      <c r="Q7" s="42"/>
      <c r="R7" s="1729"/>
      <c r="S7" s="1729"/>
      <c r="T7" s="1729"/>
      <c r="U7" s="1729"/>
      <c r="V7" s="1729"/>
      <c r="W7" s="1697"/>
    </row>
    <row r="8" spans="1:23" ht="20.100000000000001" customHeight="1" x14ac:dyDescent="0.25">
      <c r="A8" s="1540"/>
      <c r="B8" s="1501"/>
      <c r="C8" s="403"/>
      <c r="D8" s="403"/>
      <c r="E8" s="403"/>
      <c r="F8" s="404"/>
      <c r="G8" s="184" t="s">
        <v>1670</v>
      </c>
      <c r="H8" s="143" t="s">
        <v>1671</v>
      </c>
      <c r="I8" s="42" t="s">
        <v>1672</v>
      </c>
      <c r="J8" s="143">
        <v>1.5</v>
      </c>
      <c r="K8" s="142"/>
      <c r="L8" s="142"/>
      <c r="M8" s="42" t="s">
        <v>1668</v>
      </c>
      <c r="N8" s="42" t="s">
        <v>1669</v>
      </c>
      <c r="O8" s="42">
        <v>0.6</v>
      </c>
      <c r="P8" s="42"/>
      <c r="Q8" s="42"/>
      <c r="R8" s="262" t="s">
        <v>1666</v>
      </c>
      <c r="S8" s="42" t="s">
        <v>1667</v>
      </c>
      <c r="T8" s="42" t="s">
        <v>3327</v>
      </c>
      <c r="U8" s="42">
        <v>0.6</v>
      </c>
      <c r="V8" s="142"/>
      <c r="W8" s="142"/>
    </row>
    <row r="9" spans="1:23" ht="17.25" customHeight="1" x14ac:dyDescent="0.25">
      <c r="A9" s="401"/>
      <c r="B9" s="1501"/>
      <c r="C9" s="403"/>
      <c r="D9" s="403"/>
      <c r="E9" s="403"/>
      <c r="F9" s="404"/>
      <c r="G9" s="1663" t="s">
        <v>1988</v>
      </c>
      <c r="H9" s="1663"/>
      <c r="I9" s="1663"/>
      <c r="J9" s="1663"/>
      <c r="K9" s="1663"/>
      <c r="L9" s="1664"/>
      <c r="M9" s="2"/>
      <c r="N9" s="2"/>
      <c r="O9" s="2"/>
      <c r="P9" s="42"/>
      <c r="Q9" s="42"/>
      <c r="R9" s="293"/>
      <c r="S9" s="293"/>
      <c r="T9" s="293"/>
      <c r="U9" s="293"/>
      <c r="V9" s="293"/>
      <c r="W9" s="293"/>
    </row>
    <row r="10" spans="1:23" ht="20.100000000000001" customHeight="1" x14ac:dyDescent="0.25">
      <c r="A10" s="401"/>
      <c r="B10" s="1501"/>
      <c r="C10" s="403"/>
      <c r="D10" s="403"/>
      <c r="E10" s="403"/>
      <c r="F10" s="404"/>
      <c r="G10" s="262"/>
      <c r="H10" s="42"/>
      <c r="I10" s="42"/>
      <c r="J10" s="42"/>
      <c r="K10" s="143"/>
      <c r="L10" s="142"/>
      <c r="M10" s="143" t="s">
        <v>1673</v>
      </c>
      <c r="N10" s="143" t="s">
        <v>1674</v>
      </c>
      <c r="O10" s="143">
        <v>0.4</v>
      </c>
      <c r="P10" s="143"/>
      <c r="Q10" s="143"/>
      <c r="R10" s="142"/>
      <c r="S10" s="142"/>
      <c r="T10" s="142"/>
      <c r="U10" s="142"/>
      <c r="V10" s="142"/>
      <c r="W10" s="142"/>
    </row>
    <row r="11" spans="1:23" ht="20.100000000000001" customHeight="1" x14ac:dyDescent="0.25">
      <c r="A11" s="401"/>
      <c r="B11" s="1501"/>
      <c r="C11" s="403"/>
      <c r="D11" s="403"/>
      <c r="E11" s="403"/>
      <c r="F11" s="404"/>
      <c r="G11" s="1663" t="s">
        <v>2512</v>
      </c>
      <c r="H11" s="1663"/>
      <c r="I11" s="1663"/>
      <c r="J11" s="1663"/>
      <c r="K11" s="1663"/>
      <c r="L11" s="1664"/>
      <c r="M11" s="143" t="s">
        <v>1675</v>
      </c>
      <c r="N11" s="143" t="s">
        <v>1676</v>
      </c>
      <c r="O11" s="143">
        <v>4.2000000000000003E-2</v>
      </c>
      <c r="P11" s="143"/>
      <c r="Q11" s="143"/>
      <c r="R11" s="142"/>
      <c r="S11" s="142"/>
      <c r="T11" s="362"/>
      <c r="U11" s="142"/>
      <c r="V11" s="142"/>
      <c r="W11" s="142"/>
    </row>
    <row r="12" spans="1:23" ht="20.100000000000001" customHeight="1" x14ac:dyDescent="0.25">
      <c r="A12" s="629"/>
      <c r="B12" s="631"/>
      <c r="C12" s="632"/>
      <c r="D12" s="632"/>
      <c r="E12" s="632"/>
      <c r="F12" s="628"/>
      <c r="G12" s="2" t="s">
        <v>2609</v>
      </c>
      <c r="H12" s="2" t="s">
        <v>2610</v>
      </c>
      <c r="I12" s="143" t="s">
        <v>2673</v>
      </c>
      <c r="J12" s="2">
        <v>0.27654000000000001</v>
      </c>
      <c r="K12" s="2"/>
      <c r="L12" s="142"/>
      <c r="M12" s="154" t="s">
        <v>309</v>
      </c>
      <c r="N12" s="154" t="s">
        <v>1492</v>
      </c>
      <c r="O12" s="151">
        <v>0.55000000000000004</v>
      </c>
      <c r="P12" s="151"/>
      <c r="Q12" s="151"/>
      <c r="R12" s="142"/>
      <c r="S12" s="142"/>
      <c r="T12" s="362"/>
      <c r="U12" s="142"/>
      <c r="V12" s="142"/>
      <c r="W12" s="142"/>
    </row>
    <row r="13" spans="1:23" ht="20.100000000000001" customHeight="1" x14ac:dyDescent="0.25">
      <c r="A13" s="629"/>
      <c r="B13" s="631"/>
      <c r="C13" s="632"/>
      <c r="D13" s="632"/>
      <c r="E13" s="632"/>
      <c r="F13" s="628"/>
      <c r="G13" s="2" t="s">
        <v>2611</v>
      </c>
      <c r="H13" s="2" t="s">
        <v>2612</v>
      </c>
      <c r="I13" s="143" t="s">
        <v>2674</v>
      </c>
      <c r="J13" s="143">
        <v>0.1</v>
      </c>
      <c r="K13" s="151"/>
      <c r="L13" s="149"/>
      <c r="M13" s="2"/>
      <c r="N13" s="2"/>
      <c r="O13" s="2"/>
      <c r="P13" s="151"/>
      <c r="Q13" s="151"/>
      <c r="R13" s="142"/>
      <c r="S13" s="142"/>
      <c r="T13" s="362"/>
      <c r="U13" s="142"/>
      <c r="V13" s="142"/>
      <c r="W13" s="142"/>
    </row>
    <row r="14" spans="1:23" ht="20.100000000000001" customHeight="1" x14ac:dyDescent="0.25">
      <c r="A14" s="401"/>
      <c r="B14" s="402"/>
      <c r="C14" s="403"/>
      <c r="D14" s="403"/>
      <c r="E14" s="403"/>
      <c r="F14" s="404"/>
      <c r="G14" s="179"/>
      <c r="H14" s="179"/>
      <c r="I14" s="199"/>
      <c r="J14" s="151"/>
      <c r="K14" s="151"/>
      <c r="L14" s="149"/>
      <c r="M14" s="2"/>
      <c r="N14" s="2"/>
      <c r="O14" s="2"/>
      <c r="P14" s="151"/>
      <c r="Q14" s="151"/>
      <c r="R14" s="142"/>
      <c r="S14" s="142"/>
      <c r="T14" s="362"/>
      <c r="U14" s="142"/>
      <c r="V14" s="142"/>
      <c r="W14" s="142"/>
    </row>
    <row r="15" spans="1:23" ht="20.100000000000001" customHeight="1" thickBot="1" x14ac:dyDescent="0.3">
      <c r="A15" s="405"/>
      <c r="B15" s="394"/>
      <c r="C15" s="395"/>
      <c r="D15" s="395"/>
      <c r="E15" s="395"/>
      <c r="F15" s="396"/>
      <c r="G15" s="1555" t="s">
        <v>1860</v>
      </c>
      <c r="H15" s="1555"/>
      <c r="I15" s="1556"/>
      <c r="J15" s="136">
        <f>SUM(J12:J13)</f>
        <v>0.37653999999999999</v>
      </c>
      <c r="K15" s="183">
        <v>0.8</v>
      </c>
      <c r="L15" s="136">
        <f>J15/K15</f>
        <v>0.47067499999999995</v>
      </c>
      <c r="M15" s="1574" t="s">
        <v>1861</v>
      </c>
      <c r="N15" s="1556"/>
      <c r="O15" s="136">
        <f>SUM(O8:O14)</f>
        <v>1.5920000000000001</v>
      </c>
      <c r="P15" s="183">
        <v>0.8</v>
      </c>
      <c r="Q15" s="136">
        <f>O15/P15</f>
        <v>1.99</v>
      </c>
      <c r="R15" s="1555" t="s">
        <v>1860</v>
      </c>
      <c r="S15" s="1555"/>
      <c r="T15" s="1556"/>
      <c r="U15" s="136">
        <f>SUM(U8:U14)</f>
        <v>0.6</v>
      </c>
      <c r="V15" s="183">
        <v>0.8</v>
      </c>
      <c r="W15" s="136">
        <f>U15/V15</f>
        <v>0.74999999999999989</v>
      </c>
    </row>
    <row r="16" spans="1:23" ht="20.100000000000001" customHeight="1" x14ac:dyDescent="0.25">
      <c r="A16" s="1683" t="str">
        <f>'Расчет ЦП - общая форма'!C283</f>
        <v xml:space="preserve">ПС 35/10 кВ Красногорская </v>
      </c>
      <c r="B16" s="1551">
        <f>'Расчет ЦП - общая форма'!D283</f>
        <v>1.6</v>
      </c>
      <c r="C16" s="399"/>
      <c r="D16" s="399"/>
      <c r="E16" s="399"/>
      <c r="F16" s="400"/>
      <c r="G16" s="1720" t="s">
        <v>2512</v>
      </c>
      <c r="H16" s="1720"/>
      <c r="I16" s="1720"/>
      <c r="J16" s="1720"/>
      <c r="K16" s="1720"/>
      <c r="L16" s="1688"/>
      <c r="M16" s="42" t="s">
        <v>349</v>
      </c>
      <c r="N16" s="42" t="s">
        <v>350</v>
      </c>
      <c r="O16" s="153">
        <v>0.28499999999999998</v>
      </c>
      <c r="P16" s="42"/>
      <c r="Q16" s="42"/>
      <c r="R16" s="72"/>
      <c r="S16" s="72"/>
      <c r="T16" s="72"/>
      <c r="U16" s="72"/>
      <c r="V16" s="42"/>
      <c r="W16" s="72"/>
    </row>
    <row r="17" spans="1:23" ht="20.100000000000001" customHeight="1" x14ac:dyDescent="0.25">
      <c r="A17" s="1540"/>
      <c r="B17" s="1501"/>
      <c r="C17" s="403"/>
      <c r="D17" s="403"/>
      <c r="E17" s="403"/>
      <c r="F17" s="404"/>
      <c r="G17" s="42" t="s">
        <v>511</v>
      </c>
      <c r="H17" s="180" t="s">
        <v>2573</v>
      </c>
      <c r="I17" s="142" t="s">
        <v>2584</v>
      </c>
      <c r="J17" s="151">
        <f>0.045-0.005</f>
        <v>0.04</v>
      </c>
      <c r="K17" s="143"/>
      <c r="L17" s="142"/>
      <c r="M17" s="143" t="s">
        <v>351</v>
      </c>
      <c r="N17" s="143" t="s">
        <v>352</v>
      </c>
      <c r="O17" s="143">
        <v>1.8499999999999999E-2</v>
      </c>
      <c r="P17" s="143"/>
      <c r="Q17" s="143"/>
      <c r="R17" s="142"/>
      <c r="S17" s="142"/>
      <c r="T17" s="142"/>
      <c r="U17" s="142"/>
      <c r="V17" s="143"/>
      <c r="W17" s="142"/>
    </row>
    <row r="18" spans="1:23" ht="20.100000000000001" customHeight="1" x14ac:dyDescent="0.25">
      <c r="A18" s="1540"/>
      <c r="B18" s="1501"/>
      <c r="C18" s="403"/>
      <c r="D18" s="403"/>
      <c r="E18" s="403"/>
      <c r="F18" s="404"/>
      <c r="G18" s="1257"/>
      <c r="H18" s="1258"/>
      <c r="I18" s="1258"/>
      <c r="J18" s="1258"/>
      <c r="K18" s="1258"/>
      <c r="L18" s="1258"/>
      <c r="M18" s="143" t="s">
        <v>2029</v>
      </c>
      <c r="N18" s="143" t="s">
        <v>2030</v>
      </c>
      <c r="O18" s="143">
        <v>0.216</v>
      </c>
      <c r="P18" s="143"/>
      <c r="Q18" s="143"/>
      <c r="R18" s="142"/>
      <c r="S18" s="142"/>
      <c r="T18" s="142"/>
      <c r="U18" s="142"/>
      <c r="V18" s="143"/>
      <c r="W18" s="142"/>
    </row>
    <row r="19" spans="1:23" ht="20.100000000000001" customHeight="1" x14ac:dyDescent="0.25">
      <c r="A19" s="614"/>
      <c r="B19" s="615"/>
      <c r="C19" s="616"/>
      <c r="D19" s="616"/>
      <c r="E19" s="616"/>
      <c r="F19" s="613"/>
      <c r="G19" s="143" t="s">
        <v>511</v>
      </c>
      <c r="H19" s="143" t="s">
        <v>3002</v>
      </c>
      <c r="I19" s="142" t="s">
        <v>3053</v>
      </c>
      <c r="J19" s="143">
        <f>0.16-0.045</f>
        <v>0.115</v>
      </c>
      <c r="K19" s="143"/>
      <c r="L19" s="142"/>
      <c r="M19" s="42" t="s">
        <v>2704</v>
      </c>
      <c r="N19" s="180" t="s">
        <v>2705</v>
      </c>
      <c r="O19" s="151">
        <v>0.1</v>
      </c>
      <c r="P19" s="151"/>
      <c r="Q19" s="151"/>
      <c r="R19" s="147"/>
      <c r="S19" s="363"/>
      <c r="T19" s="176"/>
      <c r="U19" s="149"/>
      <c r="V19" s="151"/>
      <c r="W19" s="149"/>
    </row>
    <row r="20" spans="1:23" ht="20.100000000000001" customHeight="1" x14ac:dyDescent="0.25">
      <c r="A20" s="750"/>
      <c r="B20" s="751"/>
      <c r="C20" s="752"/>
      <c r="D20" s="752"/>
      <c r="E20" s="752"/>
      <c r="F20" s="749"/>
      <c r="G20" s="1663" t="s">
        <v>3069</v>
      </c>
      <c r="H20" s="1663"/>
      <c r="I20" s="1663"/>
      <c r="J20" s="1663"/>
      <c r="K20" s="1663"/>
      <c r="L20" s="1664"/>
      <c r="M20" s="143"/>
      <c r="N20" s="143"/>
      <c r="O20" s="143"/>
      <c r="P20" s="143"/>
      <c r="Q20" s="143"/>
      <c r="R20" s="142"/>
      <c r="S20" s="142"/>
      <c r="T20" s="142"/>
      <c r="U20" s="142"/>
      <c r="V20" s="143"/>
      <c r="W20" s="142"/>
    </row>
    <row r="21" spans="1:23" ht="20.100000000000001" customHeight="1" x14ac:dyDescent="0.25">
      <c r="A21" s="1212"/>
      <c r="B21" s="1210"/>
      <c r="C21" s="1214"/>
      <c r="D21" s="1214"/>
      <c r="E21" s="1214"/>
      <c r="F21" s="1211"/>
      <c r="G21" s="1665" t="s">
        <v>3481</v>
      </c>
      <c r="H21" s="1666"/>
      <c r="I21" s="1667"/>
      <c r="J21" s="786">
        <v>1.706</v>
      </c>
      <c r="K21" s="151"/>
      <c r="L21" s="149"/>
      <c r="M21" s="146"/>
      <c r="N21" s="180"/>
      <c r="O21" s="151"/>
      <c r="P21" s="151"/>
      <c r="Q21" s="151"/>
      <c r="R21" s="147"/>
      <c r="S21" s="363"/>
      <c r="T21" s="176"/>
      <c r="U21" s="149"/>
      <c r="V21" s="151"/>
      <c r="W21" s="149"/>
    </row>
    <row r="22" spans="1:23" ht="20.100000000000001" customHeight="1" thickBot="1" x14ac:dyDescent="0.3">
      <c r="A22" s="405"/>
      <c r="B22" s="394"/>
      <c r="C22" s="395"/>
      <c r="D22" s="395"/>
      <c r="E22" s="395"/>
      <c r="F22" s="396"/>
      <c r="G22" s="1555" t="s">
        <v>1860</v>
      </c>
      <c r="H22" s="1555"/>
      <c r="I22" s="1556"/>
      <c r="J22" s="136">
        <f>SUM(J16:J21)</f>
        <v>1.861</v>
      </c>
      <c r="K22" s="183">
        <v>0.8</v>
      </c>
      <c r="L22" s="136">
        <f>J22/K22</f>
        <v>2.3262499999999999</v>
      </c>
      <c r="M22" s="1574" t="s">
        <v>1861</v>
      </c>
      <c r="N22" s="1556"/>
      <c r="O22" s="136">
        <f>SUM(O16:O20)</f>
        <v>0.61949999999999994</v>
      </c>
      <c r="P22" s="183">
        <v>0.8</v>
      </c>
      <c r="Q22" s="136">
        <f>O22/P22</f>
        <v>0.77437499999999992</v>
      </c>
      <c r="R22" s="1574" t="s">
        <v>1860</v>
      </c>
      <c r="S22" s="1555"/>
      <c r="T22" s="1556"/>
      <c r="U22" s="136">
        <f>SUM(U16:U18)</f>
        <v>0</v>
      </c>
      <c r="V22" s="183">
        <v>0.8</v>
      </c>
      <c r="W22" s="136">
        <f>U22/V22</f>
        <v>0</v>
      </c>
    </row>
    <row r="23" spans="1:23" ht="20.100000000000001" customHeight="1" x14ac:dyDescent="0.25">
      <c r="A23" s="1683" t="str">
        <f>'Расчет ЦП - общая форма'!C284</f>
        <v xml:space="preserve">ПС 35/10 кВ Лисицкий Бор </v>
      </c>
      <c r="B23" s="1551">
        <f>'Расчет ЦП - общая форма'!D284</f>
        <v>2.5</v>
      </c>
      <c r="C23" s="399"/>
      <c r="D23" s="399"/>
      <c r="E23" s="399"/>
      <c r="F23" s="400"/>
      <c r="G23" s="1712" t="s">
        <v>1987</v>
      </c>
      <c r="H23" s="1712"/>
      <c r="I23" s="1712"/>
      <c r="J23" s="1712"/>
      <c r="K23" s="1712"/>
      <c r="L23" s="1702"/>
      <c r="M23" s="143" t="s">
        <v>356</v>
      </c>
      <c r="N23" s="143" t="s">
        <v>357</v>
      </c>
      <c r="O23" s="143">
        <v>0.45400000000000001</v>
      </c>
      <c r="P23" s="149"/>
      <c r="Q23" s="149"/>
      <c r="R23" s="1713"/>
      <c r="S23" s="1691"/>
      <c r="T23" s="1691"/>
      <c r="U23" s="1691"/>
      <c r="V23" s="1691"/>
      <c r="W23" s="1692"/>
    </row>
    <row r="24" spans="1:23" ht="20.100000000000001" customHeight="1" x14ac:dyDescent="0.25">
      <c r="A24" s="1540"/>
      <c r="B24" s="1501"/>
      <c r="C24" s="403"/>
      <c r="D24" s="403"/>
      <c r="E24" s="403"/>
      <c r="F24" s="404"/>
      <c r="G24" s="184" t="s">
        <v>353</v>
      </c>
      <c r="H24" s="143" t="s">
        <v>354</v>
      </c>
      <c r="I24" s="143" t="s">
        <v>355</v>
      </c>
      <c r="J24" s="143">
        <v>0.124</v>
      </c>
      <c r="K24" s="143"/>
      <c r="L24" s="142"/>
      <c r="M24" s="143" t="s">
        <v>358</v>
      </c>
      <c r="N24" s="143" t="s">
        <v>359</v>
      </c>
      <c r="O24" s="143">
        <v>0.24778</v>
      </c>
      <c r="P24" s="143"/>
      <c r="Q24" s="143"/>
      <c r="R24" s="142"/>
      <c r="S24" s="142"/>
      <c r="T24" s="142"/>
      <c r="U24" s="142"/>
      <c r="V24" s="142"/>
      <c r="W24" s="142"/>
    </row>
    <row r="25" spans="1:23" ht="17.25" customHeight="1" x14ac:dyDescent="0.25">
      <c r="A25" s="401"/>
      <c r="B25" s="402"/>
      <c r="C25" s="403"/>
      <c r="D25" s="403"/>
      <c r="E25" s="403"/>
      <c r="F25" s="404"/>
      <c r="G25" s="1664" t="s">
        <v>2061</v>
      </c>
      <c r="H25" s="1709"/>
      <c r="I25" s="1709"/>
      <c r="J25" s="1709"/>
      <c r="K25" s="1709"/>
      <c r="L25" s="1709"/>
      <c r="M25" s="143" t="s">
        <v>4</v>
      </c>
      <c r="N25" s="143" t="s">
        <v>5</v>
      </c>
      <c r="O25" s="143">
        <v>0.38</v>
      </c>
      <c r="P25" s="143"/>
      <c r="Q25" s="143"/>
      <c r="R25" s="1694"/>
      <c r="S25" s="1694"/>
      <c r="T25" s="1694"/>
      <c r="U25" s="1694"/>
      <c r="V25" s="1694"/>
      <c r="W25" s="1694"/>
    </row>
    <row r="26" spans="1:23" ht="29.25" customHeight="1" x14ac:dyDescent="0.25">
      <c r="A26" s="401"/>
      <c r="B26" s="402"/>
      <c r="C26" s="403"/>
      <c r="D26" s="403"/>
      <c r="E26" s="403"/>
      <c r="F26" s="404"/>
      <c r="G26" s="184" t="s">
        <v>360</v>
      </c>
      <c r="H26" s="143" t="s">
        <v>361</v>
      </c>
      <c r="I26" s="215">
        <v>40253</v>
      </c>
      <c r="J26" s="143">
        <v>0.6</v>
      </c>
      <c r="K26" s="143"/>
      <c r="L26" s="142"/>
      <c r="M26" s="143" t="s">
        <v>2167</v>
      </c>
      <c r="N26" s="143" t="s">
        <v>2168</v>
      </c>
      <c r="O26" s="143">
        <v>0.28000000000000003</v>
      </c>
      <c r="P26" s="143"/>
      <c r="Q26" s="143"/>
      <c r="R26" s="142"/>
      <c r="S26" s="142"/>
      <c r="T26" s="216"/>
      <c r="U26" s="142"/>
      <c r="V26" s="142"/>
      <c r="W26" s="142"/>
    </row>
    <row r="27" spans="1:23" ht="20.100000000000001" customHeight="1" x14ac:dyDescent="0.25">
      <c r="A27" s="401"/>
      <c r="B27" s="402"/>
      <c r="C27" s="403"/>
      <c r="D27" s="403"/>
      <c r="E27" s="403"/>
      <c r="F27" s="404"/>
      <c r="G27" s="184" t="s">
        <v>804</v>
      </c>
      <c r="H27" s="143" t="s">
        <v>805</v>
      </c>
      <c r="I27" s="143" t="s">
        <v>2275</v>
      </c>
      <c r="J27" s="143">
        <v>0.1</v>
      </c>
      <c r="K27" s="143"/>
      <c r="L27" s="142"/>
      <c r="M27" s="8"/>
      <c r="N27" s="8"/>
      <c r="O27" s="8"/>
      <c r="P27" s="143"/>
      <c r="Q27" s="143"/>
      <c r="R27" s="142"/>
      <c r="S27" s="142"/>
      <c r="T27" s="142"/>
      <c r="U27" s="142"/>
      <c r="V27" s="142"/>
      <c r="W27" s="142"/>
    </row>
    <row r="28" spans="1:23" ht="20.100000000000001" customHeight="1" x14ac:dyDescent="0.25">
      <c r="A28" s="401"/>
      <c r="B28" s="402"/>
      <c r="C28" s="403"/>
      <c r="D28" s="403"/>
      <c r="E28" s="403"/>
      <c r="F28" s="404"/>
      <c r="G28" s="184" t="s">
        <v>804</v>
      </c>
      <c r="H28" s="143" t="s">
        <v>806</v>
      </c>
      <c r="I28" s="143" t="s">
        <v>2276</v>
      </c>
      <c r="J28" s="143">
        <v>0.1</v>
      </c>
      <c r="K28" s="143"/>
      <c r="L28" s="142"/>
      <c r="M28" s="143"/>
      <c r="N28" s="143"/>
      <c r="O28" s="143"/>
      <c r="P28" s="143"/>
      <c r="Q28" s="143"/>
      <c r="R28" s="142"/>
      <c r="S28" s="142"/>
      <c r="T28" s="142"/>
      <c r="U28" s="142"/>
      <c r="V28" s="142"/>
      <c r="W28" s="142"/>
    </row>
    <row r="29" spans="1:23" ht="20.100000000000001" customHeight="1" x14ac:dyDescent="0.25">
      <c r="A29" s="1212"/>
      <c r="B29" s="1210"/>
      <c r="C29" s="1214"/>
      <c r="D29" s="1214"/>
      <c r="E29" s="1214"/>
      <c r="F29" s="1211"/>
      <c r="G29" s="1664" t="s">
        <v>3069</v>
      </c>
      <c r="H29" s="1709"/>
      <c r="I29" s="1709"/>
      <c r="J29" s="1709"/>
      <c r="K29" s="1709"/>
      <c r="L29" s="1709"/>
      <c r="M29" s="146"/>
      <c r="N29" s="180"/>
      <c r="O29" s="151"/>
      <c r="P29" s="151"/>
      <c r="Q29" s="151"/>
      <c r="R29" s="147"/>
      <c r="S29" s="363"/>
      <c r="T29" s="176"/>
      <c r="U29" s="149"/>
      <c r="V29" s="149"/>
      <c r="W29" s="149"/>
    </row>
    <row r="30" spans="1:23" ht="20.100000000000001" customHeight="1" x14ac:dyDescent="0.25">
      <c r="A30" s="1212"/>
      <c r="B30" s="1210"/>
      <c r="C30" s="1214"/>
      <c r="D30" s="1214"/>
      <c r="E30" s="1214"/>
      <c r="F30" s="1211"/>
      <c r="G30" s="1665" t="s">
        <v>3481</v>
      </c>
      <c r="H30" s="1666"/>
      <c r="I30" s="1667"/>
      <c r="J30" s="786">
        <v>0.55000000000000004</v>
      </c>
      <c r="K30" s="151"/>
      <c r="L30" s="149"/>
      <c r="M30" s="146"/>
      <c r="N30" s="180"/>
      <c r="O30" s="151"/>
      <c r="P30" s="151"/>
      <c r="Q30" s="151"/>
      <c r="R30" s="147"/>
      <c r="S30" s="363"/>
      <c r="T30" s="176"/>
      <c r="U30" s="149"/>
      <c r="V30" s="149"/>
      <c r="W30" s="149"/>
    </row>
    <row r="31" spans="1:23" ht="20.100000000000001" customHeight="1" thickBot="1" x14ac:dyDescent="0.3">
      <c r="A31" s="405"/>
      <c r="B31" s="394"/>
      <c r="C31" s="395"/>
      <c r="D31" s="395"/>
      <c r="E31" s="395"/>
      <c r="F31" s="396"/>
      <c r="G31" s="1555" t="s">
        <v>1860</v>
      </c>
      <c r="H31" s="1555"/>
      <c r="I31" s="1556"/>
      <c r="J31" s="136">
        <f>SUM(J30)</f>
        <v>0.55000000000000004</v>
      </c>
      <c r="K31" s="183">
        <v>0.8</v>
      </c>
      <c r="L31" s="136">
        <f>J31/K31</f>
        <v>0.6875</v>
      </c>
      <c r="M31" s="1574" t="s">
        <v>1861</v>
      </c>
      <c r="N31" s="1556"/>
      <c r="O31" s="136">
        <f>SUM(O23:O26)</f>
        <v>1.3617800000000002</v>
      </c>
      <c r="P31" s="183">
        <v>0.8</v>
      </c>
      <c r="Q31" s="136">
        <f>O31/P31</f>
        <v>1.7022250000000001</v>
      </c>
      <c r="R31" s="1574" t="s">
        <v>1860</v>
      </c>
      <c r="S31" s="1555"/>
      <c r="T31" s="1556"/>
      <c r="U31" s="136">
        <f>SUM(U24:U28)</f>
        <v>0</v>
      </c>
      <c r="V31" s="183">
        <v>0.8</v>
      </c>
      <c r="W31" s="136">
        <f>U31/V31</f>
        <v>0</v>
      </c>
    </row>
    <row r="32" spans="1:23" ht="20.100000000000001" customHeight="1" x14ac:dyDescent="0.25">
      <c r="A32" s="406" t="str">
        <f>'Расчет ЦП - общая форма'!C285</f>
        <v xml:space="preserve">ПС  35/3 кВ №6 </v>
      </c>
      <c r="B32" s="398">
        <f>'Расчет ЦП - общая форма'!D285</f>
        <v>1</v>
      </c>
      <c r="C32" s="399"/>
      <c r="D32" s="399"/>
      <c r="E32" s="399"/>
      <c r="F32" s="400"/>
      <c r="G32" s="424"/>
      <c r="H32" s="4"/>
      <c r="I32" s="4"/>
      <c r="J32" s="4"/>
      <c r="K32" s="4"/>
      <c r="L32" s="77"/>
      <c r="M32" s="4"/>
      <c r="N32" s="4"/>
      <c r="O32" s="4"/>
      <c r="P32" s="4"/>
      <c r="Q32" s="272"/>
      <c r="R32" s="4"/>
      <c r="S32" s="4"/>
      <c r="T32" s="4"/>
      <c r="U32" s="4"/>
      <c r="V32" s="4"/>
      <c r="W32" s="77"/>
    </row>
    <row r="33" spans="1:23" ht="20.100000000000001" customHeight="1" thickBot="1" x14ac:dyDescent="0.3">
      <c r="A33" s="405"/>
      <c r="B33" s="394"/>
      <c r="C33" s="395"/>
      <c r="D33" s="395"/>
      <c r="E33" s="395"/>
      <c r="F33" s="396"/>
      <c r="G33" s="1555" t="s">
        <v>1860</v>
      </c>
      <c r="H33" s="1555"/>
      <c r="I33" s="1556"/>
      <c r="J33" s="136">
        <f>SUM(J32:J32)</f>
        <v>0</v>
      </c>
      <c r="K33" s="183">
        <v>0.8</v>
      </c>
      <c r="L33" s="136">
        <f>J33/K33</f>
        <v>0</v>
      </c>
      <c r="M33" s="1574" t="s">
        <v>1861</v>
      </c>
      <c r="N33" s="1556"/>
      <c r="O33" s="136">
        <f>SUM(O32:O32)</f>
        <v>0</v>
      </c>
      <c r="P33" s="183">
        <v>0.8</v>
      </c>
      <c r="Q33" s="273">
        <f>O33/P33</f>
        <v>0</v>
      </c>
      <c r="R33" s="1574" t="s">
        <v>1860</v>
      </c>
      <c r="S33" s="1555"/>
      <c r="T33" s="1556"/>
      <c r="U33" s="136">
        <f>SUM(U32:U32)</f>
        <v>0</v>
      </c>
      <c r="V33" s="183">
        <v>0.8</v>
      </c>
      <c r="W33" s="136">
        <f>U33/V33</f>
        <v>0</v>
      </c>
    </row>
    <row r="34" spans="1:23" ht="20.100000000000001" customHeight="1" x14ac:dyDescent="0.25">
      <c r="A34" s="1683" t="str">
        <f>'Расчет ЦП - общая форма'!C286</f>
        <v xml:space="preserve">ПС 35/6 кВ №1 </v>
      </c>
      <c r="B34" s="1551">
        <f>'Расчет ЦП - общая форма'!D286</f>
        <v>1</v>
      </c>
      <c r="C34" s="399"/>
      <c r="D34" s="399"/>
      <c r="E34" s="399"/>
      <c r="F34" s="400"/>
      <c r="G34" s="1664" t="s">
        <v>2061</v>
      </c>
      <c r="H34" s="1709"/>
      <c r="I34" s="1709"/>
      <c r="J34" s="1709"/>
      <c r="K34" s="1709"/>
      <c r="L34" s="1709"/>
      <c r="M34" s="72"/>
      <c r="N34" s="72"/>
      <c r="O34" s="72"/>
      <c r="P34" s="72"/>
      <c r="Q34" s="72"/>
      <c r="R34" s="1709" t="s">
        <v>2061</v>
      </c>
      <c r="S34" s="1709"/>
      <c r="T34" s="1709"/>
      <c r="U34" s="1709"/>
      <c r="V34" s="1709"/>
      <c r="W34" s="1709"/>
    </row>
    <row r="35" spans="1:23" ht="80.25" customHeight="1" x14ac:dyDescent="0.25">
      <c r="A35" s="1540"/>
      <c r="B35" s="1501"/>
      <c r="C35" s="403"/>
      <c r="D35" s="403"/>
      <c r="E35" s="403"/>
      <c r="F35" s="404"/>
      <c r="G35" s="184" t="s">
        <v>2212</v>
      </c>
      <c r="H35" s="143" t="s">
        <v>2213</v>
      </c>
      <c r="I35" s="143" t="s">
        <v>2317</v>
      </c>
      <c r="J35" s="151">
        <v>0.2</v>
      </c>
      <c r="K35" s="303"/>
      <c r="L35" s="305"/>
      <c r="M35" s="2" t="s">
        <v>1891</v>
      </c>
      <c r="N35" s="2" t="s">
        <v>2070</v>
      </c>
      <c r="O35" s="2">
        <v>2.2499999999999999E-2</v>
      </c>
      <c r="P35" s="142"/>
      <c r="Q35" s="142"/>
      <c r="R35" s="338" t="s">
        <v>1891</v>
      </c>
      <c r="S35" s="338" t="s">
        <v>2075</v>
      </c>
      <c r="T35" s="338" t="s">
        <v>2527</v>
      </c>
      <c r="U35" s="338">
        <v>4.5999999999999999E-2</v>
      </c>
      <c r="V35" s="338"/>
      <c r="W35" s="346"/>
    </row>
    <row r="36" spans="1:23" ht="72" customHeight="1" x14ac:dyDescent="0.25">
      <c r="A36" s="401"/>
      <c r="B36" s="402"/>
      <c r="C36" s="403"/>
      <c r="D36" s="403"/>
      <c r="E36" s="403"/>
      <c r="F36" s="404"/>
      <c r="G36" s="2" t="s">
        <v>1891</v>
      </c>
      <c r="H36" s="2" t="s">
        <v>2070</v>
      </c>
      <c r="I36" s="143" t="s">
        <v>2483</v>
      </c>
      <c r="J36" s="2">
        <v>2.2499999999999999E-2</v>
      </c>
      <c r="K36" s="143"/>
      <c r="L36" s="142"/>
      <c r="M36" s="66" t="s">
        <v>2216</v>
      </c>
      <c r="N36" s="2" t="s">
        <v>2807</v>
      </c>
      <c r="O36" s="180">
        <v>7.0000000000000007E-2</v>
      </c>
      <c r="P36" s="2"/>
      <c r="Q36" s="303"/>
      <c r="R36" s="142"/>
      <c r="S36" s="142"/>
      <c r="T36" s="142"/>
      <c r="U36" s="149"/>
      <c r="V36" s="149"/>
      <c r="W36" s="149"/>
    </row>
    <row r="37" spans="1:23" ht="19.5" customHeight="1" x14ac:dyDescent="0.25">
      <c r="A37" s="883"/>
      <c r="B37" s="885"/>
      <c r="C37" s="886"/>
      <c r="D37" s="886"/>
      <c r="E37" s="886"/>
      <c r="F37" s="881"/>
      <c r="G37" s="1664" t="s">
        <v>2512</v>
      </c>
      <c r="H37" s="1709"/>
      <c r="I37" s="1709"/>
      <c r="J37" s="1709"/>
      <c r="K37" s="1709"/>
      <c r="L37" s="1709"/>
      <c r="M37" s="2" t="s">
        <v>3456</v>
      </c>
      <c r="N37" s="2" t="s">
        <v>3457</v>
      </c>
      <c r="O37" s="143">
        <f>0.63-0.14</f>
        <v>0.49</v>
      </c>
      <c r="P37" s="2"/>
      <c r="Q37" s="301"/>
      <c r="R37" s="147"/>
      <c r="S37" s="363"/>
      <c r="T37" s="176"/>
      <c r="U37" s="149"/>
      <c r="V37" s="149"/>
      <c r="W37" s="149"/>
    </row>
    <row r="38" spans="1:23" ht="29.25" customHeight="1" x14ac:dyDescent="0.25">
      <c r="A38" s="883"/>
      <c r="B38" s="885"/>
      <c r="C38" s="886"/>
      <c r="D38" s="886"/>
      <c r="E38" s="886"/>
      <c r="F38" s="881"/>
      <c r="G38" s="143"/>
      <c r="H38" s="143"/>
      <c r="I38" s="143"/>
      <c r="J38" s="143"/>
      <c r="K38" s="143"/>
      <c r="L38" s="142"/>
      <c r="M38" s="2"/>
      <c r="N38" s="2"/>
      <c r="O38" s="143"/>
      <c r="P38" s="2"/>
      <c r="Q38" s="301"/>
      <c r="R38" s="147"/>
      <c r="S38" s="363"/>
      <c r="T38" s="176"/>
      <c r="U38" s="149"/>
      <c r="V38" s="149"/>
      <c r="W38" s="149"/>
    </row>
    <row r="39" spans="1:23" ht="20.100000000000001" customHeight="1" thickBot="1" x14ac:dyDescent="0.3">
      <c r="A39" s="405"/>
      <c r="B39" s="394"/>
      <c r="C39" s="395"/>
      <c r="D39" s="395"/>
      <c r="E39" s="395"/>
      <c r="F39" s="396"/>
      <c r="G39" s="1555" t="s">
        <v>1860</v>
      </c>
      <c r="H39" s="1555"/>
      <c r="I39" s="1556"/>
      <c r="J39" s="136">
        <f>SUM(J38)</f>
        <v>0</v>
      </c>
      <c r="K39" s="183">
        <v>0.8</v>
      </c>
      <c r="L39" s="136">
        <f>J39/K39</f>
        <v>0</v>
      </c>
      <c r="M39" s="1574" t="s">
        <v>1861</v>
      </c>
      <c r="N39" s="1556"/>
      <c r="O39" s="136">
        <f>SUM(O34:O38)</f>
        <v>0.58250000000000002</v>
      </c>
      <c r="P39" s="183">
        <v>0.8</v>
      </c>
      <c r="Q39" s="136">
        <f>O39/P39</f>
        <v>0.72812500000000002</v>
      </c>
      <c r="R39" s="1574" t="s">
        <v>1860</v>
      </c>
      <c r="S39" s="1555"/>
      <c r="T39" s="1556"/>
      <c r="U39" s="136">
        <f>SUM(U35:U36)</f>
        <v>4.5999999999999999E-2</v>
      </c>
      <c r="V39" s="183">
        <v>0.8</v>
      </c>
      <c r="W39" s="136">
        <f>U39/V39</f>
        <v>5.7499999999999996E-2</v>
      </c>
    </row>
    <row r="40" spans="1:23" ht="20.100000000000001" customHeight="1" x14ac:dyDescent="0.25">
      <c r="A40" s="1683" t="str">
        <f>'Расчет ЦП - общая форма'!C287</f>
        <v xml:space="preserve">  ПС  35/10 кВ №1 </v>
      </c>
      <c r="B40" s="1551">
        <f>'Расчет ЦП - общая форма'!D287</f>
        <v>2.5</v>
      </c>
      <c r="C40" s="399"/>
      <c r="D40" s="399"/>
      <c r="E40" s="399"/>
      <c r="F40" s="400"/>
      <c r="G40" s="1712" t="s">
        <v>1991</v>
      </c>
      <c r="H40" s="1712"/>
      <c r="I40" s="1712"/>
      <c r="J40" s="1712"/>
      <c r="K40" s="1712"/>
      <c r="L40" s="1702"/>
      <c r="M40" s="147"/>
      <c r="N40" s="176"/>
      <c r="O40" s="149"/>
      <c r="P40" s="149"/>
      <c r="Q40" s="149"/>
      <c r="R40" s="1713"/>
      <c r="S40" s="1691"/>
      <c r="T40" s="1691"/>
      <c r="U40" s="1691"/>
      <c r="V40" s="1691"/>
      <c r="W40" s="1692"/>
    </row>
    <row r="41" spans="1:23" ht="20.100000000000001" customHeight="1" x14ac:dyDescent="0.25">
      <c r="A41" s="1540"/>
      <c r="B41" s="1501"/>
      <c r="C41" s="403"/>
      <c r="D41" s="403"/>
      <c r="E41" s="403"/>
      <c r="F41" s="404"/>
      <c r="G41" s="184" t="s">
        <v>375</v>
      </c>
      <c r="H41" s="143" t="s">
        <v>376</v>
      </c>
      <c r="I41" s="143" t="s">
        <v>377</v>
      </c>
      <c r="J41" s="142">
        <v>0.495</v>
      </c>
      <c r="K41" s="143"/>
      <c r="L41" s="142"/>
      <c r="M41" s="146" t="s">
        <v>378</v>
      </c>
      <c r="N41" s="143" t="s">
        <v>379</v>
      </c>
      <c r="O41" s="143">
        <v>0.24</v>
      </c>
      <c r="P41" s="143"/>
      <c r="Q41" s="143"/>
      <c r="R41" s="142"/>
      <c r="S41" s="142"/>
      <c r="T41" s="142"/>
      <c r="U41" s="142"/>
      <c r="V41" s="142"/>
      <c r="W41" s="142"/>
    </row>
    <row r="42" spans="1:23" ht="20.100000000000001" customHeight="1" x14ac:dyDescent="0.25">
      <c r="A42" s="401"/>
      <c r="B42" s="402"/>
      <c r="C42" s="403"/>
      <c r="D42" s="403"/>
      <c r="E42" s="403"/>
      <c r="F42" s="404"/>
      <c r="G42" s="1663" t="s">
        <v>1988</v>
      </c>
      <c r="H42" s="1663"/>
      <c r="I42" s="1663"/>
      <c r="J42" s="1663"/>
      <c r="K42" s="1663"/>
      <c r="L42" s="1664"/>
      <c r="M42" s="146"/>
      <c r="N42" s="143"/>
      <c r="O42" s="143"/>
      <c r="P42" s="143"/>
      <c r="Q42" s="143"/>
      <c r="R42" s="1680"/>
      <c r="S42" s="1681"/>
      <c r="T42" s="1681"/>
      <c r="U42" s="1681"/>
      <c r="V42" s="1681"/>
      <c r="W42" s="1408"/>
    </row>
    <row r="43" spans="1:23" ht="20.100000000000001" customHeight="1" x14ac:dyDescent="0.25">
      <c r="A43" s="401"/>
      <c r="B43" s="402"/>
      <c r="C43" s="403"/>
      <c r="D43" s="403"/>
      <c r="E43" s="403"/>
      <c r="F43" s="404"/>
      <c r="G43" s="184" t="s">
        <v>380</v>
      </c>
      <c r="H43" s="143" t="s">
        <v>381</v>
      </c>
      <c r="I43" s="143" t="s">
        <v>382</v>
      </c>
      <c r="J43" s="143">
        <v>0.18</v>
      </c>
      <c r="K43" s="143"/>
      <c r="L43" s="142"/>
      <c r="M43" s="143" t="s">
        <v>383</v>
      </c>
      <c r="N43" s="143" t="s">
        <v>384</v>
      </c>
      <c r="O43" s="143">
        <v>0.1</v>
      </c>
      <c r="P43" s="143"/>
      <c r="Q43" s="143"/>
      <c r="R43" s="142"/>
      <c r="S43" s="142"/>
      <c r="T43" s="142"/>
      <c r="U43" s="142"/>
      <c r="V43" s="142"/>
      <c r="W43" s="142"/>
    </row>
    <row r="44" spans="1:23" ht="20.100000000000001" customHeight="1" x14ac:dyDescent="0.25">
      <c r="A44" s="401"/>
      <c r="B44" s="402"/>
      <c r="C44" s="403"/>
      <c r="D44" s="403"/>
      <c r="E44" s="403"/>
      <c r="F44" s="404"/>
      <c r="G44" s="1663" t="s">
        <v>1987</v>
      </c>
      <c r="H44" s="1663"/>
      <c r="I44" s="1663"/>
      <c r="J44" s="1663"/>
      <c r="K44" s="1663"/>
      <c r="L44" s="1664"/>
      <c r="P44" s="143"/>
      <c r="Q44" s="143"/>
      <c r="R44" s="1680"/>
      <c r="S44" s="1681"/>
      <c r="T44" s="1681"/>
      <c r="U44" s="1681"/>
      <c r="V44" s="1681"/>
      <c r="W44" s="1408"/>
    </row>
    <row r="45" spans="1:23" ht="20.100000000000001" customHeight="1" x14ac:dyDescent="0.25">
      <c r="A45" s="401"/>
      <c r="B45" s="402"/>
      <c r="C45" s="403"/>
      <c r="D45" s="403"/>
      <c r="E45" s="403"/>
      <c r="F45" s="404"/>
      <c r="G45" s="184" t="s">
        <v>1508</v>
      </c>
      <c r="H45" s="206" t="s">
        <v>1509</v>
      </c>
      <c r="I45" s="142" t="s">
        <v>1510</v>
      </c>
      <c r="J45" s="143">
        <v>0.1</v>
      </c>
      <c r="K45" s="143"/>
      <c r="L45" s="142"/>
      <c r="M45" s="143"/>
      <c r="N45" s="143"/>
      <c r="O45" s="143"/>
      <c r="P45" s="143"/>
      <c r="Q45" s="143"/>
      <c r="R45" s="142"/>
      <c r="S45" s="365"/>
      <c r="T45" s="142"/>
      <c r="U45" s="142"/>
      <c r="V45" s="142"/>
      <c r="W45" s="142"/>
    </row>
    <row r="46" spans="1:23" ht="20.100000000000001" customHeight="1" x14ac:dyDescent="0.25">
      <c r="A46" s="401"/>
      <c r="B46" s="402"/>
      <c r="C46" s="403"/>
      <c r="D46" s="403"/>
      <c r="E46" s="403"/>
      <c r="F46" s="404"/>
      <c r="G46" s="184" t="s">
        <v>385</v>
      </c>
      <c r="H46" s="143" t="s">
        <v>386</v>
      </c>
      <c r="I46" s="143" t="s">
        <v>2329</v>
      </c>
      <c r="J46" s="143">
        <v>7.0000000000000007E-2</v>
      </c>
      <c r="K46" s="143"/>
      <c r="L46" s="142"/>
      <c r="M46" s="143" t="s">
        <v>387</v>
      </c>
      <c r="N46" s="143" t="s">
        <v>388</v>
      </c>
      <c r="O46" s="143">
        <v>0.35</v>
      </c>
      <c r="P46" s="143"/>
      <c r="Q46" s="143"/>
      <c r="R46" s="142"/>
      <c r="S46" s="142"/>
      <c r="T46" s="142"/>
      <c r="U46" s="142"/>
      <c r="V46" s="142"/>
      <c r="W46" s="142"/>
    </row>
    <row r="47" spans="1:23" ht="20.100000000000001" customHeight="1" x14ac:dyDescent="0.25">
      <c r="A47" s="401"/>
      <c r="B47" s="402"/>
      <c r="C47" s="403"/>
      <c r="D47" s="403"/>
      <c r="E47" s="403"/>
      <c r="F47" s="404"/>
      <c r="G47" s="1664" t="s">
        <v>2061</v>
      </c>
      <c r="H47" s="1709"/>
      <c r="I47" s="1709"/>
      <c r="J47" s="1709"/>
      <c r="K47" s="1709"/>
      <c r="L47" s="1709"/>
      <c r="M47" s="143"/>
      <c r="N47" s="143"/>
      <c r="O47" s="143"/>
      <c r="P47" s="143"/>
      <c r="Q47" s="143"/>
      <c r="R47" s="1664" t="s">
        <v>3069</v>
      </c>
      <c r="S47" s="1709"/>
      <c r="T47" s="1709"/>
      <c r="U47" s="1709"/>
      <c r="V47" s="1709"/>
      <c r="W47" s="1709"/>
    </row>
    <row r="48" spans="1:23" ht="86.25" customHeight="1" x14ac:dyDescent="0.25">
      <c r="A48" s="401"/>
      <c r="B48" s="402"/>
      <c r="C48" s="403"/>
      <c r="D48" s="403"/>
      <c r="E48" s="403"/>
      <c r="F48" s="404"/>
      <c r="G48" s="278" t="s">
        <v>1506</v>
      </c>
      <c r="H48" s="154" t="s">
        <v>1507</v>
      </c>
      <c r="I48" s="143" t="s">
        <v>2242</v>
      </c>
      <c r="J48" s="143">
        <v>0.01</v>
      </c>
      <c r="K48" s="143"/>
      <c r="L48" s="142"/>
      <c r="M48" s="143" t="s">
        <v>1074</v>
      </c>
      <c r="N48" s="143" t="s">
        <v>389</v>
      </c>
      <c r="O48" s="143">
        <v>0.40500000000000003</v>
      </c>
      <c r="P48" s="143"/>
      <c r="Q48" s="143"/>
      <c r="R48" s="184" t="s">
        <v>2216</v>
      </c>
      <c r="S48" s="143" t="s">
        <v>2217</v>
      </c>
      <c r="T48" s="143" t="s">
        <v>3480</v>
      </c>
      <c r="U48" s="143">
        <f>0.275-0.22</f>
        <v>5.5000000000000021E-2</v>
      </c>
      <c r="V48" s="142"/>
      <c r="W48" s="142"/>
    </row>
    <row r="49" spans="1:23" ht="76.5" customHeight="1" x14ac:dyDescent="0.25">
      <c r="A49" s="401"/>
      <c r="B49" s="402"/>
      <c r="C49" s="403"/>
      <c r="D49" s="403"/>
      <c r="E49" s="403"/>
      <c r="F49" s="404"/>
      <c r="G49" s="184"/>
      <c r="H49" s="143"/>
      <c r="I49" s="143"/>
      <c r="J49" s="143"/>
      <c r="K49" s="143"/>
      <c r="L49" s="142"/>
      <c r="M49" s="143" t="s">
        <v>390</v>
      </c>
      <c r="N49" s="143" t="s">
        <v>391</v>
      </c>
      <c r="O49" s="143">
        <v>0.1</v>
      </c>
      <c r="P49" s="143"/>
      <c r="Q49" s="143"/>
      <c r="R49" s="142"/>
      <c r="S49" s="142"/>
      <c r="T49" s="142"/>
      <c r="U49" s="142"/>
      <c r="V49" s="142"/>
      <c r="W49" s="142"/>
    </row>
    <row r="50" spans="1:23" ht="20.100000000000001" customHeight="1" x14ac:dyDescent="0.25">
      <c r="A50" s="401"/>
      <c r="B50" s="402"/>
      <c r="C50" s="403"/>
      <c r="D50" s="403"/>
      <c r="E50" s="403"/>
      <c r="F50" s="404"/>
      <c r="G50" s="1664" t="s">
        <v>2512</v>
      </c>
      <c r="H50" s="1709"/>
      <c r="I50" s="1709"/>
      <c r="J50" s="1709"/>
      <c r="K50" s="1709"/>
      <c r="L50" s="1709"/>
      <c r="M50" s="143" t="s">
        <v>392</v>
      </c>
      <c r="N50" s="143" t="s">
        <v>393</v>
      </c>
      <c r="O50" s="143">
        <v>0.03</v>
      </c>
      <c r="P50" s="143"/>
      <c r="Q50" s="143"/>
      <c r="R50" s="142"/>
      <c r="S50" s="142"/>
      <c r="T50" s="142"/>
      <c r="U50" s="142"/>
      <c r="V50" s="142"/>
      <c r="W50" s="142"/>
    </row>
    <row r="51" spans="1:23" ht="18.75" customHeight="1" x14ac:dyDescent="0.25">
      <c r="A51" s="805"/>
      <c r="B51" s="806"/>
      <c r="C51" s="808"/>
      <c r="D51" s="808"/>
      <c r="E51" s="808"/>
      <c r="F51" s="804"/>
      <c r="G51" s="143" t="s">
        <v>2604</v>
      </c>
      <c r="H51" s="143" t="s">
        <v>2654</v>
      </c>
      <c r="I51" s="143" t="s">
        <v>2909</v>
      </c>
      <c r="J51" s="143">
        <v>0.3</v>
      </c>
      <c r="K51" s="149"/>
      <c r="L51" s="149"/>
      <c r="M51" s="143" t="s">
        <v>3165</v>
      </c>
      <c r="N51" s="142" t="s">
        <v>3166</v>
      </c>
      <c r="O51" s="143">
        <v>0.05</v>
      </c>
      <c r="P51" s="151"/>
      <c r="Q51" s="151"/>
      <c r="R51" s="147"/>
      <c r="S51" s="363"/>
      <c r="T51" s="176"/>
      <c r="U51" s="149"/>
      <c r="V51" s="149"/>
      <c r="W51" s="149"/>
    </row>
    <row r="52" spans="1:23" ht="18.75" customHeight="1" x14ac:dyDescent="0.25">
      <c r="A52" s="1016"/>
      <c r="B52" s="1017"/>
      <c r="C52" s="1019"/>
      <c r="D52" s="1019"/>
      <c r="E52" s="1019"/>
      <c r="F52" s="1018"/>
      <c r="G52" s="2" t="s">
        <v>3072</v>
      </c>
      <c r="H52" s="2" t="s">
        <v>3073</v>
      </c>
      <c r="I52" s="143" t="s">
        <v>2843</v>
      </c>
      <c r="J52" s="2">
        <v>1.1120000000000001</v>
      </c>
      <c r="K52" s="149"/>
      <c r="L52" s="149"/>
      <c r="M52" s="146"/>
      <c r="N52" s="180"/>
      <c r="O52" s="151"/>
      <c r="P52" s="151"/>
      <c r="Q52" s="151"/>
      <c r="R52" s="147"/>
      <c r="S52" s="363"/>
      <c r="T52" s="176"/>
      <c r="U52" s="149"/>
      <c r="V52" s="149"/>
      <c r="W52" s="149"/>
    </row>
    <row r="53" spans="1:23" ht="20.100000000000001" customHeight="1" thickBot="1" x14ac:dyDescent="0.3">
      <c r="A53" s="405"/>
      <c r="B53" s="394"/>
      <c r="C53" s="395"/>
      <c r="D53" s="395"/>
      <c r="E53" s="395"/>
      <c r="F53" s="396"/>
      <c r="G53" s="1555" t="s">
        <v>1860</v>
      </c>
      <c r="H53" s="1555"/>
      <c r="I53" s="1556"/>
      <c r="J53" s="136">
        <f>SUM(J51:J52)</f>
        <v>1.4120000000000001</v>
      </c>
      <c r="K53" s="183">
        <v>0.8</v>
      </c>
      <c r="L53" s="136">
        <f>J53/K53</f>
        <v>1.7650000000000001</v>
      </c>
      <c r="M53" s="1574" t="s">
        <v>1861</v>
      </c>
      <c r="N53" s="1556"/>
      <c r="O53" s="136">
        <f>SUM(O41:O51)</f>
        <v>1.2750000000000001</v>
      </c>
      <c r="P53" s="183">
        <v>0.8</v>
      </c>
      <c r="Q53" s="136">
        <f>O53/P53</f>
        <v>1.59375</v>
      </c>
      <c r="R53" s="1574" t="s">
        <v>1860</v>
      </c>
      <c r="S53" s="1555"/>
      <c r="T53" s="1556"/>
      <c r="U53" s="136">
        <f>SUM(U43:U50)</f>
        <v>5.5000000000000021E-2</v>
      </c>
      <c r="V53" s="183">
        <v>0.8</v>
      </c>
      <c r="W53" s="136">
        <f>U53/V53</f>
        <v>6.8750000000000019E-2</v>
      </c>
    </row>
    <row r="54" spans="1:23" ht="20.100000000000001" customHeight="1" x14ac:dyDescent="0.25">
      <c r="A54" s="406" t="str">
        <f>'Расчет ЦП - общая форма'!C288</f>
        <v>ПС  35/6 кВ №16</v>
      </c>
      <c r="B54" s="398">
        <f>'Расчет ЦП - общая форма'!D288</f>
        <v>1</v>
      </c>
      <c r="C54" s="399"/>
      <c r="D54" s="399"/>
      <c r="E54" s="399"/>
      <c r="F54" s="400"/>
      <c r="G54" s="1663" t="s">
        <v>2512</v>
      </c>
      <c r="H54" s="1663"/>
      <c r="I54" s="1663"/>
      <c r="J54" s="1663"/>
      <c r="K54" s="1663"/>
      <c r="L54" s="1664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2"/>
    </row>
    <row r="55" spans="1:23" ht="20.100000000000001" customHeight="1" x14ac:dyDescent="0.25">
      <c r="A55" s="855"/>
      <c r="B55" s="857"/>
      <c r="C55" s="858"/>
      <c r="D55" s="858"/>
      <c r="E55" s="858"/>
      <c r="F55" s="854"/>
      <c r="G55" s="143" t="s">
        <v>2787</v>
      </c>
      <c r="H55" s="143" t="s">
        <v>2982</v>
      </c>
      <c r="I55" s="180" t="s">
        <v>3033</v>
      </c>
      <c r="J55" s="151">
        <v>0.52</v>
      </c>
      <c r="K55" s="151"/>
      <c r="L55" s="149"/>
      <c r="M55" s="146"/>
      <c r="N55" s="180"/>
      <c r="O55" s="151"/>
      <c r="P55" s="151"/>
      <c r="Q55" s="151"/>
      <c r="R55" s="146"/>
      <c r="S55" s="179"/>
      <c r="T55" s="180"/>
      <c r="U55" s="151"/>
      <c r="V55" s="151"/>
      <c r="W55" s="149"/>
    </row>
    <row r="56" spans="1:23" ht="20.100000000000001" customHeight="1" thickBot="1" x14ac:dyDescent="0.3">
      <c r="A56" s="405"/>
      <c r="B56" s="394"/>
      <c r="C56" s="395"/>
      <c r="D56" s="395"/>
      <c r="E56" s="395"/>
      <c r="F56" s="396"/>
      <c r="G56" s="1555" t="s">
        <v>1860</v>
      </c>
      <c r="H56" s="1555"/>
      <c r="I56" s="1556"/>
      <c r="J56" s="136">
        <f>SUM(J54:J55)</f>
        <v>0.52</v>
      </c>
      <c r="K56" s="183">
        <v>0.8</v>
      </c>
      <c r="L56" s="136">
        <f>J56/K56</f>
        <v>0.65</v>
      </c>
      <c r="M56" s="1574" t="s">
        <v>1861</v>
      </c>
      <c r="N56" s="1556"/>
      <c r="O56" s="136">
        <f>SUM(O54:O54)</f>
        <v>0</v>
      </c>
      <c r="P56" s="183">
        <v>0.8</v>
      </c>
      <c r="Q56" s="136">
        <f>O56/P56</f>
        <v>0</v>
      </c>
      <c r="R56" s="1574" t="s">
        <v>1860</v>
      </c>
      <c r="S56" s="1555"/>
      <c r="T56" s="1556"/>
      <c r="U56" s="136">
        <f>SUM(U54:U54)</f>
        <v>0</v>
      </c>
      <c r="V56" s="183">
        <v>0.8</v>
      </c>
      <c r="W56" s="136">
        <f>U56/V56</f>
        <v>0</v>
      </c>
    </row>
    <row r="57" spans="1:23" ht="61.5" customHeight="1" x14ac:dyDescent="0.25">
      <c r="A57" s="406" t="str">
        <f>'Расчет ЦП - общая форма'!C289</f>
        <v>ПС  35/10 кВ №16</v>
      </c>
      <c r="B57" s="398">
        <f>'Расчет ЦП - общая форма'!D289</f>
        <v>2.5</v>
      </c>
      <c r="C57" s="399"/>
      <c r="D57" s="399"/>
      <c r="E57" s="399"/>
      <c r="F57" s="400"/>
      <c r="G57" s="184"/>
      <c r="H57" s="143"/>
      <c r="I57" s="143"/>
      <c r="J57" s="143"/>
      <c r="K57" s="143"/>
      <c r="L57" s="142"/>
      <c r="M57" s="143"/>
      <c r="N57" s="143"/>
      <c r="O57" s="143"/>
      <c r="P57" s="143"/>
      <c r="Q57" s="143"/>
      <c r="R57" s="143" t="s">
        <v>2787</v>
      </c>
      <c r="S57" s="143"/>
      <c r="T57" s="143"/>
      <c r="U57" s="143"/>
      <c r="V57" s="143"/>
      <c r="W57" s="142"/>
    </row>
    <row r="58" spans="1:23" ht="20.100000000000001" customHeight="1" thickBot="1" x14ac:dyDescent="0.3">
      <c r="A58" s="405"/>
      <c r="B58" s="394"/>
      <c r="C58" s="395"/>
      <c r="D58" s="395"/>
      <c r="E58" s="395"/>
      <c r="F58" s="396"/>
      <c r="G58" s="1555" t="s">
        <v>1860</v>
      </c>
      <c r="H58" s="1555"/>
      <c r="I58" s="1556"/>
      <c r="J58" s="136">
        <f>SUM(J57:J57)</f>
        <v>0</v>
      </c>
      <c r="K58" s="183">
        <v>0.8</v>
      </c>
      <c r="L58" s="136">
        <f>J58/K58</f>
        <v>0</v>
      </c>
      <c r="M58" s="1574" t="s">
        <v>1861</v>
      </c>
      <c r="N58" s="1556"/>
      <c r="O58" s="136">
        <f>SUM(O57:O57)</f>
        <v>0</v>
      </c>
      <c r="P58" s="183">
        <v>0.8</v>
      </c>
      <c r="Q58" s="136">
        <f>O58/P58</f>
        <v>0</v>
      </c>
      <c r="R58" s="1574" t="s">
        <v>1860</v>
      </c>
      <c r="S58" s="1555"/>
      <c r="T58" s="1556"/>
      <c r="U58" s="136">
        <f>SUM(U57:U57)</f>
        <v>0</v>
      </c>
      <c r="V58" s="183">
        <v>0.8</v>
      </c>
      <c r="W58" s="136">
        <f>U58/V58</f>
        <v>0</v>
      </c>
    </row>
    <row r="59" spans="1:23" ht="56.25" customHeight="1" x14ac:dyDescent="0.25">
      <c r="A59" s="406" t="str">
        <f>'Расчет ЦП - общая форма'!C290</f>
        <v xml:space="preserve">ПС 35/10 кВ Золотиха </v>
      </c>
      <c r="B59" s="398">
        <f>'Расчет ЦП - общая форма'!D290</f>
        <v>2.5</v>
      </c>
      <c r="C59" s="399"/>
      <c r="D59" s="399"/>
      <c r="E59" s="399"/>
      <c r="F59" s="400"/>
      <c r="G59" s="424"/>
      <c r="H59" s="4"/>
      <c r="I59" s="4"/>
      <c r="J59" s="4"/>
      <c r="K59" s="4"/>
      <c r="L59" s="77"/>
      <c r="M59" s="143" t="s">
        <v>2369</v>
      </c>
      <c r="N59" s="143" t="s">
        <v>2370</v>
      </c>
      <c r="O59" s="4">
        <v>0.1</v>
      </c>
      <c r="P59" s="4"/>
      <c r="Q59" s="4"/>
      <c r="R59" s="4"/>
      <c r="S59" s="4"/>
      <c r="T59" s="4"/>
      <c r="U59" s="4"/>
      <c r="V59" s="4"/>
      <c r="W59" s="77"/>
    </row>
    <row r="60" spans="1:23" ht="20.100000000000001" customHeight="1" thickBot="1" x14ac:dyDescent="0.3">
      <c r="A60" s="405"/>
      <c r="B60" s="394"/>
      <c r="C60" s="395"/>
      <c r="D60" s="395"/>
      <c r="E60" s="395"/>
      <c r="F60" s="396"/>
      <c r="G60" s="1555" t="s">
        <v>1860</v>
      </c>
      <c r="H60" s="1555"/>
      <c r="I60" s="1556"/>
      <c r="J60" s="136">
        <f>SUM(J59:J59)</f>
        <v>0</v>
      </c>
      <c r="K60" s="183">
        <v>0.8</v>
      </c>
      <c r="L60" s="136">
        <f>J60/K60</f>
        <v>0</v>
      </c>
      <c r="M60" s="1574" t="s">
        <v>1861</v>
      </c>
      <c r="N60" s="1556"/>
      <c r="O60" s="136">
        <f>SUM(O59:O59)</f>
        <v>0.1</v>
      </c>
      <c r="P60" s="183">
        <v>0.8</v>
      </c>
      <c r="Q60" s="136">
        <f>O60/P60</f>
        <v>0.125</v>
      </c>
      <c r="R60" s="1574" t="s">
        <v>1860</v>
      </c>
      <c r="S60" s="1555"/>
      <c r="T60" s="1556"/>
      <c r="U60" s="136">
        <f>SUM(U59:U59)</f>
        <v>0</v>
      </c>
      <c r="V60" s="183">
        <v>0.8</v>
      </c>
      <c r="W60" s="136">
        <f>U60/V60</f>
        <v>0</v>
      </c>
    </row>
    <row r="61" spans="1:23" ht="20.100000000000001" customHeight="1" x14ac:dyDescent="0.25">
      <c r="A61" s="406" t="str">
        <f>'Расчет ЦП - общая форма'!C291</f>
        <v>ПС  35/10 кВ Новый Стан</v>
      </c>
      <c r="B61" s="398">
        <f>'Расчет ЦП - общая форма'!D291</f>
        <v>2.5</v>
      </c>
      <c r="C61" s="399"/>
      <c r="D61" s="399"/>
      <c r="E61" s="399"/>
      <c r="F61" s="400"/>
      <c r="G61" s="184"/>
      <c r="H61" s="143"/>
      <c r="I61" s="143"/>
      <c r="J61" s="143"/>
      <c r="K61" s="143"/>
      <c r="L61" s="142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2"/>
    </row>
    <row r="62" spans="1:23" ht="20.100000000000001" customHeight="1" thickBot="1" x14ac:dyDescent="0.3">
      <c r="A62" s="405"/>
      <c r="B62" s="394"/>
      <c r="C62" s="395"/>
      <c r="D62" s="395"/>
      <c r="E62" s="395"/>
      <c r="F62" s="396"/>
      <c r="G62" s="1555" t="s">
        <v>1860</v>
      </c>
      <c r="H62" s="1555"/>
      <c r="I62" s="1556"/>
      <c r="J62" s="136">
        <f>SUM(J61:J61)</f>
        <v>0</v>
      </c>
      <c r="K62" s="183">
        <v>0.8</v>
      </c>
      <c r="L62" s="136">
        <f>J62/K62</f>
        <v>0</v>
      </c>
      <c r="M62" s="1529" t="s">
        <v>1861</v>
      </c>
      <c r="N62" s="1531"/>
      <c r="O62" s="136">
        <f>SUM(O61:O61)</f>
        <v>0</v>
      </c>
      <c r="P62" s="183">
        <v>0.8</v>
      </c>
      <c r="Q62" s="136">
        <f>O62/P62</f>
        <v>0</v>
      </c>
      <c r="R62" s="1574" t="s">
        <v>1860</v>
      </c>
      <c r="S62" s="1555"/>
      <c r="T62" s="1556"/>
      <c r="U62" s="136">
        <f>SUM(U61:U61)</f>
        <v>0</v>
      </c>
      <c r="V62" s="183">
        <v>0.8</v>
      </c>
      <c r="W62" s="136">
        <f>U62/V62</f>
        <v>0</v>
      </c>
    </row>
    <row r="63" spans="1:23" ht="20.100000000000001" customHeight="1" x14ac:dyDescent="0.25">
      <c r="A63" s="406" t="str">
        <f>'Расчет ЦП - общая форма'!C292</f>
        <v>ПС  35/10 кВ Романово</v>
      </c>
      <c r="B63" s="398">
        <f>'Расчет ЦП - общая форма'!D292</f>
        <v>2.5</v>
      </c>
      <c r="C63" s="399"/>
      <c r="D63" s="399"/>
      <c r="E63" s="399"/>
      <c r="F63" s="400"/>
      <c r="G63" s="184"/>
      <c r="H63" s="143"/>
      <c r="I63" s="143"/>
      <c r="J63" s="143"/>
      <c r="K63" s="143"/>
      <c r="L63" s="142"/>
      <c r="M63" s="143" t="s">
        <v>394</v>
      </c>
      <c r="N63" s="143" t="s">
        <v>395</v>
      </c>
      <c r="O63" s="143">
        <v>0.49149999999999999</v>
      </c>
      <c r="P63" s="143"/>
      <c r="Q63" s="143"/>
      <c r="R63" s="143"/>
      <c r="S63" s="143"/>
      <c r="T63" s="143"/>
      <c r="U63" s="143"/>
      <c r="V63" s="143"/>
      <c r="W63" s="142"/>
    </row>
    <row r="64" spans="1:23" ht="20.100000000000001" customHeight="1" x14ac:dyDescent="0.25">
      <c r="A64" s="401"/>
      <c r="B64" s="402"/>
      <c r="C64" s="403"/>
      <c r="D64" s="403"/>
      <c r="E64" s="403"/>
      <c r="F64" s="404"/>
      <c r="G64" s="143"/>
      <c r="H64" s="143"/>
      <c r="I64" s="143"/>
      <c r="J64" s="151"/>
      <c r="K64" s="151"/>
      <c r="L64" s="149"/>
      <c r="M64" s="143" t="s">
        <v>2067</v>
      </c>
      <c r="N64" s="143" t="s">
        <v>2068</v>
      </c>
      <c r="O64" s="151">
        <v>0.02</v>
      </c>
      <c r="P64" s="151"/>
      <c r="Q64" s="151"/>
      <c r="R64" s="146"/>
      <c r="S64" s="179"/>
      <c r="T64" s="180"/>
      <c r="U64" s="151"/>
      <c r="V64" s="151"/>
      <c r="W64" s="149"/>
    </row>
    <row r="65" spans="1:23" ht="20.100000000000001" customHeight="1" x14ac:dyDescent="0.25">
      <c r="A65" s="689"/>
      <c r="B65" s="690"/>
      <c r="C65" s="692"/>
      <c r="D65" s="692"/>
      <c r="E65" s="692"/>
      <c r="F65" s="688"/>
      <c r="G65" s="143"/>
      <c r="H65" s="143"/>
      <c r="I65" s="143"/>
      <c r="J65" s="151"/>
      <c r="K65" s="151"/>
      <c r="L65" s="149"/>
      <c r="M65" s="143" t="s">
        <v>2176</v>
      </c>
      <c r="N65" s="143" t="s">
        <v>2692</v>
      </c>
      <c r="O65" s="151">
        <f>0.078-0.04</f>
        <v>3.7999999999999999E-2</v>
      </c>
      <c r="P65" s="151"/>
      <c r="Q65" s="151"/>
      <c r="R65" s="146"/>
      <c r="S65" s="179"/>
      <c r="T65" s="180"/>
      <c r="U65" s="151"/>
      <c r="V65" s="151"/>
      <c r="W65" s="149"/>
    </row>
    <row r="66" spans="1:23" ht="20.100000000000001" customHeight="1" x14ac:dyDescent="0.25">
      <c r="A66" s="834"/>
      <c r="B66" s="835"/>
      <c r="C66" s="836"/>
      <c r="D66" s="836"/>
      <c r="E66" s="836"/>
      <c r="F66" s="833"/>
      <c r="G66" s="179"/>
      <c r="H66" s="179"/>
      <c r="I66" s="180"/>
      <c r="J66" s="151"/>
      <c r="K66" s="151"/>
      <c r="L66" s="149"/>
      <c r="M66" s="143" t="s">
        <v>2176</v>
      </c>
      <c r="N66" s="143" t="s">
        <v>2962</v>
      </c>
      <c r="O66" s="151">
        <f>0.065-0.01</f>
        <v>5.5E-2</v>
      </c>
      <c r="P66" s="151"/>
      <c r="Q66" s="151"/>
      <c r="R66" s="146"/>
      <c r="S66" s="179"/>
      <c r="T66" s="180"/>
      <c r="U66" s="151"/>
      <c r="V66" s="151"/>
      <c r="W66" s="149"/>
    </row>
    <row r="67" spans="1:23" ht="20.100000000000001" customHeight="1" thickBot="1" x14ac:dyDescent="0.3">
      <c r="A67" s="405"/>
      <c r="B67" s="394"/>
      <c r="C67" s="395"/>
      <c r="D67" s="395"/>
      <c r="E67" s="395"/>
      <c r="F67" s="396"/>
      <c r="G67" s="1555" t="s">
        <v>1860</v>
      </c>
      <c r="H67" s="1555"/>
      <c r="I67" s="1556"/>
      <c r="J67" s="136">
        <f>SUM(J63:J63)</f>
        <v>0</v>
      </c>
      <c r="K67" s="183">
        <v>0.8</v>
      </c>
      <c r="L67" s="136">
        <f>J67/K67</f>
        <v>0</v>
      </c>
      <c r="M67" s="1574" t="s">
        <v>1861</v>
      </c>
      <c r="N67" s="1556"/>
      <c r="O67" s="136">
        <f>SUM(O63:O66)</f>
        <v>0.60450000000000004</v>
      </c>
      <c r="P67" s="183">
        <v>0.8</v>
      </c>
      <c r="Q67" s="136">
        <f>O67/P67</f>
        <v>0.75562499999999999</v>
      </c>
      <c r="R67" s="1574" t="s">
        <v>1860</v>
      </c>
      <c r="S67" s="1555"/>
      <c r="T67" s="1556"/>
      <c r="U67" s="136">
        <f>SUM(U63:U63)</f>
        <v>0</v>
      </c>
      <c r="V67" s="183">
        <v>0.8</v>
      </c>
      <c r="W67" s="136">
        <f>U67/V67</f>
        <v>0</v>
      </c>
    </row>
    <row r="68" spans="1:23" ht="20.100000000000001" customHeight="1" x14ac:dyDescent="0.25">
      <c r="A68" s="406" t="str">
        <f>'Расчет ЦП - общая форма'!C293</f>
        <v xml:space="preserve">ПС 35/10 кВ Первитино </v>
      </c>
      <c r="B68" s="398">
        <f>'Расчет ЦП - общая форма'!D293</f>
        <v>1.6</v>
      </c>
      <c r="C68" s="399"/>
      <c r="D68" s="399"/>
      <c r="E68" s="399"/>
      <c r="F68" s="400"/>
      <c r="G68" s="184"/>
      <c r="H68" s="143"/>
      <c r="I68" s="143"/>
      <c r="J68" s="143"/>
      <c r="K68" s="143"/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2"/>
    </row>
    <row r="69" spans="1:23" ht="20.100000000000001" customHeight="1" x14ac:dyDescent="0.25">
      <c r="A69" s="401"/>
      <c r="B69" s="402"/>
      <c r="C69" s="403"/>
      <c r="D69" s="403"/>
      <c r="E69" s="403"/>
      <c r="F69" s="404"/>
      <c r="G69" s="184"/>
      <c r="H69" s="143"/>
      <c r="I69" s="143"/>
      <c r="J69" s="143"/>
      <c r="K69" s="143"/>
      <c r="L69" s="142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2"/>
    </row>
    <row r="70" spans="1:23" ht="20.100000000000001" customHeight="1" thickBot="1" x14ac:dyDescent="0.3">
      <c r="A70" s="405"/>
      <c r="B70" s="394"/>
      <c r="C70" s="395"/>
      <c r="D70" s="395"/>
      <c r="E70" s="395"/>
      <c r="F70" s="396"/>
      <c r="G70" s="1555" t="s">
        <v>1860</v>
      </c>
      <c r="H70" s="1555"/>
      <c r="I70" s="1556"/>
      <c r="J70" s="136">
        <f>SUM(J68:J69)</f>
        <v>0</v>
      </c>
      <c r="K70" s="183">
        <v>0.8</v>
      </c>
      <c r="L70" s="136">
        <f>J70/K70</f>
        <v>0</v>
      </c>
      <c r="M70" s="1574" t="s">
        <v>1861</v>
      </c>
      <c r="N70" s="1556"/>
      <c r="O70" s="136">
        <f>SUM(O68:O69)</f>
        <v>0</v>
      </c>
      <c r="P70" s="183">
        <v>0.8</v>
      </c>
      <c r="Q70" s="136">
        <f>O70/P70</f>
        <v>0</v>
      </c>
      <c r="R70" s="1574" t="s">
        <v>1860</v>
      </c>
      <c r="S70" s="1555"/>
      <c r="T70" s="1556"/>
      <c r="U70" s="136">
        <f>SUM(U68:U69)</f>
        <v>0</v>
      </c>
      <c r="V70" s="183">
        <v>0.8</v>
      </c>
      <c r="W70" s="136">
        <f>U70/V70</f>
        <v>0</v>
      </c>
    </row>
    <row r="71" spans="1:23" ht="20.100000000000001" customHeight="1" x14ac:dyDescent="0.25">
      <c r="A71" s="406" t="str">
        <f>'Расчет ЦП - общая форма'!C294</f>
        <v xml:space="preserve">ПС 35/10 кВ № 8  </v>
      </c>
      <c r="B71" s="398">
        <f>'Расчет ЦП - общая форма'!D294</f>
        <v>2.5</v>
      </c>
      <c r="C71" s="399"/>
      <c r="D71" s="399"/>
      <c r="E71" s="399"/>
      <c r="F71" s="400"/>
      <c r="G71" s="1720" t="s">
        <v>3069</v>
      </c>
      <c r="H71" s="1720"/>
      <c r="I71" s="1720"/>
      <c r="J71" s="1720"/>
      <c r="K71" s="1720"/>
      <c r="L71" s="1688"/>
      <c r="M71" s="4" t="s">
        <v>2391</v>
      </c>
      <c r="N71" s="4" t="s">
        <v>2392</v>
      </c>
      <c r="O71" s="4">
        <v>0.09</v>
      </c>
      <c r="P71" s="4"/>
      <c r="Q71" s="4"/>
      <c r="R71" s="143"/>
      <c r="S71" s="143"/>
      <c r="T71" s="143"/>
      <c r="U71" s="143"/>
      <c r="V71" s="4"/>
      <c r="W71" s="77"/>
    </row>
    <row r="72" spans="1:23" ht="20.100000000000001" customHeight="1" x14ac:dyDescent="0.25">
      <c r="A72" s="1200"/>
      <c r="B72" s="1201"/>
      <c r="C72" s="1203"/>
      <c r="D72" s="1203"/>
      <c r="E72" s="1203"/>
      <c r="F72" s="1202"/>
      <c r="G72" s="1665" t="s">
        <v>3481</v>
      </c>
      <c r="H72" s="1666"/>
      <c r="I72" s="1667"/>
      <c r="J72" s="786">
        <v>0.191</v>
      </c>
      <c r="K72" s="1224"/>
      <c r="L72" s="1224"/>
      <c r="M72" s="156"/>
      <c r="N72" s="261"/>
      <c r="O72" s="159"/>
      <c r="P72" s="159"/>
      <c r="Q72" s="159"/>
      <c r="R72" s="146"/>
      <c r="S72" s="179"/>
      <c r="T72" s="180"/>
      <c r="U72" s="151"/>
      <c r="V72" s="159"/>
      <c r="W72" s="157"/>
    </row>
    <row r="73" spans="1:23" ht="20.100000000000001" customHeight="1" thickBot="1" x14ac:dyDescent="0.3">
      <c r="A73" s="405"/>
      <c r="B73" s="394"/>
      <c r="C73" s="395"/>
      <c r="D73" s="395"/>
      <c r="E73" s="395"/>
      <c r="F73" s="396"/>
      <c r="G73" s="1555" t="s">
        <v>1860</v>
      </c>
      <c r="H73" s="1555"/>
      <c r="I73" s="1556"/>
      <c r="J73" s="136">
        <f>SUM(J71:J72)</f>
        <v>0.191</v>
      </c>
      <c r="K73" s="183">
        <v>0.8</v>
      </c>
      <c r="L73" s="136">
        <f>J73/K73</f>
        <v>0.23874999999999999</v>
      </c>
      <c r="M73" s="1574" t="s">
        <v>1861</v>
      </c>
      <c r="N73" s="1556"/>
      <c r="O73" s="136">
        <f>SUM(O71:O71)</f>
        <v>0.09</v>
      </c>
      <c r="P73" s="183">
        <v>0.8</v>
      </c>
      <c r="Q73" s="136">
        <f>O73/P73</f>
        <v>0.11249999999999999</v>
      </c>
      <c r="R73" s="1574" t="s">
        <v>1860</v>
      </c>
      <c r="S73" s="1555"/>
      <c r="T73" s="1556"/>
      <c r="U73" s="136">
        <f>SUM(U71:U71)</f>
        <v>0</v>
      </c>
      <c r="V73" s="183">
        <v>0.8</v>
      </c>
      <c r="W73" s="136">
        <f>U73/V73</f>
        <v>0</v>
      </c>
    </row>
    <row r="74" spans="1:23" ht="20.100000000000001" customHeight="1" x14ac:dyDescent="0.25">
      <c r="A74" s="1683" t="str">
        <f>'Расчет ЦП - общая форма'!C295</f>
        <v xml:space="preserve">ПС 35/6 кВ Алексино </v>
      </c>
      <c r="B74" s="1551">
        <f>'Расчет ЦП - общая форма'!D295</f>
        <v>2.5</v>
      </c>
      <c r="C74" s="399"/>
      <c r="D74" s="399"/>
      <c r="E74" s="399"/>
      <c r="F74" s="400"/>
      <c r="G74" s="1720" t="s">
        <v>1988</v>
      </c>
      <c r="H74" s="1720"/>
      <c r="I74" s="1720"/>
      <c r="J74" s="1720"/>
      <c r="K74" s="1720"/>
      <c r="L74" s="1688"/>
      <c r="M74" s="276"/>
      <c r="N74" s="276"/>
      <c r="O74" s="276"/>
      <c r="P74" s="72"/>
      <c r="Q74" s="72"/>
      <c r="R74" s="1729"/>
      <c r="S74" s="1729"/>
      <c r="T74" s="1729"/>
      <c r="U74" s="1729"/>
      <c r="V74" s="1729"/>
      <c r="W74" s="1697"/>
    </row>
    <row r="75" spans="1:23" ht="20.100000000000001" customHeight="1" x14ac:dyDescent="0.25">
      <c r="A75" s="1540"/>
      <c r="B75" s="1501"/>
      <c r="C75" s="403"/>
      <c r="D75" s="403"/>
      <c r="E75" s="403"/>
      <c r="F75" s="404"/>
      <c r="G75" s="261" t="s">
        <v>523</v>
      </c>
      <c r="H75" s="159" t="s">
        <v>524</v>
      </c>
      <c r="I75" s="42" t="s">
        <v>525</v>
      </c>
      <c r="J75" s="159">
        <v>8.4000000000000005E-2</v>
      </c>
      <c r="K75" s="159"/>
      <c r="L75" s="157"/>
      <c r="M75" s="143"/>
      <c r="N75" s="143"/>
      <c r="O75" s="153"/>
      <c r="P75" s="42"/>
      <c r="Q75" s="42"/>
      <c r="R75" s="200"/>
      <c r="S75" s="157"/>
      <c r="T75" s="72"/>
      <c r="U75" s="157"/>
      <c r="V75" s="157"/>
      <c r="W75" s="157"/>
    </row>
    <row r="76" spans="1:23" ht="20.100000000000001" customHeight="1" x14ac:dyDescent="0.25">
      <c r="A76" s="401"/>
      <c r="B76" s="569"/>
      <c r="C76" s="403"/>
      <c r="D76" s="403"/>
      <c r="E76" s="403"/>
      <c r="F76" s="404"/>
      <c r="G76" s="184" t="s">
        <v>526</v>
      </c>
      <c r="H76" s="143" t="s">
        <v>527</v>
      </c>
      <c r="I76" s="143" t="s">
        <v>528</v>
      </c>
      <c r="J76" s="53">
        <v>0.17499999999999999</v>
      </c>
      <c r="K76" s="143"/>
      <c r="L76" s="142"/>
      <c r="M76" s="143"/>
      <c r="N76" s="143"/>
      <c r="O76" s="143"/>
      <c r="P76" s="143"/>
      <c r="Q76" s="143"/>
      <c r="R76" s="265"/>
      <c r="S76" s="142"/>
      <c r="T76" s="142"/>
      <c r="U76" s="283"/>
      <c r="V76" s="142"/>
      <c r="W76" s="142"/>
    </row>
    <row r="77" spans="1:23" ht="20.100000000000001" customHeight="1" x14ac:dyDescent="0.25">
      <c r="A77" s="401"/>
      <c r="B77" s="402"/>
      <c r="C77" s="403"/>
      <c r="D77" s="403"/>
      <c r="E77" s="403"/>
      <c r="F77" s="404"/>
      <c r="G77" s="1663" t="s">
        <v>1987</v>
      </c>
      <c r="H77" s="1663"/>
      <c r="I77" s="1663"/>
      <c r="J77" s="1663"/>
      <c r="K77" s="1663"/>
      <c r="L77" s="1664"/>
      <c r="M77" s="143"/>
      <c r="N77" s="143"/>
      <c r="O77" s="143"/>
      <c r="P77" s="143"/>
      <c r="Q77" s="143"/>
      <c r="R77" s="1681"/>
      <c r="S77" s="1681"/>
      <c r="T77" s="1681"/>
      <c r="U77" s="1681"/>
      <c r="V77" s="1681"/>
      <c r="W77" s="1408"/>
    </row>
    <row r="78" spans="1:23" ht="20.100000000000001" customHeight="1" x14ac:dyDescent="0.25">
      <c r="A78" s="401"/>
      <c r="B78" s="402"/>
      <c r="C78" s="403"/>
      <c r="D78" s="403"/>
      <c r="E78" s="403"/>
      <c r="F78" s="404"/>
      <c r="G78" s="262" t="s">
        <v>529</v>
      </c>
      <c r="H78" s="42" t="s">
        <v>530</v>
      </c>
      <c r="I78" s="143" t="s">
        <v>531</v>
      </c>
      <c r="J78" s="42">
        <v>0.90500000000000003</v>
      </c>
      <c r="K78" s="42"/>
      <c r="L78" s="72"/>
      <c r="M78" s="143" t="s">
        <v>2618</v>
      </c>
      <c r="N78" s="143" t="s">
        <v>2619</v>
      </c>
      <c r="O78" s="143">
        <v>0.4</v>
      </c>
      <c r="P78" s="143"/>
      <c r="Q78" s="143"/>
      <c r="R78" s="271"/>
      <c r="S78" s="72"/>
      <c r="T78" s="142"/>
      <c r="U78" s="72"/>
      <c r="V78" s="72"/>
      <c r="W78" s="72"/>
    </row>
    <row r="79" spans="1:23" ht="20.100000000000001" customHeight="1" x14ac:dyDescent="0.25">
      <c r="A79" s="834"/>
      <c r="B79" s="835"/>
      <c r="C79" s="836"/>
      <c r="D79" s="836"/>
      <c r="E79" s="836"/>
      <c r="F79" s="833"/>
      <c r="G79" s="1663" t="s">
        <v>2512</v>
      </c>
      <c r="H79" s="1663"/>
      <c r="I79" s="1663"/>
      <c r="J79" s="1663"/>
      <c r="K79" s="1663"/>
      <c r="L79" s="1664"/>
      <c r="M79" s="143"/>
      <c r="N79" s="143"/>
      <c r="O79" s="143"/>
      <c r="P79" s="143"/>
      <c r="Q79" s="143"/>
      <c r="R79" s="142"/>
      <c r="S79" s="142"/>
      <c r="T79" s="142"/>
      <c r="U79" s="142"/>
      <c r="V79" s="142"/>
      <c r="W79" s="142"/>
    </row>
    <row r="80" spans="1:23" ht="20.100000000000001" customHeight="1" x14ac:dyDescent="0.25">
      <c r="A80" s="834"/>
      <c r="B80" s="835"/>
      <c r="C80" s="836"/>
      <c r="D80" s="836"/>
      <c r="E80" s="836"/>
      <c r="F80" s="833"/>
      <c r="G80" s="143" t="s">
        <v>2959</v>
      </c>
      <c r="H80" s="143" t="s">
        <v>2960</v>
      </c>
      <c r="I80" s="180" t="s">
        <v>3023</v>
      </c>
      <c r="J80" s="151">
        <v>1.84E-2</v>
      </c>
      <c r="K80" s="151"/>
      <c r="L80" s="149"/>
      <c r="M80" s="143"/>
      <c r="N80" s="180"/>
      <c r="O80" s="151"/>
      <c r="P80" s="151"/>
      <c r="Q80" s="151"/>
      <c r="R80" s="363"/>
      <c r="S80" s="363"/>
      <c r="T80" s="176"/>
      <c r="U80" s="149"/>
      <c r="V80" s="149"/>
      <c r="W80" s="149"/>
    </row>
    <row r="81" spans="1:23" ht="20.100000000000001" customHeight="1" x14ac:dyDescent="0.25">
      <c r="A81" s="855"/>
      <c r="B81" s="857"/>
      <c r="C81" s="858"/>
      <c r="D81" s="858"/>
      <c r="E81" s="858"/>
      <c r="F81" s="854"/>
      <c r="G81" s="143" t="s">
        <v>2959</v>
      </c>
      <c r="H81" s="180" t="s">
        <v>2961</v>
      </c>
      <c r="I81" s="180" t="s">
        <v>3025</v>
      </c>
      <c r="J81" s="151">
        <v>9.69E-2</v>
      </c>
      <c r="K81" s="151"/>
      <c r="L81" s="149"/>
      <c r="M81" s="146"/>
      <c r="N81" s="180"/>
      <c r="O81" s="151"/>
      <c r="P81" s="151"/>
      <c r="Q81" s="151"/>
      <c r="R81" s="363"/>
      <c r="S81" s="363"/>
      <c r="T81" s="176"/>
      <c r="U81" s="149"/>
      <c r="V81" s="149"/>
      <c r="W81" s="149"/>
    </row>
    <row r="82" spans="1:23" ht="20.100000000000001" customHeight="1" x14ac:dyDescent="0.25">
      <c r="A82" s="883"/>
      <c r="B82" s="885"/>
      <c r="C82" s="886"/>
      <c r="D82" s="886"/>
      <c r="E82" s="886"/>
      <c r="F82" s="881"/>
      <c r="G82" s="2" t="s">
        <v>3072</v>
      </c>
      <c r="H82" s="2" t="s">
        <v>3073</v>
      </c>
      <c r="I82" s="143" t="s">
        <v>2843</v>
      </c>
      <c r="J82" s="151">
        <v>0.53500000000000003</v>
      </c>
      <c r="K82" s="151"/>
      <c r="L82" s="149"/>
      <c r="M82" s="146"/>
      <c r="N82" s="180"/>
      <c r="O82" s="151"/>
      <c r="P82" s="151"/>
      <c r="Q82" s="151"/>
      <c r="R82" s="363"/>
      <c r="S82" s="363"/>
      <c r="T82" s="176"/>
      <c r="U82" s="149"/>
      <c r="V82" s="149"/>
      <c r="W82" s="149"/>
    </row>
    <row r="83" spans="1:23" ht="20.100000000000001" customHeight="1" thickBot="1" x14ac:dyDescent="0.3">
      <c r="A83" s="645"/>
      <c r="B83" s="644"/>
      <c r="C83" s="646"/>
      <c r="D83" s="646"/>
      <c r="E83" s="646"/>
      <c r="F83" s="396"/>
      <c r="G83" s="1555" t="s">
        <v>1860</v>
      </c>
      <c r="H83" s="1555"/>
      <c r="I83" s="1556"/>
      <c r="J83" s="136">
        <f>SUM(J80:J82)</f>
        <v>0.65029999999999999</v>
      </c>
      <c r="K83" s="183">
        <v>0.8</v>
      </c>
      <c r="L83" s="136">
        <f>J83/K83</f>
        <v>0.8128749999999999</v>
      </c>
      <c r="M83" s="1574" t="s">
        <v>1861</v>
      </c>
      <c r="N83" s="1556"/>
      <c r="O83" s="136">
        <f>SUM(O75:O80)</f>
        <v>0.4</v>
      </c>
      <c r="P83" s="183">
        <v>0.8</v>
      </c>
      <c r="Q83" s="136">
        <f>O83/P83</f>
        <v>0.5</v>
      </c>
      <c r="R83" s="1555" t="s">
        <v>1860</v>
      </c>
      <c r="S83" s="1555"/>
      <c r="T83" s="1556"/>
      <c r="U83" s="136">
        <f>SUM(U75:U78)</f>
        <v>0</v>
      </c>
      <c r="V83" s="183">
        <v>0.8</v>
      </c>
      <c r="W83" s="136">
        <f>U83/V83</f>
        <v>0</v>
      </c>
    </row>
    <row r="84" spans="1:23" ht="20.100000000000001" customHeight="1" x14ac:dyDescent="0.25">
      <c r="A84" s="1540" t="str">
        <f>'Расчет ЦП - общая форма'!C296</f>
        <v xml:space="preserve">ПС 35/10 кВ Безбородово </v>
      </c>
      <c r="B84" s="1501">
        <f>'Расчет ЦП - общая форма'!D296</f>
        <v>2.5</v>
      </c>
      <c r="C84" s="403"/>
      <c r="D84" s="403"/>
      <c r="E84" s="403"/>
      <c r="F84" s="404"/>
      <c r="G84" s="1720" t="s">
        <v>1989</v>
      </c>
      <c r="H84" s="1720"/>
      <c r="I84" s="1720"/>
      <c r="J84" s="1720"/>
      <c r="K84" s="1720"/>
      <c r="L84" s="1688"/>
      <c r="M84" s="55"/>
      <c r="N84" s="200"/>
      <c r="O84" s="157"/>
      <c r="P84" s="157"/>
      <c r="Q84" s="157"/>
      <c r="R84" s="1728"/>
      <c r="S84" s="1729"/>
      <c r="T84" s="1729"/>
      <c r="U84" s="1729"/>
      <c r="V84" s="1729"/>
      <c r="W84" s="1697"/>
    </row>
    <row r="85" spans="1:23" ht="40.5" customHeight="1" x14ac:dyDescent="0.25">
      <c r="A85" s="1540"/>
      <c r="B85" s="1501"/>
      <c r="C85" s="403"/>
      <c r="D85" s="403"/>
      <c r="E85" s="403"/>
      <c r="F85" s="404"/>
      <c r="G85" s="265" t="s">
        <v>532</v>
      </c>
      <c r="H85" s="142" t="s">
        <v>533</v>
      </c>
      <c r="I85" s="142" t="s">
        <v>534</v>
      </c>
      <c r="J85" s="60">
        <v>0.4</v>
      </c>
      <c r="K85" s="143"/>
      <c r="L85" s="142"/>
      <c r="M85" s="143" t="s">
        <v>535</v>
      </c>
      <c r="N85" s="143" t="s">
        <v>536</v>
      </c>
      <c r="O85" s="143">
        <v>7.2</v>
      </c>
      <c r="P85" s="143"/>
      <c r="Q85" s="143"/>
      <c r="R85" s="142"/>
      <c r="S85" s="142"/>
      <c r="T85" s="142"/>
      <c r="U85" s="49"/>
      <c r="V85" s="142"/>
      <c r="W85" s="142"/>
    </row>
    <row r="86" spans="1:23" ht="40.5" customHeight="1" x14ac:dyDescent="0.25">
      <c r="A86" s="750"/>
      <c r="B86" s="751"/>
      <c r="C86" s="752"/>
      <c r="D86" s="752"/>
      <c r="E86" s="752"/>
      <c r="F86" s="749"/>
      <c r="G86" s="1663" t="s">
        <v>2512</v>
      </c>
      <c r="H86" s="1663"/>
      <c r="I86" s="1663"/>
      <c r="J86" s="1663"/>
      <c r="K86" s="1663"/>
      <c r="L86" s="1664"/>
      <c r="M86" s="143" t="s">
        <v>2825</v>
      </c>
      <c r="N86" s="143" t="s">
        <v>2952</v>
      </c>
      <c r="O86" s="143">
        <v>2</v>
      </c>
      <c r="P86" s="143"/>
      <c r="Q86" s="143"/>
      <c r="R86" s="142"/>
      <c r="S86" s="142"/>
      <c r="T86" s="142"/>
      <c r="U86" s="49"/>
      <c r="V86" s="142"/>
      <c r="W86" s="142"/>
    </row>
    <row r="87" spans="1:23" ht="40.5" customHeight="1" x14ac:dyDescent="0.25">
      <c r="A87" s="834"/>
      <c r="B87" s="835"/>
      <c r="C87" s="836"/>
      <c r="D87" s="836"/>
      <c r="E87" s="836"/>
      <c r="F87" s="833"/>
      <c r="G87" s="143" t="s">
        <v>2959</v>
      </c>
      <c r="H87" s="143" t="s">
        <v>2981</v>
      </c>
      <c r="I87" s="176" t="s">
        <v>3030</v>
      </c>
      <c r="J87" s="143">
        <f>0.0516-0.03</f>
        <v>2.1600000000000001E-2</v>
      </c>
      <c r="K87" s="151"/>
      <c r="L87" s="149"/>
      <c r="M87" s="143" t="s">
        <v>3468</v>
      </c>
      <c r="N87" s="143" t="s">
        <v>3469</v>
      </c>
      <c r="O87" s="143">
        <v>0.1</v>
      </c>
      <c r="P87" s="151"/>
      <c r="Q87" s="151"/>
      <c r="R87" s="147"/>
      <c r="S87" s="363"/>
      <c r="T87" s="176"/>
      <c r="U87" s="842"/>
      <c r="V87" s="149"/>
      <c r="W87" s="149"/>
    </row>
    <row r="88" spans="1:23" ht="20.100000000000001" customHeight="1" thickBot="1" x14ac:dyDescent="0.3">
      <c r="A88" s="405"/>
      <c r="B88" s="394"/>
      <c r="C88" s="395"/>
      <c r="D88" s="395"/>
      <c r="E88" s="395"/>
      <c r="F88" s="396"/>
      <c r="G88" s="1555" t="s">
        <v>1860</v>
      </c>
      <c r="H88" s="1555"/>
      <c r="I88" s="1556"/>
      <c r="J88" s="136">
        <f>SUM(J87)</f>
        <v>2.1600000000000001E-2</v>
      </c>
      <c r="K88" s="183">
        <v>0.8</v>
      </c>
      <c r="L88" s="136">
        <f>J88/K88</f>
        <v>2.7E-2</v>
      </c>
      <c r="M88" s="1574" t="s">
        <v>1861</v>
      </c>
      <c r="N88" s="1556"/>
      <c r="O88" s="136">
        <f>SUM(O85:O87)</f>
        <v>9.2999999999999989</v>
      </c>
      <c r="P88" s="183">
        <v>0.8</v>
      </c>
      <c r="Q88" s="136">
        <f>O88/P88</f>
        <v>11.624999999999998</v>
      </c>
      <c r="R88" s="1734"/>
      <c r="S88" s="1735"/>
      <c r="T88" s="1736"/>
      <c r="U88" s="91"/>
      <c r="V88" s="91"/>
      <c r="W88" s="91"/>
    </row>
    <row r="89" spans="1:23" ht="20.100000000000001" customHeight="1" x14ac:dyDescent="0.25">
      <c r="A89" s="1683" t="str">
        <f>'Расчет ЦП - общая форма'!C297</f>
        <v xml:space="preserve">ПС 110/10 кВ Медведиха </v>
      </c>
      <c r="B89" s="1551">
        <f>'Расчет ЦП - общая форма'!D297</f>
        <v>2.5</v>
      </c>
      <c r="C89" s="399"/>
      <c r="D89" s="399"/>
      <c r="E89" s="399"/>
      <c r="F89" s="400"/>
      <c r="G89" s="1688" t="s">
        <v>2061</v>
      </c>
      <c r="H89" s="1689"/>
      <c r="I89" s="1689"/>
      <c r="J89" s="1689"/>
      <c r="K89" s="1689"/>
      <c r="L89" s="1689"/>
      <c r="M89" s="72"/>
      <c r="N89" s="72"/>
      <c r="O89" s="72"/>
      <c r="P89" s="72"/>
      <c r="Q89" s="72"/>
      <c r="R89" s="1682"/>
      <c r="S89" s="1682"/>
      <c r="T89" s="1682"/>
      <c r="U89" s="1682"/>
      <c r="V89" s="1682"/>
      <c r="W89" s="1682"/>
    </row>
    <row r="90" spans="1:23" ht="78.75" customHeight="1" x14ac:dyDescent="0.25">
      <c r="A90" s="1540"/>
      <c r="B90" s="1501"/>
      <c r="C90" s="403"/>
      <c r="D90" s="403"/>
      <c r="E90" s="403"/>
      <c r="F90" s="404"/>
      <c r="G90" s="184" t="s">
        <v>1474</v>
      </c>
      <c r="H90" s="143" t="s">
        <v>2032</v>
      </c>
      <c r="I90" s="143" t="s">
        <v>2270</v>
      </c>
      <c r="J90" s="143">
        <v>0.13500000000000001</v>
      </c>
      <c r="K90" s="143"/>
      <c r="L90" s="142"/>
      <c r="M90" s="142" t="s">
        <v>2690</v>
      </c>
      <c r="N90" s="142" t="s">
        <v>2691</v>
      </c>
      <c r="O90" s="142">
        <v>3.5000000000000003E-2</v>
      </c>
      <c r="P90" s="142"/>
      <c r="Q90" s="142"/>
      <c r="R90" s="142"/>
      <c r="S90" s="142"/>
      <c r="T90" s="142"/>
      <c r="U90" s="142"/>
      <c r="V90" s="142"/>
      <c r="W90" s="142"/>
    </row>
    <row r="91" spans="1:23" ht="26.25" customHeight="1" x14ac:dyDescent="0.25">
      <c r="A91" s="1540"/>
      <c r="B91" s="1501"/>
      <c r="C91" s="808"/>
      <c r="D91" s="808"/>
      <c r="E91" s="808"/>
      <c r="F91" s="804"/>
      <c r="G91" s="1688" t="s">
        <v>2512</v>
      </c>
      <c r="H91" s="1689"/>
      <c r="I91" s="1689"/>
      <c r="J91" s="1689"/>
      <c r="K91" s="1689"/>
      <c r="L91" s="1689"/>
      <c r="M91" s="149"/>
      <c r="N91" s="149"/>
      <c r="O91" s="149"/>
      <c r="P91" s="157"/>
      <c r="Q91" s="157"/>
      <c r="R91" s="55"/>
      <c r="S91" s="86"/>
      <c r="T91" s="200"/>
      <c r="U91" s="157"/>
      <c r="V91" s="157"/>
      <c r="W91" s="157"/>
    </row>
    <row r="92" spans="1:23" ht="78.75" customHeight="1" x14ac:dyDescent="0.25">
      <c r="A92" s="1540"/>
      <c r="B92" s="1501"/>
      <c r="C92" s="777"/>
      <c r="D92" s="777"/>
      <c r="E92" s="777"/>
      <c r="F92" s="773"/>
      <c r="G92" s="143" t="s">
        <v>2690</v>
      </c>
      <c r="H92" s="143" t="s">
        <v>2865</v>
      </c>
      <c r="I92" s="143" t="s">
        <v>2913</v>
      </c>
      <c r="J92" s="143">
        <v>1.4999999999999999E-2</v>
      </c>
      <c r="K92" s="143"/>
      <c r="L92" s="142"/>
      <c r="M92" s="149"/>
      <c r="N92" s="149"/>
      <c r="O92" s="149"/>
      <c r="P92" s="157"/>
      <c r="Q92" s="157"/>
      <c r="R92" s="55"/>
      <c r="S92" s="86"/>
      <c r="T92" s="200"/>
      <c r="U92" s="157"/>
      <c r="V92" s="157"/>
      <c r="W92" s="157"/>
    </row>
    <row r="93" spans="1:23" ht="28.5" customHeight="1" x14ac:dyDescent="0.25">
      <c r="A93" s="1540"/>
      <c r="B93" s="1501"/>
      <c r="C93" s="1214"/>
      <c r="D93" s="1214"/>
      <c r="E93" s="1214"/>
      <c r="F93" s="1211"/>
      <c r="G93" s="1688" t="s">
        <v>3069</v>
      </c>
      <c r="H93" s="1689"/>
      <c r="I93" s="1689"/>
      <c r="J93" s="1689"/>
      <c r="K93" s="1689"/>
      <c r="L93" s="1689"/>
      <c r="M93" s="149"/>
      <c r="N93" s="149"/>
      <c r="O93" s="149"/>
      <c r="P93" s="157"/>
      <c r="Q93" s="157"/>
      <c r="R93" s="55"/>
      <c r="S93" s="86"/>
      <c r="T93" s="200"/>
      <c r="U93" s="157"/>
      <c r="V93" s="157"/>
      <c r="W93" s="157"/>
    </row>
    <row r="94" spans="1:23" ht="43.5" customHeight="1" x14ac:dyDescent="0.25">
      <c r="A94" s="1540"/>
      <c r="B94" s="1501"/>
      <c r="C94" s="1214"/>
      <c r="D94" s="1214"/>
      <c r="E94" s="1214"/>
      <c r="F94" s="1211"/>
      <c r="G94" s="1665" t="s">
        <v>3487</v>
      </c>
      <c r="H94" s="1666"/>
      <c r="I94" s="1667"/>
      <c r="J94" s="785">
        <v>0.1865</v>
      </c>
      <c r="K94" s="143"/>
      <c r="L94" s="142"/>
      <c r="M94" s="149"/>
      <c r="N94" s="149"/>
      <c r="O94" s="149"/>
      <c r="P94" s="157"/>
      <c r="Q94" s="157"/>
      <c r="R94" s="55"/>
      <c r="S94" s="86"/>
      <c r="T94" s="200"/>
      <c r="U94" s="157"/>
      <c r="V94" s="157"/>
      <c r="W94" s="157"/>
    </row>
    <row r="95" spans="1:23" ht="20.100000000000001" customHeight="1" thickBot="1" x14ac:dyDescent="0.3">
      <c r="A95" s="1742"/>
      <c r="B95" s="1722"/>
      <c r="C95" s="395"/>
      <c r="D95" s="395"/>
      <c r="E95" s="395"/>
      <c r="F95" s="396"/>
      <c r="G95" s="1490" t="s">
        <v>1860</v>
      </c>
      <c r="H95" s="1490"/>
      <c r="I95" s="1490"/>
      <c r="J95" s="275">
        <f>SUM(J92:J94)</f>
        <v>0.20150000000000001</v>
      </c>
      <c r="K95" s="143">
        <v>0.8</v>
      </c>
      <c r="L95" s="275">
        <f>J95/K95</f>
        <v>0.25187500000000002</v>
      </c>
      <c r="M95" s="1490" t="s">
        <v>1861</v>
      </c>
      <c r="N95" s="1490"/>
      <c r="O95" s="275">
        <f>SUM(O90:O92)</f>
        <v>3.5000000000000003E-2</v>
      </c>
      <c r="P95" s="143">
        <v>0.8</v>
      </c>
      <c r="Q95" s="275">
        <f>O95/P95</f>
        <v>4.3750000000000004E-2</v>
      </c>
      <c r="R95" s="1490" t="s">
        <v>1860</v>
      </c>
      <c r="S95" s="1490"/>
      <c r="T95" s="1490"/>
      <c r="U95" s="275">
        <f>SUM(U90:U90)</f>
        <v>0</v>
      </c>
      <c r="V95" s="143">
        <v>0.8</v>
      </c>
      <c r="W95" s="275">
        <f>U95/V95</f>
        <v>0</v>
      </c>
    </row>
    <row r="96" spans="1:23" ht="39.75" customHeight="1" x14ac:dyDescent="0.25">
      <c r="A96" s="406" t="str">
        <f>'Расчет ЦП - общая форма'!C298</f>
        <v xml:space="preserve">ПС 35/10 кВ Киверичи </v>
      </c>
      <c r="B96" s="398">
        <f>'Расчет ЦП - общая форма'!D298</f>
        <v>2.5</v>
      </c>
      <c r="C96" s="399"/>
      <c r="D96" s="399"/>
      <c r="E96" s="399"/>
      <c r="F96" s="400"/>
      <c r="G96" s="262"/>
      <c r="H96" s="42"/>
      <c r="I96" s="42"/>
      <c r="J96" s="42"/>
      <c r="K96" s="42"/>
      <c r="L96" s="72"/>
      <c r="M96" s="42" t="s">
        <v>741</v>
      </c>
      <c r="N96" s="42" t="s">
        <v>742</v>
      </c>
      <c r="O96" s="42">
        <v>2.6499999999999999E-2</v>
      </c>
      <c r="P96" s="42"/>
      <c r="Q96" s="42"/>
      <c r="R96" s="42"/>
      <c r="S96" s="42"/>
      <c r="T96" s="42"/>
      <c r="U96" s="42"/>
      <c r="V96" s="42"/>
      <c r="W96" s="72"/>
    </row>
    <row r="97" spans="1:23" ht="20.100000000000001" customHeight="1" thickBot="1" x14ac:dyDescent="0.3">
      <c r="A97" s="405"/>
      <c r="B97" s="394"/>
      <c r="C97" s="395"/>
      <c r="D97" s="395"/>
      <c r="E97" s="395"/>
      <c r="F97" s="396"/>
      <c r="G97" s="1555" t="s">
        <v>1860</v>
      </c>
      <c r="H97" s="1555"/>
      <c r="I97" s="1556"/>
      <c r="J97" s="136">
        <f>SUM(J96:J96)</f>
        <v>0</v>
      </c>
      <c r="K97" s="183">
        <v>0.8</v>
      </c>
      <c r="L97" s="136">
        <f>J97/K97</f>
        <v>0</v>
      </c>
      <c r="M97" s="1574" t="s">
        <v>1861</v>
      </c>
      <c r="N97" s="1556"/>
      <c r="O97" s="136">
        <f>SUM(O96:O96)</f>
        <v>2.6499999999999999E-2</v>
      </c>
      <c r="P97" s="183">
        <v>0.8</v>
      </c>
      <c r="Q97" s="136">
        <f>O97/P97</f>
        <v>3.3124999999999995E-2</v>
      </c>
      <c r="R97" s="1574" t="s">
        <v>1860</v>
      </c>
      <c r="S97" s="1555"/>
      <c r="T97" s="1556"/>
      <c r="U97" s="136">
        <f>SUM(U96:U96)</f>
        <v>0</v>
      </c>
      <c r="V97" s="183">
        <v>0.8</v>
      </c>
      <c r="W97" s="136">
        <f>U97/V97</f>
        <v>0</v>
      </c>
    </row>
    <row r="98" spans="1:23" ht="20.100000000000001" customHeight="1" x14ac:dyDescent="0.25">
      <c r="A98" s="406" t="str">
        <f>'Расчет ЦП - общая форма'!C299</f>
        <v xml:space="preserve">ПС 35/10 кВ Диево </v>
      </c>
      <c r="B98" s="398">
        <f>'Расчет ЦП - общая форма'!D299</f>
        <v>2.5</v>
      </c>
      <c r="C98" s="399"/>
      <c r="D98" s="399"/>
      <c r="E98" s="399"/>
      <c r="F98" s="400"/>
      <c r="G98" s="184"/>
      <c r="H98" s="143"/>
      <c r="I98" s="143"/>
      <c r="J98" s="143"/>
      <c r="K98" s="143"/>
      <c r="L98" s="142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2"/>
    </row>
    <row r="99" spans="1:23" ht="20.100000000000001" customHeight="1" thickBot="1" x14ac:dyDescent="0.3">
      <c r="A99" s="405"/>
      <c r="B99" s="394"/>
      <c r="C99" s="395"/>
      <c r="D99" s="395"/>
      <c r="E99" s="395"/>
      <c r="F99" s="396"/>
      <c r="G99" s="1555" t="s">
        <v>1860</v>
      </c>
      <c r="H99" s="1555"/>
      <c r="I99" s="1556"/>
      <c r="J99" s="136">
        <f>SUM(J98:J98)</f>
        <v>0</v>
      </c>
      <c r="K99" s="183">
        <v>0.8</v>
      </c>
      <c r="L99" s="136">
        <f>J99/K99</f>
        <v>0</v>
      </c>
      <c r="M99" s="1574" t="s">
        <v>1861</v>
      </c>
      <c r="N99" s="1556"/>
      <c r="O99" s="136">
        <f>SUM(O98:O98)</f>
        <v>0</v>
      </c>
      <c r="P99" s="183">
        <v>0.8</v>
      </c>
      <c r="Q99" s="136">
        <f>O99/P99</f>
        <v>0</v>
      </c>
      <c r="R99" s="1574" t="s">
        <v>1860</v>
      </c>
      <c r="S99" s="1555"/>
      <c r="T99" s="1556"/>
      <c r="U99" s="136">
        <f>SUM(U98:U98)</f>
        <v>0</v>
      </c>
      <c r="V99" s="183">
        <v>0.8</v>
      </c>
      <c r="W99" s="136">
        <f>U99/V99</f>
        <v>0</v>
      </c>
    </row>
    <row r="100" spans="1:23" ht="20.100000000000001" customHeight="1" x14ac:dyDescent="0.25">
      <c r="A100" s="406" t="str">
        <f>'Расчет ЦП - общая форма'!C300</f>
        <v xml:space="preserve">ПС 35/10 кВ №17 </v>
      </c>
      <c r="B100" s="398">
        <f>'Расчет ЦП - общая форма'!D300</f>
        <v>4</v>
      </c>
      <c r="C100" s="399" t="str">
        <f>'Расчет ЦП - общая форма'!E300</f>
        <v>+</v>
      </c>
      <c r="D100" s="399">
        <f>'Расчет ЦП - общая форма'!F300</f>
        <v>4</v>
      </c>
      <c r="E100" s="399"/>
      <c r="F100" s="400"/>
      <c r="G100" s="1688" t="s">
        <v>2512</v>
      </c>
      <c r="H100" s="1689"/>
      <c r="I100" s="1689"/>
      <c r="J100" s="1689"/>
      <c r="K100" s="1689"/>
      <c r="L100" s="1689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2"/>
    </row>
    <row r="101" spans="1:23" ht="20.100000000000001" customHeight="1" x14ac:dyDescent="0.25">
      <c r="A101" s="730"/>
      <c r="B101" s="731"/>
      <c r="C101" s="732"/>
      <c r="D101" s="732"/>
      <c r="E101" s="732"/>
      <c r="F101" s="729"/>
      <c r="G101" s="143" t="s">
        <v>2706</v>
      </c>
      <c r="H101" s="143" t="s">
        <v>2707</v>
      </c>
      <c r="I101" s="143" t="s">
        <v>2773</v>
      </c>
      <c r="J101" s="143">
        <v>0.1</v>
      </c>
      <c r="K101" s="143"/>
      <c r="L101" s="142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2"/>
    </row>
    <row r="102" spans="1:23" ht="20.100000000000001" customHeight="1" thickBot="1" x14ac:dyDescent="0.3">
      <c r="A102" s="405"/>
      <c r="B102" s="394"/>
      <c r="C102" s="395"/>
      <c r="D102" s="395"/>
      <c r="E102" s="395"/>
      <c r="F102" s="396"/>
      <c r="G102" s="1555" t="s">
        <v>1860</v>
      </c>
      <c r="H102" s="1555"/>
      <c r="I102" s="1556"/>
      <c r="J102" s="136">
        <f>SUM(J101)</f>
        <v>0.1</v>
      </c>
      <c r="K102" s="183">
        <v>0.8</v>
      </c>
      <c r="L102" s="136">
        <f>J102/K102</f>
        <v>0.125</v>
      </c>
      <c r="M102" s="1574" t="s">
        <v>1861</v>
      </c>
      <c r="N102" s="1556"/>
      <c r="O102" s="136">
        <f>SUM(O100:O100)</f>
        <v>0</v>
      </c>
      <c r="P102" s="183">
        <v>0.8</v>
      </c>
      <c r="Q102" s="136">
        <f>O102/P102</f>
        <v>0</v>
      </c>
      <c r="R102" s="1574" t="s">
        <v>1860</v>
      </c>
      <c r="S102" s="1555"/>
      <c r="T102" s="1556"/>
      <c r="U102" s="136">
        <f>SUM(U100:U100)</f>
        <v>0</v>
      </c>
      <c r="V102" s="183">
        <v>0.8</v>
      </c>
      <c r="W102" s="136">
        <f>U102/V102</f>
        <v>0</v>
      </c>
    </row>
    <row r="103" spans="1:23" ht="20.100000000000001" customHeight="1" x14ac:dyDescent="0.25">
      <c r="A103" s="1683" t="str">
        <f>'Расчет ЦП - общая форма'!C301</f>
        <v>ПС  35/6 кВ Даниловская</v>
      </c>
      <c r="B103" s="1551">
        <f>'Расчет ЦП - общая форма'!D301</f>
        <v>2.5</v>
      </c>
      <c r="C103" s="1552" t="str">
        <f>'Расчет ЦП - общая форма'!E301</f>
        <v>+</v>
      </c>
      <c r="D103" s="1552">
        <f>'Расчет ЦП - общая форма'!F301</f>
        <v>6.3</v>
      </c>
      <c r="E103" s="399"/>
      <c r="F103" s="400"/>
      <c r="G103" s="1712" t="s">
        <v>1989</v>
      </c>
      <c r="H103" s="1712"/>
      <c r="I103" s="1712"/>
      <c r="J103" s="1712"/>
      <c r="K103" s="1712"/>
      <c r="L103" s="1702"/>
      <c r="M103" s="147"/>
      <c r="N103" s="176"/>
      <c r="O103" s="149"/>
      <c r="P103" s="149"/>
      <c r="Q103" s="149"/>
      <c r="R103" s="1713"/>
      <c r="S103" s="1691"/>
      <c r="T103" s="1691"/>
      <c r="U103" s="1691"/>
      <c r="V103" s="1691"/>
      <c r="W103" s="1692"/>
    </row>
    <row r="104" spans="1:23" ht="20.100000000000001" customHeight="1" x14ac:dyDescent="0.25">
      <c r="A104" s="1540"/>
      <c r="B104" s="1501"/>
      <c r="C104" s="1553"/>
      <c r="D104" s="1553"/>
      <c r="E104" s="403"/>
      <c r="F104" s="404"/>
      <c r="G104" s="265" t="s">
        <v>362</v>
      </c>
      <c r="H104" s="142" t="s">
        <v>363</v>
      </c>
      <c r="I104" s="142" t="s">
        <v>364</v>
      </c>
      <c r="J104" s="54">
        <v>0.05</v>
      </c>
      <c r="K104" s="143"/>
      <c r="L104" s="142"/>
      <c r="M104" s="142" t="s">
        <v>365</v>
      </c>
      <c r="N104" s="143" t="s">
        <v>366</v>
      </c>
      <c r="O104" s="143">
        <v>5</v>
      </c>
      <c r="P104" s="143"/>
      <c r="Q104" s="143"/>
      <c r="R104" s="184" t="s">
        <v>2404</v>
      </c>
      <c r="S104" s="1265" t="s">
        <v>2405</v>
      </c>
      <c r="T104" s="143" t="s">
        <v>3330</v>
      </c>
      <c r="U104" s="143">
        <v>0.105</v>
      </c>
      <c r="V104" s="142"/>
      <c r="W104" s="142"/>
    </row>
    <row r="105" spans="1:23" ht="20.100000000000001" customHeight="1" x14ac:dyDescent="0.25">
      <c r="A105" s="401"/>
      <c r="B105" s="402"/>
      <c r="C105" s="403"/>
      <c r="D105" s="403"/>
      <c r="E105" s="403"/>
      <c r="F105" s="404"/>
      <c r="G105" s="66" t="s">
        <v>367</v>
      </c>
      <c r="H105" s="2" t="s">
        <v>368</v>
      </c>
      <c r="I105" s="142" t="s">
        <v>369</v>
      </c>
      <c r="J105" s="52">
        <v>0.35</v>
      </c>
      <c r="K105" s="143"/>
      <c r="L105" s="142"/>
      <c r="M105" s="143" t="s">
        <v>370</v>
      </c>
      <c r="N105" s="143" t="s">
        <v>371</v>
      </c>
      <c r="O105" s="143">
        <v>0.3</v>
      </c>
      <c r="P105" s="143"/>
      <c r="Q105" s="143"/>
      <c r="R105" s="142"/>
      <c r="S105" s="142"/>
      <c r="T105" s="142"/>
      <c r="U105" s="364"/>
      <c r="V105" s="142"/>
      <c r="W105" s="142"/>
    </row>
    <row r="106" spans="1:23" ht="20.100000000000001" customHeight="1" x14ac:dyDescent="0.25">
      <c r="A106" s="401"/>
      <c r="B106" s="402"/>
      <c r="C106" s="403"/>
      <c r="D106" s="403"/>
      <c r="E106" s="403"/>
      <c r="F106" s="404"/>
      <c r="G106" s="1664" t="s">
        <v>2061</v>
      </c>
      <c r="H106" s="1709"/>
      <c r="I106" s="1709"/>
      <c r="J106" s="1709"/>
      <c r="K106" s="1709"/>
      <c r="L106" s="1709"/>
      <c r="M106" s="143"/>
      <c r="N106" s="143"/>
      <c r="O106" s="143"/>
      <c r="P106" s="143"/>
      <c r="Q106" s="143"/>
      <c r="R106" s="1694"/>
      <c r="S106" s="1694"/>
      <c r="T106" s="1694"/>
      <c r="U106" s="1694"/>
      <c r="V106" s="1694"/>
      <c r="W106" s="1694"/>
    </row>
    <row r="107" spans="1:23" ht="20.100000000000001" customHeight="1" x14ac:dyDescent="0.25">
      <c r="A107" s="401"/>
      <c r="B107" s="402"/>
      <c r="C107" s="403"/>
      <c r="D107" s="403"/>
      <c r="E107" s="403"/>
      <c r="F107" s="404"/>
      <c r="G107" s="184" t="s">
        <v>372</v>
      </c>
      <c r="H107" s="143" t="s">
        <v>373</v>
      </c>
      <c r="I107" s="143" t="s">
        <v>2282</v>
      </c>
      <c r="J107" s="143">
        <v>0.2</v>
      </c>
      <c r="K107" s="143"/>
      <c r="L107" s="142"/>
      <c r="M107" s="143" t="s">
        <v>1491</v>
      </c>
      <c r="N107" s="143" t="s">
        <v>1490</v>
      </c>
      <c r="O107" s="143">
        <v>0.5</v>
      </c>
      <c r="P107" s="143"/>
      <c r="Q107" s="143"/>
      <c r="R107" s="142"/>
      <c r="S107" s="142"/>
      <c r="T107" s="142"/>
      <c r="U107" s="142"/>
      <c r="V107" s="142"/>
      <c r="W107" s="142"/>
    </row>
    <row r="108" spans="1:23" ht="20.100000000000001" customHeight="1" x14ac:dyDescent="0.25">
      <c r="A108" s="401"/>
      <c r="B108" s="402"/>
      <c r="C108" s="403"/>
      <c r="D108" s="403"/>
      <c r="E108" s="403"/>
      <c r="F108" s="404"/>
      <c r="G108" s="184"/>
      <c r="H108" s="143"/>
      <c r="I108" s="143"/>
      <c r="J108" s="143"/>
      <c r="K108" s="143"/>
      <c r="L108" s="142"/>
      <c r="M108" s="143" t="s">
        <v>372</v>
      </c>
      <c r="N108" s="143" t="s">
        <v>374</v>
      </c>
      <c r="O108" s="184">
        <v>0.15</v>
      </c>
      <c r="P108" s="143"/>
      <c r="Q108" s="143"/>
      <c r="R108" s="142"/>
      <c r="S108" s="142"/>
      <c r="T108" s="142"/>
      <c r="U108" s="142"/>
      <c r="V108" s="142"/>
      <c r="W108" s="142"/>
    </row>
    <row r="109" spans="1:23" ht="20.100000000000001" customHeight="1" x14ac:dyDescent="0.25">
      <c r="A109" s="770"/>
      <c r="B109" s="771"/>
      <c r="C109" s="772"/>
      <c r="D109" s="772"/>
      <c r="E109" s="772"/>
      <c r="F109" s="769"/>
      <c r="G109" s="1664" t="s">
        <v>2512</v>
      </c>
      <c r="H109" s="1709"/>
      <c r="I109" s="1709"/>
      <c r="J109" s="1709"/>
      <c r="K109" s="1709"/>
      <c r="L109" s="1709"/>
      <c r="M109" s="1265" t="s">
        <v>1718</v>
      </c>
      <c r="N109" s="1265" t="s">
        <v>3191</v>
      </c>
      <c r="O109" s="1265">
        <v>3.2000000000000001E-2</v>
      </c>
      <c r="P109" s="151"/>
      <c r="Q109" s="151"/>
      <c r="R109" s="149"/>
      <c r="S109" s="149"/>
      <c r="T109" s="149"/>
      <c r="U109" s="149"/>
      <c r="V109" s="149"/>
      <c r="W109" s="149"/>
    </row>
    <row r="110" spans="1:23" ht="33.75" customHeight="1" x14ac:dyDescent="0.25">
      <c r="A110" s="770"/>
      <c r="B110" s="771"/>
      <c r="C110" s="772"/>
      <c r="D110" s="772"/>
      <c r="E110" s="772"/>
      <c r="F110" s="769"/>
      <c r="G110" s="1254"/>
      <c r="H110" s="149"/>
      <c r="I110" s="149"/>
      <c r="J110" s="149"/>
      <c r="K110" s="149"/>
      <c r="L110" s="149"/>
      <c r="M110" s="1265"/>
      <c r="N110" s="1265"/>
      <c r="O110" s="1265"/>
      <c r="P110" s="151"/>
      <c r="Q110" s="151"/>
      <c r="R110" s="149"/>
      <c r="S110" s="149"/>
      <c r="T110" s="149"/>
      <c r="U110" s="149"/>
      <c r="V110" s="149"/>
      <c r="W110" s="149"/>
    </row>
    <row r="111" spans="1:23" ht="20.100000000000001" customHeight="1" x14ac:dyDescent="0.25">
      <c r="A111" s="1175"/>
      <c r="B111" s="1173"/>
      <c r="C111" s="1176"/>
      <c r="D111" s="1176"/>
      <c r="E111" s="1176"/>
      <c r="F111" s="1174"/>
      <c r="G111" s="176"/>
      <c r="H111" s="149"/>
      <c r="I111" s="149"/>
      <c r="J111" s="149"/>
      <c r="K111" s="149"/>
      <c r="L111" s="149"/>
      <c r="M111" s="1265" t="s">
        <v>3422</v>
      </c>
      <c r="N111" s="1265" t="s">
        <v>3423</v>
      </c>
      <c r="O111" s="1265">
        <v>0.06</v>
      </c>
      <c r="P111" s="151"/>
      <c r="Q111" s="151"/>
      <c r="R111" s="149"/>
      <c r="S111" s="149"/>
      <c r="T111" s="149"/>
      <c r="U111" s="149"/>
      <c r="V111" s="149"/>
      <c r="W111" s="149"/>
    </row>
    <row r="112" spans="1:23" ht="20.100000000000001" customHeight="1" x14ac:dyDescent="0.25">
      <c r="A112" s="1175"/>
      <c r="B112" s="1173"/>
      <c r="C112" s="1176"/>
      <c r="D112" s="1176"/>
      <c r="E112" s="1176"/>
      <c r="F112" s="1174"/>
      <c r="G112" s="1664" t="s">
        <v>3069</v>
      </c>
      <c r="H112" s="1709"/>
      <c r="I112" s="1709"/>
      <c r="J112" s="1709"/>
      <c r="K112" s="1709"/>
      <c r="L112" s="1709"/>
      <c r="M112" s="1265"/>
      <c r="N112" s="1265"/>
      <c r="O112" s="1265"/>
      <c r="P112" s="151"/>
      <c r="Q112" s="151"/>
      <c r="R112" s="149"/>
      <c r="S112" s="149"/>
      <c r="T112" s="149"/>
      <c r="U112" s="149"/>
      <c r="V112" s="149"/>
      <c r="W112" s="149"/>
    </row>
    <row r="113" spans="1:23" ht="20.100000000000001" customHeight="1" x14ac:dyDescent="0.25">
      <c r="A113" s="1175"/>
      <c r="B113" s="1173"/>
      <c r="C113" s="1176"/>
      <c r="D113" s="1176"/>
      <c r="E113" s="1176"/>
      <c r="F113" s="1174"/>
      <c r="G113" s="146" t="s">
        <v>3435</v>
      </c>
      <c r="H113" s="180" t="s">
        <v>3335</v>
      </c>
      <c r="I113" s="149" t="s">
        <v>3436</v>
      </c>
      <c r="J113" s="149">
        <v>1.7</v>
      </c>
      <c r="K113" s="149"/>
      <c r="L113" s="149"/>
      <c r="M113" s="1265"/>
      <c r="N113" s="1265"/>
      <c r="O113" s="1265"/>
      <c r="P113" s="151"/>
      <c r="Q113" s="151"/>
      <c r="R113" s="149"/>
      <c r="S113" s="149"/>
      <c r="T113" s="149"/>
      <c r="U113" s="149"/>
      <c r="V113" s="149"/>
      <c r="W113" s="149"/>
    </row>
    <row r="114" spans="1:23" ht="20.100000000000001" customHeight="1" x14ac:dyDescent="0.25">
      <c r="A114" s="1200"/>
      <c r="B114" s="1201"/>
      <c r="C114" s="1203"/>
      <c r="D114" s="1203"/>
      <c r="E114" s="1203"/>
      <c r="F114" s="1202"/>
      <c r="G114" s="1665" t="s">
        <v>3485</v>
      </c>
      <c r="H114" s="1666"/>
      <c r="I114" s="1667"/>
      <c r="J114" s="786">
        <v>1.171</v>
      </c>
      <c r="K114" s="786"/>
      <c r="L114" s="786"/>
      <c r="M114" s="1265"/>
      <c r="N114" s="1265"/>
      <c r="O114" s="1265"/>
      <c r="P114" s="151"/>
      <c r="Q114" s="151"/>
      <c r="R114" s="149"/>
      <c r="S114" s="149"/>
      <c r="T114" s="149"/>
      <c r="U114" s="149"/>
      <c r="V114" s="149"/>
      <c r="W114" s="149"/>
    </row>
    <row r="115" spans="1:23" ht="20.100000000000001" customHeight="1" x14ac:dyDescent="0.25">
      <c r="A115" s="1272"/>
      <c r="B115" s="1266"/>
      <c r="C115" s="1274"/>
      <c r="D115" s="1274"/>
      <c r="E115" s="1274"/>
      <c r="F115" s="1267"/>
      <c r="G115" s="1664" t="s">
        <v>3537</v>
      </c>
      <c r="H115" s="1709"/>
      <c r="I115" s="1709"/>
      <c r="J115" s="1709"/>
      <c r="K115" s="1709"/>
      <c r="L115" s="1709"/>
      <c r="M115" s="1265"/>
      <c r="N115" s="1265"/>
      <c r="O115" s="1265"/>
      <c r="P115" s="1268"/>
      <c r="Q115" s="1268"/>
      <c r="R115" s="149"/>
      <c r="S115" s="149"/>
      <c r="T115" s="149"/>
      <c r="U115" s="149"/>
      <c r="V115" s="149"/>
      <c r="W115" s="149"/>
    </row>
    <row r="116" spans="1:23" ht="20.100000000000001" customHeight="1" x14ac:dyDescent="0.25">
      <c r="A116" s="1272"/>
      <c r="B116" s="1266"/>
      <c r="C116" s="1274"/>
      <c r="D116" s="1274"/>
      <c r="E116" s="1274"/>
      <c r="F116" s="1267"/>
      <c r="G116" s="1265" t="s">
        <v>3520</v>
      </c>
      <c r="H116" s="1265" t="s">
        <v>3521</v>
      </c>
      <c r="I116" s="1283" t="s">
        <v>3543</v>
      </c>
      <c r="J116" s="1283">
        <v>4.7199999999999999E-2</v>
      </c>
      <c r="K116" s="1283"/>
      <c r="L116" s="1283"/>
      <c r="M116" s="1265"/>
      <c r="N116" s="1265"/>
      <c r="O116" s="1265"/>
      <c r="P116" s="1268"/>
      <c r="Q116" s="1268"/>
      <c r="R116" s="149"/>
      <c r="S116" s="149"/>
      <c r="T116" s="149"/>
      <c r="U116" s="149"/>
      <c r="V116" s="149"/>
      <c r="W116" s="149"/>
    </row>
    <row r="117" spans="1:23" ht="20.100000000000001" customHeight="1" thickBot="1" x14ac:dyDescent="0.3">
      <c r="A117" s="570"/>
      <c r="B117" s="394"/>
      <c r="C117" s="395"/>
      <c r="D117" s="395"/>
      <c r="E117" s="395"/>
      <c r="F117" s="396"/>
      <c r="G117" s="180"/>
      <c r="H117" s="151"/>
      <c r="I117" s="151"/>
      <c r="J117" s="136">
        <f>SUM(J110:J116)</f>
        <v>2.9182000000000001</v>
      </c>
      <c r="K117" s="151">
        <v>0.8</v>
      </c>
      <c r="L117" s="181">
        <f>J117/K117</f>
        <v>3.6477499999999998</v>
      </c>
      <c r="M117" s="1529" t="s">
        <v>1861</v>
      </c>
      <c r="N117" s="1531"/>
      <c r="O117" s="181">
        <f>SUM(O104:O111)</f>
        <v>6.0419999999999998</v>
      </c>
      <c r="P117" s="151">
        <v>0.8</v>
      </c>
      <c r="Q117" s="181">
        <f>O117/P117</f>
        <v>7.5524999999999993</v>
      </c>
      <c r="R117" s="151"/>
      <c r="S117" s="151"/>
      <c r="T117" s="151"/>
      <c r="U117" s="136">
        <f>SUM(U104:U110)</f>
        <v>0.105</v>
      </c>
      <c r="V117" s="151">
        <v>0.8</v>
      </c>
      <c r="W117" s="181">
        <f>U117/V117</f>
        <v>0.13124999999999998</v>
      </c>
    </row>
    <row r="118" spans="1:23" ht="20.100000000000001" customHeight="1" x14ac:dyDescent="0.25">
      <c r="A118" s="401" t="str">
        <f>'Расчет ЦП - общая форма'!C302</f>
        <v>ПС 35/10 кВ Кушалино</v>
      </c>
      <c r="B118" s="402">
        <f>'Расчет ЦП - общая форма'!D302</f>
        <v>2.5</v>
      </c>
      <c r="C118" s="403" t="str">
        <f>'Расчет ЦП - общая форма'!E302</f>
        <v>+</v>
      </c>
      <c r="D118" s="403">
        <f>'Расчет ЦП - общая форма'!F302</f>
        <v>2.5</v>
      </c>
      <c r="E118" s="403"/>
      <c r="F118" s="404"/>
      <c r="G118" s="553"/>
      <c r="H118" s="97"/>
      <c r="I118" s="97"/>
      <c r="J118" s="97"/>
      <c r="K118" s="97"/>
      <c r="L118" s="97"/>
      <c r="M118" s="4"/>
      <c r="N118" s="4"/>
      <c r="O118" s="4"/>
      <c r="P118" s="4"/>
      <c r="Q118" s="143"/>
      <c r="R118" s="74"/>
      <c r="S118" s="74"/>
      <c r="T118" s="74"/>
      <c r="U118" s="74"/>
      <c r="V118" s="74"/>
      <c r="W118" s="74"/>
    </row>
    <row r="119" spans="1:23" ht="19.5" customHeight="1" x14ac:dyDescent="0.25">
      <c r="A119" s="401"/>
      <c r="B119" s="402"/>
      <c r="C119" s="403"/>
      <c r="D119" s="403"/>
      <c r="E119" s="403"/>
      <c r="F119" s="404"/>
      <c r="G119" s="1664" t="s">
        <v>1987</v>
      </c>
      <c r="H119" s="1709"/>
      <c r="I119" s="1709"/>
      <c r="J119" s="1709"/>
      <c r="K119" s="1709"/>
      <c r="L119" s="1709"/>
      <c r="M119" s="143"/>
      <c r="N119" s="143"/>
      <c r="O119" s="143"/>
      <c r="P119" s="143"/>
      <c r="Q119" s="143"/>
      <c r="R119" s="1694"/>
      <c r="S119" s="1694"/>
      <c r="T119" s="1694"/>
      <c r="U119" s="1694"/>
      <c r="V119" s="1694"/>
      <c r="W119" s="1694"/>
    </row>
    <row r="120" spans="1:23" ht="78" customHeight="1" x14ac:dyDescent="0.25">
      <c r="A120" s="401"/>
      <c r="B120" s="402"/>
      <c r="C120" s="403"/>
      <c r="D120" s="403"/>
      <c r="E120" s="403"/>
      <c r="F120" s="404"/>
      <c r="G120" s="184" t="s">
        <v>752</v>
      </c>
      <c r="H120" s="143" t="s">
        <v>753</v>
      </c>
      <c r="I120" s="143" t="s">
        <v>2324</v>
      </c>
      <c r="J120" s="143">
        <v>3.5000000000000003E-2</v>
      </c>
      <c r="K120" s="143"/>
      <c r="L120" s="142"/>
      <c r="M120" s="143" t="s">
        <v>2744</v>
      </c>
      <c r="N120" s="143" t="s">
        <v>2745</v>
      </c>
      <c r="O120" s="143">
        <v>0.05</v>
      </c>
      <c r="P120" s="143"/>
      <c r="Q120" s="143"/>
      <c r="R120" s="142"/>
      <c r="S120" s="142"/>
      <c r="T120" s="142"/>
      <c r="U120" s="142"/>
      <c r="V120" s="142"/>
      <c r="W120" s="142"/>
    </row>
    <row r="121" spans="1:23" ht="20.25" customHeight="1" x14ac:dyDescent="0.25">
      <c r="A121" s="844"/>
      <c r="B121" s="845"/>
      <c r="C121" s="847"/>
      <c r="D121" s="847"/>
      <c r="E121" s="847"/>
      <c r="F121" s="843"/>
      <c r="G121" s="1664" t="s">
        <v>2512</v>
      </c>
      <c r="H121" s="1709"/>
      <c r="I121" s="1709"/>
      <c r="J121" s="1709"/>
      <c r="K121" s="1709"/>
      <c r="L121" s="1709"/>
      <c r="M121" s="143"/>
      <c r="N121" s="143"/>
      <c r="O121" s="143"/>
      <c r="P121" s="143"/>
      <c r="Q121" s="143"/>
      <c r="R121" s="142"/>
      <c r="S121" s="142"/>
      <c r="T121" s="142"/>
      <c r="U121" s="142"/>
      <c r="V121" s="142"/>
      <c r="W121" s="142"/>
    </row>
    <row r="122" spans="1:23" ht="78" customHeight="1" x14ac:dyDescent="0.25">
      <c r="A122" s="844"/>
      <c r="B122" s="845"/>
      <c r="C122" s="847"/>
      <c r="D122" s="847"/>
      <c r="E122" s="847"/>
      <c r="F122" s="843"/>
      <c r="G122" s="143" t="s">
        <v>3007</v>
      </c>
      <c r="H122" s="143" t="s">
        <v>3008</v>
      </c>
      <c r="I122" s="180" t="s">
        <v>3066</v>
      </c>
      <c r="J122" s="151">
        <v>9.9000000000000005E-2</v>
      </c>
      <c r="K122" s="151"/>
      <c r="L122" s="149"/>
      <c r="M122" s="143"/>
      <c r="N122" s="143"/>
      <c r="O122" s="143"/>
      <c r="P122" s="143"/>
      <c r="Q122" s="143"/>
      <c r="R122" s="142"/>
      <c r="S122" s="142"/>
      <c r="T122" s="142"/>
      <c r="U122" s="142"/>
      <c r="V122" s="142"/>
      <c r="W122" s="142"/>
    </row>
    <row r="123" spans="1:23" ht="21" customHeight="1" x14ac:dyDescent="0.25">
      <c r="A123" s="883"/>
      <c r="B123" s="885"/>
      <c r="C123" s="886"/>
      <c r="D123" s="886"/>
      <c r="E123" s="886"/>
      <c r="F123" s="881"/>
      <c r="G123" s="1664" t="s">
        <v>3069</v>
      </c>
      <c r="H123" s="1709"/>
      <c r="I123" s="1709"/>
      <c r="J123" s="1709"/>
      <c r="K123" s="1709"/>
      <c r="L123" s="1709"/>
      <c r="M123" s="143"/>
      <c r="N123" s="143"/>
      <c r="O123" s="143"/>
      <c r="P123" s="143"/>
      <c r="Q123" s="143"/>
      <c r="R123" s="142"/>
      <c r="S123" s="142"/>
      <c r="T123" s="142"/>
      <c r="U123" s="142"/>
      <c r="V123" s="142"/>
      <c r="W123" s="142"/>
    </row>
    <row r="124" spans="1:23" ht="78" customHeight="1" x14ac:dyDescent="0.25">
      <c r="A124" s="860"/>
      <c r="B124" s="862"/>
      <c r="C124" s="863"/>
      <c r="D124" s="863"/>
      <c r="E124" s="863"/>
      <c r="F124" s="859"/>
      <c r="G124" s="143" t="s">
        <v>3048</v>
      </c>
      <c r="H124" s="143" t="s">
        <v>3049</v>
      </c>
      <c r="I124" s="180" t="s">
        <v>3071</v>
      </c>
      <c r="J124" s="151">
        <v>0.4</v>
      </c>
      <c r="K124" s="151"/>
      <c r="L124" s="149"/>
      <c r="M124" s="143"/>
      <c r="N124" s="143"/>
      <c r="O124" s="143"/>
      <c r="P124" s="143"/>
      <c r="Q124" s="143"/>
      <c r="R124" s="142"/>
      <c r="S124" s="142"/>
      <c r="T124" s="142"/>
      <c r="U124" s="142"/>
      <c r="V124" s="142"/>
      <c r="W124" s="142"/>
    </row>
    <row r="125" spans="1:23" ht="25.5" customHeight="1" x14ac:dyDescent="0.25">
      <c r="A125" s="1034"/>
      <c r="B125" s="1032"/>
      <c r="C125" s="1036"/>
      <c r="D125" s="1036"/>
      <c r="E125" s="1036"/>
      <c r="F125" s="1033"/>
      <c r="G125" s="143" t="s">
        <v>3000</v>
      </c>
      <c r="H125" s="143" t="s">
        <v>3001</v>
      </c>
      <c r="I125" s="180" t="s">
        <v>3145</v>
      </c>
      <c r="J125" s="143">
        <v>0.52034000000000002</v>
      </c>
      <c r="K125" s="151"/>
      <c r="L125" s="149"/>
      <c r="M125" s="146"/>
      <c r="N125" s="180"/>
      <c r="O125" s="151"/>
      <c r="P125" s="151"/>
      <c r="Q125" s="151"/>
      <c r="R125" s="147"/>
      <c r="S125" s="363"/>
      <c r="T125" s="176"/>
      <c r="U125" s="149"/>
      <c r="V125" s="149"/>
      <c r="W125" s="149"/>
    </row>
    <row r="126" spans="1:23" ht="25.5" customHeight="1" x14ac:dyDescent="0.25">
      <c r="A126" s="1142"/>
      <c r="B126" s="1140"/>
      <c r="C126" s="1143"/>
      <c r="D126" s="1143"/>
      <c r="E126" s="1143"/>
      <c r="F126" s="1141"/>
      <c r="G126" s="143" t="s">
        <v>3299</v>
      </c>
      <c r="H126" s="143" t="s">
        <v>3300</v>
      </c>
      <c r="I126" s="143" t="s">
        <v>3377</v>
      </c>
      <c r="J126" s="151">
        <v>0.06</v>
      </c>
      <c r="K126" s="151"/>
      <c r="L126" s="149"/>
      <c r="M126" s="146"/>
      <c r="N126" s="180"/>
      <c r="O126" s="151"/>
      <c r="P126" s="151"/>
      <c r="Q126" s="151"/>
      <c r="R126" s="147"/>
      <c r="S126" s="363"/>
      <c r="T126" s="176"/>
      <c r="U126" s="149"/>
      <c r="V126" s="149"/>
      <c r="W126" s="149"/>
    </row>
    <row r="127" spans="1:23" ht="25.5" customHeight="1" x14ac:dyDescent="0.25">
      <c r="A127" s="1212"/>
      <c r="B127" s="1210"/>
      <c r="C127" s="1214"/>
      <c r="D127" s="1214"/>
      <c r="E127" s="1214"/>
      <c r="F127" s="1211"/>
      <c r="G127" s="1665" t="s">
        <v>3485</v>
      </c>
      <c r="H127" s="1666"/>
      <c r="I127" s="1667"/>
      <c r="J127" s="786">
        <v>0.47049999999999997</v>
      </c>
      <c r="K127" s="786"/>
      <c r="L127" s="786"/>
      <c r="M127" s="146"/>
      <c r="N127" s="180"/>
      <c r="O127" s="151"/>
      <c r="P127" s="151"/>
      <c r="Q127" s="151"/>
      <c r="R127" s="147"/>
      <c r="S127" s="363"/>
      <c r="T127" s="176"/>
      <c r="U127" s="149"/>
      <c r="V127" s="149"/>
      <c r="W127" s="149"/>
    </row>
    <row r="128" spans="1:23" ht="20.100000000000001" customHeight="1" thickBot="1" x14ac:dyDescent="0.3">
      <c r="A128" s="405"/>
      <c r="B128" s="394"/>
      <c r="C128" s="395"/>
      <c r="D128" s="395"/>
      <c r="E128" s="395"/>
      <c r="F128" s="396"/>
      <c r="G128" s="1555" t="s">
        <v>1860</v>
      </c>
      <c r="H128" s="1555"/>
      <c r="I128" s="1556"/>
      <c r="J128" s="136">
        <f>SUM(J122:J127)</f>
        <v>1.5498400000000001</v>
      </c>
      <c r="K128" s="183">
        <v>0.8</v>
      </c>
      <c r="L128" s="136">
        <f>J128/K128</f>
        <v>1.9373</v>
      </c>
      <c r="M128" s="1574" t="s">
        <v>1861</v>
      </c>
      <c r="N128" s="1556"/>
      <c r="O128" s="136">
        <f>SUM(O118:O125)</f>
        <v>0.05</v>
      </c>
      <c r="P128" s="183">
        <v>0.8</v>
      </c>
      <c r="Q128" s="136">
        <f>O128/P128</f>
        <v>6.25E-2</v>
      </c>
      <c r="R128" s="1574" t="s">
        <v>1860</v>
      </c>
      <c r="S128" s="1555"/>
      <c r="T128" s="1556"/>
      <c r="U128" s="136">
        <f>SUM(U119:U120)</f>
        <v>0</v>
      </c>
      <c r="V128" s="183">
        <v>0.8</v>
      </c>
      <c r="W128" s="136">
        <f>U128/V128</f>
        <v>0</v>
      </c>
    </row>
    <row r="129" spans="1:23" ht="15" customHeight="1" x14ac:dyDescent="0.25">
      <c r="A129" s="1683" t="str">
        <f>'Расчет ЦП - общая форма'!C303</f>
        <v xml:space="preserve">ПС 35/6 кВ №4 </v>
      </c>
      <c r="B129" s="1551">
        <f>'Расчет ЦП - общая форма'!D303</f>
        <v>5.6</v>
      </c>
      <c r="C129" s="1552" t="str">
        <f>'Расчет ЦП - общая форма'!E303</f>
        <v>+</v>
      </c>
      <c r="D129" s="1552">
        <f>'Расчет ЦП - общая форма'!F303</f>
        <v>5.6</v>
      </c>
      <c r="E129" s="399"/>
      <c r="F129" s="400"/>
      <c r="G129" s="1720" t="s">
        <v>1989</v>
      </c>
      <c r="H129" s="1720"/>
      <c r="I129" s="1720"/>
      <c r="J129" s="1720"/>
      <c r="K129" s="1720"/>
      <c r="L129" s="1688"/>
      <c r="M129" s="383"/>
      <c r="N129" s="271"/>
      <c r="O129" s="72"/>
      <c r="P129" s="72"/>
      <c r="Q129" s="72"/>
      <c r="R129" s="1728"/>
      <c r="S129" s="1729"/>
      <c r="T129" s="1729"/>
      <c r="U129" s="1729"/>
      <c r="V129" s="1729"/>
      <c r="W129" s="1697"/>
    </row>
    <row r="130" spans="1:23" ht="27.75" customHeight="1" x14ac:dyDescent="0.25">
      <c r="A130" s="1540"/>
      <c r="B130" s="1501"/>
      <c r="C130" s="1553"/>
      <c r="D130" s="1553"/>
      <c r="E130" s="403"/>
      <c r="F130" s="404"/>
      <c r="G130" s="66" t="s">
        <v>630</v>
      </c>
      <c r="H130" s="2" t="s">
        <v>1679</v>
      </c>
      <c r="I130" s="2" t="s">
        <v>1680</v>
      </c>
      <c r="J130" s="2">
        <v>0.77</v>
      </c>
      <c r="K130" s="45"/>
      <c r="L130" s="72"/>
      <c r="M130" s="45" t="s">
        <v>1677</v>
      </c>
      <c r="N130" s="45" t="s">
        <v>1678</v>
      </c>
      <c r="O130" s="45">
        <v>0.26700000000000002</v>
      </c>
      <c r="P130" s="45"/>
      <c r="Q130" s="45"/>
      <c r="R130" s="142"/>
      <c r="S130" s="142"/>
      <c r="T130" s="142"/>
      <c r="U130" s="142"/>
      <c r="V130" s="72"/>
      <c r="W130" s="72"/>
    </row>
    <row r="131" spans="1:23" ht="15" customHeight="1" x14ac:dyDescent="0.25">
      <c r="A131" s="1540"/>
      <c r="B131" s="1501"/>
      <c r="C131" s="1553"/>
      <c r="D131" s="1553"/>
      <c r="E131" s="403"/>
      <c r="F131" s="404"/>
      <c r="G131" s="1663" t="s">
        <v>1987</v>
      </c>
      <c r="H131" s="1663"/>
      <c r="I131" s="1663"/>
      <c r="J131" s="1663"/>
      <c r="K131" s="1663"/>
      <c r="L131" s="1664"/>
      <c r="M131" s="143" t="s">
        <v>630</v>
      </c>
      <c r="N131" s="143" t="s">
        <v>1681</v>
      </c>
      <c r="O131" s="143">
        <v>2</v>
      </c>
      <c r="P131" s="45"/>
      <c r="Q131" s="45"/>
      <c r="R131" s="1680"/>
      <c r="S131" s="1681"/>
      <c r="T131" s="1681"/>
      <c r="U131" s="1681"/>
      <c r="V131" s="1681"/>
      <c r="W131" s="1408"/>
    </row>
    <row r="132" spans="1:23" ht="51" customHeight="1" x14ac:dyDescent="0.25">
      <c r="A132" s="401"/>
      <c r="B132" s="402"/>
      <c r="C132" s="403"/>
      <c r="D132" s="403"/>
      <c r="E132" s="403"/>
      <c r="F132" s="404"/>
      <c r="G132" s="386" t="s">
        <v>630</v>
      </c>
      <c r="H132" s="159" t="s">
        <v>1511</v>
      </c>
      <c r="I132" s="159" t="s">
        <v>2341</v>
      </c>
      <c r="J132" s="120">
        <v>0.2</v>
      </c>
      <c r="K132" s="120"/>
      <c r="L132" s="157"/>
      <c r="M132" s="151" t="s">
        <v>1891</v>
      </c>
      <c r="N132" s="151" t="s">
        <v>2641</v>
      </c>
      <c r="O132" s="151">
        <v>5</v>
      </c>
      <c r="P132" s="120"/>
      <c r="Q132" s="2"/>
      <c r="R132" s="142"/>
      <c r="S132" s="142"/>
      <c r="T132" s="142"/>
      <c r="U132" s="142"/>
      <c r="V132" s="142"/>
      <c r="W132" s="157"/>
    </row>
    <row r="133" spans="1:23" ht="33.75" customHeight="1" x14ac:dyDescent="0.25">
      <c r="A133" s="695"/>
      <c r="B133" s="697"/>
      <c r="C133" s="698"/>
      <c r="D133" s="698"/>
      <c r="E133" s="698"/>
      <c r="F133" s="694"/>
      <c r="G133" s="1663" t="s">
        <v>3069</v>
      </c>
      <c r="H133" s="1663"/>
      <c r="I133" s="1663"/>
      <c r="J133" s="1663"/>
      <c r="K133" s="1663"/>
      <c r="L133" s="1664"/>
      <c r="M133" s="143" t="s">
        <v>2735</v>
      </c>
      <c r="N133" s="143" t="s">
        <v>2757</v>
      </c>
      <c r="O133" s="143">
        <f>0.6-0.4</f>
        <v>0.19999999999999996</v>
      </c>
      <c r="P133" s="2"/>
      <c r="Q133" s="2"/>
      <c r="R133" s="142"/>
      <c r="S133" s="142"/>
      <c r="T133" s="142"/>
      <c r="U133" s="142"/>
      <c r="V133" s="142"/>
      <c r="W133" s="142"/>
    </row>
    <row r="134" spans="1:23" ht="33.75" customHeight="1" x14ac:dyDescent="0.25">
      <c r="A134" s="788"/>
      <c r="B134" s="789"/>
      <c r="C134" s="790"/>
      <c r="D134" s="790"/>
      <c r="E134" s="790"/>
      <c r="F134" s="787"/>
      <c r="G134" s="143" t="s">
        <v>3014</v>
      </c>
      <c r="H134" s="143" t="s">
        <v>3015</v>
      </c>
      <c r="I134" s="180" t="s">
        <v>3133</v>
      </c>
      <c r="J134" s="70">
        <v>0.5</v>
      </c>
      <c r="K134" s="70"/>
      <c r="L134" s="149"/>
      <c r="M134" s="143" t="s">
        <v>2897</v>
      </c>
      <c r="N134" s="143" t="s">
        <v>3107</v>
      </c>
      <c r="O134" s="143">
        <v>0.75</v>
      </c>
      <c r="P134" s="70"/>
      <c r="Q134" s="2"/>
      <c r="R134" s="142"/>
      <c r="S134" s="142"/>
      <c r="T134" s="142"/>
      <c r="U134" s="142"/>
      <c r="V134" s="142"/>
      <c r="W134" s="149"/>
    </row>
    <row r="135" spans="1:23" ht="33.75" customHeight="1" x14ac:dyDescent="0.25">
      <c r="A135" s="844"/>
      <c r="B135" s="845"/>
      <c r="C135" s="847"/>
      <c r="D135" s="847"/>
      <c r="E135" s="847"/>
      <c r="F135" s="843"/>
      <c r="G135" s="204"/>
      <c r="H135" s="179"/>
      <c r="I135" s="180"/>
      <c r="J135" s="70"/>
      <c r="K135" s="70"/>
      <c r="L135" s="149"/>
      <c r="M135" s="143"/>
      <c r="N135" s="143"/>
      <c r="O135" s="6"/>
      <c r="P135" s="2"/>
      <c r="Q135" s="2"/>
      <c r="R135" s="142"/>
      <c r="S135" s="142"/>
      <c r="T135" s="142"/>
      <c r="U135" s="142"/>
      <c r="V135" s="142"/>
      <c r="W135" s="142"/>
    </row>
    <row r="136" spans="1:23" ht="33.75" customHeight="1" x14ac:dyDescent="0.25">
      <c r="A136" s="1020"/>
      <c r="B136" s="1021"/>
      <c r="C136" s="1023"/>
      <c r="D136" s="1023"/>
      <c r="E136" s="1023"/>
      <c r="F136" s="1022"/>
      <c r="G136" s="204"/>
      <c r="H136" s="179"/>
      <c r="I136" s="180"/>
      <c r="J136" s="70"/>
      <c r="K136" s="70"/>
      <c r="L136" s="149"/>
      <c r="M136" s="143"/>
      <c r="N136" s="143"/>
      <c r="O136" s="6"/>
      <c r="P136" s="70"/>
      <c r="Q136" s="70"/>
      <c r="R136" s="147"/>
      <c r="S136" s="363"/>
      <c r="T136" s="176"/>
      <c r="U136" s="149"/>
      <c r="V136" s="149"/>
      <c r="W136" s="149"/>
    </row>
    <row r="137" spans="1:23" ht="20.100000000000001" customHeight="1" thickBot="1" x14ac:dyDescent="0.3">
      <c r="A137" s="405"/>
      <c r="B137" s="394"/>
      <c r="C137" s="395"/>
      <c r="D137" s="395"/>
      <c r="E137" s="395"/>
      <c r="F137" s="396"/>
      <c r="G137" s="1555" t="s">
        <v>1860</v>
      </c>
      <c r="H137" s="1555"/>
      <c r="I137" s="1556"/>
      <c r="J137" s="136">
        <f>SUM(J134)</f>
        <v>0.5</v>
      </c>
      <c r="K137" s="183">
        <v>0.8</v>
      </c>
      <c r="L137" s="136">
        <f>J137/K137</f>
        <v>0.625</v>
      </c>
      <c r="M137" s="1574" t="s">
        <v>1861</v>
      </c>
      <c r="N137" s="1556"/>
      <c r="O137" s="136">
        <f>SUM(O130:O135)</f>
        <v>8.2169999999999987</v>
      </c>
      <c r="P137" s="183">
        <v>0.8</v>
      </c>
      <c r="Q137" s="136">
        <f>O137/P137</f>
        <v>10.271249999999998</v>
      </c>
      <c r="R137" s="1574" t="s">
        <v>1860</v>
      </c>
      <c r="S137" s="1555"/>
      <c r="T137" s="1556"/>
      <c r="U137" s="136">
        <f>SUM(U132:U132)</f>
        <v>0</v>
      </c>
      <c r="V137" s="183">
        <v>0.8</v>
      </c>
      <c r="W137" s="136">
        <f>U137/V137</f>
        <v>0</v>
      </c>
    </row>
    <row r="138" spans="1:23" ht="20.100000000000001" customHeight="1" x14ac:dyDescent="0.25">
      <c r="A138" s="1683" t="str">
        <f>'Расчет ЦП - общая форма'!C304</f>
        <v>ПС  35/6 кВ №13</v>
      </c>
      <c r="B138" s="1551">
        <f>'Расчет ЦП - общая форма'!D304</f>
        <v>3.2</v>
      </c>
      <c r="C138" s="1552" t="str">
        <f>'Расчет ЦП - общая форма'!E304</f>
        <v>+</v>
      </c>
      <c r="D138" s="1552">
        <f>'Расчет ЦП - общая форма'!F304</f>
        <v>3.2</v>
      </c>
      <c r="E138" s="399"/>
      <c r="F138" s="400"/>
      <c r="G138" s="1720" t="s">
        <v>1987</v>
      </c>
      <c r="H138" s="1720"/>
      <c r="I138" s="1720"/>
      <c r="J138" s="1720"/>
      <c r="K138" s="1720"/>
      <c r="L138" s="1688"/>
      <c r="M138" s="42"/>
      <c r="N138" s="42"/>
      <c r="O138" s="42"/>
      <c r="P138" s="42"/>
      <c r="Q138" s="42"/>
      <c r="R138" s="42" t="s">
        <v>1683</v>
      </c>
      <c r="S138" s="159" t="s">
        <v>1684</v>
      </c>
      <c r="T138" s="153" t="s">
        <v>2003</v>
      </c>
      <c r="U138" s="42">
        <v>0.06</v>
      </c>
      <c r="V138" s="42"/>
      <c r="W138" s="72"/>
    </row>
    <row r="139" spans="1:23" ht="36.75" customHeight="1" x14ac:dyDescent="0.25">
      <c r="A139" s="1540"/>
      <c r="B139" s="1501"/>
      <c r="C139" s="1553"/>
      <c r="D139" s="1553"/>
      <c r="E139" s="403"/>
      <c r="F139" s="404"/>
      <c r="G139" s="262" t="s">
        <v>1683</v>
      </c>
      <c r="H139" s="159" t="s">
        <v>1684</v>
      </c>
      <c r="I139" s="153" t="s">
        <v>2003</v>
      </c>
      <c r="J139" s="42">
        <v>0.06</v>
      </c>
      <c r="K139" s="42"/>
      <c r="L139" s="72"/>
      <c r="M139" s="143" t="s">
        <v>1685</v>
      </c>
      <c r="N139" s="143" t="s">
        <v>1686</v>
      </c>
      <c r="O139" s="143">
        <v>3.1300000000000001E-2</v>
      </c>
      <c r="P139" s="143"/>
      <c r="Q139" s="143"/>
      <c r="R139" s="143"/>
      <c r="S139" s="142"/>
      <c r="T139" s="142"/>
      <c r="U139" s="143"/>
      <c r="V139" s="143"/>
      <c r="W139" s="142"/>
    </row>
    <row r="140" spans="1:23" ht="38.25" customHeight="1" x14ac:dyDescent="0.25">
      <c r="A140" s="1540"/>
      <c r="B140" s="1501"/>
      <c r="C140" s="1553"/>
      <c r="D140" s="1553"/>
      <c r="E140" s="403"/>
      <c r="F140" s="404"/>
      <c r="G140" s="184"/>
      <c r="H140" s="142"/>
      <c r="I140" s="142"/>
      <c r="J140" s="143"/>
      <c r="K140" s="143"/>
      <c r="L140" s="142"/>
      <c r="M140" s="143" t="s">
        <v>1023</v>
      </c>
      <c r="N140" s="143" t="s">
        <v>1024</v>
      </c>
      <c r="O140" s="143">
        <v>0.1</v>
      </c>
      <c r="P140" s="143"/>
      <c r="Q140" s="143"/>
      <c r="R140" s="143"/>
      <c r="S140" s="142"/>
      <c r="T140" s="142"/>
      <c r="U140" s="143"/>
      <c r="V140" s="143"/>
      <c r="W140" s="142"/>
    </row>
    <row r="141" spans="1:23" ht="42.75" customHeight="1" x14ac:dyDescent="0.25">
      <c r="A141" s="1540"/>
      <c r="B141" s="1501"/>
      <c r="C141" s="1553"/>
      <c r="D141" s="1553"/>
      <c r="E141" s="403"/>
      <c r="F141" s="404"/>
      <c r="G141" s="184"/>
      <c r="H141" s="143"/>
      <c r="I141" s="143"/>
      <c r="J141" s="143"/>
      <c r="K141" s="143"/>
      <c r="L141" s="142"/>
      <c r="M141" s="143" t="s">
        <v>1025</v>
      </c>
      <c r="N141" s="143" t="s">
        <v>1024</v>
      </c>
      <c r="O141" s="143">
        <v>0.1</v>
      </c>
      <c r="P141" s="143"/>
      <c r="Q141" s="143"/>
      <c r="R141" s="143"/>
      <c r="S141" s="143"/>
      <c r="T141" s="143"/>
      <c r="U141" s="143"/>
      <c r="V141" s="143"/>
      <c r="W141" s="142"/>
    </row>
    <row r="142" spans="1:23" ht="20.100000000000001" customHeight="1" thickBot="1" x14ac:dyDescent="0.3">
      <c r="A142" s="405"/>
      <c r="B142" s="394"/>
      <c r="C142" s="395"/>
      <c r="D142" s="395"/>
      <c r="E142" s="395"/>
      <c r="F142" s="396"/>
      <c r="G142" s="1555" t="s">
        <v>1860</v>
      </c>
      <c r="H142" s="1555"/>
      <c r="I142" s="1556"/>
      <c r="J142" s="136">
        <f>SUM(0)</f>
        <v>0</v>
      </c>
      <c r="K142" s="183">
        <v>0.8</v>
      </c>
      <c r="L142" s="136">
        <f>J142/K142</f>
        <v>0</v>
      </c>
      <c r="M142" s="1574" t="s">
        <v>1861</v>
      </c>
      <c r="N142" s="1556"/>
      <c r="O142" s="136">
        <f>SUM(O138:O141)</f>
        <v>0.23130000000000001</v>
      </c>
      <c r="P142" s="183">
        <v>0.8</v>
      </c>
      <c r="Q142" s="136">
        <f>O142/P142</f>
        <v>0.28912499999999997</v>
      </c>
      <c r="R142" s="1574" t="s">
        <v>1860</v>
      </c>
      <c r="S142" s="1555"/>
      <c r="T142" s="1556"/>
      <c r="U142" s="136">
        <f>SUM(U138:U141)</f>
        <v>0.06</v>
      </c>
      <c r="V142" s="183">
        <v>0.8</v>
      </c>
      <c r="W142" s="136">
        <f>U142/V142</f>
        <v>7.4999999999999997E-2</v>
      </c>
    </row>
    <row r="143" spans="1:23" ht="20.100000000000001" customHeight="1" x14ac:dyDescent="0.25">
      <c r="A143" s="1683" t="str">
        <f>'Расчет ЦП - общая форма'!C305</f>
        <v xml:space="preserve">ПС 35/6 кВ №27 </v>
      </c>
      <c r="B143" s="1551">
        <f>'Расчет ЦП - общая форма'!D305</f>
        <v>10</v>
      </c>
      <c r="C143" s="1552" t="str">
        <f>'Расчет ЦП - общая форма'!E305</f>
        <v>+</v>
      </c>
      <c r="D143" s="1552">
        <f>'Расчет ЦП - общая форма'!F305</f>
        <v>10</v>
      </c>
      <c r="E143" s="399"/>
      <c r="F143" s="400"/>
      <c r="G143" s="1712" t="s">
        <v>1989</v>
      </c>
      <c r="H143" s="1712"/>
      <c r="I143" s="1712"/>
      <c r="J143" s="1712"/>
      <c r="K143" s="1712"/>
      <c r="L143" s="1702"/>
      <c r="M143" s="133"/>
      <c r="N143" s="175"/>
      <c r="O143" s="77"/>
      <c r="P143" s="77"/>
      <c r="Q143" s="77"/>
      <c r="R143" s="1713"/>
      <c r="S143" s="1691"/>
      <c r="T143" s="1691"/>
      <c r="U143" s="1691"/>
      <c r="V143" s="1691"/>
      <c r="W143" s="1692"/>
    </row>
    <row r="144" spans="1:23" ht="55.5" customHeight="1" x14ac:dyDescent="0.25">
      <c r="A144" s="1540"/>
      <c r="B144" s="1501"/>
      <c r="C144" s="1553"/>
      <c r="D144" s="1553"/>
      <c r="E144" s="403"/>
      <c r="F144" s="404"/>
      <c r="G144" s="271" t="s">
        <v>1026</v>
      </c>
      <c r="H144" s="72" t="s">
        <v>1027</v>
      </c>
      <c r="I144" s="72" t="s">
        <v>1028</v>
      </c>
      <c r="J144" s="170">
        <v>3.1E-2</v>
      </c>
      <c r="K144" s="42"/>
      <c r="L144" s="72"/>
      <c r="M144" s="42" t="s">
        <v>630</v>
      </c>
      <c r="N144" s="42" t="s">
        <v>1029</v>
      </c>
      <c r="O144" s="42">
        <v>0.09</v>
      </c>
      <c r="P144" s="42"/>
      <c r="Q144" s="42"/>
      <c r="R144" s="72"/>
      <c r="S144" s="72"/>
      <c r="T144" s="72"/>
      <c r="U144" s="170"/>
      <c r="V144" s="72"/>
      <c r="W144" s="72"/>
    </row>
    <row r="145" spans="1:23" ht="51.75" customHeight="1" x14ac:dyDescent="0.25">
      <c r="A145" s="1540"/>
      <c r="B145" s="1501"/>
      <c r="C145" s="1553"/>
      <c r="D145" s="1553"/>
      <c r="E145" s="403"/>
      <c r="F145" s="404"/>
      <c r="G145" s="184" t="s">
        <v>1030</v>
      </c>
      <c r="H145" s="143" t="s">
        <v>1031</v>
      </c>
      <c r="I145" s="143" t="s">
        <v>1032</v>
      </c>
      <c r="J145" s="6">
        <v>0.02</v>
      </c>
      <c r="K145" s="143"/>
      <c r="L145" s="142"/>
      <c r="M145" s="143" t="s">
        <v>2201</v>
      </c>
      <c r="N145" s="143" t="s">
        <v>2550</v>
      </c>
      <c r="O145" s="143">
        <v>1.4999999999999999E-2</v>
      </c>
      <c r="P145" s="143"/>
      <c r="Q145" s="143"/>
      <c r="R145" s="142"/>
      <c r="S145" s="142"/>
      <c r="T145" s="142"/>
      <c r="U145" s="26"/>
      <c r="V145" s="142"/>
      <c r="W145" s="142"/>
    </row>
    <row r="146" spans="1:23" ht="20.100000000000001" customHeight="1" x14ac:dyDescent="0.25">
      <c r="A146" s="401"/>
      <c r="B146" s="402"/>
      <c r="C146" s="403"/>
      <c r="D146" s="403"/>
      <c r="E146" s="403"/>
      <c r="F146" s="404"/>
      <c r="G146" s="179"/>
      <c r="H146" s="179"/>
      <c r="I146" s="180"/>
      <c r="J146" s="187"/>
      <c r="K146" s="151"/>
      <c r="L146" s="149"/>
      <c r="M146" s="143" t="s">
        <v>3038</v>
      </c>
      <c r="N146" s="143" t="s">
        <v>3112</v>
      </c>
      <c r="O146" s="143">
        <f>0.7-0.45</f>
        <v>0.24999999999999994</v>
      </c>
      <c r="P146" s="151"/>
      <c r="Q146" s="151"/>
      <c r="R146" s="147"/>
      <c r="S146" s="363"/>
      <c r="T146" s="176"/>
      <c r="U146" s="366"/>
      <c r="V146" s="149"/>
      <c r="W146" s="149"/>
    </row>
    <row r="147" spans="1:23" ht="20.100000000000001" customHeight="1" x14ac:dyDescent="0.25">
      <c r="A147" s="401"/>
      <c r="B147" s="402"/>
      <c r="C147" s="403"/>
      <c r="D147" s="403"/>
      <c r="E147" s="403"/>
      <c r="F147" s="404"/>
      <c r="G147" s="179"/>
      <c r="H147" s="179"/>
      <c r="I147" s="180"/>
      <c r="J147" s="187"/>
      <c r="K147" s="151"/>
      <c r="L147" s="149"/>
      <c r="M147" s="143" t="s">
        <v>3038</v>
      </c>
      <c r="N147" s="143" t="s">
        <v>3113</v>
      </c>
      <c r="O147" s="143">
        <f>0.7-0.5</f>
        <v>0.19999999999999996</v>
      </c>
      <c r="P147" s="151"/>
      <c r="Q147" s="151"/>
      <c r="R147" s="147"/>
      <c r="S147" s="363"/>
      <c r="T147" s="176"/>
      <c r="U147" s="366"/>
      <c r="V147" s="149"/>
      <c r="W147" s="149"/>
    </row>
    <row r="148" spans="1:23" ht="20.100000000000001" customHeight="1" x14ac:dyDescent="0.25">
      <c r="A148" s="1020"/>
      <c r="B148" s="1021"/>
      <c r="C148" s="1023"/>
      <c r="D148" s="1023"/>
      <c r="E148" s="1023"/>
      <c r="F148" s="1022"/>
      <c r="G148" s="179"/>
      <c r="H148" s="179"/>
      <c r="I148" s="180"/>
      <c r="J148" s="187"/>
      <c r="K148" s="151"/>
      <c r="L148" s="149"/>
      <c r="M148" s="143" t="s">
        <v>2869</v>
      </c>
      <c r="N148" s="143" t="s">
        <v>3114</v>
      </c>
      <c r="O148" s="143">
        <v>0.13</v>
      </c>
      <c r="P148" s="151"/>
      <c r="Q148" s="151"/>
      <c r="R148" s="147"/>
      <c r="S148" s="363"/>
      <c r="T148" s="176"/>
      <c r="U148" s="366"/>
      <c r="V148" s="149"/>
      <c r="W148" s="149"/>
    </row>
    <row r="149" spans="1:23" ht="20.100000000000001" customHeight="1" thickBot="1" x14ac:dyDescent="0.3">
      <c r="A149" s="405"/>
      <c r="B149" s="394"/>
      <c r="C149" s="395"/>
      <c r="D149" s="395"/>
      <c r="E149" s="395"/>
      <c r="F149" s="396"/>
      <c r="G149" s="1555" t="s">
        <v>1860</v>
      </c>
      <c r="H149" s="1555"/>
      <c r="I149" s="1556"/>
      <c r="J149" s="188">
        <f>SUM(0)</f>
        <v>0</v>
      </c>
      <c r="K149" s="183">
        <v>0.8</v>
      </c>
      <c r="L149" s="136">
        <f>J149/K149</f>
        <v>0</v>
      </c>
      <c r="M149" s="1574" t="s">
        <v>1861</v>
      </c>
      <c r="N149" s="1556"/>
      <c r="O149" s="136">
        <f>SUM(O144:O148)</f>
        <v>0.68499999999999994</v>
      </c>
      <c r="P149" s="183">
        <v>0.8</v>
      </c>
      <c r="Q149" s="136">
        <f>O149/P149</f>
        <v>0.85624999999999984</v>
      </c>
      <c r="R149" s="1574" t="s">
        <v>1860</v>
      </c>
      <c r="S149" s="1555"/>
      <c r="T149" s="1556"/>
      <c r="U149" s="188">
        <f>SUM(U146:U147)</f>
        <v>0</v>
      </c>
      <c r="V149" s="183">
        <v>0.8</v>
      </c>
      <c r="W149" s="136">
        <f>U149/V149</f>
        <v>0</v>
      </c>
    </row>
    <row r="150" spans="1:23" ht="20.100000000000001" customHeight="1" x14ac:dyDescent="0.25">
      <c r="A150" s="1683" t="str">
        <f>'Расчет ЦП - общая форма'!C306</f>
        <v xml:space="preserve">ПС 35/6 кВ Вагжановская </v>
      </c>
      <c r="B150" s="1551">
        <f>'Расчет ЦП - общая форма'!D306</f>
        <v>16</v>
      </c>
      <c r="C150" s="1552" t="str">
        <f>'Расчет ЦП - общая форма'!E306</f>
        <v>+</v>
      </c>
      <c r="D150" s="1552">
        <f>'Расчет ЦП - общая форма'!F306</f>
        <v>16</v>
      </c>
      <c r="E150" s="399"/>
      <c r="F150" s="400"/>
      <c r="G150" s="1712" t="s">
        <v>1989</v>
      </c>
      <c r="H150" s="1712"/>
      <c r="I150" s="1712"/>
      <c r="J150" s="1712"/>
      <c r="K150" s="1712"/>
      <c r="L150" s="1702"/>
      <c r="M150" s="133"/>
      <c r="N150" s="175"/>
      <c r="O150" s="77"/>
      <c r="P150" s="77"/>
      <c r="Q150" s="77"/>
      <c r="R150" s="1713"/>
      <c r="S150" s="1691"/>
      <c r="T150" s="1691"/>
      <c r="U150" s="1691"/>
      <c r="V150" s="1691"/>
      <c r="W150" s="1692"/>
    </row>
    <row r="151" spans="1:23" ht="20.100000000000001" customHeight="1" x14ac:dyDescent="0.25">
      <c r="A151" s="1540"/>
      <c r="B151" s="1501"/>
      <c r="C151" s="1553"/>
      <c r="D151" s="1553"/>
      <c r="E151" s="403"/>
      <c r="F151" s="404"/>
      <c r="G151" s="271" t="s">
        <v>1033</v>
      </c>
      <c r="H151" s="72" t="s">
        <v>1034</v>
      </c>
      <c r="I151" s="72" t="s">
        <v>1035</v>
      </c>
      <c r="J151" s="72">
        <v>0.02</v>
      </c>
      <c r="K151" s="42"/>
      <c r="L151" s="72"/>
      <c r="M151" s="42" t="s">
        <v>1036</v>
      </c>
      <c r="N151" s="42" t="s">
        <v>1037</v>
      </c>
      <c r="O151" s="42">
        <v>0.17299999999999999</v>
      </c>
      <c r="P151" s="42"/>
      <c r="Q151" s="42"/>
      <c r="R151" s="72"/>
      <c r="S151" s="72"/>
      <c r="T151" s="72"/>
      <c r="U151" s="72"/>
      <c r="V151" s="72"/>
      <c r="W151" s="72"/>
    </row>
    <row r="152" spans="1:23" ht="20.100000000000001" customHeight="1" x14ac:dyDescent="0.25">
      <c r="A152" s="1540"/>
      <c r="B152" s="1501"/>
      <c r="C152" s="1553"/>
      <c r="D152" s="1553"/>
      <c r="E152" s="403"/>
      <c r="F152" s="404"/>
      <c r="G152" s="1663" t="s">
        <v>1988</v>
      </c>
      <c r="H152" s="1663"/>
      <c r="I152" s="1663"/>
      <c r="J152" s="1663"/>
      <c r="K152" s="1663"/>
      <c r="L152" s="1664"/>
      <c r="M152" s="143"/>
      <c r="N152" s="143"/>
      <c r="O152" s="143"/>
      <c r="P152" s="42"/>
      <c r="Q152" s="42"/>
      <c r="R152" s="1680"/>
      <c r="S152" s="1681"/>
      <c r="T152" s="1681"/>
      <c r="U152" s="1681"/>
      <c r="V152" s="1681"/>
      <c r="W152" s="1408"/>
    </row>
    <row r="153" spans="1:23" ht="54" customHeight="1" x14ac:dyDescent="0.25">
      <c r="A153" s="1540"/>
      <c r="B153" s="1501"/>
      <c r="C153" s="1553"/>
      <c r="D153" s="1553"/>
      <c r="E153" s="403"/>
      <c r="F153" s="404"/>
      <c r="G153" s="265" t="s">
        <v>1038</v>
      </c>
      <c r="H153" s="142" t="s">
        <v>1039</v>
      </c>
      <c r="I153" s="142" t="s">
        <v>1040</v>
      </c>
      <c r="J153" s="142">
        <v>0.05</v>
      </c>
      <c r="K153" s="143"/>
      <c r="L153" s="142"/>
      <c r="M153" s="143" t="s">
        <v>630</v>
      </c>
      <c r="N153" s="143" t="s">
        <v>1041</v>
      </c>
      <c r="O153" s="143">
        <v>3.4345500000000002</v>
      </c>
      <c r="P153" s="143"/>
      <c r="Q153" s="143"/>
      <c r="R153" s="142"/>
      <c r="S153" s="142"/>
      <c r="T153" s="142"/>
      <c r="U153" s="142"/>
      <c r="V153" s="142"/>
      <c r="W153" s="142"/>
    </row>
    <row r="154" spans="1:23" ht="24" customHeight="1" x14ac:dyDescent="0.25">
      <c r="A154" s="1540"/>
      <c r="B154" s="1501"/>
      <c r="C154" s="1553"/>
      <c r="D154" s="1553"/>
      <c r="E154" s="403"/>
      <c r="F154" s="404"/>
      <c r="G154" s="1663" t="s">
        <v>1987</v>
      </c>
      <c r="H154" s="1663"/>
      <c r="I154" s="1663"/>
      <c r="J154" s="1663"/>
      <c r="K154" s="1663"/>
      <c r="L154" s="1664"/>
      <c r="M154" s="143"/>
      <c r="N154" s="143"/>
      <c r="O154" s="143"/>
      <c r="P154" s="143"/>
      <c r="Q154" s="143"/>
      <c r="R154" s="1680"/>
      <c r="S154" s="1681"/>
      <c r="T154" s="1681"/>
      <c r="U154" s="1681"/>
      <c r="V154" s="1681"/>
      <c r="W154" s="1408"/>
    </row>
    <row r="155" spans="1:23" ht="69.75" customHeight="1" x14ac:dyDescent="0.25">
      <c r="A155" s="1540"/>
      <c r="B155" s="1501"/>
      <c r="C155" s="1553"/>
      <c r="D155" s="1553"/>
      <c r="E155" s="403"/>
      <c r="F155" s="404"/>
      <c r="G155" s="184" t="s">
        <v>2336</v>
      </c>
      <c r="H155" s="143" t="s">
        <v>1044</v>
      </c>
      <c r="I155" s="143" t="s">
        <v>2337</v>
      </c>
      <c r="J155" s="142">
        <v>0.05</v>
      </c>
      <c r="K155" s="143"/>
      <c r="L155" s="142"/>
      <c r="M155" s="143" t="s">
        <v>1042</v>
      </c>
      <c r="N155" s="143" t="s">
        <v>1043</v>
      </c>
      <c r="O155" s="143">
        <v>0.05</v>
      </c>
      <c r="P155" s="143"/>
      <c r="Q155" s="143"/>
      <c r="R155" s="142"/>
      <c r="S155" s="142"/>
      <c r="T155" s="142"/>
      <c r="U155" s="142"/>
      <c r="V155" s="142"/>
      <c r="W155" s="142"/>
    </row>
    <row r="156" spans="1:23" ht="91.5" customHeight="1" x14ac:dyDescent="0.25">
      <c r="A156" s="1540"/>
      <c r="B156" s="1501"/>
      <c r="C156" s="1553"/>
      <c r="D156" s="1553"/>
      <c r="E156" s="403"/>
      <c r="F156" s="404"/>
      <c r="G156" s="143" t="s">
        <v>1748</v>
      </c>
      <c r="H156" s="143" t="s">
        <v>2206</v>
      </c>
      <c r="I156" s="143" t="s">
        <v>2677</v>
      </c>
      <c r="J156" s="143">
        <v>0.25</v>
      </c>
      <c r="K156" s="143"/>
      <c r="L156" s="142"/>
      <c r="M156" s="143" t="s">
        <v>2174</v>
      </c>
      <c r="N156" s="143" t="s">
        <v>2175</v>
      </c>
      <c r="O156" s="143">
        <v>0.02</v>
      </c>
      <c r="P156" s="143"/>
      <c r="Q156" s="143"/>
      <c r="R156" s="142"/>
      <c r="S156" s="142"/>
      <c r="T156" s="142"/>
      <c r="U156" s="142"/>
      <c r="V156" s="142"/>
      <c r="W156" s="142"/>
    </row>
    <row r="157" spans="1:23" ht="37.5" customHeight="1" x14ac:dyDescent="0.25">
      <c r="A157" s="401"/>
      <c r="B157" s="402"/>
      <c r="C157" s="403"/>
      <c r="D157" s="403"/>
      <c r="E157" s="403"/>
      <c r="F157" s="404"/>
      <c r="G157" s="143"/>
      <c r="H157" s="143"/>
      <c r="I157" s="143"/>
      <c r="J157" s="143"/>
      <c r="K157" s="143"/>
      <c r="L157" s="142"/>
      <c r="M157" s="143" t="s">
        <v>1748</v>
      </c>
      <c r="N157" s="143" t="s">
        <v>2211</v>
      </c>
      <c r="O157" s="143">
        <f>0.37-0.17</f>
        <v>0.19999999999999998</v>
      </c>
      <c r="P157" s="151"/>
      <c r="Q157" s="151"/>
      <c r="R157" s="142"/>
      <c r="S157" s="142"/>
      <c r="T157" s="142"/>
      <c r="U157" s="142"/>
      <c r="V157" s="142"/>
      <c r="W157" s="149"/>
    </row>
    <row r="158" spans="1:23" ht="51.75" customHeight="1" x14ac:dyDescent="0.25">
      <c r="A158" s="401"/>
      <c r="B158" s="402"/>
      <c r="C158" s="403"/>
      <c r="D158" s="403"/>
      <c r="E158" s="403"/>
      <c r="F158" s="404"/>
      <c r="G158" s="143"/>
      <c r="H158" s="143"/>
      <c r="I158" s="143"/>
      <c r="J158" s="143"/>
      <c r="K158" s="143"/>
      <c r="L158" s="142"/>
      <c r="M158" s="143" t="s">
        <v>2445</v>
      </c>
      <c r="N158" s="143" t="s">
        <v>2446</v>
      </c>
      <c r="O158" s="143">
        <f>0.4-0.1981</f>
        <v>0.20190000000000002</v>
      </c>
      <c r="P158" s="151"/>
      <c r="Q158" s="151"/>
      <c r="R158" s="142"/>
      <c r="S158" s="142"/>
      <c r="T158" s="142"/>
      <c r="U158" s="142"/>
      <c r="V158" s="142"/>
      <c r="W158" s="149"/>
    </row>
    <row r="159" spans="1:23" ht="51.75" customHeight="1" x14ac:dyDescent="0.25">
      <c r="A159" s="614"/>
      <c r="B159" s="615"/>
      <c r="C159" s="616"/>
      <c r="D159" s="616"/>
      <c r="E159" s="616"/>
      <c r="F159" s="613"/>
      <c r="G159" s="143"/>
      <c r="H159" s="143"/>
      <c r="I159" s="143"/>
      <c r="J159" s="143"/>
      <c r="K159" s="143"/>
      <c r="L159" s="142"/>
      <c r="M159" s="143" t="s">
        <v>2445</v>
      </c>
      <c r="N159" s="143" t="s">
        <v>2553</v>
      </c>
      <c r="O159" s="143">
        <f>0.145-0.125</f>
        <v>1.999999999999999E-2</v>
      </c>
      <c r="P159" s="151"/>
      <c r="Q159" s="151"/>
      <c r="R159" s="142"/>
      <c r="S159" s="142"/>
      <c r="T159" s="142"/>
      <c r="U159" s="142"/>
      <c r="V159" s="142"/>
      <c r="W159" s="142"/>
    </row>
    <row r="160" spans="1:23" ht="51.75" customHeight="1" x14ac:dyDescent="0.25">
      <c r="A160" s="614"/>
      <c r="B160" s="615"/>
      <c r="C160" s="616"/>
      <c r="D160" s="616"/>
      <c r="E160" s="616"/>
      <c r="F160" s="613"/>
      <c r="G160" s="143"/>
      <c r="H160" s="143"/>
      <c r="I160" s="143"/>
      <c r="J160" s="143"/>
      <c r="K160" s="143"/>
      <c r="L160" s="142"/>
      <c r="M160" s="143" t="s">
        <v>2445</v>
      </c>
      <c r="N160" s="143" t="s">
        <v>2554</v>
      </c>
      <c r="O160" s="143">
        <f>0.45</f>
        <v>0.45</v>
      </c>
      <c r="P160" s="151"/>
      <c r="Q160" s="151"/>
      <c r="R160" s="142"/>
      <c r="S160" s="142"/>
      <c r="T160" s="142"/>
      <c r="U160" s="142"/>
      <c r="V160" s="142"/>
      <c r="W160" s="142"/>
    </row>
    <row r="161" spans="1:23" ht="51.75" customHeight="1" x14ac:dyDescent="0.25">
      <c r="A161" s="614"/>
      <c r="B161" s="615"/>
      <c r="C161" s="616"/>
      <c r="D161" s="616"/>
      <c r="E161" s="616"/>
      <c r="F161" s="613"/>
      <c r="G161" s="143"/>
      <c r="H161" s="143"/>
      <c r="I161" s="143"/>
      <c r="J161" s="143"/>
      <c r="K161" s="143"/>
      <c r="L161" s="142"/>
      <c r="M161" s="143" t="s">
        <v>2445</v>
      </c>
      <c r="N161" s="143" t="s">
        <v>2571</v>
      </c>
      <c r="O161" s="143">
        <v>0.12</v>
      </c>
      <c r="P161" s="151"/>
      <c r="Q161" s="151"/>
      <c r="R161" s="142"/>
      <c r="S161" s="142"/>
      <c r="T161" s="142"/>
      <c r="U161" s="142"/>
      <c r="V161" s="142"/>
      <c r="W161" s="142"/>
    </row>
    <row r="162" spans="1:23" ht="51.75" customHeight="1" x14ac:dyDescent="0.25">
      <c r="A162" s="629"/>
      <c r="B162" s="631"/>
      <c r="C162" s="632"/>
      <c r="D162" s="632"/>
      <c r="E162" s="632"/>
      <c r="F162" s="628"/>
      <c r="G162" s="143"/>
      <c r="H162" s="143"/>
      <c r="I162" s="143"/>
      <c r="J162" s="143"/>
      <c r="K162" s="143"/>
      <c r="L162" s="142"/>
      <c r="M162" s="143" t="s">
        <v>2201</v>
      </c>
      <c r="N162" s="143" t="s">
        <v>2620</v>
      </c>
      <c r="O162" s="143">
        <f>0.075-0.0224</f>
        <v>5.2599999999999994E-2</v>
      </c>
      <c r="P162" s="151"/>
      <c r="Q162" s="151"/>
      <c r="R162" s="142"/>
      <c r="S162" s="142"/>
      <c r="T162" s="142"/>
      <c r="U162" s="142"/>
      <c r="V162" s="142"/>
      <c r="W162" s="142"/>
    </row>
    <row r="163" spans="1:23" ht="51.75" customHeight="1" x14ac:dyDescent="0.25">
      <c r="A163" s="401"/>
      <c r="B163" s="402"/>
      <c r="C163" s="403"/>
      <c r="D163" s="403"/>
      <c r="E163" s="403"/>
      <c r="F163" s="404"/>
      <c r="G163" s="143"/>
      <c r="H163" s="143"/>
      <c r="I163" s="143"/>
      <c r="J163" s="143"/>
      <c r="K163" s="143"/>
      <c r="L163" s="142"/>
      <c r="M163" s="143" t="s">
        <v>2201</v>
      </c>
      <c r="N163" s="143" t="s">
        <v>2756</v>
      </c>
      <c r="O163" s="143">
        <f>0.2982-0.1896</f>
        <v>0.10860000000000003</v>
      </c>
      <c r="P163" s="151"/>
      <c r="Q163" s="151"/>
      <c r="R163" s="142"/>
      <c r="S163" s="142"/>
      <c r="T163" s="142"/>
      <c r="U163" s="142"/>
      <c r="V163" s="142"/>
      <c r="W163" s="142"/>
    </row>
    <row r="164" spans="1:23" ht="51.75" customHeight="1" x14ac:dyDescent="0.25">
      <c r="A164" s="774"/>
      <c r="B164" s="775"/>
      <c r="C164" s="777"/>
      <c r="D164" s="777"/>
      <c r="E164" s="777"/>
      <c r="F164" s="773"/>
      <c r="G164" s="143"/>
      <c r="H164" s="143"/>
      <c r="I164" s="143"/>
      <c r="J164" s="143"/>
      <c r="K164" s="143"/>
      <c r="L164" s="142"/>
      <c r="M164" s="143" t="s">
        <v>2201</v>
      </c>
      <c r="N164" s="143" t="s">
        <v>2871</v>
      </c>
      <c r="O164" s="143">
        <v>0.15</v>
      </c>
      <c r="P164" s="143"/>
      <c r="Q164" s="143"/>
      <c r="R164" s="142"/>
      <c r="S164" s="142"/>
      <c r="T164" s="142"/>
      <c r="U164" s="142"/>
      <c r="V164" s="142"/>
      <c r="W164" s="142"/>
    </row>
    <row r="165" spans="1:23" ht="51.75" customHeight="1" x14ac:dyDescent="0.25">
      <c r="A165" s="774"/>
      <c r="B165" s="775"/>
      <c r="C165" s="777"/>
      <c r="D165" s="777"/>
      <c r="E165" s="777"/>
      <c r="F165" s="773"/>
      <c r="G165" s="143"/>
      <c r="H165" s="143"/>
      <c r="I165" s="143"/>
      <c r="J165" s="143"/>
      <c r="K165" s="143"/>
      <c r="L165" s="142"/>
      <c r="M165" s="143" t="s">
        <v>2201</v>
      </c>
      <c r="N165" s="143" t="s">
        <v>2874</v>
      </c>
      <c r="O165" s="143">
        <v>5.0000000000000001E-3</v>
      </c>
      <c r="P165" s="151"/>
      <c r="Q165" s="143"/>
      <c r="R165" s="142"/>
      <c r="S165" s="142"/>
      <c r="T165" s="142"/>
      <c r="U165" s="142"/>
      <c r="V165" s="142"/>
      <c r="W165" s="142"/>
    </row>
    <row r="166" spans="1:23" ht="51.75" customHeight="1" x14ac:dyDescent="0.25">
      <c r="A166" s="774"/>
      <c r="B166" s="775"/>
      <c r="C166" s="777"/>
      <c r="D166" s="777"/>
      <c r="E166" s="777"/>
      <c r="F166" s="773"/>
      <c r="G166" s="143"/>
      <c r="H166" s="143"/>
      <c r="I166" s="143"/>
      <c r="J166" s="143"/>
      <c r="K166" s="143"/>
      <c r="L166" s="142"/>
      <c r="M166" s="143" t="s">
        <v>2201</v>
      </c>
      <c r="N166" s="143" t="s">
        <v>2875</v>
      </c>
      <c r="O166" s="143">
        <v>0.05</v>
      </c>
      <c r="P166" s="151"/>
      <c r="Q166" s="143"/>
      <c r="R166" s="142"/>
      <c r="S166" s="142"/>
      <c r="T166" s="142"/>
      <c r="U166" s="142"/>
      <c r="V166" s="142"/>
      <c r="W166" s="142"/>
    </row>
    <row r="167" spans="1:23" ht="51.75" customHeight="1" x14ac:dyDescent="0.25">
      <c r="A167" s="834"/>
      <c r="B167" s="835"/>
      <c r="C167" s="836"/>
      <c r="D167" s="836"/>
      <c r="E167" s="836"/>
      <c r="F167" s="833"/>
      <c r="G167" s="143"/>
      <c r="H167" s="143"/>
      <c r="I167" s="143"/>
      <c r="J167" s="143"/>
      <c r="K167" s="143"/>
      <c r="L167" s="142"/>
      <c r="M167" s="143" t="s">
        <v>2201</v>
      </c>
      <c r="N167" s="143" t="s">
        <v>2985</v>
      </c>
      <c r="O167" s="143">
        <f>0.025-0.01</f>
        <v>1.5000000000000001E-2</v>
      </c>
      <c r="P167" s="151"/>
      <c r="Q167" s="151"/>
      <c r="R167" s="147"/>
      <c r="S167" s="363"/>
      <c r="T167" s="176"/>
      <c r="U167" s="149"/>
      <c r="V167" s="149"/>
      <c r="W167" s="149"/>
    </row>
    <row r="168" spans="1:23" ht="51.75" customHeight="1" x14ac:dyDescent="0.25">
      <c r="A168" s="1020"/>
      <c r="B168" s="1021"/>
      <c r="C168" s="1023"/>
      <c r="D168" s="1023"/>
      <c r="E168" s="1023"/>
      <c r="F168" s="1022"/>
      <c r="G168" s="179"/>
      <c r="H168" s="179"/>
      <c r="I168" s="180"/>
      <c r="J168" s="151"/>
      <c r="K168" s="151"/>
      <c r="L168" s="149"/>
      <c r="M168" s="143" t="s">
        <v>2201</v>
      </c>
      <c r="N168" s="143" t="s">
        <v>3187</v>
      </c>
      <c r="O168" s="143">
        <v>0.1042</v>
      </c>
      <c r="P168" s="151"/>
      <c r="Q168" s="151"/>
      <c r="R168" s="147"/>
      <c r="S168" s="363"/>
      <c r="T168" s="176"/>
      <c r="U168" s="149"/>
      <c r="V168" s="149"/>
      <c r="W168" s="149"/>
    </row>
    <row r="169" spans="1:23" ht="51.75" customHeight="1" x14ac:dyDescent="0.25">
      <c r="A169" s="1055"/>
      <c r="B169" s="1053"/>
      <c r="C169" s="1056"/>
      <c r="D169" s="1056"/>
      <c r="E169" s="1056"/>
      <c r="F169" s="1054"/>
      <c r="G169" s="179"/>
      <c r="H169" s="179"/>
      <c r="I169" s="180"/>
      <c r="J169" s="151"/>
      <c r="K169" s="151"/>
      <c r="L169" s="149"/>
      <c r="M169" s="143" t="s">
        <v>2201</v>
      </c>
      <c r="N169" s="143" t="s">
        <v>3336</v>
      </c>
      <c r="O169" s="143">
        <f>0.3-0.087</f>
        <v>0.21299999999999999</v>
      </c>
      <c r="P169" s="151"/>
      <c r="Q169" s="151"/>
      <c r="R169" s="147"/>
      <c r="S169" s="363"/>
      <c r="T169" s="176"/>
      <c r="U169" s="149"/>
      <c r="V169" s="149"/>
      <c r="W169" s="149"/>
    </row>
    <row r="170" spans="1:23" ht="19.5" customHeight="1" thickBot="1" x14ac:dyDescent="0.3">
      <c r="A170" s="405"/>
      <c r="B170" s="394"/>
      <c r="C170" s="395"/>
      <c r="D170" s="395"/>
      <c r="E170" s="395"/>
      <c r="F170" s="396"/>
      <c r="G170" s="1555" t="s">
        <v>1860</v>
      </c>
      <c r="H170" s="1555"/>
      <c r="I170" s="1556"/>
      <c r="J170" s="136">
        <f>SUM(0)</f>
        <v>0</v>
      </c>
      <c r="K170" s="183">
        <v>0.8</v>
      </c>
      <c r="L170" s="136">
        <f>J170/K170</f>
        <v>0</v>
      </c>
      <c r="M170" s="1574"/>
      <c r="N170" s="1556"/>
      <c r="O170" s="136">
        <f>SUM(O151:O169)</f>
        <v>5.3678499999999998</v>
      </c>
      <c r="P170" s="183">
        <v>0.8</v>
      </c>
      <c r="Q170" s="136">
        <f>O170/P170</f>
        <v>6.7098124999999991</v>
      </c>
      <c r="R170" s="1574" t="s">
        <v>1860</v>
      </c>
      <c r="S170" s="1555"/>
      <c r="T170" s="1556"/>
      <c r="U170" s="136">
        <f>SUM(U153:U156)</f>
        <v>0</v>
      </c>
      <c r="V170" s="183">
        <v>0.8</v>
      </c>
      <c r="W170" s="136">
        <f>U170/V170</f>
        <v>0</v>
      </c>
    </row>
    <row r="171" spans="1:23" ht="61.5" customHeight="1" x14ac:dyDescent="0.25">
      <c r="A171" s="1683" t="str">
        <f>'Расчет ЦП - общая форма'!C307</f>
        <v>ПС  35/6 кВ Завод 1 Мая</v>
      </c>
      <c r="B171" s="1551">
        <f>'Расчет ЦП - общая форма'!D307</f>
        <v>10</v>
      </c>
      <c r="C171" s="1552" t="str">
        <f>'Расчет ЦП - общая форма'!E307</f>
        <v>+</v>
      </c>
      <c r="D171" s="1552">
        <f>'Расчет ЦП - общая форма'!F307</f>
        <v>10</v>
      </c>
      <c r="E171" s="399"/>
      <c r="F171" s="400"/>
      <c r="G171" s="262"/>
      <c r="H171" s="42"/>
      <c r="I171" s="42"/>
      <c r="J171" s="42"/>
      <c r="K171" s="42"/>
      <c r="L171" s="72"/>
      <c r="M171" s="42" t="s">
        <v>630</v>
      </c>
      <c r="N171" s="42" t="s">
        <v>1045</v>
      </c>
      <c r="O171" s="42">
        <v>1.0999999999999999E-2</v>
      </c>
      <c r="P171" s="42"/>
      <c r="Q171" s="42"/>
      <c r="R171" s="72"/>
      <c r="S171" s="72"/>
      <c r="T171" s="72"/>
      <c r="U171" s="72"/>
      <c r="V171" s="72"/>
      <c r="W171" s="72"/>
    </row>
    <row r="172" spans="1:23" ht="50.25" customHeight="1" x14ac:dyDescent="0.25">
      <c r="A172" s="1540"/>
      <c r="B172" s="1501"/>
      <c r="C172" s="1553"/>
      <c r="D172" s="1553"/>
      <c r="E172" s="403"/>
      <c r="F172" s="404"/>
      <c r="G172" s="1663" t="s">
        <v>1988</v>
      </c>
      <c r="H172" s="1663"/>
      <c r="I172" s="1663"/>
      <c r="J172" s="1663"/>
      <c r="K172" s="1663"/>
      <c r="L172" s="1664"/>
      <c r="M172" s="42" t="s">
        <v>2027</v>
      </c>
      <c r="N172" s="42" t="s">
        <v>2028</v>
      </c>
      <c r="O172" s="42">
        <v>0.2</v>
      </c>
      <c r="P172" s="42"/>
      <c r="Q172" s="42"/>
      <c r="R172" s="1680"/>
      <c r="S172" s="1681"/>
      <c r="T172" s="1681"/>
      <c r="U172" s="1681"/>
      <c r="V172" s="1681"/>
      <c r="W172" s="1408"/>
    </row>
    <row r="173" spans="1:23" ht="67.5" customHeight="1" x14ac:dyDescent="0.25">
      <c r="A173" s="1540"/>
      <c r="B173" s="1501"/>
      <c r="C173" s="1553"/>
      <c r="D173" s="1553"/>
      <c r="E173" s="403"/>
      <c r="F173" s="404"/>
      <c r="G173" s="184" t="s">
        <v>1046</v>
      </c>
      <c r="H173" s="143" t="s">
        <v>1047</v>
      </c>
      <c r="I173" s="143" t="s">
        <v>1048</v>
      </c>
      <c r="J173" s="143">
        <v>2.0670000000000002</v>
      </c>
      <c r="K173" s="143"/>
      <c r="L173" s="142"/>
      <c r="M173" s="143" t="s">
        <v>2445</v>
      </c>
      <c r="N173" s="143" t="s">
        <v>2571</v>
      </c>
      <c r="O173" s="143">
        <v>0.12</v>
      </c>
      <c r="P173" s="143"/>
      <c r="Q173" s="143"/>
      <c r="R173" s="142"/>
      <c r="S173" s="142"/>
      <c r="T173" s="142"/>
      <c r="U173" s="142"/>
      <c r="V173" s="142"/>
      <c r="W173" s="142"/>
    </row>
    <row r="174" spans="1:23" ht="20.100000000000001" customHeight="1" thickBot="1" x14ac:dyDescent="0.3">
      <c r="A174" s="405"/>
      <c r="B174" s="394"/>
      <c r="C174" s="395"/>
      <c r="D174" s="395"/>
      <c r="E174" s="395"/>
      <c r="F174" s="396"/>
      <c r="G174" s="1555" t="s">
        <v>1860</v>
      </c>
      <c r="H174" s="1555"/>
      <c r="I174" s="1556"/>
      <c r="J174" s="136">
        <f>SUM(0)</f>
        <v>0</v>
      </c>
      <c r="K174" s="183">
        <v>0.8</v>
      </c>
      <c r="L174" s="136">
        <f>J174/K174</f>
        <v>0</v>
      </c>
      <c r="M174" s="1574" t="s">
        <v>1861</v>
      </c>
      <c r="N174" s="1556"/>
      <c r="O174" s="136">
        <f>SUM(O171:O173)</f>
        <v>0.33100000000000002</v>
      </c>
      <c r="P174" s="183">
        <v>0.8</v>
      </c>
      <c r="Q174" s="136">
        <f>O174/P174</f>
        <v>0.41375000000000001</v>
      </c>
      <c r="R174" s="1574" t="s">
        <v>1860</v>
      </c>
      <c r="S174" s="1555"/>
      <c r="T174" s="1556"/>
      <c r="U174" s="136">
        <f>SUM(U171:U173)</f>
        <v>0</v>
      </c>
      <c r="V174" s="183">
        <v>0.8</v>
      </c>
      <c r="W174" s="136">
        <f>U174/V174</f>
        <v>0</v>
      </c>
    </row>
    <row r="175" spans="1:23" ht="20.100000000000001" customHeight="1" x14ac:dyDescent="0.25">
      <c r="A175" s="406"/>
      <c r="B175" s="398"/>
      <c r="C175" s="399"/>
      <c r="D175" s="399"/>
      <c r="E175" s="399"/>
      <c r="F175" s="400"/>
      <c r="G175" s="1712" t="s">
        <v>1988</v>
      </c>
      <c r="H175" s="1712"/>
      <c r="I175" s="1712"/>
      <c r="J175" s="1712"/>
      <c r="K175" s="1712"/>
      <c r="L175" s="1702"/>
      <c r="M175" s="133"/>
      <c r="N175" s="175"/>
      <c r="O175" s="77"/>
      <c r="P175" s="77"/>
      <c r="Q175" s="77"/>
      <c r="R175" s="1713"/>
      <c r="S175" s="1691"/>
      <c r="T175" s="1691"/>
      <c r="U175" s="1691"/>
      <c r="V175" s="1691"/>
      <c r="W175" s="1692"/>
    </row>
    <row r="176" spans="1:23" ht="45.75" customHeight="1" x14ac:dyDescent="0.25">
      <c r="A176" s="1540" t="str">
        <f>'Расчет ЦП - общая форма'!C308</f>
        <v xml:space="preserve">ПС 35/6 кВ Стекловолокно </v>
      </c>
      <c r="B176" s="1501">
        <f>'Расчет ЦП - общая форма'!D308</f>
        <v>10</v>
      </c>
      <c r="C176" s="1553" t="str">
        <f>'Расчет ЦП - общая форма'!E308</f>
        <v>+</v>
      </c>
      <c r="D176" s="1553">
        <f>'Расчет ЦП - общая форма'!F308</f>
        <v>10</v>
      </c>
      <c r="E176" s="403"/>
      <c r="F176" s="404"/>
      <c r="G176" s="66" t="s">
        <v>1051</v>
      </c>
      <c r="H176" s="2" t="s">
        <v>1052</v>
      </c>
      <c r="I176" s="2" t="s">
        <v>1053</v>
      </c>
      <c r="J176" s="48">
        <v>8.3000000000000004E-2</v>
      </c>
      <c r="K176" s="45"/>
      <c r="L176" s="72"/>
      <c r="M176" s="42" t="s">
        <v>1049</v>
      </c>
      <c r="N176" s="42" t="s">
        <v>1050</v>
      </c>
      <c r="O176" s="65">
        <v>0.1</v>
      </c>
      <c r="P176" s="45"/>
      <c r="Q176" s="45"/>
      <c r="R176" s="142"/>
      <c r="S176" s="142"/>
      <c r="T176" s="142"/>
      <c r="U176" s="283"/>
      <c r="V176" s="72"/>
      <c r="W176" s="72"/>
    </row>
    <row r="177" spans="1:23" ht="59.25" customHeight="1" x14ac:dyDescent="0.25">
      <c r="A177" s="1540"/>
      <c r="B177" s="1501"/>
      <c r="C177" s="1553"/>
      <c r="D177" s="1553"/>
      <c r="E177" s="403"/>
      <c r="F177" s="404"/>
      <c r="G177" s="66" t="s">
        <v>1055</v>
      </c>
      <c r="H177" s="2" t="s">
        <v>1056</v>
      </c>
      <c r="I177" s="2" t="s">
        <v>1057</v>
      </c>
      <c r="J177" s="2">
        <v>0.16</v>
      </c>
      <c r="K177" s="2"/>
      <c r="L177" s="142"/>
      <c r="P177" s="2"/>
      <c r="Q177" s="2"/>
      <c r="R177" s="142"/>
      <c r="S177" s="142"/>
      <c r="T177" s="142"/>
      <c r="U177" s="142"/>
      <c r="V177" s="142"/>
      <c r="W177" s="142"/>
    </row>
    <row r="178" spans="1:23" ht="41.25" customHeight="1" x14ac:dyDescent="0.25">
      <c r="A178" s="1540"/>
      <c r="B178" s="1501"/>
      <c r="C178" s="1553"/>
      <c r="D178" s="1553"/>
      <c r="E178" s="403"/>
      <c r="F178" s="404"/>
      <c r="G178" s="1663" t="s">
        <v>1987</v>
      </c>
      <c r="H178" s="1663"/>
      <c r="I178" s="1663"/>
      <c r="J178" s="1663"/>
      <c r="K178" s="1663"/>
      <c r="L178" s="1664"/>
      <c r="M178" s="2" t="s">
        <v>1891</v>
      </c>
      <c r="N178" s="2" t="s">
        <v>2070</v>
      </c>
      <c r="O178" s="2">
        <v>0.02</v>
      </c>
      <c r="P178" s="2"/>
      <c r="Q178" s="45"/>
      <c r="R178" s="1680"/>
      <c r="S178" s="1681"/>
      <c r="T178" s="1681"/>
      <c r="U178" s="1681"/>
      <c r="V178" s="1681"/>
      <c r="W178" s="1408"/>
    </row>
    <row r="179" spans="1:23" ht="82.5" customHeight="1" x14ac:dyDescent="0.25">
      <c r="A179" s="1540"/>
      <c r="B179" s="1501"/>
      <c r="C179" s="1553"/>
      <c r="D179" s="1553"/>
      <c r="E179" s="403"/>
      <c r="F179" s="404"/>
      <c r="G179" s="184" t="s">
        <v>1058</v>
      </c>
      <c r="H179" s="143" t="s">
        <v>1059</v>
      </c>
      <c r="I179" s="2" t="s">
        <v>1060</v>
      </c>
      <c r="J179" s="2">
        <v>0.03</v>
      </c>
      <c r="K179" s="2"/>
      <c r="L179" s="142"/>
      <c r="M179" s="143"/>
      <c r="N179" s="143"/>
      <c r="O179" s="143"/>
      <c r="P179" s="70"/>
      <c r="Q179" s="45"/>
      <c r="R179" s="142"/>
      <c r="S179" s="142"/>
      <c r="T179" s="142"/>
      <c r="U179" s="142"/>
      <c r="V179" s="142"/>
      <c r="W179" s="142"/>
    </row>
    <row r="180" spans="1:23" ht="27" customHeight="1" x14ac:dyDescent="0.25">
      <c r="A180" s="401"/>
      <c r="B180" s="402"/>
      <c r="C180" s="403"/>
      <c r="D180" s="403"/>
      <c r="E180" s="403"/>
      <c r="F180" s="404"/>
      <c r="G180" s="1663" t="s">
        <v>2061</v>
      </c>
      <c r="H180" s="1663"/>
      <c r="I180" s="1663"/>
      <c r="J180" s="1663"/>
      <c r="K180" s="1663"/>
      <c r="L180" s="1664"/>
      <c r="M180" s="143"/>
      <c r="N180" s="143"/>
      <c r="O180" s="143"/>
      <c r="P180" s="2"/>
      <c r="Q180" s="120"/>
      <c r="R180" s="1680"/>
      <c r="S180" s="1681"/>
      <c r="T180" s="1681"/>
      <c r="U180" s="1681"/>
      <c r="V180" s="1681"/>
      <c r="W180" s="1408"/>
    </row>
    <row r="181" spans="1:23" ht="68.25" customHeight="1" x14ac:dyDescent="0.25">
      <c r="A181" s="401"/>
      <c r="B181" s="402"/>
      <c r="C181" s="403"/>
      <c r="D181" s="403"/>
      <c r="E181" s="403"/>
      <c r="F181" s="404"/>
      <c r="G181" s="66" t="s">
        <v>1054</v>
      </c>
      <c r="H181" s="2" t="s">
        <v>1327</v>
      </c>
      <c r="I181" s="143" t="s">
        <v>2264</v>
      </c>
      <c r="J181" s="48">
        <v>1</v>
      </c>
      <c r="K181" s="70"/>
      <c r="L181" s="149"/>
      <c r="M181" s="2" t="s">
        <v>2393</v>
      </c>
      <c r="N181" s="2" t="s">
        <v>2463</v>
      </c>
      <c r="O181" s="2">
        <v>0.03</v>
      </c>
      <c r="P181" s="2"/>
      <c r="Q181" s="120"/>
      <c r="R181" s="142"/>
      <c r="S181" s="142"/>
      <c r="T181" s="142"/>
      <c r="U181" s="283"/>
      <c r="V181" s="149"/>
      <c r="W181" s="149"/>
    </row>
    <row r="182" spans="1:23" ht="70.5" customHeight="1" x14ac:dyDescent="0.25">
      <c r="A182" s="401"/>
      <c r="B182" s="402"/>
      <c r="C182" s="403"/>
      <c r="D182" s="403"/>
      <c r="E182" s="403"/>
      <c r="F182" s="404"/>
      <c r="G182" s="66" t="s">
        <v>1054</v>
      </c>
      <c r="H182" s="122" t="s">
        <v>1327</v>
      </c>
      <c r="I182" s="48" t="s">
        <v>2265</v>
      </c>
      <c r="J182" s="223">
        <v>1</v>
      </c>
      <c r="K182" s="70"/>
      <c r="L182" s="149"/>
      <c r="M182" s="143" t="s">
        <v>1891</v>
      </c>
      <c r="N182" s="143" t="s">
        <v>2636</v>
      </c>
      <c r="O182" s="143">
        <v>2.2499999999999999E-2</v>
      </c>
      <c r="P182" s="2"/>
      <c r="Q182" s="120"/>
      <c r="R182" s="142"/>
      <c r="S182" s="55"/>
      <c r="T182" s="283"/>
      <c r="U182" s="342"/>
      <c r="V182" s="149"/>
      <c r="W182" s="149"/>
    </row>
    <row r="183" spans="1:23" ht="85.5" customHeight="1" x14ac:dyDescent="0.25">
      <c r="A183" s="401"/>
      <c r="B183" s="402"/>
      <c r="C183" s="403"/>
      <c r="D183" s="403"/>
      <c r="E183" s="403"/>
      <c r="F183" s="404"/>
      <c r="G183" s="66" t="s">
        <v>2163</v>
      </c>
      <c r="H183" s="2" t="s">
        <v>2164</v>
      </c>
      <c r="I183" s="297" t="s">
        <v>2309</v>
      </c>
      <c r="J183" s="223">
        <v>0.75</v>
      </c>
      <c r="K183" s="70"/>
      <c r="L183" s="149"/>
      <c r="M183" s="2" t="s">
        <v>1891</v>
      </c>
      <c r="N183" s="2" t="s">
        <v>3304</v>
      </c>
      <c r="O183" s="2">
        <v>0.05</v>
      </c>
      <c r="P183" s="2"/>
      <c r="Q183" s="120"/>
      <c r="R183" s="142"/>
      <c r="S183" s="142"/>
      <c r="T183" s="359"/>
      <c r="U183" s="342"/>
      <c r="V183" s="149"/>
      <c r="W183" s="149"/>
    </row>
    <row r="184" spans="1:23" ht="85.5" customHeight="1" x14ac:dyDescent="0.25">
      <c r="A184" s="401"/>
      <c r="B184" s="402"/>
      <c r="C184" s="403"/>
      <c r="D184" s="403"/>
      <c r="E184" s="403"/>
      <c r="F184" s="404"/>
      <c r="G184" s="184" t="s">
        <v>2393</v>
      </c>
      <c r="H184" s="143" t="s">
        <v>2394</v>
      </c>
      <c r="I184" s="143" t="s">
        <v>2420</v>
      </c>
      <c r="J184" s="223">
        <v>0.03</v>
      </c>
      <c r="K184" s="70"/>
      <c r="L184" s="149"/>
      <c r="M184" s="2" t="s">
        <v>3324</v>
      </c>
      <c r="N184" s="2" t="s">
        <v>3405</v>
      </c>
      <c r="O184" s="2">
        <f>0.63-0.256</f>
        <v>0.374</v>
      </c>
      <c r="P184" s="2"/>
      <c r="Q184" s="120"/>
      <c r="R184" s="142"/>
      <c r="S184" s="142"/>
      <c r="T184" s="142"/>
      <c r="U184" s="342"/>
      <c r="V184" s="149"/>
      <c r="W184" s="149"/>
    </row>
    <row r="185" spans="1:23" ht="85.5" customHeight="1" x14ac:dyDescent="0.25">
      <c r="A185" s="401"/>
      <c r="B185" s="402"/>
      <c r="C185" s="403"/>
      <c r="D185" s="403"/>
      <c r="E185" s="403"/>
      <c r="F185" s="404"/>
      <c r="G185" s="66" t="s">
        <v>1891</v>
      </c>
      <c r="H185" s="2" t="s">
        <v>2069</v>
      </c>
      <c r="I185" s="180" t="s">
        <v>2482</v>
      </c>
      <c r="J185" s="223">
        <v>2.3E-2</v>
      </c>
      <c r="K185" s="70"/>
      <c r="L185" s="149"/>
      <c r="M185" s="2" t="s">
        <v>3413</v>
      </c>
      <c r="N185" s="2" t="s">
        <v>3414</v>
      </c>
      <c r="O185" s="2">
        <v>7.0000000000000007E-2</v>
      </c>
      <c r="P185" s="70"/>
      <c r="Q185" s="120"/>
      <c r="R185" s="142"/>
      <c r="S185" s="142"/>
      <c r="T185" s="176"/>
      <c r="U185" s="342"/>
      <c r="V185" s="149"/>
      <c r="W185" s="149"/>
    </row>
    <row r="186" spans="1:23" ht="85.5" customHeight="1" x14ac:dyDescent="0.25">
      <c r="A186" s="401"/>
      <c r="B186" s="402"/>
      <c r="C186" s="403"/>
      <c r="D186" s="403"/>
      <c r="E186" s="403"/>
      <c r="F186" s="404"/>
      <c r="G186" s="66" t="s">
        <v>1891</v>
      </c>
      <c r="H186" s="2" t="s">
        <v>2070</v>
      </c>
      <c r="I186" s="180" t="s">
        <v>2483</v>
      </c>
      <c r="J186" s="2">
        <v>2.2499999999999999E-2</v>
      </c>
      <c r="K186" s="70"/>
      <c r="L186" s="149"/>
      <c r="M186" s="2" t="s">
        <v>1891</v>
      </c>
      <c r="N186" s="142" t="s">
        <v>3464</v>
      </c>
      <c r="O186" s="70">
        <v>6.5000000000000002E-2</v>
      </c>
      <c r="P186" s="70"/>
      <c r="Q186" s="120"/>
      <c r="R186" s="142"/>
      <c r="S186" s="142"/>
      <c r="T186" s="176"/>
      <c r="U186" s="142"/>
      <c r="V186" s="149"/>
      <c r="W186" s="149"/>
    </row>
    <row r="187" spans="1:23" ht="85.5" customHeight="1" x14ac:dyDescent="0.25">
      <c r="A187" s="401"/>
      <c r="B187" s="402"/>
      <c r="C187" s="403"/>
      <c r="D187" s="403"/>
      <c r="E187" s="403"/>
      <c r="F187" s="404"/>
      <c r="G187" s="184" t="s">
        <v>791</v>
      </c>
      <c r="H187" s="143" t="s">
        <v>2447</v>
      </c>
      <c r="I187" s="180" t="s">
        <v>2495</v>
      </c>
      <c r="J187" s="70">
        <v>0.64300000000000002</v>
      </c>
      <c r="K187" s="70"/>
      <c r="L187" s="149"/>
      <c r="M187" s="1283" t="s">
        <v>3369</v>
      </c>
      <c r="N187" s="1283" t="s">
        <v>3523</v>
      </c>
      <c r="O187" s="1265">
        <v>0</v>
      </c>
      <c r="P187" s="2"/>
      <c r="Q187" s="120"/>
      <c r="R187" s="142"/>
      <c r="S187" s="142"/>
      <c r="T187" s="176"/>
      <c r="U187" s="149"/>
      <c r="V187" s="149"/>
      <c r="W187" s="149"/>
    </row>
    <row r="188" spans="1:23" ht="23.25" customHeight="1" x14ac:dyDescent="0.25">
      <c r="A188" s="1072"/>
      <c r="B188" s="1073"/>
      <c r="C188" s="1075"/>
      <c r="D188" s="1075"/>
      <c r="E188" s="1075"/>
      <c r="F188" s="1074"/>
      <c r="G188" s="1663" t="s">
        <v>3069</v>
      </c>
      <c r="H188" s="1663"/>
      <c r="I188" s="1663"/>
      <c r="J188" s="1663"/>
      <c r="K188" s="1663"/>
      <c r="L188" s="1664"/>
      <c r="M188" s="2"/>
      <c r="N188" s="2"/>
      <c r="O188" s="2"/>
      <c r="P188" s="2"/>
      <c r="Q188" s="120"/>
      <c r="R188" s="147"/>
      <c r="S188" s="363"/>
      <c r="T188" s="176"/>
      <c r="U188" s="149"/>
      <c r="V188" s="149"/>
      <c r="W188" s="149"/>
    </row>
    <row r="189" spans="1:23" ht="96" customHeight="1" x14ac:dyDescent="0.25">
      <c r="A189" s="1072"/>
      <c r="B189" s="1073"/>
      <c r="C189" s="1075"/>
      <c r="D189" s="1075"/>
      <c r="E189" s="1075"/>
      <c r="F189" s="1074"/>
      <c r="G189" s="143" t="s">
        <v>1748</v>
      </c>
      <c r="H189" s="143" t="s">
        <v>3222</v>
      </c>
      <c r="I189" s="143" t="s">
        <v>3223</v>
      </c>
      <c r="J189" s="2">
        <v>0.89400000000000002</v>
      </c>
      <c r="K189" s="2"/>
      <c r="L189" s="142"/>
      <c r="M189" s="2"/>
      <c r="N189" s="2"/>
      <c r="O189" s="2"/>
      <c r="P189" s="2"/>
      <c r="Q189" s="120"/>
      <c r="R189" s="147"/>
      <c r="S189" s="363"/>
      <c r="T189" s="176"/>
      <c r="U189" s="149"/>
      <c r="V189" s="149"/>
      <c r="W189" s="149"/>
    </row>
    <row r="190" spans="1:23" ht="36" customHeight="1" x14ac:dyDescent="0.25">
      <c r="A190" s="1212"/>
      <c r="B190" s="1210"/>
      <c r="C190" s="1214"/>
      <c r="D190" s="1214"/>
      <c r="E190" s="1214"/>
      <c r="F190" s="1211"/>
      <c r="G190" s="1665" t="s">
        <v>3481</v>
      </c>
      <c r="H190" s="1666"/>
      <c r="I190" s="1667"/>
      <c r="J190" s="786">
        <v>0.105</v>
      </c>
      <c r="K190" s="70"/>
      <c r="L190" s="149"/>
      <c r="M190" s="825"/>
      <c r="N190" s="121"/>
      <c r="O190" s="70"/>
      <c r="P190" s="70"/>
      <c r="Q190" s="120"/>
      <c r="R190" s="147"/>
      <c r="S190" s="363"/>
      <c r="T190" s="176"/>
      <c r="U190" s="149"/>
      <c r="V190" s="149"/>
      <c r="W190" s="149"/>
    </row>
    <row r="191" spans="1:23" ht="20.100000000000001" customHeight="1" thickBot="1" x14ac:dyDescent="0.3">
      <c r="A191" s="405"/>
      <c r="B191" s="394"/>
      <c r="C191" s="395"/>
      <c r="D191" s="395"/>
      <c r="E191" s="395"/>
      <c r="F191" s="396"/>
      <c r="G191" s="1555" t="s">
        <v>1860</v>
      </c>
      <c r="H191" s="1555"/>
      <c r="I191" s="1556"/>
      <c r="J191" s="208">
        <f>SUM(J189:J190)</f>
        <v>0.999</v>
      </c>
      <c r="K191" s="183">
        <v>0.8</v>
      </c>
      <c r="L191" s="136">
        <f>J191/K191</f>
        <v>1.24875</v>
      </c>
      <c r="M191" s="1574" t="s">
        <v>1861</v>
      </c>
      <c r="N191" s="1556"/>
      <c r="O191" s="136">
        <f>SUM(O176:O189)</f>
        <v>0.73150000000000004</v>
      </c>
      <c r="P191" s="183">
        <v>0.8</v>
      </c>
      <c r="Q191" s="136">
        <f>O191/P191</f>
        <v>0.91437500000000005</v>
      </c>
      <c r="R191" s="1574" t="s">
        <v>1860</v>
      </c>
      <c r="S191" s="1555"/>
      <c r="T191" s="1556"/>
      <c r="U191" s="208">
        <f>SUM(U176:U177,U179:U187)</f>
        <v>0</v>
      </c>
      <c r="V191" s="183">
        <v>0.8</v>
      </c>
      <c r="W191" s="136">
        <f>U191/V191</f>
        <v>0</v>
      </c>
    </row>
    <row r="192" spans="1:23" ht="20.100000000000001" customHeight="1" x14ac:dyDescent="0.25">
      <c r="A192" s="1683" t="str">
        <f>'Расчет ЦП - общая форма'!C309</f>
        <v xml:space="preserve">ПС 35/10 кВ Соминка </v>
      </c>
      <c r="B192" s="1551">
        <f>'Расчет ЦП - общая форма'!D309</f>
        <v>16</v>
      </c>
      <c r="C192" s="1552" t="str">
        <f>'Расчет ЦП - общая форма'!E309</f>
        <v>+</v>
      </c>
      <c r="D192" s="1552">
        <f>'Расчет ЦП - общая форма'!F309</f>
        <v>16</v>
      </c>
      <c r="E192" s="399"/>
      <c r="F192" s="400"/>
      <c r="G192" s="1712" t="s">
        <v>1987</v>
      </c>
      <c r="H192" s="1712"/>
      <c r="I192" s="1712"/>
      <c r="J192" s="1712"/>
      <c r="K192" s="1712"/>
      <c r="L192" s="1702"/>
      <c r="M192" s="133"/>
      <c r="N192" s="175"/>
      <c r="O192" s="77"/>
      <c r="P192" s="77"/>
      <c r="Q192" s="77"/>
      <c r="R192" s="1713"/>
      <c r="S192" s="1691"/>
      <c r="T192" s="1691"/>
      <c r="U192" s="1691"/>
      <c r="V192" s="1691"/>
      <c r="W192" s="1692"/>
    </row>
    <row r="193" spans="1:23" ht="47.25" customHeight="1" x14ac:dyDescent="0.25">
      <c r="A193" s="1540"/>
      <c r="B193" s="1501"/>
      <c r="C193" s="1553"/>
      <c r="D193" s="1553"/>
      <c r="E193" s="403"/>
      <c r="F193" s="404"/>
      <c r="G193" s="281" t="s">
        <v>1065</v>
      </c>
      <c r="H193" s="45" t="s">
        <v>1066</v>
      </c>
      <c r="I193" s="42" t="s">
        <v>1067</v>
      </c>
      <c r="J193" s="45">
        <v>3.3000000000000002E-2</v>
      </c>
      <c r="K193" s="42"/>
      <c r="L193" s="72"/>
      <c r="M193" s="42" t="s">
        <v>1062</v>
      </c>
      <c r="N193" s="42" t="s">
        <v>1063</v>
      </c>
      <c r="O193" s="42">
        <v>0.15</v>
      </c>
      <c r="P193" s="42"/>
      <c r="Q193" s="42"/>
      <c r="R193" s="72"/>
      <c r="S193" s="72"/>
      <c r="T193" s="72"/>
      <c r="U193" s="72"/>
      <c r="V193" s="72"/>
      <c r="W193" s="72"/>
    </row>
    <row r="194" spans="1:23" ht="40.5" customHeight="1" x14ac:dyDescent="0.25">
      <c r="A194" s="1540"/>
      <c r="B194" s="1501"/>
      <c r="C194" s="1553"/>
      <c r="D194" s="1553"/>
      <c r="E194" s="403"/>
      <c r="F194" s="404"/>
      <c r="G194" s="66" t="s">
        <v>1065</v>
      </c>
      <c r="H194" s="2" t="s">
        <v>1325</v>
      </c>
      <c r="I194" s="143" t="s">
        <v>1326</v>
      </c>
      <c r="J194" s="2">
        <v>3.6999999999999998E-2</v>
      </c>
      <c r="K194" s="143"/>
      <c r="L194" s="142"/>
      <c r="M194" s="143" t="s">
        <v>1993</v>
      </c>
      <c r="N194" s="143" t="s">
        <v>1064</v>
      </c>
      <c r="O194" s="143"/>
      <c r="P194" s="184"/>
      <c r="Q194" s="143"/>
      <c r="R194" s="142"/>
      <c r="S194" s="142"/>
      <c r="T194" s="142"/>
      <c r="U194" s="142"/>
      <c r="V194" s="142"/>
      <c r="W194" s="142"/>
    </row>
    <row r="195" spans="1:23" ht="65.25" customHeight="1" x14ac:dyDescent="0.25">
      <c r="A195" s="1540"/>
      <c r="B195" s="1501"/>
      <c r="C195" s="1553"/>
      <c r="D195" s="1553"/>
      <c r="E195" s="403"/>
      <c r="F195" s="404"/>
      <c r="G195" s="184" t="s">
        <v>630</v>
      </c>
      <c r="H195" s="143" t="s">
        <v>1068</v>
      </c>
      <c r="I195" s="143" t="s">
        <v>2328</v>
      </c>
      <c r="J195" s="143">
        <v>0.115</v>
      </c>
      <c r="K195" s="143"/>
      <c r="L195" s="142"/>
      <c r="M195" s="155" t="s">
        <v>1069</v>
      </c>
      <c r="N195" s="143" t="s">
        <v>1070</v>
      </c>
      <c r="O195" s="143">
        <v>2.8000000000000001E-2</v>
      </c>
      <c r="P195" s="143"/>
      <c r="Q195" s="143"/>
      <c r="R195" s="142"/>
      <c r="S195" s="142"/>
      <c r="T195" s="142"/>
      <c r="U195" s="142"/>
      <c r="V195" s="142"/>
      <c r="W195" s="142"/>
    </row>
    <row r="196" spans="1:23" ht="20.100000000000001" customHeight="1" x14ac:dyDescent="0.25">
      <c r="A196" s="1540"/>
      <c r="B196" s="1501"/>
      <c r="C196" s="1553"/>
      <c r="D196" s="1553"/>
      <c r="E196" s="403"/>
      <c r="F196" s="404"/>
      <c r="G196" s="1663" t="s">
        <v>3069</v>
      </c>
      <c r="H196" s="1663"/>
      <c r="I196" s="1663"/>
      <c r="J196" s="1663"/>
      <c r="K196" s="1663"/>
      <c r="L196" s="1664"/>
      <c r="M196" s="153" t="s">
        <v>1072</v>
      </c>
      <c r="N196" s="143" t="s">
        <v>1073</v>
      </c>
      <c r="O196" s="143">
        <v>0.2</v>
      </c>
      <c r="P196" s="143"/>
      <c r="Q196" s="143"/>
      <c r="R196" s="142"/>
      <c r="S196" s="142"/>
      <c r="T196" s="142"/>
      <c r="U196" s="142"/>
      <c r="V196" s="142"/>
      <c r="W196" s="142"/>
    </row>
    <row r="197" spans="1:23" ht="20.100000000000001" customHeight="1" x14ac:dyDescent="0.25">
      <c r="A197" s="1540"/>
      <c r="B197" s="1501"/>
      <c r="C197" s="1553"/>
      <c r="D197" s="1553"/>
      <c r="E197" s="403"/>
      <c r="F197" s="404"/>
      <c r="G197" s="1665" t="s">
        <v>3481</v>
      </c>
      <c r="H197" s="1666"/>
      <c r="I197" s="1667"/>
      <c r="J197" s="785">
        <v>0.105</v>
      </c>
      <c r="K197" s="143"/>
      <c r="L197" s="142"/>
      <c r="M197" s="155" t="s">
        <v>1075</v>
      </c>
      <c r="N197" s="143" t="s">
        <v>1076</v>
      </c>
      <c r="O197" s="143">
        <v>9.7000000000000003E-2</v>
      </c>
      <c r="P197" s="143"/>
      <c r="Q197" s="143"/>
      <c r="R197" s="142"/>
      <c r="S197" s="142"/>
      <c r="T197" s="142"/>
      <c r="U197" s="142"/>
      <c r="V197" s="142"/>
      <c r="W197" s="142"/>
    </row>
    <row r="198" spans="1:23" ht="20.100000000000001" customHeight="1" x14ac:dyDescent="0.25">
      <c r="A198" s="1540"/>
      <c r="B198" s="1501"/>
      <c r="C198" s="1553"/>
      <c r="D198" s="1553"/>
      <c r="E198" s="403"/>
      <c r="F198" s="404"/>
      <c r="G198" s="184"/>
      <c r="H198" s="143"/>
      <c r="I198" s="143"/>
      <c r="J198" s="143"/>
      <c r="K198" s="143"/>
      <c r="L198" s="142"/>
      <c r="M198" s="143" t="s">
        <v>2655</v>
      </c>
      <c r="N198" s="143" t="s">
        <v>2656</v>
      </c>
      <c r="O198" s="143">
        <v>0.16</v>
      </c>
      <c r="P198" s="143"/>
      <c r="Q198" s="143"/>
      <c r="R198" s="142"/>
      <c r="S198" s="142"/>
      <c r="T198" s="142"/>
      <c r="U198" s="142"/>
      <c r="V198" s="142"/>
      <c r="W198" s="142"/>
    </row>
    <row r="199" spans="1:23" ht="20.100000000000001" customHeight="1" x14ac:dyDescent="0.25">
      <c r="A199" s="750"/>
      <c r="B199" s="751"/>
      <c r="C199" s="752"/>
      <c r="D199" s="752"/>
      <c r="E199" s="752"/>
      <c r="F199" s="749"/>
      <c r="G199" s="143"/>
      <c r="H199" s="143"/>
      <c r="I199" s="143"/>
      <c r="J199" s="143"/>
      <c r="K199" s="143"/>
      <c r="L199" s="142"/>
      <c r="M199" s="143" t="s">
        <v>2839</v>
      </c>
      <c r="N199" s="143" t="s">
        <v>2840</v>
      </c>
      <c r="O199" s="143">
        <f>0.665-0.45</f>
        <v>0.21500000000000002</v>
      </c>
      <c r="P199" s="143"/>
      <c r="Q199" s="143"/>
      <c r="R199" s="142"/>
      <c r="S199" s="142"/>
      <c r="T199" s="142"/>
      <c r="U199" s="142"/>
      <c r="V199" s="142"/>
      <c r="W199" s="142"/>
    </row>
    <row r="200" spans="1:23" ht="20.100000000000001" customHeight="1" x14ac:dyDescent="0.25">
      <c r="A200" s="1064"/>
      <c r="B200" s="1065"/>
      <c r="C200" s="1067"/>
      <c r="D200" s="1067"/>
      <c r="E200" s="1067"/>
      <c r="F200" s="1066"/>
      <c r="G200" s="179"/>
      <c r="H200" s="179"/>
      <c r="I200" s="180"/>
      <c r="J200" s="151"/>
      <c r="K200" s="151"/>
      <c r="L200" s="149"/>
      <c r="M200" s="146" t="s">
        <v>3208</v>
      </c>
      <c r="N200" s="180" t="s">
        <v>3209</v>
      </c>
      <c r="O200" s="151">
        <v>0.1</v>
      </c>
      <c r="P200" s="151"/>
      <c r="Q200" s="151"/>
      <c r="R200" s="147"/>
      <c r="S200" s="363"/>
      <c r="T200" s="176"/>
      <c r="U200" s="149"/>
      <c r="V200" s="149"/>
      <c r="W200" s="149"/>
    </row>
    <row r="201" spans="1:23" ht="92.25" customHeight="1" x14ac:dyDescent="0.25">
      <c r="A201" s="1093"/>
      <c r="B201" s="1091"/>
      <c r="C201" s="1095"/>
      <c r="D201" s="1095"/>
      <c r="E201" s="1095"/>
      <c r="F201" s="1092"/>
      <c r="G201" s="179"/>
      <c r="H201" s="179"/>
      <c r="I201" s="180"/>
      <c r="J201" s="151"/>
      <c r="K201" s="151"/>
      <c r="L201" s="149"/>
      <c r="M201" s="143" t="s">
        <v>3258</v>
      </c>
      <c r="N201" s="143" t="s">
        <v>3259</v>
      </c>
      <c r="O201" s="143">
        <v>4.4999999999999998E-2</v>
      </c>
      <c r="P201" s="143"/>
      <c r="Q201" s="143"/>
      <c r="R201" s="142"/>
      <c r="S201" s="142"/>
      <c r="T201" s="142"/>
      <c r="U201" s="142"/>
      <c r="V201" s="142"/>
      <c r="W201" s="142"/>
    </row>
    <row r="202" spans="1:23" ht="20.100000000000001" customHeight="1" thickBot="1" x14ac:dyDescent="0.3">
      <c r="A202" s="405"/>
      <c r="B202" s="394"/>
      <c r="C202" s="395"/>
      <c r="D202" s="395"/>
      <c r="E202" s="395"/>
      <c r="F202" s="396"/>
      <c r="G202" s="1555" t="s">
        <v>1860</v>
      </c>
      <c r="H202" s="1555"/>
      <c r="I202" s="1556"/>
      <c r="J202" s="136">
        <f>SUM(J197)</f>
        <v>0.105</v>
      </c>
      <c r="K202" s="183">
        <v>0.8</v>
      </c>
      <c r="L202" s="136">
        <f>J202/K202</f>
        <v>0.13124999999999998</v>
      </c>
      <c r="M202" s="1574" t="s">
        <v>1861</v>
      </c>
      <c r="N202" s="1556"/>
      <c r="O202" s="136">
        <f>SUM(O193:O201)</f>
        <v>0.99500000000000011</v>
      </c>
      <c r="P202" s="183">
        <v>0.8</v>
      </c>
      <c r="Q202" s="136">
        <f>O202/P202</f>
        <v>1.2437500000000001</v>
      </c>
      <c r="R202" s="1574" t="s">
        <v>1860</v>
      </c>
      <c r="S202" s="1555"/>
      <c r="T202" s="1556"/>
      <c r="U202" s="136">
        <f>SUM(U193:U198)</f>
        <v>0</v>
      </c>
      <c r="V202" s="183">
        <v>0.8</v>
      </c>
      <c r="W202" s="136">
        <f>U202/V202</f>
        <v>0</v>
      </c>
    </row>
    <row r="203" spans="1:23" ht="20.100000000000001" customHeight="1" x14ac:dyDescent="0.25">
      <c r="A203" s="406" t="str">
        <f>'Расчет ЦП - общая форма'!C310</f>
        <v>ПС  35/6 кВ Заволжская</v>
      </c>
      <c r="B203" s="398">
        <f>'Расчет ЦП - общая форма'!D310</f>
        <v>7.5</v>
      </c>
      <c r="C203" s="399" t="str">
        <f>'Расчет ЦП - общая форма'!E310</f>
        <v>+</v>
      </c>
      <c r="D203" s="399">
        <f>'Расчет ЦП - общая форма'!F310</f>
        <v>10</v>
      </c>
      <c r="E203" s="399"/>
      <c r="F203" s="400"/>
      <c r="G203" s="1663" t="s">
        <v>3069</v>
      </c>
      <c r="H203" s="1663"/>
      <c r="I203" s="1663"/>
      <c r="J203" s="1663"/>
      <c r="K203" s="1663"/>
      <c r="L203" s="1664"/>
      <c r="M203" s="158" t="s">
        <v>2637</v>
      </c>
      <c r="N203" s="158" t="s">
        <v>2638</v>
      </c>
      <c r="O203" s="153">
        <v>0.47499999999999998</v>
      </c>
      <c r="P203" s="151"/>
      <c r="Q203" s="143"/>
      <c r="R203" s="143"/>
      <c r="S203" s="143"/>
      <c r="T203" s="143"/>
      <c r="U203" s="143"/>
      <c r="V203" s="143"/>
      <c r="W203" s="142"/>
    </row>
    <row r="204" spans="1:23" ht="20.100000000000001" customHeight="1" x14ac:dyDescent="0.25">
      <c r="A204" s="1132"/>
      <c r="B204" s="1133"/>
      <c r="C204" s="1135"/>
      <c r="D204" s="1135"/>
      <c r="E204" s="1135"/>
      <c r="F204" s="1134"/>
      <c r="G204" s="143" t="s">
        <v>341</v>
      </c>
      <c r="H204" s="143" t="s">
        <v>3325</v>
      </c>
      <c r="I204" s="143" t="s">
        <v>3375</v>
      </c>
      <c r="J204" s="143">
        <v>7.4999999999999997E-2</v>
      </c>
      <c r="K204" s="143"/>
      <c r="L204" s="142"/>
      <c r="M204" s="143" t="s">
        <v>341</v>
      </c>
      <c r="N204" s="143" t="s">
        <v>3424</v>
      </c>
      <c r="O204" s="143">
        <v>7.4999999999999997E-2</v>
      </c>
      <c r="P204" s="143"/>
      <c r="Q204" s="151"/>
      <c r="R204" s="146"/>
      <c r="S204" s="179"/>
      <c r="T204" s="180"/>
      <c r="U204" s="151"/>
      <c r="V204" s="151"/>
      <c r="W204" s="149"/>
    </row>
    <row r="205" spans="1:23" ht="20.100000000000001" customHeight="1" thickBot="1" x14ac:dyDescent="0.3">
      <c r="A205" s="405"/>
      <c r="B205" s="394"/>
      <c r="C205" s="395"/>
      <c r="D205" s="395"/>
      <c r="E205" s="395"/>
      <c r="F205" s="396"/>
      <c r="G205" s="1555" t="s">
        <v>1860</v>
      </c>
      <c r="H205" s="1555"/>
      <c r="I205" s="1556"/>
      <c r="J205" s="136">
        <f>SUM(J204)</f>
        <v>7.4999999999999997E-2</v>
      </c>
      <c r="K205" s="183">
        <v>0.8</v>
      </c>
      <c r="L205" s="136">
        <f>J205/K205</f>
        <v>9.3749999999999986E-2</v>
      </c>
      <c r="M205" s="1574" t="s">
        <v>1861</v>
      </c>
      <c r="N205" s="1556"/>
      <c r="O205" s="136">
        <f>SUM(O203:O204)</f>
        <v>0.54999999999999993</v>
      </c>
      <c r="P205" s="183">
        <v>0.8</v>
      </c>
      <c r="Q205" s="136">
        <f>O205/P205</f>
        <v>0.68749999999999989</v>
      </c>
      <c r="R205" s="1574" t="s">
        <v>1860</v>
      </c>
      <c r="S205" s="1555"/>
      <c r="T205" s="1556"/>
      <c r="U205" s="136">
        <f>SUM(U203:U203)</f>
        <v>0</v>
      </c>
      <c r="V205" s="183">
        <v>0.8</v>
      </c>
      <c r="W205" s="136">
        <f>U205/V205</f>
        <v>0</v>
      </c>
    </row>
    <row r="206" spans="1:23" ht="20.100000000000001" customHeight="1" x14ac:dyDescent="0.25">
      <c r="A206" s="1683" t="str">
        <f>'Расчет ЦП - общая форма'!C311</f>
        <v xml:space="preserve">ПС 35/10 кВ Капошвар </v>
      </c>
      <c r="B206" s="1551">
        <f>'Расчет ЦП - общая форма'!D311</f>
        <v>10</v>
      </c>
      <c r="C206" s="1552" t="str">
        <f>'Расчет ЦП - общая форма'!E311</f>
        <v>+</v>
      </c>
      <c r="D206" s="1552">
        <f>'Расчет ЦП - общая форма'!F311</f>
        <v>10</v>
      </c>
      <c r="E206" s="399"/>
      <c r="F206" s="400"/>
      <c r="G206" s="1712" t="s">
        <v>1989</v>
      </c>
      <c r="H206" s="1712"/>
      <c r="I206" s="1712"/>
      <c r="J206" s="1712"/>
      <c r="K206" s="1712"/>
      <c r="L206" s="1702"/>
      <c r="M206" s="133"/>
      <c r="N206" s="175"/>
      <c r="O206" s="77"/>
      <c r="P206" s="77"/>
      <c r="Q206" s="77"/>
      <c r="R206" s="1713"/>
      <c r="S206" s="1691"/>
      <c r="T206" s="1691"/>
      <c r="U206" s="1691"/>
      <c r="V206" s="1691"/>
      <c r="W206" s="1692"/>
    </row>
    <row r="207" spans="1:23" ht="20.100000000000001" customHeight="1" x14ac:dyDescent="0.25">
      <c r="A207" s="1540"/>
      <c r="B207" s="1501"/>
      <c r="C207" s="1553"/>
      <c r="D207" s="1553"/>
      <c r="E207" s="403"/>
      <c r="F207" s="404"/>
      <c r="G207" s="271" t="s">
        <v>1077</v>
      </c>
      <c r="H207" s="72" t="s">
        <v>1078</v>
      </c>
      <c r="I207" s="72" t="s">
        <v>1079</v>
      </c>
      <c r="J207" s="171">
        <v>0.6</v>
      </c>
      <c r="K207" s="72"/>
      <c r="L207" s="72"/>
      <c r="M207" s="72" t="s">
        <v>1080</v>
      </c>
      <c r="N207" s="72" t="s">
        <v>1081</v>
      </c>
      <c r="O207" s="72">
        <v>0.21099999999999999</v>
      </c>
      <c r="P207" s="72"/>
      <c r="Q207" s="72"/>
      <c r="R207" s="72"/>
      <c r="S207" s="72"/>
      <c r="T207" s="72"/>
      <c r="U207" s="171"/>
      <c r="V207" s="72"/>
      <c r="W207" s="72"/>
    </row>
    <row r="208" spans="1:23" ht="36.75" customHeight="1" x14ac:dyDescent="0.25">
      <c r="A208" s="1540"/>
      <c r="B208" s="1501"/>
      <c r="C208" s="1553"/>
      <c r="D208" s="1553"/>
      <c r="E208" s="403"/>
      <c r="F208" s="404"/>
      <c r="G208" s="265" t="s">
        <v>1082</v>
      </c>
      <c r="H208" s="142" t="s">
        <v>1083</v>
      </c>
      <c r="I208" s="142" t="s">
        <v>1084</v>
      </c>
      <c r="J208" s="50">
        <v>2</v>
      </c>
      <c r="K208" s="142"/>
      <c r="L208" s="142"/>
      <c r="P208" s="142"/>
      <c r="Q208" s="142"/>
      <c r="R208" s="142"/>
      <c r="S208" s="142"/>
      <c r="T208" s="142"/>
      <c r="U208" s="50"/>
      <c r="V208" s="142"/>
      <c r="W208" s="142"/>
    </row>
    <row r="209" spans="1:23" ht="20.100000000000001" customHeight="1" x14ac:dyDescent="0.25">
      <c r="A209" s="1540"/>
      <c r="B209" s="1501"/>
      <c r="C209" s="1553"/>
      <c r="D209" s="1553"/>
      <c r="E209" s="403"/>
      <c r="F209" s="404"/>
      <c r="G209" s="265" t="s">
        <v>1087</v>
      </c>
      <c r="H209" s="142" t="s">
        <v>1088</v>
      </c>
      <c r="I209" s="142" t="s">
        <v>1089</v>
      </c>
      <c r="J209" s="49">
        <v>0.4</v>
      </c>
      <c r="K209" s="142"/>
      <c r="L209" s="142"/>
      <c r="M209" s="142" t="s">
        <v>1090</v>
      </c>
      <c r="N209" s="142"/>
      <c r="O209" s="142">
        <v>1</v>
      </c>
      <c r="P209" s="142"/>
      <c r="Q209" s="142"/>
      <c r="R209" s="142"/>
      <c r="S209" s="142"/>
      <c r="T209" s="142"/>
      <c r="U209" s="49"/>
      <c r="V209" s="142"/>
      <c r="W209" s="142"/>
    </row>
    <row r="210" spans="1:23" ht="20.100000000000001" customHeight="1" x14ac:dyDescent="0.25">
      <c r="A210" s="1540"/>
      <c r="B210" s="1501"/>
      <c r="C210" s="1553"/>
      <c r="D210" s="1553"/>
      <c r="E210" s="403"/>
      <c r="F210" s="404"/>
      <c r="G210" s="265" t="s">
        <v>1091</v>
      </c>
      <c r="H210" s="142" t="s">
        <v>1092</v>
      </c>
      <c r="I210" s="142" t="s">
        <v>1093</v>
      </c>
      <c r="J210" s="142">
        <v>5.5E-2</v>
      </c>
      <c r="K210" s="142"/>
      <c r="L210" s="142"/>
      <c r="M210" s="142" t="s">
        <v>1094</v>
      </c>
      <c r="N210" s="142" t="s">
        <v>1095</v>
      </c>
      <c r="O210" s="142">
        <v>7.4999999999999997E-2</v>
      </c>
      <c r="P210" s="142"/>
      <c r="Q210" s="142"/>
      <c r="R210" s="142"/>
      <c r="S210" s="142"/>
      <c r="T210" s="142"/>
      <c r="U210" s="142"/>
      <c r="V210" s="142"/>
      <c r="W210" s="142"/>
    </row>
    <row r="211" spans="1:23" ht="20.100000000000001" customHeight="1" x14ac:dyDescent="0.25">
      <c r="A211" s="1540"/>
      <c r="B211" s="1501"/>
      <c r="C211" s="1553"/>
      <c r="D211" s="1553"/>
      <c r="E211" s="403"/>
      <c r="F211" s="404"/>
      <c r="G211" s="1663" t="s">
        <v>1987</v>
      </c>
      <c r="H211" s="1663"/>
      <c r="I211" s="1663"/>
      <c r="J211" s="1663"/>
      <c r="K211" s="1663"/>
      <c r="L211" s="1664"/>
      <c r="M211" s="142"/>
      <c r="N211" s="142"/>
      <c r="O211" s="142"/>
      <c r="P211" s="142"/>
      <c r="Q211" s="142"/>
      <c r="R211" s="1680"/>
      <c r="S211" s="1681"/>
      <c r="T211" s="1681"/>
      <c r="U211" s="1681"/>
      <c r="V211" s="1681"/>
      <c r="W211" s="1408"/>
    </row>
    <row r="212" spans="1:23" ht="20.100000000000001" customHeight="1" x14ac:dyDescent="0.25">
      <c r="A212" s="1540"/>
      <c r="B212" s="1501"/>
      <c r="C212" s="1553"/>
      <c r="D212" s="1553"/>
      <c r="E212" s="403"/>
      <c r="F212" s="404"/>
      <c r="G212" s="184" t="s">
        <v>1098</v>
      </c>
      <c r="H212" s="143" t="s">
        <v>1099</v>
      </c>
      <c r="I212" s="142" t="s">
        <v>1100</v>
      </c>
      <c r="J212" s="2">
        <f>0.06-0.0045</f>
        <v>5.5500000000000001E-2</v>
      </c>
      <c r="K212" s="142"/>
      <c r="L212" s="142"/>
      <c r="M212" s="142" t="s">
        <v>1096</v>
      </c>
      <c r="N212" s="142" t="s">
        <v>1097</v>
      </c>
      <c r="O212" s="142">
        <v>0.19</v>
      </c>
      <c r="P212" s="142"/>
      <c r="Q212" s="142"/>
      <c r="R212" s="142"/>
      <c r="S212" s="142"/>
      <c r="T212" s="142"/>
      <c r="U212" s="142"/>
      <c r="V212" s="142"/>
      <c r="W212" s="142"/>
    </row>
    <row r="213" spans="1:23" s="116" customFormat="1" ht="20.100000000000001" customHeight="1" x14ac:dyDescent="0.25">
      <c r="A213" s="1540"/>
      <c r="B213" s="1501"/>
      <c r="C213" s="1553"/>
      <c r="D213" s="1553"/>
      <c r="E213" s="403"/>
      <c r="F213" s="404"/>
      <c r="G213" s="265" t="s">
        <v>1112</v>
      </c>
      <c r="H213" s="142" t="s">
        <v>1113</v>
      </c>
      <c r="I213" s="142" t="s">
        <v>1495</v>
      </c>
      <c r="J213" s="142">
        <v>0.17549999999999999</v>
      </c>
      <c r="K213" s="142"/>
      <c r="L213" s="142"/>
      <c r="M213" s="142" t="s">
        <v>1101</v>
      </c>
      <c r="N213" s="142" t="s">
        <v>1102</v>
      </c>
      <c r="O213" s="142">
        <v>0.33339999999999997</v>
      </c>
      <c r="P213" s="142"/>
      <c r="Q213" s="142"/>
      <c r="R213" s="142"/>
      <c r="S213" s="142"/>
      <c r="T213" s="142"/>
      <c r="U213" s="142"/>
      <c r="V213" s="142"/>
      <c r="W213" s="142"/>
    </row>
    <row r="214" spans="1:23" s="116" customFormat="1" ht="20.100000000000001" customHeight="1" x14ac:dyDescent="0.25">
      <c r="A214" s="1540"/>
      <c r="B214" s="1501"/>
      <c r="C214" s="1553"/>
      <c r="D214" s="1553"/>
      <c r="E214" s="403"/>
      <c r="F214" s="404"/>
      <c r="G214" s="184" t="s">
        <v>1105</v>
      </c>
      <c r="H214" s="143" t="s">
        <v>1106</v>
      </c>
      <c r="I214" s="142" t="s">
        <v>2004</v>
      </c>
      <c r="J214" s="143">
        <v>0.25</v>
      </c>
      <c r="K214" s="142"/>
      <c r="L214" s="142"/>
      <c r="M214" s="142" t="s">
        <v>1103</v>
      </c>
      <c r="N214" s="142" t="s">
        <v>1104</v>
      </c>
      <c r="O214" s="142">
        <v>0.19500000000000001</v>
      </c>
      <c r="P214" s="142"/>
      <c r="Q214" s="142"/>
      <c r="R214" s="142"/>
      <c r="S214" s="142"/>
      <c r="T214" s="142"/>
      <c r="U214" s="142"/>
      <c r="V214" s="142"/>
      <c r="W214" s="142"/>
    </row>
    <row r="215" spans="1:23" ht="20.100000000000001" customHeight="1" x14ac:dyDescent="0.25">
      <c r="A215" s="1540"/>
      <c r="B215" s="1501"/>
      <c r="C215" s="1553"/>
      <c r="D215" s="1553"/>
      <c r="E215" s="403"/>
      <c r="F215" s="404"/>
      <c r="G215" s="1663" t="s">
        <v>2061</v>
      </c>
      <c r="H215" s="1663"/>
      <c r="I215" s="1663"/>
      <c r="J215" s="1663"/>
      <c r="K215" s="1663"/>
      <c r="L215" s="1664"/>
      <c r="M215" s="143"/>
      <c r="N215" s="143"/>
      <c r="O215" s="143"/>
      <c r="P215" s="142"/>
      <c r="Q215" s="142"/>
      <c r="R215" s="1680"/>
      <c r="S215" s="1681"/>
      <c r="T215" s="1681"/>
      <c r="U215" s="1681"/>
      <c r="V215" s="1681"/>
      <c r="W215" s="1408"/>
    </row>
    <row r="216" spans="1:23" ht="40.5" customHeight="1" x14ac:dyDescent="0.25">
      <c r="A216" s="1540"/>
      <c r="B216" s="1501"/>
      <c r="C216" s="1553"/>
      <c r="D216" s="1553"/>
      <c r="E216" s="403"/>
      <c r="F216" s="404"/>
      <c r="G216" s="265" t="s">
        <v>1085</v>
      </c>
      <c r="H216" s="142" t="s">
        <v>1086</v>
      </c>
      <c r="I216" s="216" t="s">
        <v>2355</v>
      </c>
      <c r="J216" s="142">
        <v>0.17549999999999999</v>
      </c>
      <c r="K216" s="142"/>
      <c r="L216" s="142"/>
      <c r="M216" s="143" t="s">
        <v>1074</v>
      </c>
      <c r="N216" s="143" t="s">
        <v>1107</v>
      </c>
      <c r="O216" s="142">
        <v>0.09</v>
      </c>
      <c r="P216" s="142"/>
      <c r="Q216" s="142"/>
      <c r="R216" s="142"/>
      <c r="S216" s="142"/>
      <c r="T216" s="216"/>
      <c r="U216" s="142"/>
      <c r="V216" s="142"/>
      <c r="W216" s="142"/>
    </row>
    <row r="217" spans="1:23" ht="20.100000000000001" customHeight="1" x14ac:dyDescent="0.25">
      <c r="A217" s="1540"/>
      <c r="B217" s="1501"/>
      <c r="C217" s="1553"/>
      <c r="D217" s="1553"/>
      <c r="E217" s="403"/>
      <c r="F217" s="404"/>
      <c r="G217" s="8"/>
      <c r="H217" s="8"/>
      <c r="I217" s="8"/>
      <c r="J217" s="8"/>
      <c r="K217" s="142"/>
      <c r="L217" s="142"/>
      <c r="M217" s="143" t="s">
        <v>1108</v>
      </c>
      <c r="N217" s="143" t="s">
        <v>1109</v>
      </c>
      <c r="O217" s="142">
        <v>2.1000000000000001E-2</v>
      </c>
      <c r="P217" s="142"/>
      <c r="Q217" s="142"/>
      <c r="S217" s="67"/>
      <c r="T217" s="67"/>
      <c r="U217" s="67"/>
      <c r="V217" s="142"/>
      <c r="W217" s="142"/>
    </row>
    <row r="218" spans="1:23" ht="20.100000000000001" customHeight="1" x14ac:dyDescent="0.25">
      <c r="A218" s="1540"/>
      <c r="B218" s="1501"/>
      <c r="C218" s="1553"/>
      <c r="D218" s="1553"/>
      <c r="E218" s="403"/>
      <c r="F218" s="404"/>
      <c r="G218" s="265"/>
      <c r="H218" s="142"/>
      <c r="I218" s="142"/>
      <c r="J218" s="142"/>
      <c r="K218" s="142"/>
      <c r="L218" s="142"/>
      <c r="M218" s="143" t="s">
        <v>1110</v>
      </c>
      <c r="N218" s="143" t="s">
        <v>1111</v>
      </c>
      <c r="O218" s="142">
        <v>0.02</v>
      </c>
      <c r="P218" s="142"/>
      <c r="Q218" s="142"/>
      <c r="R218" s="142"/>
      <c r="S218" s="142"/>
      <c r="T218" s="142"/>
      <c r="U218" s="142"/>
      <c r="V218" s="142"/>
      <c r="W218" s="142"/>
    </row>
    <row r="219" spans="1:23" ht="20.100000000000001" customHeight="1" x14ac:dyDescent="0.25">
      <c r="A219" s="1540"/>
      <c r="B219" s="1501"/>
      <c r="C219" s="1553"/>
      <c r="D219" s="1553"/>
      <c r="E219" s="403"/>
      <c r="F219" s="404"/>
      <c r="G219" s="265"/>
      <c r="H219" s="142"/>
      <c r="I219" s="142"/>
      <c r="J219" s="142"/>
      <c r="K219" s="142"/>
      <c r="L219" s="142"/>
      <c r="M219" s="81" t="s">
        <v>1493</v>
      </c>
      <c r="N219" s="81" t="s">
        <v>1494</v>
      </c>
      <c r="O219" s="142">
        <v>1.6E-2</v>
      </c>
      <c r="P219" s="142"/>
      <c r="Q219" s="142"/>
      <c r="R219" s="142"/>
      <c r="S219" s="142"/>
      <c r="T219" s="142"/>
      <c r="U219" s="142"/>
      <c r="V219" s="142"/>
      <c r="W219" s="142"/>
    </row>
    <row r="220" spans="1:23" ht="20.100000000000001" customHeight="1" thickBot="1" x14ac:dyDescent="0.3">
      <c r="A220" s="405"/>
      <c r="B220" s="394"/>
      <c r="C220" s="395"/>
      <c r="D220" s="395"/>
      <c r="E220" s="395"/>
      <c r="F220" s="396"/>
      <c r="G220" s="1555" t="s">
        <v>1860</v>
      </c>
      <c r="H220" s="1555"/>
      <c r="I220" s="1556"/>
      <c r="J220" s="177">
        <f>SUM(J219)</f>
        <v>0</v>
      </c>
      <c r="K220" s="183">
        <v>0.8</v>
      </c>
      <c r="L220" s="136">
        <f>J220/K220</f>
        <v>0</v>
      </c>
      <c r="M220" s="1574" t="s">
        <v>1861</v>
      </c>
      <c r="N220" s="1556"/>
      <c r="O220" s="136">
        <f>SUM(O207:O219)</f>
        <v>2.1513999999999998</v>
      </c>
      <c r="P220" s="183">
        <v>0.8</v>
      </c>
      <c r="Q220" s="136">
        <f>O220/P220</f>
        <v>2.6892499999999995</v>
      </c>
      <c r="R220" s="1574" t="s">
        <v>1860</v>
      </c>
      <c r="S220" s="1555"/>
      <c r="T220" s="1556"/>
      <c r="U220" s="177">
        <f>SUM(U212:U219)</f>
        <v>0</v>
      </c>
      <c r="V220" s="183">
        <v>0.8</v>
      </c>
      <c r="W220" s="136">
        <f>U220/V220</f>
        <v>0</v>
      </c>
    </row>
    <row r="221" spans="1:23" ht="20.100000000000001" customHeight="1" x14ac:dyDescent="0.25">
      <c r="A221" s="1683" t="str">
        <f>'Расчет ЦП - общая форма'!C312</f>
        <v>ПС  110/10 кВ Мамулино</v>
      </c>
      <c r="B221" s="1551">
        <f>'Расчет ЦП - общая форма'!D312</f>
        <v>6.3</v>
      </c>
      <c r="C221" s="1552" t="str">
        <f>'Расчет ЦП - общая форма'!E312</f>
        <v>+</v>
      </c>
      <c r="D221" s="1552">
        <f>'Расчет ЦП - общая форма'!F312</f>
        <v>6.3</v>
      </c>
      <c r="E221" s="399"/>
      <c r="F221" s="400"/>
      <c r="G221" s="1720" t="s">
        <v>1991</v>
      </c>
      <c r="H221" s="1720"/>
      <c r="I221" s="1720"/>
      <c r="J221" s="1720"/>
      <c r="K221" s="1720"/>
      <c r="L221" s="1688"/>
      <c r="M221" s="42" t="s">
        <v>1117</v>
      </c>
      <c r="N221" s="42" t="s">
        <v>1118</v>
      </c>
      <c r="O221" s="42">
        <v>0.06</v>
      </c>
      <c r="P221" s="72"/>
      <c r="Q221" s="72"/>
      <c r="R221" s="1728"/>
      <c r="S221" s="1729"/>
      <c r="T221" s="1729"/>
      <c r="U221" s="1729"/>
      <c r="V221" s="1729"/>
      <c r="W221" s="1697"/>
    </row>
    <row r="222" spans="1:23" ht="20.100000000000001" customHeight="1" x14ac:dyDescent="0.25">
      <c r="A222" s="1540"/>
      <c r="B222" s="1501"/>
      <c r="C222" s="1553"/>
      <c r="D222" s="1553"/>
      <c r="E222" s="403"/>
      <c r="F222" s="404"/>
      <c r="G222" s="281" t="s">
        <v>1114</v>
      </c>
      <c r="H222" s="45" t="s">
        <v>1115</v>
      </c>
      <c r="I222" s="45" t="s">
        <v>1116</v>
      </c>
      <c r="J222" s="173">
        <v>0.8</v>
      </c>
      <c r="K222" s="42"/>
      <c r="L222" s="72"/>
      <c r="M222" s="143" t="s">
        <v>1122</v>
      </c>
      <c r="N222" s="143" t="s">
        <v>1123</v>
      </c>
      <c r="O222" s="143">
        <v>0.45</v>
      </c>
      <c r="P222" s="42"/>
      <c r="Q222" s="42"/>
      <c r="R222" s="72"/>
      <c r="S222" s="72"/>
      <c r="T222" s="72"/>
      <c r="U222" s="171"/>
      <c r="V222" s="72"/>
      <c r="W222" s="72"/>
    </row>
    <row r="223" spans="1:23" ht="20.100000000000001" customHeight="1" x14ac:dyDescent="0.25">
      <c r="A223" s="410"/>
      <c r="B223" s="569"/>
      <c r="C223" s="571"/>
      <c r="D223" s="571"/>
      <c r="E223" s="571"/>
      <c r="F223" s="572"/>
      <c r="G223" s="1663" t="s">
        <v>1989</v>
      </c>
      <c r="H223" s="1663"/>
      <c r="I223" s="1663"/>
      <c r="J223" s="1663"/>
      <c r="K223" s="1663"/>
      <c r="L223" s="1664"/>
      <c r="M223" s="142" t="s">
        <v>1127</v>
      </c>
      <c r="N223" s="142" t="s">
        <v>1128</v>
      </c>
      <c r="O223" s="143">
        <v>0.23</v>
      </c>
      <c r="P223" s="42"/>
      <c r="Q223" s="42"/>
      <c r="R223" s="1680"/>
      <c r="S223" s="1681"/>
      <c r="T223" s="1681"/>
      <c r="U223" s="1681"/>
      <c r="V223" s="1681"/>
      <c r="W223" s="1408"/>
    </row>
    <row r="224" spans="1:23" ht="20.100000000000001" customHeight="1" x14ac:dyDescent="0.25">
      <c r="A224" s="410"/>
      <c r="B224" s="569"/>
      <c r="C224" s="571"/>
      <c r="D224" s="571"/>
      <c r="E224" s="571"/>
      <c r="F224" s="572"/>
      <c r="G224" s="66" t="s">
        <v>1119</v>
      </c>
      <c r="H224" s="2" t="s">
        <v>1120</v>
      </c>
      <c r="I224" s="2" t="s">
        <v>1121</v>
      </c>
      <c r="J224" s="47">
        <v>0.2</v>
      </c>
      <c r="K224" s="143"/>
      <c r="L224" s="142"/>
      <c r="M224" s="143" t="s">
        <v>1132</v>
      </c>
      <c r="N224" s="143" t="s">
        <v>1133</v>
      </c>
      <c r="O224" s="143">
        <v>9.0289999999999999</v>
      </c>
      <c r="P224" s="143"/>
      <c r="Q224" s="143"/>
      <c r="R224" s="142"/>
      <c r="S224" s="142"/>
      <c r="T224" s="142"/>
      <c r="U224" s="367"/>
      <c r="V224" s="142"/>
      <c r="W224" s="142"/>
    </row>
    <row r="225" spans="1:23" ht="20.100000000000001" customHeight="1" x14ac:dyDescent="0.25">
      <c r="A225" s="410"/>
      <c r="B225" s="569"/>
      <c r="C225" s="571"/>
      <c r="D225" s="571"/>
      <c r="E225" s="571"/>
      <c r="F225" s="572"/>
      <c r="G225" s="184" t="s">
        <v>1129</v>
      </c>
      <c r="H225" s="143" t="s">
        <v>1148</v>
      </c>
      <c r="I225" s="143" t="s">
        <v>1131</v>
      </c>
      <c r="J225" s="143">
        <v>2.5</v>
      </c>
      <c r="K225" s="143"/>
      <c r="L225" s="142"/>
      <c r="M225" s="143" t="s">
        <v>1134</v>
      </c>
      <c r="N225" s="143" t="s">
        <v>1135</v>
      </c>
      <c r="O225" s="143">
        <v>0.13</v>
      </c>
      <c r="P225" s="143"/>
      <c r="Q225" s="143"/>
      <c r="R225" s="142"/>
      <c r="S225" s="142"/>
      <c r="T225" s="142"/>
      <c r="U225" s="142"/>
      <c r="V225" s="142"/>
      <c r="W225" s="142"/>
    </row>
    <row r="226" spans="1:23" ht="35.25" customHeight="1" x14ac:dyDescent="0.25">
      <c r="A226" s="410"/>
      <c r="B226" s="569"/>
      <c r="C226" s="571"/>
      <c r="D226" s="571"/>
      <c r="E226" s="571"/>
      <c r="F226" s="572"/>
      <c r="G226" s="184" t="s">
        <v>1124</v>
      </c>
      <c r="H226" s="143" t="s">
        <v>1125</v>
      </c>
      <c r="I226" s="2" t="s">
        <v>1126</v>
      </c>
      <c r="J226" s="143">
        <v>0.2</v>
      </c>
      <c r="K226" s="143"/>
      <c r="L226" s="142"/>
      <c r="M226" s="143" t="s">
        <v>1139</v>
      </c>
      <c r="N226" s="143" t="s">
        <v>1140</v>
      </c>
      <c r="O226" s="143">
        <v>0.1</v>
      </c>
      <c r="P226" s="143"/>
      <c r="Q226" s="143"/>
      <c r="R226" s="142"/>
      <c r="S226" s="142"/>
      <c r="T226" s="142"/>
      <c r="U226" s="142"/>
      <c r="V226" s="142"/>
      <c r="W226" s="142"/>
    </row>
    <row r="227" spans="1:23" ht="20.100000000000001" customHeight="1" x14ac:dyDescent="0.25">
      <c r="A227" s="410"/>
      <c r="B227" s="569"/>
      <c r="C227" s="571"/>
      <c r="D227" s="571"/>
      <c r="E227" s="571"/>
      <c r="F227" s="572"/>
      <c r="G227" s="184" t="s">
        <v>1129</v>
      </c>
      <c r="H227" s="143" t="s">
        <v>1130</v>
      </c>
      <c r="I227" s="2" t="s">
        <v>1131</v>
      </c>
      <c r="J227" s="143">
        <v>2.5</v>
      </c>
      <c r="K227" s="143"/>
      <c r="L227" s="142"/>
      <c r="M227" s="143" t="s">
        <v>1668</v>
      </c>
      <c r="N227" s="143" t="s">
        <v>1142</v>
      </c>
      <c r="O227" s="143">
        <v>5.5</v>
      </c>
      <c r="P227" s="143"/>
      <c r="Q227" s="143"/>
      <c r="R227" s="142"/>
      <c r="S227" s="142"/>
      <c r="T227" s="142"/>
      <c r="U227" s="142"/>
      <c r="V227" s="142"/>
      <c r="W227" s="142"/>
    </row>
    <row r="228" spans="1:23" ht="34.5" customHeight="1" x14ac:dyDescent="0.25">
      <c r="A228" s="410"/>
      <c r="B228" s="569"/>
      <c r="C228" s="571"/>
      <c r="D228" s="571"/>
      <c r="E228" s="571"/>
      <c r="F228" s="572"/>
      <c r="G228" s="1663" t="s">
        <v>1988</v>
      </c>
      <c r="H228" s="1663"/>
      <c r="I228" s="1663"/>
      <c r="J228" s="1663"/>
      <c r="K228" s="1663"/>
      <c r="L228" s="1664"/>
      <c r="M228" s="143" t="s">
        <v>1146</v>
      </c>
      <c r="N228" s="143" t="s">
        <v>1147</v>
      </c>
      <c r="O228" s="143">
        <v>1.1184000000000001</v>
      </c>
      <c r="P228" s="153"/>
      <c r="Q228" s="143"/>
      <c r="R228" s="1680"/>
      <c r="S228" s="1681"/>
      <c r="T228" s="1681"/>
      <c r="U228" s="1681"/>
      <c r="V228" s="1681"/>
      <c r="W228" s="1408"/>
    </row>
    <row r="229" spans="1:23" ht="20.100000000000001" customHeight="1" x14ac:dyDescent="0.25">
      <c r="A229" s="410"/>
      <c r="B229" s="569"/>
      <c r="C229" s="571"/>
      <c r="D229" s="571"/>
      <c r="E229" s="571"/>
      <c r="F229" s="572"/>
      <c r="G229" s="184" t="s">
        <v>1136</v>
      </c>
      <c r="H229" s="143" t="s">
        <v>1137</v>
      </c>
      <c r="I229" s="2" t="s">
        <v>1138</v>
      </c>
      <c r="J229" s="143">
        <v>0.5</v>
      </c>
      <c r="K229" s="143"/>
      <c r="L229" s="142"/>
      <c r="M229" s="143" t="s">
        <v>1149</v>
      </c>
      <c r="N229" s="143" t="s">
        <v>1150</v>
      </c>
      <c r="O229" s="143">
        <v>2.97</v>
      </c>
      <c r="P229" s="143"/>
      <c r="Q229" s="143"/>
      <c r="R229" s="142"/>
      <c r="S229" s="142"/>
      <c r="T229" s="142"/>
      <c r="U229" s="142"/>
      <c r="V229" s="142"/>
      <c r="W229" s="142"/>
    </row>
    <row r="230" spans="1:23" ht="20.100000000000001" customHeight="1" x14ac:dyDescent="0.25">
      <c r="A230" s="410"/>
      <c r="B230" s="569"/>
      <c r="C230" s="571"/>
      <c r="D230" s="571"/>
      <c r="E230" s="571"/>
      <c r="F230" s="572"/>
      <c r="G230" s="184" t="s">
        <v>1129</v>
      </c>
      <c r="H230" s="143" t="s">
        <v>1137</v>
      </c>
      <c r="I230" s="143" t="s">
        <v>1141</v>
      </c>
      <c r="J230" s="143">
        <v>0.5</v>
      </c>
      <c r="K230" s="143"/>
      <c r="L230" s="142"/>
      <c r="M230" s="143" t="s">
        <v>1155</v>
      </c>
      <c r="N230" s="143" t="s">
        <v>1156</v>
      </c>
      <c r="O230" s="143">
        <v>7</v>
      </c>
      <c r="P230" s="143"/>
      <c r="Q230" s="143"/>
      <c r="R230" s="142"/>
      <c r="S230" s="142"/>
      <c r="T230" s="142"/>
      <c r="U230" s="142"/>
      <c r="V230" s="142"/>
      <c r="W230" s="142"/>
    </row>
    <row r="231" spans="1:23" ht="20.100000000000001" customHeight="1" x14ac:dyDescent="0.25">
      <c r="A231" s="410"/>
      <c r="B231" s="569"/>
      <c r="C231" s="571"/>
      <c r="D231" s="571"/>
      <c r="E231" s="571"/>
      <c r="F231" s="572"/>
      <c r="G231" s="184" t="s">
        <v>1143</v>
      </c>
      <c r="H231" s="143" t="s">
        <v>1144</v>
      </c>
      <c r="I231" s="143" t="s">
        <v>1145</v>
      </c>
      <c r="J231" s="143">
        <v>3.5000000000000003E-2</v>
      </c>
      <c r="K231" s="143"/>
      <c r="L231" s="142"/>
      <c r="M231" s="143" t="s">
        <v>1157</v>
      </c>
      <c r="N231" s="143" t="s">
        <v>1158</v>
      </c>
      <c r="O231" s="143">
        <v>1.7999999999999999E-2</v>
      </c>
      <c r="P231" s="143"/>
      <c r="Q231" s="143"/>
      <c r="R231" s="142"/>
      <c r="S231" s="142"/>
      <c r="T231" s="142"/>
      <c r="U231" s="142"/>
      <c r="V231" s="142"/>
      <c r="W231" s="142"/>
    </row>
    <row r="232" spans="1:23" ht="20.100000000000001" customHeight="1" x14ac:dyDescent="0.25">
      <c r="A232" s="410"/>
      <c r="B232" s="569"/>
      <c r="C232" s="571"/>
      <c r="D232" s="571"/>
      <c r="E232" s="571"/>
      <c r="F232" s="572"/>
      <c r="G232" s="1663" t="s">
        <v>1987</v>
      </c>
      <c r="H232" s="1663"/>
      <c r="I232" s="1663"/>
      <c r="J232" s="1663"/>
      <c r="K232" s="1663"/>
      <c r="L232" s="1664"/>
      <c r="M232" s="143" t="s">
        <v>1159</v>
      </c>
      <c r="N232" s="143" t="s">
        <v>1160</v>
      </c>
      <c r="O232" s="143">
        <v>0.55920000000000003</v>
      </c>
      <c r="P232" s="143"/>
      <c r="Q232" s="143"/>
      <c r="R232" s="1680"/>
      <c r="S232" s="1681"/>
      <c r="T232" s="1681"/>
      <c r="U232" s="1681"/>
      <c r="V232" s="1681"/>
      <c r="W232" s="1408"/>
    </row>
    <row r="233" spans="1:23" ht="20.100000000000001" customHeight="1" x14ac:dyDescent="0.25">
      <c r="A233" s="410"/>
      <c r="B233" s="569"/>
      <c r="C233" s="571"/>
      <c r="D233" s="571"/>
      <c r="E233" s="571"/>
      <c r="F233" s="572"/>
      <c r="G233" s="184" t="s">
        <v>1151</v>
      </c>
      <c r="H233" s="143" t="s">
        <v>1152</v>
      </c>
      <c r="I233" s="143" t="s">
        <v>2327</v>
      </c>
      <c r="J233" s="143">
        <v>0.09</v>
      </c>
      <c r="K233" s="143"/>
      <c r="L233" s="142"/>
      <c r="M233" s="143" t="s">
        <v>1161</v>
      </c>
      <c r="N233" s="143" t="s">
        <v>1162</v>
      </c>
      <c r="O233" s="143">
        <v>0.45</v>
      </c>
      <c r="P233" s="143"/>
      <c r="Q233" s="143"/>
      <c r="R233" s="142"/>
      <c r="S233" s="142"/>
      <c r="T233" s="142"/>
      <c r="U233" s="142"/>
      <c r="V233" s="142"/>
      <c r="W233" s="142"/>
    </row>
    <row r="234" spans="1:23" ht="57.75" customHeight="1" x14ac:dyDescent="0.25">
      <c r="A234" s="410"/>
      <c r="B234" s="569"/>
      <c r="C234" s="571"/>
      <c r="D234" s="571"/>
      <c r="E234" s="571"/>
      <c r="F234" s="572"/>
      <c r="G234" s="184" t="s">
        <v>1169</v>
      </c>
      <c r="H234" s="143" t="s">
        <v>1170</v>
      </c>
      <c r="I234" s="207" t="s">
        <v>2326</v>
      </c>
      <c r="J234" s="143">
        <v>0.02</v>
      </c>
      <c r="K234" s="143"/>
      <c r="L234" s="142"/>
      <c r="M234" s="143" t="s">
        <v>2395</v>
      </c>
      <c r="N234" s="143" t="s">
        <v>2396</v>
      </c>
      <c r="O234" s="143">
        <v>0.5</v>
      </c>
      <c r="P234" s="143"/>
      <c r="Q234" s="143"/>
      <c r="R234" s="142"/>
      <c r="S234" s="142"/>
      <c r="T234" s="368"/>
      <c r="U234" s="142"/>
      <c r="V234" s="142"/>
      <c r="W234" s="142"/>
    </row>
    <row r="235" spans="1:23" ht="24" customHeight="1" x14ac:dyDescent="0.25">
      <c r="A235" s="410"/>
      <c r="B235" s="569"/>
      <c r="C235" s="571"/>
      <c r="D235" s="571"/>
      <c r="E235" s="571"/>
      <c r="F235" s="572"/>
      <c r="G235" s="1663" t="s">
        <v>2061</v>
      </c>
      <c r="H235" s="1663"/>
      <c r="I235" s="1663"/>
      <c r="J235" s="1663"/>
      <c r="K235" s="1663"/>
      <c r="L235" s="1664"/>
      <c r="M235" s="143" t="s">
        <v>1165</v>
      </c>
      <c r="N235" s="143" t="s">
        <v>1166</v>
      </c>
      <c r="O235" s="143">
        <v>0.45</v>
      </c>
      <c r="P235" s="143"/>
      <c r="Q235" s="143"/>
      <c r="R235" s="1680"/>
      <c r="S235" s="1681"/>
      <c r="T235" s="1681"/>
      <c r="U235" s="1681"/>
      <c r="V235" s="1681"/>
      <c r="W235" s="1408"/>
    </row>
    <row r="236" spans="1:23" ht="55.5" customHeight="1" x14ac:dyDescent="0.25">
      <c r="A236" s="410"/>
      <c r="B236" s="569"/>
      <c r="C236" s="571"/>
      <c r="D236" s="571"/>
      <c r="E236" s="571"/>
      <c r="F236" s="572"/>
      <c r="G236" s="184" t="s">
        <v>2239</v>
      </c>
      <c r="H236" s="143" t="s">
        <v>1173</v>
      </c>
      <c r="I236" s="143" t="s">
        <v>2260</v>
      </c>
      <c r="J236" s="143">
        <v>0.1</v>
      </c>
      <c r="K236" s="143"/>
      <c r="L236" s="142"/>
      <c r="M236" s="143" t="s">
        <v>1167</v>
      </c>
      <c r="N236" s="143" t="s">
        <v>1168</v>
      </c>
      <c r="O236" s="143">
        <v>0.1</v>
      </c>
      <c r="P236" s="143"/>
      <c r="Q236" s="143"/>
      <c r="R236" s="142"/>
      <c r="S236" s="142"/>
      <c r="T236" s="142"/>
      <c r="U236" s="142"/>
      <c r="V236" s="142"/>
      <c r="W236" s="142"/>
    </row>
    <row r="237" spans="1:23" ht="84" customHeight="1" x14ac:dyDescent="0.25">
      <c r="A237" s="410"/>
      <c r="B237" s="569"/>
      <c r="C237" s="571"/>
      <c r="D237" s="571"/>
      <c r="E237" s="571"/>
      <c r="F237" s="572"/>
      <c r="G237" s="184" t="s">
        <v>1153</v>
      </c>
      <c r="H237" s="143" t="s">
        <v>1154</v>
      </c>
      <c r="I237" s="143" t="s">
        <v>2259</v>
      </c>
      <c r="J237" s="143">
        <v>0.1</v>
      </c>
      <c r="K237" s="143"/>
      <c r="L237" s="142"/>
      <c r="M237" s="143" t="s">
        <v>1171</v>
      </c>
      <c r="N237" s="143" t="s">
        <v>1172</v>
      </c>
      <c r="O237" s="143">
        <v>0.95</v>
      </c>
      <c r="P237" s="143"/>
      <c r="Q237" s="143"/>
      <c r="R237" s="142"/>
      <c r="S237" s="142"/>
      <c r="T237" s="142"/>
      <c r="U237" s="142"/>
      <c r="V237" s="142"/>
      <c r="W237" s="142"/>
    </row>
    <row r="238" spans="1:23" ht="74.25" customHeight="1" x14ac:dyDescent="0.25">
      <c r="A238" s="410"/>
      <c r="B238" s="569"/>
      <c r="C238" s="571"/>
      <c r="D238" s="571"/>
      <c r="E238" s="571"/>
      <c r="F238" s="572"/>
      <c r="G238" s="184" t="s">
        <v>2172</v>
      </c>
      <c r="H238" s="143" t="s">
        <v>2173</v>
      </c>
      <c r="I238" s="143" t="s">
        <v>2314</v>
      </c>
      <c r="J238" s="143">
        <v>9.8000000000000004E-2</v>
      </c>
      <c r="K238" s="143"/>
      <c r="L238" s="142"/>
      <c r="M238" s="143" t="s">
        <v>492</v>
      </c>
      <c r="N238" s="143" t="s">
        <v>1499</v>
      </c>
      <c r="O238" s="143">
        <v>20</v>
      </c>
      <c r="P238" s="143"/>
      <c r="Q238" s="143"/>
      <c r="R238" s="142"/>
      <c r="S238" s="142"/>
      <c r="T238" s="142"/>
      <c r="U238" s="142"/>
      <c r="V238" s="142"/>
      <c r="W238" s="142"/>
    </row>
    <row r="239" spans="1:23" ht="37.5" customHeight="1" x14ac:dyDescent="0.25">
      <c r="A239" s="410"/>
      <c r="B239" s="569"/>
      <c r="C239" s="571"/>
      <c r="D239" s="571"/>
      <c r="E239" s="571"/>
      <c r="F239" s="572"/>
      <c r="G239" s="184" t="s">
        <v>1163</v>
      </c>
      <c r="H239" s="143" t="s">
        <v>1164</v>
      </c>
      <c r="I239" s="143" t="s">
        <v>2281</v>
      </c>
      <c r="J239" s="143">
        <v>0.03</v>
      </c>
      <c r="K239" s="143"/>
      <c r="L239" s="142"/>
      <c r="M239" s="143" t="s">
        <v>1329</v>
      </c>
      <c r="N239" s="143" t="s">
        <v>1330</v>
      </c>
      <c r="O239" s="143">
        <v>0.1</v>
      </c>
      <c r="P239" s="143"/>
      <c r="Q239" s="143"/>
      <c r="R239" s="1663" t="s">
        <v>3069</v>
      </c>
      <c r="S239" s="1663"/>
      <c r="T239" s="1663"/>
      <c r="U239" s="1663"/>
      <c r="V239" s="1663"/>
      <c r="W239" s="1664"/>
    </row>
    <row r="240" spans="1:23" ht="44.25" customHeight="1" x14ac:dyDescent="0.25">
      <c r="A240" s="410"/>
      <c r="B240" s="569"/>
      <c r="C240" s="571"/>
      <c r="D240" s="571"/>
      <c r="E240" s="571"/>
      <c r="F240" s="572"/>
      <c r="G240" s="184"/>
      <c r="H240" s="143"/>
      <c r="I240" s="143"/>
      <c r="J240" s="143"/>
      <c r="K240" s="143"/>
      <c r="L240" s="142"/>
      <c r="M240" s="143" t="s">
        <v>1136</v>
      </c>
      <c r="N240" s="143" t="s">
        <v>2031</v>
      </c>
      <c r="O240" s="143">
        <v>1.0960000000000001</v>
      </c>
      <c r="P240" s="143"/>
      <c r="Q240" s="143"/>
      <c r="R240" s="184" t="s">
        <v>791</v>
      </c>
      <c r="S240" s="143" t="s">
        <v>792</v>
      </c>
      <c r="T240" s="143" t="s">
        <v>2283</v>
      </c>
      <c r="U240" s="143">
        <v>0.28999999999999998</v>
      </c>
      <c r="V240" s="142"/>
      <c r="W240" s="142"/>
    </row>
    <row r="241" spans="1:23" ht="64.5" customHeight="1" x14ac:dyDescent="0.25">
      <c r="A241" s="410"/>
      <c r="B241" s="569"/>
      <c r="C241" s="571"/>
      <c r="D241" s="571"/>
      <c r="E241" s="571"/>
      <c r="F241" s="572"/>
      <c r="G241" s="184" t="s">
        <v>2204</v>
      </c>
      <c r="H241" s="143" t="s">
        <v>2205</v>
      </c>
      <c r="I241" s="143" t="s">
        <v>2312</v>
      </c>
      <c r="J241" s="143">
        <v>0.1</v>
      </c>
      <c r="K241" s="143"/>
      <c r="L241" s="142"/>
      <c r="M241" s="143" t="s">
        <v>791</v>
      </c>
      <c r="N241" s="143" t="s">
        <v>28</v>
      </c>
      <c r="O241" s="143">
        <v>0.1</v>
      </c>
      <c r="P241" s="143"/>
      <c r="Q241" s="143"/>
      <c r="R241" s="142"/>
      <c r="S241" s="142"/>
      <c r="T241" s="142"/>
      <c r="U241" s="142"/>
      <c r="V241" s="142"/>
      <c r="W241" s="142"/>
    </row>
    <row r="242" spans="1:23" ht="118.5" customHeight="1" x14ac:dyDescent="0.25">
      <c r="A242" s="410"/>
      <c r="B242" s="569"/>
      <c r="C242" s="571"/>
      <c r="D242" s="571"/>
      <c r="E242" s="571"/>
      <c r="F242" s="572"/>
      <c r="G242" s="184" t="s">
        <v>2389</v>
      </c>
      <c r="H242" s="143" t="s">
        <v>2390</v>
      </c>
      <c r="I242" s="143" t="s">
        <v>2414</v>
      </c>
      <c r="J242" s="143">
        <v>7.4999999999999997E-2</v>
      </c>
      <c r="K242" s="143"/>
      <c r="L242" s="142"/>
      <c r="M242" s="143" t="s">
        <v>2441</v>
      </c>
      <c r="N242" s="143" t="s">
        <v>2442</v>
      </c>
      <c r="O242" s="143">
        <v>0.65</v>
      </c>
      <c r="P242" s="143"/>
      <c r="Q242" s="143"/>
      <c r="R242" s="142"/>
      <c r="S242" s="142"/>
      <c r="T242" s="142"/>
      <c r="U242" s="142"/>
      <c r="V242" s="142"/>
      <c r="W242" s="142"/>
    </row>
    <row r="243" spans="1:23" ht="90.75" customHeight="1" x14ac:dyDescent="0.25">
      <c r="A243" s="410"/>
      <c r="B243" s="569"/>
      <c r="C243" s="571"/>
      <c r="D243" s="571"/>
      <c r="E243" s="571"/>
      <c r="F243" s="572"/>
      <c r="G243" s="184" t="s">
        <v>2373</v>
      </c>
      <c r="H243" s="143" t="s">
        <v>2388</v>
      </c>
      <c r="I243" s="143" t="s">
        <v>2415</v>
      </c>
      <c r="J243" s="151">
        <v>0.15</v>
      </c>
      <c r="K243" s="151"/>
      <c r="L243" s="149"/>
      <c r="M243" s="143" t="s">
        <v>2453</v>
      </c>
      <c r="N243" s="143" t="s">
        <v>2454</v>
      </c>
      <c r="O243" s="143">
        <v>6.3E-2</v>
      </c>
      <c r="P243" s="143"/>
      <c r="Q243" s="151"/>
      <c r="R243" s="142"/>
      <c r="S243" s="142"/>
      <c r="T243" s="142"/>
      <c r="U243" s="149"/>
      <c r="V243" s="149"/>
      <c r="W243" s="149"/>
    </row>
    <row r="244" spans="1:23" ht="87.75" customHeight="1" x14ac:dyDescent="0.25">
      <c r="A244" s="410"/>
      <c r="B244" s="569"/>
      <c r="C244" s="571"/>
      <c r="D244" s="571"/>
      <c r="E244" s="571"/>
      <c r="F244" s="572"/>
      <c r="G244" s="184" t="s">
        <v>2373</v>
      </c>
      <c r="H244" s="143" t="s">
        <v>2374</v>
      </c>
      <c r="I244" s="143" t="s">
        <v>2713</v>
      </c>
      <c r="J244" s="143">
        <v>0.15</v>
      </c>
      <c r="K244" s="143"/>
      <c r="L244" s="142"/>
      <c r="M244" s="143" t="s">
        <v>2441</v>
      </c>
      <c r="N244" s="143" t="s">
        <v>2442</v>
      </c>
      <c r="O244" s="143">
        <f>1.15-0.65</f>
        <v>0.49999999999999989</v>
      </c>
      <c r="P244" s="143"/>
      <c r="Q244" s="151"/>
      <c r="R244" s="142"/>
      <c r="S244" s="142"/>
      <c r="T244" s="142"/>
      <c r="U244" s="142"/>
      <c r="V244" s="142"/>
      <c r="W244" s="142"/>
    </row>
    <row r="245" spans="1:23" ht="21.75" customHeight="1" x14ac:dyDescent="0.25">
      <c r="A245" s="410"/>
      <c r="B245" s="569"/>
      <c r="C245" s="571"/>
      <c r="D245" s="571"/>
      <c r="E245" s="571"/>
      <c r="F245" s="572"/>
      <c r="G245" s="1663" t="s">
        <v>2512</v>
      </c>
      <c r="H245" s="1663"/>
      <c r="I245" s="1663"/>
      <c r="J245" s="1663"/>
      <c r="K245" s="1663"/>
      <c r="L245" s="1664"/>
      <c r="M245" s="143" t="s">
        <v>2630</v>
      </c>
      <c r="N245" s="143" t="s">
        <v>2631</v>
      </c>
      <c r="O245" s="143">
        <v>0.15</v>
      </c>
      <c r="P245" s="143"/>
      <c r="Q245" s="151"/>
      <c r="R245" s="142"/>
      <c r="S245" s="142"/>
      <c r="T245" s="142"/>
      <c r="U245" s="142"/>
      <c r="V245" s="142"/>
      <c r="W245" s="142"/>
    </row>
    <row r="246" spans="1:23" ht="63" customHeight="1" x14ac:dyDescent="0.25">
      <c r="A246" s="410"/>
      <c r="B246" s="569"/>
      <c r="C246" s="571"/>
      <c r="D246" s="571"/>
      <c r="E246" s="571"/>
      <c r="F246" s="572"/>
      <c r="G246" s="143" t="s">
        <v>1707</v>
      </c>
      <c r="H246" s="143" t="s">
        <v>2712</v>
      </c>
      <c r="I246" s="143" t="s">
        <v>2714</v>
      </c>
      <c r="J246" s="143">
        <f>0.027-0.012</f>
        <v>1.4999999999999999E-2</v>
      </c>
      <c r="K246" s="143"/>
      <c r="L246" s="142"/>
      <c r="M246" s="143" t="s">
        <v>791</v>
      </c>
      <c r="N246" s="143" t="s">
        <v>2651</v>
      </c>
      <c r="O246" s="143">
        <f>0.209</f>
        <v>0.20899999999999999</v>
      </c>
      <c r="P246" s="143"/>
      <c r="Q246" s="151"/>
      <c r="R246" s="142"/>
      <c r="S246" s="142"/>
      <c r="T246" s="142"/>
      <c r="U246" s="142"/>
      <c r="V246" s="142"/>
      <c r="W246" s="142"/>
    </row>
    <row r="247" spans="1:23" ht="27" customHeight="1" x14ac:dyDescent="0.25">
      <c r="A247" s="410"/>
      <c r="B247" s="569"/>
      <c r="C247" s="571"/>
      <c r="D247" s="571"/>
      <c r="E247" s="571"/>
      <c r="F247" s="572"/>
      <c r="G247" s="1253"/>
      <c r="H247" s="1253"/>
      <c r="I247" s="1253"/>
      <c r="J247" s="1253"/>
      <c r="K247" s="1253"/>
      <c r="L247" s="1253"/>
      <c r="M247" s="143" t="s">
        <v>872</v>
      </c>
      <c r="N247" s="143" t="s">
        <v>2693</v>
      </c>
      <c r="O247" s="143">
        <v>0.08</v>
      </c>
      <c r="P247" s="143"/>
      <c r="Q247" s="143"/>
      <c r="R247" s="142"/>
      <c r="S247" s="142"/>
      <c r="T247" s="142"/>
      <c r="U247" s="142"/>
      <c r="V247" s="142"/>
      <c r="W247" s="142"/>
    </row>
    <row r="248" spans="1:23" ht="29.25" customHeight="1" x14ac:dyDescent="0.25">
      <c r="A248" s="410"/>
      <c r="B248" s="569"/>
      <c r="C248" s="571"/>
      <c r="D248" s="571"/>
      <c r="E248" s="571"/>
      <c r="F248" s="572"/>
      <c r="G248" s="1663" t="s">
        <v>3069</v>
      </c>
      <c r="H248" s="1663"/>
      <c r="I248" s="1663"/>
      <c r="J248" s="1663"/>
      <c r="K248" s="1663"/>
      <c r="L248" s="1664"/>
      <c r="M248" s="143" t="s">
        <v>3050</v>
      </c>
      <c r="N248" s="143" t="s">
        <v>3051</v>
      </c>
      <c r="O248" s="143">
        <v>9.9000000000000005E-2</v>
      </c>
      <c r="P248" s="143"/>
      <c r="Q248" s="143"/>
      <c r="R248" s="142"/>
      <c r="S248" s="142"/>
      <c r="T248" s="142"/>
      <c r="U248" s="142"/>
      <c r="V248" s="142"/>
      <c r="W248" s="142"/>
    </row>
    <row r="249" spans="1:23" ht="97.5" customHeight="1" x14ac:dyDescent="0.25">
      <c r="A249" s="410"/>
      <c r="B249" s="569"/>
      <c r="C249" s="571"/>
      <c r="D249" s="571"/>
      <c r="E249" s="571"/>
      <c r="F249" s="572"/>
      <c r="G249" s="143" t="s">
        <v>3036</v>
      </c>
      <c r="H249" s="143" t="s">
        <v>3037</v>
      </c>
      <c r="I249" s="180" t="s">
        <v>3070</v>
      </c>
      <c r="J249" s="151">
        <v>0.12</v>
      </c>
      <c r="K249" s="151"/>
      <c r="L249" s="149"/>
      <c r="M249" s="143" t="s">
        <v>3245</v>
      </c>
      <c r="N249" s="143" t="s">
        <v>3246</v>
      </c>
      <c r="O249" s="143">
        <v>0.06</v>
      </c>
      <c r="P249" s="143"/>
      <c r="Q249" s="143"/>
      <c r="R249" s="142"/>
      <c r="S249" s="142"/>
      <c r="T249" s="142"/>
      <c r="U249" s="142"/>
      <c r="V249" s="142"/>
      <c r="W249" s="142"/>
    </row>
    <row r="250" spans="1:23" ht="97.5" customHeight="1" x14ac:dyDescent="0.25">
      <c r="A250" s="410"/>
      <c r="B250" s="569"/>
      <c r="C250" s="571"/>
      <c r="D250" s="571"/>
      <c r="E250" s="571"/>
      <c r="F250" s="572"/>
      <c r="G250" s="143" t="s">
        <v>2959</v>
      </c>
      <c r="H250" s="143" t="s">
        <v>3207</v>
      </c>
      <c r="I250" s="143" t="s">
        <v>3228</v>
      </c>
      <c r="J250" s="143">
        <v>7.0000000000000007E-2</v>
      </c>
      <c r="K250" s="143"/>
      <c r="L250" s="142"/>
      <c r="M250" s="143" t="s">
        <v>3352</v>
      </c>
      <c r="N250" s="143" t="s">
        <v>3353</v>
      </c>
      <c r="O250" s="143">
        <f>0.35-0.15</f>
        <v>0.19999999999999998</v>
      </c>
      <c r="P250" s="143"/>
      <c r="Q250" s="143"/>
      <c r="R250" s="142"/>
      <c r="S250" s="142"/>
      <c r="T250" s="142"/>
      <c r="U250" s="142"/>
      <c r="V250" s="142"/>
      <c r="W250" s="149"/>
    </row>
    <row r="251" spans="1:23" ht="97.5" customHeight="1" x14ac:dyDescent="0.25">
      <c r="A251" s="410"/>
      <c r="B251" s="569"/>
      <c r="C251" s="571"/>
      <c r="D251" s="571"/>
      <c r="E251" s="571"/>
      <c r="F251" s="572"/>
      <c r="G251" s="143" t="s">
        <v>1707</v>
      </c>
      <c r="H251" s="143" t="s">
        <v>3254</v>
      </c>
      <c r="I251" s="143" t="s">
        <v>3296</v>
      </c>
      <c r="J251" s="143">
        <f>0.1-0.027</f>
        <v>7.3000000000000009E-2</v>
      </c>
      <c r="K251" s="143"/>
      <c r="L251" s="142"/>
      <c r="M251" s="143" t="s">
        <v>2932</v>
      </c>
      <c r="N251" s="143" t="s">
        <v>3404</v>
      </c>
      <c r="O251" s="143">
        <v>7.4999999999999997E-2</v>
      </c>
      <c r="P251" s="143"/>
      <c r="Q251" s="143"/>
      <c r="R251" s="142"/>
      <c r="S251" s="142"/>
      <c r="T251" s="142"/>
      <c r="U251" s="142"/>
      <c r="V251" s="142"/>
      <c r="W251" s="149"/>
    </row>
    <row r="252" spans="1:23" ht="97.5" customHeight="1" x14ac:dyDescent="0.25">
      <c r="A252" s="410"/>
      <c r="B252" s="569"/>
      <c r="C252" s="571"/>
      <c r="D252" s="571"/>
      <c r="E252" s="571"/>
      <c r="F252" s="572"/>
      <c r="G252" s="143" t="s">
        <v>2441</v>
      </c>
      <c r="H252" s="143" t="s">
        <v>3319</v>
      </c>
      <c r="I252" s="143" t="s">
        <v>3320</v>
      </c>
      <c r="J252" s="143">
        <v>4.5749999999999999E-2</v>
      </c>
      <c r="K252" s="143"/>
      <c r="L252" s="142"/>
      <c r="M252" s="143" t="s">
        <v>3245</v>
      </c>
      <c r="N252" s="143" t="s">
        <v>3462</v>
      </c>
      <c r="O252" s="143">
        <f>0.06-0.02</f>
        <v>3.9999999999999994E-2</v>
      </c>
      <c r="P252" s="143"/>
      <c r="Q252" s="143"/>
      <c r="R252" s="142"/>
      <c r="S252" s="142"/>
      <c r="T252" s="142"/>
      <c r="U252" s="142"/>
      <c r="V252" s="142"/>
      <c r="W252" s="142"/>
    </row>
    <row r="253" spans="1:23" ht="97.5" customHeight="1" x14ac:dyDescent="0.25">
      <c r="A253" s="410"/>
      <c r="B253" s="569"/>
      <c r="C253" s="571"/>
      <c r="D253" s="571"/>
      <c r="E253" s="571"/>
      <c r="F253" s="572"/>
      <c r="G253" s="143" t="s">
        <v>3245</v>
      </c>
      <c r="H253" s="143" t="s">
        <v>3301</v>
      </c>
      <c r="I253" s="180" t="s">
        <v>3332</v>
      </c>
      <c r="J253" s="143">
        <v>0.02</v>
      </c>
      <c r="K253" s="151"/>
      <c r="L253" s="149"/>
      <c r="M253" s="143" t="s">
        <v>3050</v>
      </c>
      <c r="N253" s="1265" t="s">
        <v>3491</v>
      </c>
      <c r="O253" s="143">
        <v>0.25</v>
      </c>
      <c r="P253" s="143"/>
      <c r="Q253" s="151"/>
      <c r="R253" s="147"/>
      <c r="S253" s="363"/>
      <c r="T253" s="176"/>
      <c r="U253" s="149"/>
      <c r="V253" s="149"/>
      <c r="W253" s="149"/>
    </row>
    <row r="254" spans="1:23" ht="97.5" customHeight="1" x14ac:dyDescent="0.25">
      <c r="A254" s="410"/>
      <c r="B254" s="569"/>
      <c r="C254" s="571"/>
      <c r="D254" s="571"/>
      <c r="E254" s="571"/>
      <c r="F254" s="572"/>
      <c r="G254" s="143" t="s">
        <v>3393</v>
      </c>
      <c r="H254" s="143" t="s">
        <v>3394</v>
      </c>
      <c r="I254" s="143" t="s">
        <v>3470</v>
      </c>
      <c r="J254" s="143">
        <v>0.05</v>
      </c>
      <c r="K254" s="143"/>
      <c r="L254" s="142"/>
      <c r="M254" s="1262" t="s">
        <v>3050</v>
      </c>
      <c r="N254" s="1265" t="s">
        <v>3509</v>
      </c>
      <c r="O254" s="1262">
        <v>0.25</v>
      </c>
      <c r="P254" s="143"/>
      <c r="Q254" s="143"/>
      <c r="R254" s="142"/>
      <c r="S254" s="142"/>
      <c r="T254" s="142"/>
      <c r="U254" s="142"/>
      <c r="V254" s="142"/>
      <c r="W254" s="142"/>
    </row>
    <row r="255" spans="1:23" ht="28.5" customHeight="1" x14ac:dyDescent="0.25">
      <c r="A255" s="410"/>
      <c r="B255" s="569"/>
      <c r="C255" s="571"/>
      <c r="D255" s="571"/>
      <c r="E255" s="571"/>
      <c r="F255" s="572"/>
      <c r="G255" s="1665" t="s">
        <v>3481</v>
      </c>
      <c r="H255" s="1666"/>
      <c r="I255" s="1667"/>
      <c r="J255" s="786">
        <v>0.3085</v>
      </c>
      <c r="K255" s="151"/>
      <c r="L255" s="149"/>
      <c r="M255" s="1265" t="s">
        <v>3512</v>
      </c>
      <c r="N255" s="1265" t="s">
        <v>3513</v>
      </c>
      <c r="O255" s="1265">
        <v>0.16500000000000001</v>
      </c>
      <c r="P255" s="151"/>
      <c r="Q255" s="151"/>
      <c r="R255" s="147"/>
      <c r="S255" s="363"/>
      <c r="T255" s="176"/>
      <c r="U255" s="149"/>
      <c r="V255" s="149"/>
      <c r="W255" s="149"/>
    </row>
    <row r="256" spans="1:23" ht="27" customHeight="1" thickBot="1" x14ac:dyDescent="0.3">
      <c r="A256" s="405"/>
      <c r="B256" s="394"/>
      <c r="C256" s="395"/>
      <c r="D256" s="395"/>
      <c r="E256" s="395"/>
      <c r="F256" s="396"/>
      <c r="G256" s="1555" t="s">
        <v>1860</v>
      </c>
      <c r="H256" s="1555"/>
      <c r="I256" s="1556"/>
      <c r="J256" s="177">
        <f>SUM(J246:J255)</f>
        <v>0.70225000000000004</v>
      </c>
      <c r="K256" s="183">
        <v>0.8</v>
      </c>
      <c r="L256" s="136">
        <f>J256/K256</f>
        <v>0.8778125</v>
      </c>
      <c r="M256" s="1574" t="s">
        <v>1861</v>
      </c>
      <c r="N256" s="1556"/>
      <c r="O256" s="136">
        <f>SUM(O221:O255)</f>
        <v>53.701599999999999</v>
      </c>
      <c r="P256" s="183">
        <v>0.8</v>
      </c>
      <c r="Q256" s="136">
        <f>O256/P256</f>
        <v>67.126999999999995</v>
      </c>
      <c r="R256" s="1574" t="s">
        <v>1860</v>
      </c>
      <c r="S256" s="1555"/>
      <c r="T256" s="1556"/>
      <c r="U256" s="177">
        <f>SUM(U229:U244)</f>
        <v>0.28999999999999998</v>
      </c>
      <c r="V256" s="183">
        <v>0.8</v>
      </c>
      <c r="W256" s="136">
        <f>U256/V256</f>
        <v>0.36249999999999993</v>
      </c>
    </row>
    <row r="257" spans="1:23" ht="38.25" customHeight="1" x14ac:dyDescent="0.25">
      <c r="A257" s="1683" t="str">
        <f>'Расчет ЦП - общая форма'!C313</f>
        <v xml:space="preserve">ПС 110/10 кВ Глазково </v>
      </c>
      <c r="B257" s="1551">
        <f>'Расчет ЦП - общая форма'!D313</f>
        <v>6.3</v>
      </c>
      <c r="C257" s="1552" t="str">
        <f>'Расчет ЦП - общая форма'!E313</f>
        <v>+</v>
      </c>
      <c r="D257" s="1552">
        <f>'Расчет ЦП - общая форма'!F313</f>
        <v>6.3</v>
      </c>
      <c r="E257" s="399"/>
      <c r="F257" s="400"/>
      <c r="G257" s="1712" t="s">
        <v>1987</v>
      </c>
      <c r="H257" s="1712"/>
      <c r="I257" s="1712"/>
      <c r="J257" s="1712"/>
      <c r="K257" s="1712"/>
      <c r="L257" s="1702"/>
      <c r="M257" s="133"/>
      <c r="N257" s="175"/>
      <c r="O257" s="1282"/>
      <c r="P257" s="77"/>
      <c r="Q257" s="77"/>
      <c r="R257" s="1713"/>
      <c r="S257" s="1691"/>
      <c r="T257" s="1691"/>
      <c r="U257" s="1691"/>
      <c r="V257" s="1691"/>
      <c r="W257" s="1692"/>
    </row>
    <row r="258" spans="1:23" ht="87.75" customHeight="1" x14ac:dyDescent="0.25">
      <c r="A258" s="1540"/>
      <c r="B258" s="1501"/>
      <c r="C258" s="1553"/>
      <c r="D258" s="1553"/>
      <c r="E258" s="403"/>
      <c r="F258" s="404"/>
      <c r="G258" s="184" t="s">
        <v>1174</v>
      </c>
      <c r="H258" s="143" t="s">
        <v>1175</v>
      </c>
      <c r="I258" s="143" t="s">
        <v>1176</v>
      </c>
      <c r="J258" s="143">
        <v>0.38</v>
      </c>
      <c r="K258" s="42"/>
      <c r="L258" s="72"/>
      <c r="M258" s="42"/>
      <c r="N258" s="42"/>
      <c r="O258" s="42"/>
      <c r="P258" s="42"/>
      <c r="Q258" s="42"/>
      <c r="R258" s="142"/>
      <c r="S258" s="142"/>
      <c r="T258" s="142"/>
      <c r="U258" s="142"/>
      <c r="V258" s="72"/>
      <c r="W258" s="72"/>
    </row>
    <row r="259" spans="1:23" ht="30" customHeight="1" thickBot="1" x14ac:dyDescent="0.3">
      <c r="A259" s="1540"/>
      <c r="B259" s="1501"/>
      <c r="C259" s="1553"/>
      <c r="D259" s="1553"/>
      <c r="E259" s="403"/>
      <c r="F259" s="404"/>
      <c r="G259" s="184" t="s">
        <v>1174</v>
      </c>
      <c r="H259" s="143" t="s">
        <v>1178</v>
      </c>
      <c r="I259" s="143" t="s">
        <v>1179</v>
      </c>
      <c r="J259" s="143">
        <v>0.1142</v>
      </c>
      <c r="K259" s="143"/>
      <c r="L259" s="142"/>
      <c r="M259" s="143" t="s">
        <v>630</v>
      </c>
      <c r="N259" s="143" t="s">
        <v>1177</v>
      </c>
      <c r="O259" s="143">
        <v>0.5</v>
      </c>
      <c r="P259" s="143"/>
      <c r="Q259" s="143"/>
      <c r="R259" s="142"/>
      <c r="S259" s="142"/>
      <c r="T259" s="142"/>
      <c r="U259" s="142"/>
      <c r="V259" s="142"/>
      <c r="W259" s="142"/>
    </row>
    <row r="260" spans="1:23" ht="28.5" customHeight="1" x14ac:dyDescent="0.25">
      <c r="A260" s="1540"/>
      <c r="B260" s="1501"/>
      <c r="C260" s="1553"/>
      <c r="D260" s="1553"/>
      <c r="E260" s="403"/>
      <c r="F260" s="404"/>
      <c r="G260" s="1712" t="s">
        <v>3069</v>
      </c>
      <c r="H260" s="1712"/>
      <c r="I260" s="1712"/>
      <c r="J260" s="1712"/>
      <c r="K260" s="1712"/>
      <c r="L260" s="1702"/>
      <c r="M260" s="143" t="s">
        <v>1180</v>
      </c>
      <c r="N260" s="143" t="s">
        <v>1181</v>
      </c>
      <c r="O260" s="143">
        <v>0.1</v>
      </c>
      <c r="P260" s="143"/>
      <c r="Q260" s="143"/>
      <c r="R260" s="145"/>
      <c r="S260" s="145"/>
      <c r="T260" s="145"/>
      <c r="U260" s="145"/>
      <c r="V260" s="142"/>
      <c r="W260" s="142"/>
    </row>
    <row r="261" spans="1:23" ht="72" customHeight="1" x14ac:dyDescent="0.25">
      <c r="A261" s="1540"/>
      <c r="B261" s="1501"/>
      <c r="C261" s="1553"/>
      <c r="D261" s="1553"/>
      <c r="E261" s="403"/>
      <c r="F261" s="404"/>
      <c r="G261" s="119" t="s">
        <v>3214</v>
      </c>
      <c r="H261" s="119" t="s">
        <v>3215</v>
      </c>
      <c r="I261" s="143" t="s">
        <v>3227</v>
      </c>
      <c r="J261" s="143">
        <v>0.1</v>
      </c>
      <c r="K261" s="143"/>
      <c r="L261" s="142"/>
      <c r="M261" s="151" t="s">
        <v>1182</v>
      </c>
      <c r="N261" s="151" t="s">
        <v>1183</v>
      </c>
      <c r="O261" s="153">
        <v>0.4</v>
      </c>
      <c r="P261" s="143"/>
      <c r="Q261" s="143"/>
      <c r="R261" s="142"/>
      <c r="S261" s="142"/>
      <c r="T261" s="142"/>
      <c r="U261" s="142"/>
      <c r="V261" s="142"/>
      <c r="W261" s="142"/>
    </row>
    <row r="262" spans="1:23" ht="20.100000000000001" customHeight="1" x14ac:dyDescent="0.25">
      <c r="A262" s="1540"/>
      <c r="B262" s="1501"/>
      <c r="C262" s="1553"/>
      <c r="D262" s="1553"/>
      <c r="E262" s="403"/>
      <c r="F262" s="404"/>
      <c r="G262" s="1665" t="s">
        <v>3481</v>
      </c>
      <c r="H262" s="1666"/>
      <c r="I262" s="1667"/>
      <c r="J262" s="785">
        <v>0.28399999999999997</v>
      </c>
      <c r="K262" s="785"/>
      <c r="L262" s="785"/>
      <c r="M262" s="143" t="s">
        <v>1184</v>
      </c>
      <c r="N262" s="143" t="s">
        <v>1185</v>
      </c>
      <c r="O262" s="143">
        <v>0.1</v>
      </c>
      <c r="P262" s="143"/>
      <c r="Q262" s="143"/>
      <c r="R262" s="142"/>
      <c r="S262" s="142"/>
      <c r="T262" s="142"/>
      <c r="U262" s="142"/>
      <c r="V262" s="142"/>
      <c r="W262" s="142"/>
    </row>
    <row r="263" spans="1:23" ht="20.100000000000001" customHeight="1" x14ac:dyDescent="0.25">
      <c r="A263" s="1540"/>
      <c r="B263" s="1501"/>
      <c r="C263" s="1553"/>
      <c r="D263" s="1553"/>
      <c r="E263" s="403"/>
      <c r="F263" s="404"/>
      <c r="G263" s="184"/>
      <c r="H263" s="143"/>
      <c r="I263" s="143"/>
      <c r="J263" s="143"/>
      <c r="K263" s="143"/>
      <c r="L263" s="142"/>
      <c r="M263" s="119" t="s">
        <v>1481</v>
      </c>
      <c r="N263" s="119" t="s">
        <v>1482</v>
      </c>
      <c r="O263" s="143">
        <v>0.04</v>
      </c>
      <c r="P263" s="143"/>
      <c r="Q263" s="143"/>
      <c r="R263" s="142"/>
      <c r="S263" s="142"/>
      <c r="T263" s="142"/>
      <c r="U263" s="142"/>
      <c r="V263" s="142"/>
      <c r="W263" s="142"/>
    </row>
    <row r="264" spans="1:23" ht="20.100000000000001" customHeight="1" x14ac:dyDescent="0.25">
      <c r="A264" s="401"/>
      <c r="B264" s="402"/>
      <c r="C264" s="403"/>
      <c r="D264" s="403"/>
      <c r="E264" s="403"/>
      <c r="F264" s="404"/>
      <c r="G264" s="143"/>
      <c r="H264" s="143"/>
      <c r="I264" s="143"/>
      <c r="J264" s="143"/>
      <c r="K264" s="143"/>
      <c r="L264" s="142"/>
      <c r="M264" s="119" t="s">
        <v>2216</v>
      </c>
      <c r="N264" s="119" t="s">
        <v>2217</v>
      </c>
      <c r="O264" s="143">
        <f>0.275-0.22</f>
        <v>5.5000000000000021E-2</v>
      </c>
      <c r="P264" s="151"/>
      <c r="Q264" s="151"/>
      <c r="R264" s="142"/>
      <c r="S264" s="142"/>
      <c r="T264" s="142"/>
      <c r="U264" s="142"/>
      <c r="V264" s="142"/>
      <c r="W264" s="142"/>
    </row>
    <row r="265" spans="1:23" ht="20.100000000000001" customHeight="1" x14ac:dyDescent="0.25">
      <c r="A265" s="805"/>
      <c r="B265" s="806"/>
      <c r="C265" s="808"/>
      <c r="D265" s="808"/>
      <c r="E265" s="808"/>
      <c r="F265" s="804"/>
      <c r="G265" s="143"/>
      <c r="H265" s="143"/>
      <c r="I265" s="143"/>
      <c r="J265" s="143"/>
      <c r="K265" s="143"/>
      <c r="L265" s="142"/>
      <c r="M265" s="119" t="s">
        <v>2930</v>
      </c>
      <c r="N265" s="119" t="s">
        <v>2931</v>
      </c>
      <c r="O265" s="143">
        <f>0.862-0.4942</f>
        <v>0.36780000000000002</v>
      </c>
      <c r="P265" s="151"/>
      <c r="Q265" s="151"/>
      <c r="R265" s="147"/>
      <c r="S265" s="363"/>
      <c r="T265" s="176"/>
      <c r="U265" s="149"/>
      <c r="V265" s="149"/>
      <c r="W265" s="149"/>
    </row>
    <row r="266" spans="1:23" ht="36" customHeight="1" x14ac:dyDescent="0.25">
      <c r="A266" s="1064"/>
      <c r="B266" s="1065"/>
      <c r="C266" s="1067"/>
      <c r="D266" s="1067"/>
      <c r="E266" s="1067"/>
      <c r="F266" s="1066"/>
      <c r="G266" s="143"/>
      <c r="H266" s="143"/>
      <c r="I266" s="143"/>
      <c r="J266" s="143"/>
      <c r="K266" s="143"/>
      <c r="L266" s="142"/>
      <c r="M266" s="119" t="s">
        <v>3208</v>
      </c>
      <c r="N266" s="119" t="s">
        <v>3281</v>
      </c>
      <c r="O266" s="143">
        <v>0.25</v>
      </c>
      <c r="P266" s="151"/>
      <c r="Q266" s="151"/>
      <c r="R266" s="147"/>
      <c r="S266" s="363"/>
      <c r="T266" s="176"/>
      <c r="U266" s="149"/>
      <c r="V266" s="149"/>
      <c r="W266" s="149"/>
    </row>
    <row r="267" spans="1:23" ht="36" customHeight="1" x14ac:dyDescent="0.25">
      <c r="A267" s="1116"/>
      <c r="B267" s="1114"/>
      <c r="C267" s="1117"/>
      <c r="D267" s="1117"/>
      <c r="E267" s="1117"/>
      <c r="F267" s="1115"/>
      <c r="G267" s="179"/>
      <c r="H267" s="179"/>
      <c r="I267" s="180"/>
      <c r="J267" s="151"/>
      <c r="K267" s="151"/>
      <c r="L267" s="149"/>
      <c r="M267" s="119" t="s">
        <v>2216</v>
      </c>
      <c r="N267" s="119" t="s">
        <v>3303</v>
      </c>
      <c r="O267" s="143">
        <v>2.9000000000000001E-2</v>
      </c>
      <c r="P267" s="151"/>
      <c r="Q267" s="151"/>
      <c r="R267" s="147"/>
      <c r="S267" s="363"/>
      <c r="T267" s="176"/>
      <c r="U267" s="149"/>
      <c r="V267" s="149"/>
      <c r="W267" s="149"/>
    </row>
    <row r="268" spans="1:23" ht="20.100000000000001" customHeight="1" thickBot="1" x14ac:dyDescent="0.3">
      <c r="A268" s="405"/>
      <c r="B268" s="394"/>
      <c r="C268" s="395"/>
      <c r="D268" s="395"/>
      <c r="E268" s="395"/>
      <c r="F268" s="396"/>
      <c r="G268" s="1555" t="s">
        <v>1860</v>
      </c>
      <c r="H268" s="1555"/>
      <c r="I268" s="1556"/>
      <c r="J268" s="136">
        <f>SUM(J261:J262)</f>
        <v>0.38400000000000001</v>
      </c>
      <c r="K268" s="183">
        <v>0.8</v>
      </c>
      <c r="L268" s="136">
        <f>J268/K268</f>
        <v>0.48</v>
      </c>
      <c r="M268" s="1574" t="s">
        <v>1861</v>
      </c>
      <c r="N268" s="1556"/>
      <c r="O268" s="136">
        <f>SUM(O259:O267)</f>
        <v>1.8418000000000001</v>
      </c>
      <c r="P268" s="183">
        <v>0.8</v>
      </c>
      <c r="Q268" s="136">
        <f>O268/P268</f>
        <v>2.3022499999999999</v>
      </c>
      <c r="R268" s="1574" t="s">
        <v>1860</v>
      </c>
      <c r="S268" s="1555"/>
      <c r="T268" s="1556"/>
      <c r="U268" s="136">
        <f>SUM(U258:U263)</f>
        <v>0</v>
      </c>
      <c r="V268" s="183">
        <v>0.8</v>
      </c>
      <c r="W268" s="136">
        <f>U268/V268</f>
        <v>0</v>
      </c>
    </row>
    <row r="269" spans="1:23" s="67" customFormat="1" ht="20.100000000000001" customHeight="1" x14ac:dyDescent="0.25">
      <c r="A269" s="406"/>
      <c r="B269" s="398"/>
      <c r="C269" s="399"/>
      <c r="D269" s="399"/>
      <c r="E269" s="399"/>
      <c r="F269" s="400"/>
      <c r="G269" s="1712" t="s">
        <v>1989</v>
      </c>
      <c r="H269" s="1712"/>
      <c r="I269" s="1712"/>
      <c r="J269" s="1712"/>
      <c r="K269" s="1712"/>
      <c r="L269" s="1702"/>
      <c r="M269" s="133"/>
      <c r="N269" s="175"/>
      <c r="O269" s="77"/>
      <c r="P269" s="77"/>
      <c r="Q269" s="77"/>
      <c r="R269" s="1713"/>
      <c r="S269" s="1691"/>
      <c r="T269" s="1691"/>
      <c r="U269" s="1691"/>
      <c r="V269" s="1691"/>
      <c r="W269" s="1692"/>
    </row>
    <row r="270" spans="1:23" ht="20.100000000000001" customHeight="1" x14ac:dyDescent="0.25">
      <c r="A270" s="1540" t="str">
        <f>'Расчет ЦП - общая форма'!C314</f>
        <v xml:space="preserve">ПС 110/10 кВ Пролетарская </v>
      </c>
      <c r="B270" s="1501">
        <f>'Расчет ЦП - общая форма'!D314</f>
        <v>16</v>
      </c>
      <c r="C270" s="1553" t="str">
        <f>'Расчет ЦП - общая форма'!E314</f>
        <v>+</v>
      </c>
      <c r="D270" s="1553">
        <f>'Расчет ЦП - общая форма'!F314</f>
        <v>16</v>
      </c>
      <c r="E270" s="403"/>
      <c r="F270" s="404"/>
      <c r="G270" s="281"/>
      <c r="H270" s="45"/>
      <c r="I270" s="45"/>
      <c r="J270" s="45"/>
      <c r="K270" s="45"/>
      <c r="L270" s="72"/>
      <c r="M270" s="72" t="s">
        <v>1071</v>
      </c>
      <c r="N270" s="72" t="s">
        <v>1186</v>
      </c>
      <c r="O270" s="42">
        <v>0.184</v>
      </c>
      <c r="P270" s="45"/>
      <c r="Q270" s="45"/>
      <c r="R270" s="72"/>
      <c r="S270" s="72"/>
      <c r="T270" s="72"/>
      <c r="U270" s="72"/>
      <c r="V270" s="72"/>
      <c r="W270" s="72"/>
    </row>
    <row r="271" spans="1:23" ht="20.100000000000001" customHeight="1" x14ac:dyDescent="0.25">
      <c r="A271" s="1540"/>
      <c r="B271" s="1501"/>
      <c r="C271" s="1553"/>
      <c r="D271" s="1553"/>
      <c r="E271" s="403"/>
      <c r="F271" s="404"/>
      <c r="G271" s="66" t="s">
        <v>123</v>
      </c>
      <c r="H271" s="2" t="s">
        <v>124</v>
      </c>
      <c r="I271" s="2" t="s">
        <v>125</v>
      </c>
      <c r="J271" s="2">
        <v>5.6000000000000001E-2</v>
      </c>
      <c r="K271" s="45"/>
      <c r="L271" s="72"/>
      <c r="M271" s="72"/>
      <c r="N271" s="72"/>
      <c r="O271" s="42"/>
      <c r="P271" s="45"/>
      <c r="Q271" s="45"/>
      <c r="R271" s="142"/>
      <c r="S271" s="142"/>
      <c r="T271" s="142"/>
      <c r="U271" s="142"/>
      <c r="V271" s="72"/>
      <c r="W271" s="72"/>
    </row>
    <row r="272" spans="1:23" ht="20.100000000000001" customHeight="1" x14ac:dyDescent="0.25">
      <c r="A272" s="1540"/>
      <c r="B272" s="1501"/>
      <c r="C272" s="1553"/>
      <c r="D272" s="1553"/>
      <c r="E272" s="403"/>
      <c r="F272" s="404"/>
      <c r="G272" s="66" t="s">
        <v>1187</v>
      </c>
      <c r="H272" s="2" t="s">
        <v>1188</v>
      </c>
      <c r="I272" s="2" t="s">
        <v>1189</v>
      </c>
      <c r="J272" s="47">
        <v>0.32</v>
      </c>
      <c r="K272" s="2"/>
      <c r="L272" s="142"/>
      <c r="M272" s="2" t="s">
        <v>1080</v>
      </c>
      <c r="N272" s="2" t="s">
        <v>1190</v>
      </c>
      <c r="O272" s="2">
        <v>0.21099999999999999</v>
      </c>
      <c r="P272" s="2"/>
      <c r="Q272" s="2"/>
      <c r="R272" s="142"/>
      <c r="S272" s="142"/>
      <c r="T272" s="142"/>
      <c r="U272" s="367"/>
      <c r="V272" s="142"/>
      <c r="W272" s="142"/>
    </row>
    <row r="273" spans="1:23" ht="20.100000000000001" customHeight="1" x14ac:dyDescent="0.25">
      <c r="A273" s="1540"/>
      <c r="B273" s="1501"/>
      <c r="C273" s="1553"/>
      <c r="D273" s="1553"/>
      <c r="E273" s="403"/>
      <c r="F273" s="404"/>
      <c r="G273" s="66" t="s">
        <v>1191</v>
      </c>
      <c r="H273" s="2" t="s">
        <v>1192</v>
      </c>
      <c r="I273" s="2" t="s">
        <v>1193</v>
      </c>
      <c r="J273" s="2">
        <v>0.46800000000000003</v>
      </c>
      <c r="K273" s="2"/>
      <c r="L273" s="142"/>
      <c r="M273" s="2" t="s">
        <v>1194</v>
      </c>
      <c r="N273" s="2" t="s">
        <v>1195</v>
      </c>
      <c r="O273" s="2">
        <v>0.1242</v>
      </c>
      <c r="P273" s="2"/>
      <c r="Q273" s="2"/>
      <c r="R273" s="142"/>
      <c r="S273" s="142"/>
      <c r="T273" s="142"/>
      <c r="U273" s="142"/>
      <c r="V273" s="142"/>
      <c r="W273" s="142"/>
    </row>
    <row r="274" spans="1:23" ht="20.100000000000001" customHeight="1" x14ac:dyDescent="0.25">
      <c r="A274" s="1540"/>
      <c r="B274" s="1501"/>
      <c r="C274" s="1553"/>
      <c r="D274" s="1553"/>
      <c r="E274" s="403"/>
      <c r="F274" s="404"/>
      <c r="G274" s="66"/>
      <c r="H274" s="2"/>
      <c r="I274" s="2"/>
      <c r="J274" s="52"/>
      <c r="K274" s="2"/>
      <c r="L274" s="142"/>
      <c r="M274" s="143" t="s">
        <v>1196</v>
      </c>
      <c r="N274" s="143" t="s">
        <v>122</v>
      </c>
      <c r="O274" s="2">
        <v>0.15</v>
      </c>
      <c r="P274" s="2"/>
      <c r="Q274" s="2"/>
      <c r="R274" s="142"/>
      <c r="S274" s="142"/>
      <c r="T274" s="142"/>
      <c r="U274" s="364"/>
      <c r="V274" s="142"/>
      <c r="W274" s="142"/>
    </row>
    <row r="275" spans="1:23" ht="20.100000000000001" customHeight="1" x14ac:dyDescent="0.25">
      <c r="A275" s="1540"/>
      <c r="B275" s="1501"/>
      <c r="C275" s="1553"/>
      <c r="D275" s="1553"/>
      <c r="E275" s="403"/>
      <c r="F275" s="404"/>
      <c r="G275" s="184"/>
      <c r="H275" s="143"/>
      <c r="I275" s="143"/>
      <c r="J275" s="143"/>
      <c r="K275" s="2"/>
      <c r="L275" s="142"/>
      <c r="M275" s="143" t="s">
        <v>126</v>
      </c>
      <c r="N275" s="143" t="s">
        <v>127</v>
      </c>
      <c r="O275" s="2">
        <v>0.06</v>
      </c>
      <c r="P275" s="2"/>
      <c r="Q275" s="2"/>
      <c r="R275" s="142"/>
      <c r="S275" s="142"/>
      <c r="T275" s="142"/>
      <c r="U275" s="142"/>
      <c r="V275" s="142"/>
      <c r="W275" s="142"/>
    </row>
    <row r="276" spans="1:23" ht="20.100000000000001" customHeight="1" x14ac:dyDescent="0.25">
      <c r="A276" s="1540"/>
      <c r="B276" s="1501"/>
      <c r="C276" s="1553"/>
      <c r="D276" s="1553"/>
      <c r="E276" s="403"/>
      <c r="F276" s="404"/>
      <c r="G276" s="66"/>
      <c r="H276" s="2"/>
      <c r="I276" s="2"/>
      <c r="J276" s="2"/>
      <c r="K276" s="2"/>
      <c r="L276" s="142"/>
      <c r="M276" s="143" t="s">
        <v>1748</v>
      </c>
      <c r="N276" s="143" t="s">
        <v>2689</v>
      </c>
      <c r="O276" s="143">
        <v>0.72989999999999999</v>
      </c>
      <c r="P276" s="2"/>
      <c r="Q276" s="2"/>
      <c r="R276" s="142"/>
      <c r="S276" s="142"/>
      <c r="T276" s="142"/>
      <c r="U276" s="142"/>
      <c r="V276" s="142"/>
      <c r="W276" s="142"/>
    </row>
    <row r="277" spans="1:23" ht="20.100000000000001" customHeight="1" x14ac:dyDescent="0.25">
      <c r="A277" s="1034"/>
      <c r="B277" s="1032"/>
      <c r="C277" s="1036"/>
      <c r="D277" s="1036"/>
      <c r="E277" s="1036"/>
      <c r="F277" s="1033"/>
      <c r="G277" s="204"/>
      <c r="H277" s="204"/>
      <c r="I277" s="121"/>
      <c r="J277" s="70"/>
      <c r="K277" s="70"/>
      <c r="L277" s="149"/>
      <c r="M277" s="143" t="s">
        <v>3161</v>
      </c>
      <c r="N277" s="143" t="s">
        <v>3162</v>
      </c>
      <c r="O277" s="143">
        <v>0.1</v>
      </c>
      <c r="P277" s="70"/>
      <c r="Q277" s="70"/>
      <c r="R277" s="147"/>
      <c r="S277" s="363"/>
      <c r="T277" s="176"/>
      <c r="U277" s="149"/>
      <c r="V277" s="149"/>
      <c r="W277" s="149"/>
    </row>
    <row r="278" spans="1:23" ht="20.100000000000001" customHeight="1" x14ac:dyDescent="0.25">
      <c r="A278" s="1212"/>
      <c r="B278" s="1210"/>
      <c r="C278" s="1214"/>
      <c r="D278" s="1214"/>
      <c r="E278" s="1214"/>
      <c r="F278" s="1211"/>
      <c r="G278" s="204"/>
      <c r="H278" s="204"/>
      <c r="I278" s="121"/>
      <c r="J278" s="70"/>
      <c r="K278" s="70"/>
      <c r="L278" s="149"/>
      <c r="M278" s="143" t="s">
        <v>3495</v>
      </c>
      <c r="N278" s="143" t="s">
        <v>3496</v>
      </c>
      <c r="O278" s="143"/>
      <c r="P278" s="70"/>
      <c r="Q278" s="70"/>
      <c r="R278" s="147"/>
      <c r="S278" s="363"/>
      <c r="T278" s="176"/>
      <c r="U278" s="149"/>
      <c r="V278" s="149"/>
      <c r="W278" s="149"/>
    </row>
    <row r="279" spans="1:23" ht="20.100000000000001" customHeight="1" thickBot="1" x14ac:dyDescent="0.3">
      <c r="A279" s="405"/>
      <c r="B279" s="394"/>
      <c r="C279" s="395"/>
      <c r="D279" s="395"/>
      <c r="E279" s="395"/>
      <c r="F279" s="396"/>
      <c r="G279" s="1555" t="s">
        <v>1860</v>
      </c>
      <c r="H279" s="1555"/>
      <c r="I279" s="1556"/>
      <c r="J279" s="209">
        <f>SUM(0)</f>
        <v>0</v>
      </c>
      <c r="K279" s="183">
        <v>0.8</v>
      </c>
      <c r="L279" s="136">
        <f>J279/K279</f>
        <v>0</v>
      </c>
      <c r="M279" s="1574" t="s">
        <v>1861</v>
      </c>
      <c r="N279" s="1556"/>
      <c r="O279" s="136">
        <f>SUM(O270:O277)</f>
        <v>1.5591000000000002</v>
      </c>
      <c r="P279" s="183">
        <v>0.8</v>
      </c>
      <c r="Q279" s="136">
        <f>O279/P279</f>
        <v>1.9488750000000001</v>
      </c>
      <c r="R279" s="1574" t="s">
        <v>1860</v>
      </c>
      <c r="S279" s="1555"/>
      <c r="T279" s="1556"/>
      <c r="U279" s="209">
        <f>SUM(U274:U276)</f>
        <v>0</v>
      </c>
      <c r="V279" s="183">
        <v>0.8</v>
      </c>
      <c r="W279" s="136">
        <f>U279/V279</f>
        <v>0</v>
      </c>
    </row>
    <row r="280" spans="1:23" s="18" customFormat="1" ht="20.100000000000001" customHeight="1" x14ac:dyDescent="0.25">
      <c r="A280" s="406" t="str">
        <f>'Расчет ЦП - общая форма'!C315</f>
        <v xml:space="preserve">ПС 35/10 кВ Тургиново </v>
      </c>
      <c r="B280" s="398">
        <f>'Расчет ЦП - общая форма'!D315</f>
        <v>6.3</v>
      </c>
      <c r="C280" s="399" t="str">
        <f>'Расчет ЦП - общая форма'!E315</f>
        <v>+</v>
      </c>
      <c r="D280" s="399">
        <f>'Расчет ЦП - общая форма'!F315</f>
        <v>6.3</v>
      </c>
      <c r="E280" s="399"/>
      <c r="F280" s="400"/>
      <c r="G280" s="1663" t="s">
        <v>1989</v>
      </c>
      <c r="H280" s="1663"/>
      <c r="I280" s="1663"/>
      <c r="J280" s="1663"/>
      <c r="K280" s="1663"/>
      <c r="L280" s="1664"/>
      <c r="M280" s="5" t="s">
        <v>396</v>
      </c>
      <c r="N280" s="5" t="s">
        <v>397</v>
      </c>
      <c r="O280" s="178">
        <v>0.1</v>
      </c>
      <c r="P280" s="2"/>
      <c r="Q280" s="2"/>
      <c r="R280" s="1680"/>
      <c r="S280" s="1681"/>
      <c r="T280" s="1681"/>
      <c r="U280" s="1681"/>
      <c r="V280" s="1681"/>
      <c r="W280" s="1408"/>
    </row>
    <row r="281" spans="1:23" ht="20.100000000000001" customHeight="1" x14ac:dyDescent="0.25">
      <c r="A281" s="401"/>
      <c r="B281" s="402"/>
      <c r="C281" s="403"/>
      <c r="D281" s="403"/>
      <c r="E281" s="403"/>
      <c r="F281" s="404"/>
      <c r="G281" s="66" t="s">
        <v>398</v>
      </c>
      <c r="H281" s="2" t="s">
        <v>399</v>
      </c>
      <c r="I281" s="2" t="s">
        <v>400</v>
      </c>
      <c r="J281" s="2">
        <v>1.7500000000000002E-2</v>
      </c>
      <c r="K281" s="2"/>
      <c r="L281" s="142"/>
      <c r="M281" s="2"/>
      <c r="N281" s="2"/>
      <c r="O281" s="2"/>
      <c r="P281" s="2"/>
      <c r="Q281" s="2"/>
      <c r="R281" s="142"/>
      <c r="S281" s="142"/>
      <c r="T281" s="142"/>
      <c r="U281" s="142"/>
      <c r="V281" s="142"/>
      <c r="W281" s="142"/>
    </row>
    <row r="282" spans="1:23" ht="82.5" customHeight="1" x14ac:dyDescent="0.25">
      <c r="A282" s="401"/>
      <c r="B282" s="402"/>
      <c r="C282" s="403"/>
      <c r="D282" s="403"/>
      <c r="E282" s="403"/>
      <c r="F282" s="404"/>
      <c r="G282" s="66" t="s">
        <v>401</v>
      </c>
      <c r="H282" s="2" t="s">
        <v>402</v>
      </c>
      <c r="I282" s="2" t="s">
        <v>403</v>
      </c>
      <c r="J282" s="2">
        <v>0.06</v>
      </c>
      <c r="K282" s="2"/>
      <c r="L282" s="142"/>
      <c r="M282" s="142" t="s">
        <v>473</v>
      </c>
      <c r="N282" s="142" t="s">
        <v>2736</v>
      </c>
      <c r="O282" s="142">
        <v>0.09</v>
      </c>
      <c r="P282" s="2"/>
      <c r="Q282" s="2"/>
      <c r="R282" s="142"/>
      <c r="S282" s="142"/>
      <c r="T282" s="142"/>
      <c r="U282" s="142"/>
      <c r="V282" s="142"/>
      <c r="W282" s="142"/>
    </row>
    <row r="283" spans="1:23" ht="20.100000000000001" customHeight="1" x14ac:dyDescent="0.25">
      <c r="A283" s="401"/>
      <c r="B283" s="402"/>
      <c r="C283" s="403"/>
      <c r="D283" s="403"/>
      <c r="E283" s="403"/>
      <c r="F283" s="404"/>
      <c r="G283" s="1663" t="s">
        <v>2512</v>
      </c>
      <c r="H283" s="1663"/>
      <c r="I283" s="1663"/>
      <c r="J283" s="1663"/>
      <c r="K283" s="1663"/>
      <c r="L283" s="1664"/>
      <c r="M283" s="2" t="s">
        <v>2823</v>
      </c>
      <c r="N283" s="2" t="s">
        <v>2883</v>
      </c>
      <c r="O283" s="2">
        <f>0.64-0.49</f>
        <v>0.15000000000000002</v>
      </c>
      <c r="P283" s="70"/>
      <c r="Q283" s="70"/>
      <c r="R283" s="147"/>
      <c r="S283" s="363"/>
      <c r="T283" s="176"/>
      <c r="U283" s="149"/>
      <c r="V283" s="149"/>
      <c r="W283" s="149"/>
    </row>
    <row r="284" spans="1:23" ht="102.75" customHeight="1" x14ac:dyDescent="0.25">
      <c r="A284" s="401"/>
      <c r="B284" s="402"/>
      <c r="C284" s="403"/>
      <c r="D284" s="403"/>
      <c r="E284" s="403"/>
      <c r="F284" s="404"/>
      <c r="G284" s="2" t="s">
        <v>2746</v>
      </c>
      <c r="H284" s="2" t="s">
        <v>2747</v>
      </c>
      <c r="I284" s="121" t="s">
        <v>2776</v>
      </c>
      <c r="J284" s="2">
        <f>0.45</f>
        <v>0.45</v>
      </c>
      <c r="K284" s="70"/>
      <c r="L284" s="149"/>
      <c r="M284" s="2" t="s">
        <v>2823</v>
      </c>
      <c r="N284" s="2" t="s">
        <v>3235</v>
      </c>
      <c r="O284" s="143">
        <f>2.64-0.49</f>
        <v>2.1500000000000004</v>
      </c>
      <c r="P284" s="70"/>
      <c r="Q284" s="70"/>
      <c r="R284" s="147"/>
      <c r="S284" s="363"/>
      <c r="T284" s="176"/>
      <c r="U284" s="149"/>
      <c r="V284" s="149"/>
      <c r="W284" s="149"/>
    </row>
    <row r="285" spans="1:23" ht="106.5" customHeight="1" x14ac:dyDescent="0.25">
      <c r="A285" s="721"/>
      <c r="B285" s="722"/>
      <c r="C285" s="723"/>
      <c r="D285" s="723"/>
      <c r="E285" s="723"/>
      <c r="F285" s="720"/>
      <c r="G285" s="2" t="s">
        <v>2730</v>
      </c>
      <c r="H285" s="2" t="s">
        <v>2731</v>
      </c>
      <c r="I285" s="2" t="s">
        <v>2777</v>
      </c>
      <c r="J285" s="2">
        <v>0.4</v>
      </c>
      <c r="K285" s="2"/>
      <c r="L285" s="149"/>
      <c r="M285" s="2"/>
      <c r="N285" s="2"/>
      <c r="O285" s="2"/>
      <c r="P285" s="2"/>
      <c r="Q285" s="2"/>
      <c r="R285" s="142"/>
      <c r="S285" s="142"/>
      <c r="T285" s="142"/>
      <c r="U285" s="142"/>
      <c r="V285" s="142"/>
      <c r="W285" s="142"/>
    </row>
    <row r="286" spans="1:23" ht="106.5" customHeight="1" x14ac:dyDescent="0.25">
      <c r="A286" s="774"/>
      <c r="B286" s="775"/>
      <c r="C286" s="777"/>
      <c r="D286" s="777"/>
      <c r="E286" s="777"/>
      <c r="F286" s="773"/>
      <c r="G286" s="2" t="s">
        <v>2823</v>
      </c>
      <c r="H286" s="2" t="s">
        <v>2824</v>
      </c>
      <c r="I286" s="121" t="s">
        <v>2857</v>
      </c>
      <c r="J286" s="70">
        <v>0.15</v>
      </c>
      <c r="K286" s="70"/>
      <c r="L286" s="149"/>
      <c r="M286" s="2" t="s">
        <v>3500</v>
      </c>
      <c r="N286" s="2" t="s">
        <v>3501</v>
      </c>
      <c r="O286" s="2">
        <v>0.32800000000000001</v>
      </c>
      <c r="P286" s="2"/>
      <c r="Q286" s="2"/>
      <c r="R286" s="142"/>
      <c r="S286" s="142"/>
      <c r="T286" s="142"/>
      <c r="U286" s="142"/>
      <c r="V286" s="142"/>
      <c r="W286" s="142"/>
    </row>
    <row r="287" spans="1:23" ht="106.5" customHeight="1" x14ac:dyDescent="0.25">
      <c r="A287" s="834"/>
      <c r="B287" s="835"/>
      <c r="C287" s="836"/>
      <c r="D287" s="836"/>
      <c r="E287" s="836"/>
      <c r="F287" s="833"/>
      <c r="G287" s="2" t="s">
        <v>2946</v>
      </c>
      <c r="H287" s="2" t="s">
        <v>2963</v>
      </c>
      <c r="I287" s="121" t="s">
        <v>2980</v>
      </c>
      <c r="J287" s="2">
        <v>0.1</v>
      </c>
      <c r="K287" s="70"/>
      <c r="L287" s="149"/>
      <c r="M287" s="2"/>
      <c r="N287" s="2"/>
      <c r="O287" s="2"/>
      <c r="P287" s="2"/>
      <c r="Q287" s="2"/>
      <c r="R287" s="142"/>
      <c r="S287" s="142"/>
      <c r="T287" s="142"/>
      <c r="U287" s="142"/>
      <c r="V287" s="142"/>
      <c r="W287" s="142"/>
    </row>
    <row r="288" spans="1:23" ht="14.25" customHeight="1" x14ac:dyDescent="0.25">
      <c r="A288" s="883"/>
      <c r="B288" s="885"/>
      <c r="C288" s="886"/>
      <c r="D288" s="886"/>
      <c r="E288" s="886"/>
      <c r="F288" s="881"/>
      <c r="G288" s="1663" t="s">
        <v>3068</v>
      </c>
      <c r="H288" s="1663"/>
      <c r="I288" s="1663"/>
      <c r="J288" s="1663"/>
      <c r="K288" s="1663"/>
      <c r="L288" s="1664"/>
      <c r="M288" s="825"/>
      <c r="N288" s="121"/>
      <c r="O288" s="70"/>
      <c r="P288" s="70"/>
      <c r="Q288" s="70"/>
      <c r="R288" s="147"/>
      <c r="S288" s="363"/>
      <c r="T288" s="176"/>
      <c r="U288" s="149"/>
      <c r="V288" s="149"/>
      <c r="W288" s="149"/>
    </row>
    <row r="289" spans="1:23" ht="28.5" customHeight="1" x14ac:dyDescent="0.25">
      <c r="A289" s="1212"/>
      <c r="B289" s="1210"/>
      <c r="C289" s="1214"/>
      <c r="D289" s="1214"/>
      <c r="E289" s="1214"/>
      <c r="F289" s="1211"/>
      <c r="G289" s="1665" t="s">
        <v>3481</v>
      </c>
      <c r="H289" s="1666"/>
      <c r="I289" s="1667"/>
      <c r="J289" s="786">
        <v>0.75</v>
      </c>
      <c r="K289" s="70"/>
      <c r="L289" s="149"/>
      <c r="M289" s="825"/>
      <c r="N289" s="121"/>
      <c r="O289" s="70"/>
      <c r="P289" s="70"/>
      <c r="Q289" s="70"/>
      <c r="R289" s="147"/>
      <c r="S289" s="363"/>
      <c r="T289" s="176"/>
      <c r="U289" s="149"/>
      <c r="V289" s="149"/>
      <c r="W289" s="149"/>
    </row>
    <row r="290" spans="1:23" ht="28.5" customHeight="1" x14ac:dyDescent="0.25">
      <c r="A290" s="1212"/>
      <c r="B290" s="1210"/>
      <c r="C290" s="1214"/>
      <c r="D290" s="1214"/>
      <c r="E290" s="1214"/>
      <c r="F290" s="1211"/>
      <c r="G290" s="1663" t="s">
        <v>3488</v>
      </c>
      <c r="H290" s="1663"/>
      <c r="I290" s="1663"/>
      <c r="J290" s="1663"/>
      <c r="K290" s="1663"/>
      <c r="L290" s="1664"/>
      <c r="M290" s="825"/>
      <c r="N290" s="121"/>
      <c r="O290" s="70"/>
      <c r="P290" s="70"/>
      <c r="Q290" s="70"/>
      <c r="R290" s="147"/>
      <c r="S290" s="363"/>
      <c r="T290" s="176"/>
      <c r="U290" s="149"/>
      <c r="V290" s="149"/>
      <c r="W290" s="149"/>
    </row>
    <row r="291" spans="1:23" ht="28.5" customHeight="1" x14ac:dyDescent="0.25">
      <c r="A291" s="1272"/>
      <c r="B291" s="1266"/>
      <c r="C291" s="1274"/>
      <c r="D291" s="1274"/>
      <c r="E291" s="1274"/>
      <c r="F291" s="1267"/>
      <c r="G291" s="2" t="s">
        <v>3420</v>
      </c>
      <c r="H291" s="2" t="s">
        <v>3421</v>
      </c>
      <c r="I291" s="819" t="s">
        <v>3542</v>
      </c>
      <c r="J291" s="2">
        <v>0.03</v>
      </c>
      <c r="K291" s="70"/>
      <c r="L291" s="149"/>
      <c r="M291" s="825"/>
      <c r="N291" s="121"/>
      <c r="O291" s="70"/>
      <c r="P291" s="70"/>
      <c r="Q291" s="70"/>
      <c r="R291" s="1286"/>
      <c r="S291" s="1284"/>
      <c r="T291" s="1285"/>
      <c r="U291" s="149"/>
      <c r="V291" s="149"/>
      <c r="W291" s="149"/>
    </row>
    <row r="292" spans="1:23" ht="20.100000000000001" customHeight="1" thickBot="1" x14ac:dyDescent="0.3">
      <c r="A292" s="405"/>
      <c r="B292" s="394"/>
      <c r="C292" s="395"/>
      <c r="D292" s="395"/>
      <c r="E292" s="395"/>
      <c r="F292" s="396"/>
      <c r="G292" s="1555" t="s">
        <v>1860</v>
      </c>
      <c r="H292" s="1555"/>
      <c r="I292" s="1556"/>
      <c r="J292" s="209">
        <f>SUM(J284:J291)</f>
        <v>1.8800000000000001</v>
      </c>
      <c r="K292" s="183">
        <v>0.8</v>
      </c>
      <c r="L292" s="136">
        <f>J292/K292</f>
        <v>2.35</v>
      </c>
      <c r="M292" s="1574" t="s">
        <v>1861</v>
      </c>
      <c r="N292" s="1556"/>
      <c r="O292" s="136">
        <f>SUM(O280:O286)</f>
        <v>2.8180000000000001</v>
      </c>
      <c r="P292" s="183">
        <v>0.8</v>
      </c>
      <c r="Q292" s="136">
        <f>O292/P292</f>
        <v>3.5225</v>
      </c>
      <c r="R292" s="1574" t="s">
        <v>1860</v>
      </c>
      <c r="S292" s="1555"/>
      <c r="T292" s="1556"/>
      <c r="U292" s="209">
        <f>SUM(U283:U284)</f>
        <v>0</v>
      </c>
      <c r="V292" s="183">
        <v>0.8</v>
      </c>
      <c r="W292" s="136">
        <f>U292/V292</f>
        <v>0</v>
      </c>
    </row>
    <row r="293" spans="1:23" ht="20.100000000000001" customHeight="1" x14ac:dyDescent="0.25">
      <c r="A293" s="406" t="str">
        <f>'Расчет ЦП - общая форма'!C316</f>
        <v xml:space="preserve">ПС 35/10 кВ Сахарово </v>
      </c>
      <c r="B293" s="398">
        <f>'Расчет ЦП - общая форма'!D316</f>
        <v>4</v>
      </c>
      <c r="C293" s="399" t="str">
        <f>'Расчет ЦП - общая форма'!E316</f>
        <v>+</v>
      </c>
      <c r="D293" s="399">
        <f>'Расчет ЦП - общая форма'!F316</f>
        <v>4</v>
      </c>
      <c r="E293" s="399"/>
      <c r="F293" s="400"/>
      <c r="G293" s="1712" t="s">
        <v>1989</v>
      </c>
      <c r="H293" s="1712"/>
      <c r="I293" s="1712"/>
      <c r="J293" s="1712"/>
      <c r="K293" s="1712"/>
      <c r="L293" s="1702"/>
      <c r="M293" s="143" t="s">
        <v>404</v>
      </c>
      <c r="N293" s="143" t="s">
        <v>405</v>
      </c>
      <c r="O293" s="143">
        <v>7.8600000000000003E-2</v>
      </c>
      <c r="P293" s="143"/>
      <c r="Q293" s="143"/>
      <c r="R293" s="1733" t="s">
        <v>1989</v>
      </c>
      <c r="S293" s="1712"/>
      <c r="T293" s="1712"/>
      <c r="U293" s="1712"/>
      <c r="V293" s="1712"/>
      <c r="W293" s="1702"/>
    </row>
    <row r="294" spans="1:23" ht="62.25" customHeight="1" x14ac:dyDescent="0.25">
      <c r="A294" s="401"/>
      <c r="B294" s="402"/>
      <c r="C294" s="403"/>
      <c r="D294" s="403"/>
      <c r="E294" s="403"/>
      <c r="F294" s="404"/>
      <c r="G294" s="306"/>
      <c r="H294" s="301"/>
      <c r="I294" s="302"/>
      <c r="J294" s="301"/>
      <c r="K294" s="143"/>
      <c r="L294" s="142"/>
      <c r="M294" s="143" t="s">
        <v>409</v>
      </c>
      <c r="N294" s="143" t="s">
        <v>410</v>
      </c>
      <c r="O294" s="143">
        <v>6.5000000000000002E-2</v>
      </c>
      <c r="P294" s="143"/>
      <c r="Q294" s="143"/>
      <c r="R294" s="345" t="s">
        <v>404</v>
      </c>
      <c r="S294" s="345" t="s">
        <v>405</v>
      </c>
      <c r="T294" s="369" t="s">
        <v>2515</v>
      </c>
      <c r="U294" s="345">
        <v>5.8299999999999998E-2</v>
      </c>
      <c r="V294" s="345"/>
      <c r="W294" s="353"/>
    </row>
    <row r="295" spans="1:23" ht="78.75" customHeight="1" x14ac:dyDescent="0.25">
      <c r="A295" s="401"/>
      <c r="B295" s="402"/>
      <c r="C295" s="403"/>
      <c r="D295" s="403"/>
      <c r="E295" s="403"/>
      <c r="F295" s="404"/>
      <c r="G295" s="184" t="s">
        <v>404</v>
      </c>
      <c r="H295" s="143" t="s">
        <v>408</v>
      </c>
      <c r="I295" s="2" t="s">
        <v>880</v>
      </c>
      <c r="J295" s="143">
        <v>0.45800000000000002</v>
      </c>
      <c r="K295" s="143"/>
      <c r="L295" s="142"/>
      <c r="M295" s="143"/>
      <c r="N295" s="143"/>
      <c r="O295" s="143"/>
      <c r="P295" s="143"/>
      <c r="Q295" s="143"/>
      <c r="R295" s="142"/>
      <c r="S295" s="142"/>
      <c r="T295" s="142"/>
      <c r="U295" s="142"/>
      <c r="V295" s="142"/>
      <c r="W295" s="142"/>
    </row>
    <row r="296" spans="1:23" ht="20.100000000000001" customHeight="1" x14ac:dyDescent="0.25">
      <c r="A296" s="401"/>
      <c r="B296" s="402"/>
      <c r="C296" s="403"/>
      <c r="D296" s="403"/>
      <c r="E296" s="403"/>
      <c r="F296" s="404"/>
      <c r="G296" s="1663" t="s">
        <v>1988</v>
      </c>
      <c r="H296" s="1663"/>
      <c r="I296" s="1663"/>
      <c r="J296" s="1663"/>
      <c r="K296" s="1663"/>
      <c r="L296" s="1664"/>
      <c r="M296" s="143" t="s">
        <v>3172</v>
      </c>
      <c r="N296" s="143" t="s">
        <v>3173</v>
      </c>
      <c r="O296" s="143">
        <v>0.05</v>
      </c>
      <c r="P296" s="143"/>
      <c r="Q296" s="143"/>
      <c r="R296" s="1680"/>
      <c r="S296" s="1681"/>
      <c r="T296" s="1681"/>
      <c r="U296" s="1681"/>
      <c r="V296" s="1681"/>
      <c r="W296" s="1408"/>
    </row>
    <row r="297" spans="1:23" ht="43.5" customHeight="1" x14ac:dyDescent="0.25">
      <c r="A297" s="401"/>
      <c r="B297" s="402"/>
      <c r="C297" s="403"/>
      <c r="D297" s="403"/>
      <c r="E297" s="403"/>
      <c r="F297" s="404"/>
      <c r="G297" s="184" t="s">
        <v>411</v>
      </c>
      <c r="H297" s="143" t="s">
        <v>412</v>
      </c>
      <c r="I297" s="2" t="s">
        <v>413</v>
      </c>
      <c r="J297" s="143">
        <v>0.05</v>
      </c>
      <c r="K297" s="143"/>
      <c r="L297" s="142"/>
      <c r="M297" s="143"/>
      <c r="N297" s="143"/>
      <c r="O297" s="143"/>
      <c r="P297" s="143"/>
      <c r="Q297" s="143"/>
      <c r="R297" s="142"/>
      <c r="S297" s="142"/>
      <c r="T297" s="142"/>
      <c r="U297" s="142"/>
      <c r="V297" s="142"/>
      <c r="W297" s="142"/>
    </row>
    <row r="298" spans="1:23" ht="20.100000000000001" customHeight="1" x14ac:dyDescent="0.25">
      <c r="A298" s="401"/>
      <c r="B298" s="402"/>
      <c r="C298" s="403"/>
      <c r="D298" s="403"/>
      <c r="E298" s="403"/>
      <c r="F298" s="404"/>
      <c r="G298" s="1663" t="s">
        <v>1987</v>
      </c>
      <c r="H298" s="1663"/>
      <c r="I298" s="1663"/>
      <c r="J298" s="1663"/>
      <c r="K298" s="1663"/>
      <c r="L298" s="1664"/>
      <c r="M298" s="143"/>
      <c r="N298" s="143"/>
      <c r="O298" s="143"/>
      <c r="P298" s="143"/>
      <c r="Q298" s="143"/>
      <c r="R298" s="1680"/>
      <c r="S298" s="1681"/>
      <c r="T298" s="1681"/>
      <c r="U298" s="1681"/>
      <c r="V298" s="1681"/>
      <c r="W298" s="1408"/>
    </row>
    <row r="299" spans="1:23" ht="20.100000000000001" customHeight="1" x14ac:dyDescent="0.25">
      <c r="A299" s="401"/>
      <c r="B299" s="402"/>
      <c r="C299" s="403"/>
      <c r="D299" s="403"/>
      <c r="E299" s="403"/>
      <c r="F299" s="404"/>
      <c r="G299" s="184" t="s">
        <v>416</v>
      </c>
      <c r="H299" s="143" t="s">
        <v>417</v>
      </c>
      <c r="I299" s="2" t="s">
        <v>418</v>
      </c>
      <c r="J299" s="143">
        <v>2.4E-2</v>
      </c>
      <c r="K299" s="143"/>
      <c r="L299" s="143"/>
      <c r="M299" s="143"/>
      <c r="N299" s="143"/>
      <c r="O299" s="143"/>
      <c r="P299" s="143"/>
      <c r="Q299" s="143"/>
      <c r="R299" s="142"/>
      <c r="S299" s="142"/>
      <c r="T299" s="142"/>
      <c r="U299" s="142"/>
      <c r="V299" s="142"/>
      <c r="W299" s="142"/>
    </row>
    <row r="300" spans="1:23" ht="20.100000000000001" customHeight="1" x14ac:dyDescent="0.25">
      <c r="A300" s="401"/>
      <c r="B300" s="402"/>
      <c r="C300" s="403"/>
      <c r="D300" s="403"/>
      <c r="E300" s="403"/>
      <c r="F300" s="404"/>
      <c r="G300" s="184" t="s">
        <v>406</v>
      </c>
      <c r="H300" s="143" t="s">
        <v>407</v>
      </c>
      <c r="I300" s="2" t="s">
        <v>1521</v>
      </c>
      <c r="J300" s="143">
        <v>0.06</v>
      </c>
      <c r="K300" s="151"/>
      <c r="L300" s="143"/>
      <c r="M300" s="143"/>
      <c r="N300" s="143"/>
      <c r="O300" s="143"/>
      <c r="P300" s="143"/>
      <c r="Q300" s="143"/>
      <c r="R300" s="142"/>
      <c r="S300" s="142"/>
      <c r="T300" s="142"/>
      <c r="U300" s="142"/>
      <c r="V300" s="149"/>
      <c r="W300" s="142"/>
    </row>
    <row r="301" spans="1:23" ht="37.5" customHeight="1" x14ac:dyDescent="0.25">
      <c r="A301" s="401"/>
      <c r="B301" s="402"/>
      <c r="C301" s="403"/>
      <c r="D301" s="403"/>
      <c r="E301" s="403"/>
      <c r="F301" s="404"/>
      <c r="G301" s="184" t="s">
        <v>2000</v>
      </c>
      <c r="H301" s="143" t="s">
        <v>2001</v>
      </c>
      <c r="I301" s="2" t="s">
        <v>2356</v>
      </c>
      <c r="J301" s="143">
        <v>0.12</v>
      </c>
      <c r="K301" s="151"/>
      <c r="L301" s="151"/>
      <c r="M301" s="143"/>
      <c r="N301" s="143"/>
      <c r="O301" s="143"/>
      <c r="P301" s="143"/>
      <c r="Q301" s="143"/>
      <c r="R301" s="142"/>
      <c r="S301" s="142"/>
      <c r="T301" s="142"/>
      <c r="U301" s="142"/>
      <c r="V301" s="149"/>
      <c r="W301" s="149"/>
    </row>
    <row r="302" spans="1:23" ht="15" customHeight="1" x14ac:dyDescent="0.25">
      <c r="A302" s="581"/>
      <c r="B302" s="582"/>
      <c r="C302" s="584"/>
      <c r="D302" s="584"/>
      <c r="E302" s="584"/>
      <c r="F302" s="580"/>
      <c r="G302" s="1663" t="s">
        <v>2061</v>
      </c>
      <c r="H302" s="1663"/>
      <c r="I302" s="1663"/>
      <c r="J302" s="1663"/>
      <c r="K302" s="1663"/>
      <c r="L302" s="1664"/>
      <c r="M302" s="143"/>
      <c r="N302" s="143"/>
      <c r="O302" s="143"/>
      <c r="P302" s="151"/>
      <c r="Q302" s="151"/>
      <c r="R302" s="142"/>
      <c r="S302" s="142"/>
      <c r="T302" s="176"/>
      <c r="U302" s="149"/>
      <c r="V302" s="149"/>
      <c r="W302" s="149"/>
    </row>
    <row r="303" spans="1:23" ht="68.25" customHeight="1" x14ac:dyDescent="0.25">
      <c r="A303" s="401"/>
      <c r="B303" s="402"/>
      <c r="C303" s="403"/>
      <c r="D303" s="403"/>
      <c r="E303" s="403"/>
      <c r="F303" s="404"/>
      <c r="G303" s="184" t="s">
        <v>414</v>
      </c>
      <c r="H303" s="143" t="s">
        <v>415</v>
      </c>
      <c r="I303" s="121" t="s">
        <v>2387</v>
      </c>
      <c r="J303" s="151">
        <v>0.15</v>
      </c>
      <c r="K303" s="151"/>
      <c r="L303" s="151"/>
      <c r="M303" s="143"/>
      <c r="N303" s="143"/>
      <c r="O303" s="143"/>
      <c r="P303" s="151"/>
      <c r="Q303" s="151"/>
      <c r="R303" s="142"/>
      <c r="S303" s="142"/>
      <c r="T303" s="176"/>
      <c r="U303" s="149"/>
      <c r="V303" s="149"/>
      <c r="W303" s="149"/>
    </row>
    <row r="304" spans="1:23" ht="23.25" customHeight="1" x14ac:dyDescent="0.25">
      <c r="A304" s="805"/>
      <c r="B304" s="806"/>
      <c r="C304" s="808"/>
      <c r="D304" s="808"/>
      <c r="E304" s="808"/>
      <c r="F304" s="804"/>
      <c r="G304" s="1663" t="s">
        <v>2512</v>
      </c>
      <c r="H304" s="1663"/>
      <c r="I304" s="1663"/>
      <c r="J304" s="1663"/>
      <c r="K304" s="1663"/>
      <c r="L304" s="1664"/>
      <c r="M304" s="146"/>
      <c r="N304" s="180"/>
      <c r="O304" s="151"/>
      <c r="P304" s="151"/>
      <c r="Q304" s="151"/>
      <c r="R304" s="147"/>
      <c r="S304" s="363"/>
      <c r="T304" s="176"/>
      <c r="U304" s="149"/>
      <c r="V304" s="149"/>
      <c r="W304" s="149"/>
    </row>
    <row r="305" spans="1:23" ht="52.5" customHeight="1" x14ac:dyDescent="0.25">
      <c r="A305" s="805"/>
      <c r="B305" s="806"/>
      <c r="C305" s="808"/>
      <c r="D305" s="808"/>
      <c r="E305" s="808"/>
      <c r="F305" s="804"/>
      <c r="G305" s="143" t="s">
        <v>411</v>
      </c>
      <c r="H305" s="143" t="s">
        <v>412</v>
      </c>
      <c r="I305" s="2" t="s">
        <v>2917</v>
      </c>
      <c r="J305" s="143">
        <v>0.05</v>
      </c>
      <c r="K305" s="143"/>
      <c r="L305" s="143"/>
      <c r="M305" s="146"/>
      <c r="N305" s="180"/>
      <c r="O305" s="151"/>
      <c r="P305" s="151"/>
      <c r="Q305" s="151"/>
      <c r="R305" s="147"/>
      <c r="S305" s="363"/>
      <c r="T305" s="176"/>
      <c r="U305" s="149"/>
      <c r="V305" s="149"/>
      <c r="W305" s="149"/>
    </row>
    <row r="306" spans="1:23" ht="52.5" customHeight="1" x14ac:dyDescent="0.25">
      <c r="A306" s="1060"/>
      <c r="B306" s="1058"/>
      <c r="C306" s="1061"/>
      <c r="D306" s="1061"/>
      <c r="E306" s="1061"/>
      <c r="F306" s="1059"/>
      <c r="G306" s="1663" t="s">
        <v>3069</v>
      </c>
      <c r="H306" s="1663"/>
      <c r="I306" s="1663"/>
      <c r="J306" s="1663"/>
      <c r="K306" s="1663"/>
      <c r="L306" s="1664"/>
      <c r="M306" s="146"/>
      <c r="N306" s="180"/>
      <c r="O306" s="151"/>
      <c r="P306" s="151"/>
      <c r="Q306" s="151"/>
      <c r="R306" s="147"/>
      <c r="S306" s="363"/>
      <c r="T306" s="176"/>
      <c r="U306" s="149"/>
      <c r="V306" s="149"/>
      <c r="W306" s="149"/>
    </row>
    <row r="307" spans="1:23" ht="52.5" customHeight="1" x14ac:dyDescent="0.25">
      <c r="A307" s="1060"/>
      <c r="B307" s="1058"/>
      <c r="C307" s="1061"/>
      <c r="D307" s="1061"/>
      <c r="E307" s="1061"/>
      <c r="F307" s="1059"/>
      <c r="G307" s="143" t="s">
        <v>3163</v>
      </c>
      <c r="H307" s="143" t="s">
        <v>3164</v>
      </c>
      <c r="I307" s="121" t="s">
        <v>3194</v>
      </c>
      <c r="J307" s="143">
        <v>0.1</v>
      </c>
      <c r="K307" s="151"/>
      <c r="L307" s="151"/>
      <c r="M307" s="146"/>
      <c r="N307" s="180"/>
      <c r="O307" s="151"/>
      <c r="P307" s="151"/>
      <c r="Q307" s="151"/>
      <c r="R307" s="147"/>
      <c r="S307" s="363"/>
      <c r="T307" s="176"/>
      <c r="U307" s="149"/>
      <c r="V307" s="149"/>
      <c r="W307" s="149"/>
    </row>
    <row r="308" spans="1:23" ht="52.5" customHeight="1" x14ac:dyDescent="0.25">
      <c r="A308" s="1212"/>
      <c r="B308" s="1210"/>
      <c r="C308" s="1214"/>
      <c r="D308" s="1214"/>
      <c r="E308" s="1214"/>
      <c r="F308" s="1211"/>
      <c r="G308" s="1665" t="s">
        <v>3481</v>
      </c>
      <c r="H308" s="1666"/>
      <c r="I308" s="1667"/>
      <c r="J308" s="786">
        <v>0.20300000000000001</v>
      </c>
      <c r="K308" s="151"/>
      <c r="L308" s="151"/>
      <c r="M308" s="146"/>
      <c r="N308" s="180"/>
      <c r="O308" s="151"/>
      <c r="P308" s="151"/>
      <c r="Q308" s="151"/>
      <c r="R308" s="147"/>
      <c r="S308" s="363"/>
      <c r="T308" s="176"/>
      <c r="U308" s="149"/>
      <c r="V308" s="149"/>
      <c r="W308" s="149"/>
    </row>
    <row r="309" spans="1:23" ht="52.5" customHeight="1" x14ac:dyDescent="0.25">
      <c r="A309" s="1212"/>
      <c r="B309" s="1210"/>
      <c r="C309" s="1214"/>
      <c r="D309" s="1214"/>
      <c r="E309" s="1214"/>
      <c r="F309" s="1211"/>
      <c r="G309" s="179"/>
      <c r="H309" s="179"/>
      <c r="I309" s="121"/>
      <c r="J309" s="151"/>
      <c r="K309" s="151"/>
      <c r="L309" s="151"/>
      <c r="M309" s="146"/>
      <c r="N309" s="180"/>
      <c r="O309" s="151"/>
      <c r="P309" s="151"/>
      <c r="Q309" s="151"/>
      <c r="R309" s="147"/>
      <c r="S309" s="363"/>
      <c r="T309" s="176"/>
      <c r="U309" s="149"/>
      <c r="V309" s="149"/>
      <c r="W309" s="149"/>
    </row>
    <row r="310" spans="1:23" ht="20.100000000000001" customHeight="1" thickBot="1" x14ac:dyDescent="0.3">
      <c r="A310" s="405"/>
      <c r="B310" s="394"/>
      <c r="C310" s="395"/>
      <c r="D310" s="395"/>
      <c r="E310" s="395"/>
      <c r="F310" s="396"/>
      <c r="G310" s="1555" t="s">
        <v>1860</v>
      </c>
      <c r="H310" s="1555"/>
      <c r="I310" s="1556"/>
      <c r="J310" s="136">
        <f>SUM(J305:J308)</f>
        <v>0.35300000000000004</v>
      </c>
      <c r="K310" s="183">
        <v>0.8</v>
      </c>
      <c r="L310" s="136">
        <f>J310/K310</f>
        <v>0.44125000000000003</v>
      </c>
      <c r="M310" s="1574" t="s">
        <v>1861</v>
      </c>
      <c r="N310" s="1556"/>
      <c r="O310" s="136">
        <f>SUM(O293:O296)</f>
        <v>0.19359999999999999</v>
      </c>
      <c r="P310" s="183">
        <v>0.8</v>
      </c>
      <c r="Q310" s="136">
        <f>O310/P310</f>
        <v>0.24199999999999999</v>
      </c>
      <c r="R310" s="1574" t="s">
        <v>1860</v>
      </c>
      <c r="S310" s="1555"/>
      <c r="T310" s="1556"/>
      <c r="U310" s="136">
        <f>SUM(U294)</f>
        <v>5.8299999999999998E-2</v>
      </c>
      <c r="V310" s="183">
        <v>0.8</v>
      </c>
      <c r="W310" s="136">
        <f>U310/V310</f>
        <v>7.2874999999999995E-2</v>
      </c>
    </row>
    <row r="311" spans="1:23" ht="20.100000000000001" customHeight="1" x14ac:dyDescent="0.25">
      <c r="A311" s="1683" t="str">
        <f>'Расчет ЦП - общая форма'!C317</f>
        <v>ПС  35/10 кВ Головино</v>
      </c>
      <c r="B311" s="1551">
        <f>'Расчет ЦП - общая форма'!D317</f>
        <v>2.5</v>
      </c>
      <c r="C311" s="1552" t="str">
        <f>'Расчет ЦП - общая форма'!E317</f>
        <v>+</v>
      </c>
      <c r="D311" s="1552">
        <f>'Расчет ЦП - общая форма'!F317</f>
        <v>2.5</v>
      </c>
      <c r="E311" s="399"/>
      <c r="F311" s="400"/>
      <c r="G311" s="1712" t="s">
        <v>1987</v>
      </c>
      <c r="H311" s="1712"/>
      <c r="I311" s="1712"/>
      <c r="J311" s="1712"/>
      <c r="K311" s="1712"/>
      <c r="L311" s="1702"/>
      <c r="M311" s="133"/>
      <c r="N311" s="175"/>
      <c r="O311" s="174"/>
      <c r="P311" s="77"/>
      <c r="Q311" s="77"/>
      <c r="R311" s="1713"/>
      <c r="S311" s="1691"/>
      <c r="T311" s="1691"/>
      <c r="U311" s="1691"/>
      <c r="V311" s="1691"/>
      <c r="W311" s="1692"/>
    </row>
    <row r="312" spans="1:23" ht="20.100000000000001" customHeight="1" x14ac:dyDescent="0.25">
      <c r="A312" s="1540"/>
      <c r="B312" s="1501"/>
      <c r="C312" s="1553"/>
      <c r="D312" s="1553"/>
      <c r="E312" s="403"/>
      <c r="F312" s="404"/>
      <c r="G312" s="262" t="s">
        <v>422</v>
      </c>
      <c r="H312" s="42" t="s">
        <v>423</v>
      </c>
      <c r="I312" s="45" t="s">
        <v>424</v>
      </c>
      <c r="J312" s="42">
        <v>0.09</v>
      </c>
      <c r="K312" s="42"/>
      <c r="L312" s="72"/>
      <c r="M312" s="42" t="s">
        <v>419</v>
      </c>
      <c r="N312" s="42" t="s">
        <v>420</v>
      </c>
      <c r="O312" s="153">
        <v>0.3</v>
      </c>
      <c r="P312" s="42"/>
      <c r="Q312" s="42"/>
      <c r="R312" s="72"/>
      <c r="S312" s="72"/>
      <c r="T312" s="72"/>
      <c r="U312" s="72"/>
      <c r="V312" s="72"/>
      <c r="W312" s="72"/>
    </row>
    <row r="313" spans="1:23" ht="30.75" customHeight="1" x14ac:dyDescent="0.25">
      <c r="A313" s="401"/>
      <c r="B313" s="402"/>
      <c r="C313" s="403"/>
      <c r="D313" s="403"/>
      <c r="E313" s="403"/>
      <c r="F313" s="404"/>
      <c r="G313" s="180" t="s">
        <v>425</v>
      </c>
      <c r="H313" s="151" t="s">
        <v>426</v>
      </c>
      <c r="I313" s="70" t="s">
        <v>427</v>
      </c>
      <c r="J313" s="151">
        <v>0.2</v>
      </c>
      <c r="K313" s="151"/>
      <c r="L313" s="149"/>
      <c r="M313" s="143" t="s">
        <v>421</v>
      </c>
      <c r="N313" s="143" t="s">
        <v>361</v>
      </c>
      <c r="O313" s="184">
        <v>0.6</v>
      </c>
      <c r="P313" s="143"/>
      <c r="Q313" s="143"/>
      <c r="R313" s="142"/>
      <c r="S313" s="142"/>
      <c r="T313" s="142"/>
      <c r="U313" s="142"/>
      <c r="V313" s="142"/>
      <c r="W313" s="142"/>
    </row>
    <row r="314" spans="1:23" ht="21" customHeight="1" x14ac:dyDescent="0.25">
      <c r="A314" s="581"/>
      <c r="B314" s="582"/>
      <c r="C314" s="584"/>
      <c r="D314" s="584"/>
      <c r="E314" s="584"/>
      <c r="F314" s="580"/>
      <c r="G314" s="1709" t="s">
        <v>2061</v>
      </c>
      <c r="H314" s="1709"/>
      <c r="I314" s="1709"/>
      <c r="J314" s="1709"/>
      <c r="K314" s="1709"/>
      <c r="L314" s="1709"/>
      <c r="M314" s="151"/>
      <c r="N314" s="151"/>
      <c r="O314" s="153"/>
      <c r="P314" s="143"/>
      <c r="Q314" s="143"/>
      <c r="R314" s="142"/>
      <c r="S314" s="142"/>
      <c r="T314" s="142"/>
      <c r="U314" s="142"/>
      <c r="V314" s="142"/>
      <c r="W314" s="142"/>
    </row>
    <row r="315" spans="1:23" ht="20.100000000000001" customHeight="1" x14ac:dyDescent="0.25">
      <c r="A315" s="401"/>
      <c r="B315" s="402"/>
      <c r="C315" s="403"/>
      <c r="D315" s="403"/>
      <c r="E315" s="403"/>
      <c r="F315" s="404"/>
      <c r="G315" s="567" t="s">
        <v>2207</v>
      </c>
      <c r="H315" s="218" t="s">
        <v>2208</v>
      </c>
      <c r="I315" s="70" t="s">
        <v>2381</v>
      </c>
      <c r="J315" s="151">
        <v>0.2</v>
      </c>
      <c r="K315" s="151"/>
      <c r="L315" s="149"/>
      <c r="M315" s="218" t="s">
        <v>1483</v>
      </c>
      <c r="N315" s="218" t="s">
        <v>1484</v>
      </c>
      <c r="O315" s="143">
        <v>9.8000000000000004E-2</v>
      </c>
      <c r="P315" s="143"/>
      <c r="Q315" s="143"/>
      <c r="R315" s="81"/>
      <c r="S315" s="81"/>
      <c r="T315" s="142"/>
      <c r="U315" s="142"/>
      <c r="V315" s="142"/>
      <c r="W315" s="142"/>
    </row>
    <row r="316" spans="1:23" ht="20.100000000000001" customHeight="1" x14ac:dyDescent="0.25">
      <c r="A316" s="629"/>
      <c r="B316" s="631"/>
      <c r="C316" s="632"/>
      <c r="D316" s="632"/>
      <c r="E316" s="632"/>
      <c r="F316" s="628"/>
      <c r="G316" s="1709" t="s">
        <v>2512</v>
      </c>
      <c r="H316" s="1709"/>
      <c r="I316" s="1709"/>
      <c r="J316" s="1709"/>
      <c r="K316" s="1709"/>
      <c r="L316" s="1709"/>
      <c r="M316" s="218" t="s">
        <v>3532</v>
      </c>
      <c r="N316" s="218" t="s">
        <v>3533</v>
      </c>
      <c r="O316" s="143">
        <v>0.1</v>
      </c>
      <c r="P316" s="151"/>
      <c r="Q316" s="151"/>
      <c r="R316" s="651"/>
      <c r="S316" s="652"/>
      <c r="T316" s="176"/>
      <c r="U316" s="149"/>
      <c r="V316" s="149"/>
      <c r="W316" s="149"/>
    </row>
    <row r="317" spans="1:23" ht="20.100000000000001" customHeight="1" x14ac:dyDescent="0.25">
      <c r="A317" s="401"/>
      <c r="B317" s="402"/>
      <c r="C317" s="403"/>
      <c r="D317" s="403"/>
      <c r="E317" s="403"/>
      <c r="F317" s="404"/>
      <c r="G317" s="218" t="s">
        <v>1483</v>
      </c>
      <c r="H317" s="143" t="s">
        <v>2544</v>
      </c>
      <c r="I317" s="121" t="s">
        <v>2582</v>
      </c>
      <c r="J317" s="143">
        <v>0.06</v>
      </c>
      <c r="K317" s="151"/>
      <c r="L317" s="149"/>
      <c r="M317" s="218"/>
      <c r="N317" s="143"/>
      <c r="O317" s="143"/>
      <c r="P317" s="151"/>
      <c r="Q317" s="151"/>
      <c r="R317" s="147"/>
      <c r="S317" s="363"/>
      <c r="T317" s="176"/>
      <c r="U317" s="149"/>
      <c r="V317" s="149"/>
      <c r="W317" s="149"/>
    </row>
    <row r="318" spans="1:23" ht="20.100000000000001" customHeight="1" x14ac:dyDescent="0.25">
      <c r="A318" s="1200"/>
      <c r="B318" s="1201"/>
      <c r="C318" s="1203"/>
      <c r="D318" s="1203"/>
      <c r="E318" s="1203"/>
      <c r="F318" s="1202"/>
      <c r="G318" s="1709" t="s">
        <v>3069</v>
      </c>
      <c r="H318" s="1709"/>
      <c r="I318" s="1709"/>
      <c r="J318" s="1709"/>
      <c r="K318" s="1709"/>
      <c r="L318" s="1709"/>
      <c r="M318" s="649"/>
      <c r="N318" s="180"/>
      <c r="O318" s="151"/>
      <c r="P318" s="151"/>
      <c r="Q318" s="151"/>
      <c r="R318" s="147"/>
      <c r="S318" s="363"/>
      <c r="T318" s="176"/>
      <c r="U318" s="149"/>
      <c r="V318" s="149"/>
      <c r="W318" s="149"/>
    </row>
    <row r="319" spans="1:23" ht="20.100000000000001" customHeight="1" x14ac:dyDescent="0.25">
      <c r="A319" s="1200"/>
      <c r="B319" s="1201"/>
      <c r="C319" s="1203"/>
      <c r="D319" s="1203"/>
      <c r="E319" s="1203"/>
      <c r="F319" s="1202"/>
      <c r="G319" s="1706" t="s">
        <v>3481</v>
      </c>
      <c r="H319" s="1707"/>
      <c r="I319" s="1708"/>
      <c r="J319" s="785">
        <v>1.875</v>
      </c>
      <c r="K319" s="785"/>
      <c r="L319" s="785"/>
      <c r="M319" s="649"/>
      <c r="N319" s="180"/>
      <c r="O319" s="151"/>
      <c r="P319" s="151"/>
      <c r="Q319" s="151"/>
      <c r="R319" s="147"/>
      <c r="S319" s="363"/>
      <c r="T319" s="176"/>
      <c r="U319" s="149"/>
      <c r="V319" s="149"/>
      <c r="W319" s="149"/>
    </row>
    <row r="320" spans="1:23" ht="20.100000000000001" customHeight="1" thickBot="1" x14ac:dyDescent="0.3">
      <c r="A320" s="405"/>
      <c r="B320" s="394"/>
      <c r="C320" s="395"/>
      <c r="D320" s="395"/>
      <c r="E320" s="395"/>
      <c r="F320" s="396"/>
      <c r="G320" s="1555"/>
      <c r="H320" s="1555"/>
      <c r="I320" s="1556"/>
      <c r="J320" s="136">
        <f>SUM(J317:J319)</f>
        <v>1.9350000000000001</v>
      </c>
      <c r="K320" s="183">
        <v>0.8</v>
      </c>
      <c r="L320" s="136">
        <f>J320/K320</f>
        <v>2.4187499999999997</v>
      </c>
      <c r="M320" s="1574" t="s">
        <v>1861</v>
      </c>
      <c r="N320" s="1556"/>
      <c r="O320" s="136">
        <f>SUM(O312:O317)</f>
        <v>1.0979999999999999</v>
      </c>
      <c r="P320" s="183">
        <v>0.8</v>
      </c>
      <c r="Q320" s="136">
        <f>O320/P320</f>
        <v>1.3724999999999998</v>
      </c>
      <c r="R320" s="1574" t="s">
        <v>1860</v>
      </c>
      <c r="S320" s="1555"/>
      <c r="T320" s="1556"/>
      <c r="U320" s="136">
        <f>SUM(U312:U315)</f>
        <v>0</v>
      </c>
      <c r="V320" s="183">
        <v>0.8</v>
      </c>
      <c r="W320" s="136">
        <f>U320/V320</f>
        <v>0</v>
      </c>
    </row>
    <row r="321" spans="1:23" ht="20.100000000000001" customHeight="1" x14ac:dyDescent="0.25">
      <c r="A321" s="1683" t="str">
        <f>'Расчет ЦП - общая форма'!C318</f>
        <v>ПС  35/6 кВ Каликино</v>
      </c>
      <c r="B321" s="1551">
        <f>'Расчет ЦП - общая форма'!D318</f>
        <v>2</v>
      </c>
      <c r="C321" s="1552" t="str">
        <f>'Расчет ЦП - общая форма'!E318</f>
        <v>+</v>
      </c>
      <c r="D321" s="1552">
        <f>'Расчет ЦП - общая форма'!F318</f>
        <v>3.2</v>
      </c>
      <c r="E321" s="399"/>
      <c r="F321" s="400"/>
      <c r="G321" s="1712" t="s">
        <v>1988</v>
      </c>
      <c r="H321" s="1712"/>
      <c r="I321" s="1712"/>
      <c r="J321" s="1712"/>
      <c r="K321" s="1712"/>
      <c r="L321" s="1702"/>
      <c r="M321" s="133"/>
      <c r="N321" s="175"/>
      <c r="O321" s="77"/>
      <c r="P321" s="77"/>
      <c r="Q321" s="77"/>
      <c r="R321" s="1713"/>
      <c r="S321" s="1691"/>
      <c r="T321" s="1691"/>
      <c r="U321" s="1691"/>
      <c r="V321" s="1691"/>
      <c r="W321" s="1692"/>
    </row>
    <row r="322" spans="1:23" s="18" customFormat="1" ht="19.5" customHeight="1" x14ac:dyDescent="0.25">
      <c r="A322" s="1540"/>
      <c r="B322" s="1501"/>
      <c r="C322" s="1553"/>
      <c r="D322" s="1553"/>
      <c r="E322" s="403"/>
      <c r="F322" s="404"/>
      <c r="G322" s="184" t="s">
        <v>433</v>
      </c>
      <c r="H322" s="143" t="s">
        <v>434</v>
      </c>
      <c r="I322" s="143" t="s">
        <v>435</v>
      </c>
      <c r="J322" s="143">
        <v>2.1000000000000001E-2</v>
      </c>
      <c r="K322" s="143"/>
      <c r="L322" s="142"/>
      <c r="M322" s="143" t="s">
        <v>1061</v>
      </c>
      <c r="N322" s="143" t="s">
        <v>428</v>
      </c>
      <c r="O322" s="53">
        <v>0.46700000000000003</v>
      </c>
      <c r="P322" s="143"/>
      <c r="Q322" s="143"/>
      <c r="R322" s="142"/>
      <c r="S322" s="142"/>
      <c r="T322" s="142"/>
      <c r="U322" s="142"/>
      <c r="V322" s="142"/>
      <c r="W322" s="142"/>
    </row>
    <row r="323" spans="1:23" s="18" customFormat="1" ht="19.5" customHeight="1" x14ac:dyDescent="0.25">
      <c r="A323" s="401"/>
      <c r="B323" s="402"/>
      <c r="C323" s="403"/>
      <c r="D323" s="403"/>
      <c r="E323" s="403"/>
      <c r="F323" s="404"/>
      <c r="G323" s="1664" t="s">
        <v>1987</v>
      </c>
      <c r="H323" s="1709"/>
      <c r="I323" s="1709"/>
      <c r="J323" s="1709"/>
      <c r="K323" s="1709"/>
      <c r="L323" s="1709"/>
      <c r="M323" s="143"/>
      <c r="N323" s="143"/>
      <c r="O323" s="53"/>
      <c r="P323" s="143"/>
      <c r="Q323" s="143"/>
      <c r="R323" s="1694"/>
      <c r="S323" s="1694"/>
      <c r="T323" s="1694"/>
      <c r="U323" s="1694"/>
      <c r="V323" s="1694"/>
      <c r="W323" s="1694"/>
    </row>
    <row r="324" spans="1:23" ht="63" customHeight="1" x14ac:dyDescent="0.25">
      <c r="A324" s="401"/>
      <c r="B324" s="402"/>
      <c r="C324" s="403"/>
      <c r="D324" s="403"/>
      <c r="E324" s="403"/>
      <c r="F324" s="404"/>
      <c r="G324" s="184" t="s">
        <v>431</v>
      </c>
      <c r="H324" s="143" t="s">
        <v>432</v>
      </c>
      <c r="I324" s="215" t="s">
        <v>2342</v>
      </c>
      <c r="J324" s="143">
        <v>2.5000000000000001E-2</v>
      </c>
      <c r="K324" s="143"/>
      <c r="L324" s="142"/>
      <c r="M324" s="142" t="s">
        <v>429</v>
      </c>
      <c r="N324" s="142" t="s">
        <v>430</v>
      </c>
      <c r="O324" s="143">
        <v>1.105</v>
      </c>
      <c r="P324" s="143"/>
      <c r="Q324" s="143"/>
      <c r="R324" s="142"/>
      <c r="S324" s="142"/>
      <c r="T324" s="216"/>
      <c r="U324" s="142"/>
      <c r="V324" s="142"/>
      <c r="W324" s="142"/>
    </row>
    <row r="325" spans="1:23" ht="23.25" customHeight="1" x14ac:dyDescent="0.25">
      <c r="A325" s="805"/>
      <c r="B325" s="806"/>
      <c r="C325" s="808"/>
      <c r="D325" s="808"/>
      <c r="E325" s="808"/>
      <c r="F325" s="804"/>
      <c r="G325" s="1664" t="s">
        <v>2512</v>
      </c>
      <c r="H325" s="1709"/>
      <c r="I325" s="1709"/>
      <c r="J325" s="1709"/>
      <c r="K325" s="1709"/>
      <c r="L325" s="1709"/>
      <c r="M325" s="1283" t="s">
        <v>3369</v>
      </c>
      <c r="N325" s="1283" t="s">
        <v>3523</v>
      </c>
      <c r="O325" s="143">
        <v>0</v>
      </c>
      <c r="P325" s="143"/>
      <c r="Q325" s="143"/>
      <c r="R325" s="142"/>
      <c r="S325" s="142"/>
      <c r="T325" s="216"/>
      <c r="U325" s="142"/>
      <c r="V325" s="142"/>
      <c r="W325" s="142"/>
    </row>
    <row r="326" spans="1:23" ht="38.25" customHeight="1" x14ac:dyDescent="0.25">
      <c r="A326" s="401"/>
      <c r="B326" s="402"/>
      <c r="C326" s="403"/>
      <c r="D326" s="403"/>
      <c r="E326" s="403"/>
      <c r="F326" s="404"/>
      <c r="G326" s="184" t="s">
        <v>1485</v>
      </c>
      <c r="H326" s="143" t="s">
        <v>2828</v>
      </c>
      <c r="I326" s="143" t="s">
        <v>2916</v>
      </c>
      <c r="J326" s="143">
        <v>4.1050000000000004</v>
      </c>
      <c r="K326" s="143"/>
      <c r="L326" s="142"/>
      <c r="M326" s="143"/>
      <c r="N326" s="143"/>
      <c r="O326" s="143"/>
      <c r="P326" s="143"/>
      <c r="Q326" s="143"/>
      <c r="R326" s="142"/>
      <c r="S326" s="142"/>
      <c r="T326" s="142"/>
      <c r="U326" s="142"/>
      <c r="V326" s="142"/>
      <c r="W326" s="142"/>
    </row>
    <row r="327" spans="1:23" ht="38.25" customHeight="1" x14ac:dyDescent="0.25">
      <c r="A327" s="1060"/>
      <c r="B327" s="1058"/>
      <c r="C327" s="1061"/>
      <c r="D327" s="1061"/>
      <c r="E327" s="1061"/>
      <c r="F327" s="1059"/>
      <c r="G327" s="1664" t="s">
        <v>3069</v>
      </c>
      <c r="H327" s="1709"/>
      <c r="I327" s="1709"/>
      <c r="J327" s="1709"/>
      <c r="K327" s="1709"/>
      <c r="L327" s="1709"/>
      <c r="M327" s="146"/>
      <c r="N327" s="180"/>
      <c r="O327" s="151"/>
      <c r="P327" s="151"/>
      <c r="Q327" s="151"/>
      <c r="R327" s="147"/>
      <c r="S327" s="363"/>
      <c r="T327" s="176"/>
      <c r="U327" s="149"/>
      <c r="V327" s="149"/>
      <c r="W327" s="149"/>
    </row>
    <row r="328" spans="1:23" ht="38.25" customHeight="1" x14ac:dyDescent="0.25">
      <c r="A328" s="1060"/>
      <c r="B328" s="1058"/>
      <c r="C328" s="1061"/>
      <c r="D328" s="1061"/>
      <c r="E328" s="1061"/>
      <c r="F328" s="1059"/>
      <c r="G328" s="142" t="s">
        <v>2645</v>
      </c>
      <c r="H328" s="142" t="s">
        <v>3160</v>
      </c>
      <c r="I328" s="180" t="s">
        <v>3193</v>
      </c>
      <c r="J328" s="143">
        <f>0.08-0.0242</f>
        <v>5.5800000000000002E-2</v>
      </c>
      <c r="K328" s="151"/>
      <c r="L328" s="149"/>
      <c r="M328" s="146"/>
      <c r="N328" s="180"/>
      <c r="O328" s="151"/>
      <c r="P328" s="151"/>
      <c r="Q328" s="151"/>
      <c r="R328" s="147"/>
      <c r="S328" s="363"/>
      <c r="T328" s="176"/>
      <c r="U328" s="149"/>
      <c r="V328" s="149"/>
      <c r="W328" s="149"/>
    </row>
    <row r="329" spans="1:23" ht="38.25" customHeight="1" x14ac:dyDescent="0.25">
      <c r="A329" s="1175"/>
      <c r="B329" s="1173"/>
      <c r="C329" s="1176"/>
      <c r="D329" s="1176"/>
      <c r="E329" s="1176"/>
      <c r="F329" s="1174"/>
      <c r="G329" s="142" t="s">
        <v>3369</v>
      </c>
      <c r="H329" s="142" t="s">
        <v>3370</v>
      </c>
      <c r="I329" s="180" t="s">
        <v>3439</v>
      </c>
      <c r="J329" s="151">
        <v>0</v>
      </c>
      <c r="K329" s="151"/>
      <c r="L329" s="149"/>
      <c r="M329" s="146"/>
      <c r="N329" s="180"/>
      <c r="O329" s="151"/>
      <c r="P329" s="151"/>
      <c r="Q329" s="151"/>
      <c r="R329" s="147"/>
      <c r="S329" s="363"/>
      <c r="T329" s="176"/>
      <c r="U329" s="149"/>
      <c r="V329" s="149"/>
      <c r="W329" s="149"/>
    </row>
    <row r="330" spans="1:23" ht="38.25" customHeight="1" x14ac:dyDescent="0.25">
      <c r="A330" s="1200"/>
      <c r="B330" s="1201"/>
      <c r="C330" s="1203"/>
      <c r="D330" s="1203"/>
      <c r="E330" s="1203"/>
      <c r="F330" s="1202"/>
      <c r="G330" s="1706" t="s">
        <v>3481</v>
      </c>
      <c r="H330" s="1707"/>
      <c r="I330" s="1708"/>
      <c r="J330" s="785">
        <v>0.16650000000000001</v>
      </c>
      <c r="K330" s="785"/>
      <c r="L330" s="785"/>
      <c r="M330" s="146"/>
      <c r="N330" s="180"/>
      <c r="O330" s="151"/>
      <c r="P330" s="151"/>
      <c r="Q330" s="151"/>
      <c r="R330" s="147"/>
      <c r="S330" s="363"/>
      <c r="T330" s="176"/>
      <c r="U330" s="149"/>
      <c r="V330" s="149"/>
      <c r="W330" s="149"/>
    </row>
    <row r="331" spans="1:23" ht="20.100000000000001" customHeight="1" thickBot="1" x14ac:dyDescent="0.3">
      <c r="A331" s="405"/>
      <c r="B331" s="394"/>
      <c r="C331" s="395"/>
      <c r="D331" s="395"/>
      <c r="E331" s="395"/>
      <c r="F331" s="396"/>
      <c r="G331" s="1530" t="s">
        <v>1860</v>
      </c>
      <c r="H331" s="1530"/>
      <c r="I331" s="1531"/>
      <c r="J331" s="181">
        <f>SUM(J326:J330)</f>
        <v>4.3273000000000001</v>
      </c>
      <c r="K331" s="151">
        <v>0.8</v>
      </c>
      <c r="L331" s="181">
        <f>J331/K331</f>
        <v>5.4091249999999995</v>
      </c>
      <c r="M331" s="1529" t="s">
        <v>1861</v>
      </c>
      <c r="N331" s="1531"/>
      <c r="O331" s="181">
        <f>SUM(O322:O326)</f>
        <v>1.5720000000000001</v>
      </c>
      <c r="P331" s="151">
        <v>0.8</v>
      </c>
      <c r="Q331" s="181">
        <f>O331/P331</f>
        <v>1.9650000000000001</v>
      </c>
      <c r="R331" s="1529" t="s">
        <v>1860</v>
      </c>
      <c r="S331" s="1530"/>
      <c r="T331" s="1531"/>
      <c r="U331" s="181">
        <f>SUM(U322:U326)</f>
        <v>0</v>
      </c>
      <c r="V331" s="151">
        <v>0.8</v>
      </c>
      <c r="W331" s="181">
        <f>U331/V331</f>
        <v>0</v>
      </c>
    </row>
    <row r="332" spans="1:23" ht="20.100000000000001" customHeight="1" x14ac:dyDescent="0.25">
      <c r="A332" s="1683" t="str">
        <f>'Расчет ЦП - общая форма'!C319</f>
        <v>ПС 35/10 кВ Квакшино</v>
      </c>
      <c r="B332" s="1551">
        <f>'Расчет ЦП - общая форма'!D319</f>
        <v>4</v>
      </c>
      <c r="C332" s="1552" t="str">
        <f>'Расчет ЦП - общая форма'!E319</f>
        <v>+</v>
      </c>
      <c r="D332" s="1552">
        <f>'Расчет ЦП - общая форма'!F319</f>
        <v>4</v>
      </c>
      <c r="E332" s="399"/>
      <c r="F332" s="400"/>
      <c r="G332" s="1702" t="s">
        <v>2061</v>
      </c>
      <c r="H332" s="1703"/>
      <c r="I332" s="1703"/>
      <c r="J332" s="1703"/>
      <c r="K332" s="1703"/>
      <c r="L332" s="1703"/>
      <c r="M332" s="77"/>
      <c r="N332" s="77"/>
      <c r="O332" s="77"/>
      <c r="P332" s="77"/>
      <c r="Q332" s="279"/>
      <c r="R332" s="1692"/>
      <c r="S332" s="1690"/>
      <c r="T332" s="1690"/>
      <c r="U332" s="1690"/>
      <c r="V332" s="1690"/>
      <c r="W332" s="1690"/>
    </row>
    <row r="333" spans="1:23" ht="77.25" customHeight="1" x14ac:dyDescent="0.25">
      <c r="A333" s="1540"/>
      <c r="B333" s="1501"/>
      <c r="C333" s="1553"/>
      <c r="D333" s="1553"/>
      <c r="E333" s="403"/>
      <c r="F333" s="404"/>
      <c r="G333" s="278" t="s">
        <v>1488</v>
      </c>
      <c r="H333" s="154" t="s">
        <v>1496</v>
      </c>
      <c r="I333" s="143" t="s">
        <v>2305</v>
      </c>
      <c r="J333" s="56">
        <v>1.6E-2</v>
      </c>
      <c r="K333" s="143"/>
      <c r="L333" s="142"/>
      <c r="M333" s="142" t="s">
        <v>473</v>
      </c>
      <c r="N333" s="142" t="s">
        <v>2771</v>
      </c>
      <c r="O333" s="142">
        <v>0.09</v>
      </c>
      <c r="P333" s="142"/>
      <c r="Q333" s="280"/>
      <c r="R333" s="370"/>
      <c r="S333" s="81"/>
      <c r="T333" s="142"/>
      <c r="U333" s="367"/>
      <c r="V333" s="142"/>
      <c r="W333" s="142"/>
    </row>
    <row r="334" spans="1:23" ht="24.75" customHeight="1" x14ac:dyDescent="0.25">
      <c r="A334" s="695"/>
      <c r="B334" s="697"/>
      <c r="C334" s="698"/>
      <c r="D334" s="698"/>
      <c r="E334" s="698"/>
      <c r="F334" s="694"/>
      <c r="G334" s="1664" t="s">
        <v>3069</v>
      </c>
      <c r="H334" s="1709"/>
      <c r="I334" s="1709"/>
      <c r="J334" s="1709"/>
      <c r="K334" s="1709"/>
      <c r="L334" s="1709"/>
      <c r="M334" s="149"/>
      <c r="N334" s="149"/>
      <c r="O334" s="149"/>
      <c r="P334" s="149"/>
      <c r="Q334" s="712"/>
      <c r="R334" s="713"/>
      <c r="S334" s="377"/>
      <c r="T334" s="149"/>
      <c r="U334" s="714"/>
      <c r="V334" s="149"/>
      <c r="W334" s="149"/>
    </row>
    <row r="335" spans="1:23" ht="77.25" customHeight="1" x14ac:dyDescent="0.25">
      <c r="A335" s="1200"/>
      <c r="B335" s="1201"/>
      <c r="C335" s="1203"/>
      <c r="D335" s="1203"/>
      <c r="E335" s="1203"/>
      <c r="F335" s="1202"/>
      <c r="G335" s="1706" t="s">
        <v>3481</v>
      </c>
      <c r="H335" s="1707"/>
      <c r="I335" s="1708"/>
      <c r="J335" s="785">
        <v>0.16700000000000001</v>
      </c>
      <c r="K335" s="785"/>
      <c r="L335" s="785"/>
      <c r="M335" s="149"/>
      <c r="N335" s="149"/>
      <c r="O335" s="149"/>
      <c r="P335" s="149"/>
      <c r="Q335" s="712"/>
      <c r="R335" s="713"/>
      <c r="S335" s="377"/>
      <c r="T335" s="149"/>
      <c r="U335" s="714"/>
      <c r="V335" s="149"/>
      <c r="W335" s="149"/>
    </row>
    <row r="336" spans="1:23" ht="20.100000000000001" customHeight="1" thickBot="1" x14ac:dyDescent="0.3">
      <c r="A336" s="405"/>
      <c r="B336" s="394"/>
      <c r="C336" s="395"/>
      <c r="D336" s="395"/>
      <c r="E336" s="395"/>
      <c r="F336" s="396"/>
      <c r="G336" s="1531" t="s">
        <v>1860</v>
      </c>
      <c r="H336" s="1526"/>
      <c r="I336" s="1526"/>
      <c r="J336" s="277">
        <f>SUM(J333:J335)</f>
        <v>0.183</v>
      </c>
      <c r="K336" s="151">
        <v>0.8</v>
      </c>
      <c r="L336" s="181">
        <f>J336/K336</f>
        <v>0.22874999999999998</v>
      </c>
      <c r="M336" s="1526" t="s">
        <v>1861</v>
      </c>
      <c r="N336" s="1526"/>
      <c r="O336" s="181">
        <f>SUM(O333)</f>
        <v>0.09</v>
      </c>
      <c r="P336" s="151">
        <v>0.8</v>
      </c>
      <c r="Q336" s="274">
        <f>O336/P336</f>
        <v>0.11249999999999999</v>
      </c>
      <c r="R336" s="1531" t="s">
        <v>1860</v>
      </c>
      <c r="S336" s="1526"/>
      <c r="T336" s="1526"/>
      <c r="U336" s="277">
        <f>SUM(U333:U333)</f>
        <v>0</v>
      </c>
      <c r="V336" s="151">
        <v>0.8</v>
      </c>
      <c r="W336" s="181">
        <f>U336/V336</f>
        <v>0</v>
      </c>
    </row>
    <row r="337" spans="1:23" ht="15" customHeight="1" x14ac:dyDescent="0.25">
      <c r="A337" s="1683" t="str">
        <f>'Расчет ЦП - общая форма'!C320</f>
        <v>ПС  35/10 кВ Городня</v>
      </c>
      <c r="B337" s="1551">
        <f>'Расчет ЦП - общая форма'!D320</f>
        <v>6.3</v>
      </c>
      <c r="C337" s="1552" t="str">
        <f>'Расчет ЦП - общая форма'!E320</f>
        <v>+</v>
      </c>
      <c r="D337" s="1552">
        <f>'Расчет ЦП - общая форма'!F320</f>
        <v>6.3</v>
      </c>
      <c r="E337" s="399"/>
      <c r="F337" s="400"/>
      <c r="G337" s="1702" t="s">
        <v>1991</v>
      </c>
      <c r="H337" s="1703"/>
      <c r="I337" s="1703"/>
      <c r="J337" s="1703"/>
      <c r="K337" s="1703"/>
      <c r="L337" s="1703"/>
      <c r="M337" s="77" t="s">
        <v>439</v>
      </c>
      <c r="N337" s="4"/>
      <c r="O337" s="4">
        <v>3.5000000000000003E-2</v>
      </c>
      <c r="P337" s="77"/>
      <c r="Q337" s="279"/>
      <c r="R337" s="1690"/>
      <c r="S337" s="1690"/>
      <c r="T337" s="1690"/>
      <c r="U337" s="1690"/>
      <c r="V337" s="1690"/>
      <c r="W337" s="1690"/>
    </row>
    <row r="338" spans="1:23" s="18" customFormat="1" ht="42.75" customHeight="1" x14ac:dyDescent="0.25">
      <c r="A338" s="1540"/>
      <c r="B338" s="1501"/>
      <c r="C338" s="1553"/>
      <c r="D338" s="1553"/>
      <c r="E338" s="403"/>
      <c r="F338" s="404"/>
      <c r="G338" s="66" t="s">
        <v>436</v>
      </c>
      <c r="H338" s="2" t="s">
        <v>437</v>
      </c>
      <c r="I338" s="2" t="s">
        <v>438</v>
      </c>
      <c r="J338" s="143">
        <v>0.1066</v>
      </c>
      <c r="K338" s="143"/>
      <c r="L338" s="142"/>
      <c r="M338" s="154"/>
      <c r="N338" s="154"/>
      <c r="O338" s="143"/>
      <c r="P338" s="143"/>
      <c r="Q338" s="282"/>
      <c r="R338" s="142"/>
      <c r="S338" s="142"/>
      <c r="T338" s="142"/>
      <c r="U338" s="142"/>
      <c r="V338" s="142"/>
      <c r="W338" s="142"/>
    </row>
    <row r="339" spans="1:23" s="18" customFormat="1" ht="14.25" customHeight="1" x14ac:dyDescent="0.25">
      <c r="A339" s="401"/>
      <c r="B339" s="402"/>
      <c r="C339" s="403"/>
      <c r="D339" s="403"/>
      <c r="E339" s="403"/>
      <c r="F339" s="404"/>
      <c r="G339" s="1664" t="s">
        <v>1988</v>
      </c>
      <c r="H339" s="1709"/>
      <c r="I339" s="1709"/>
      <c r="J339" s="1709"/>
      <c r="K339" s="1709"/>
      <c r="L339" s="1709"/>
      <c r="M339" s="154"/>
      <c r="N339" s="154"/>
      <c r="O339" s="143"/>
      <c r="P339" s="143"/>
      <c r="Q339" s="282"/>
      <c r="R339" s="1694"/>
      <c r="S339" s="1694"/>
      <c r="T339" s="1694"/>
      <c r="U339" s="1694"/>
      <c r="V339" s="1694"/>
      <c r="W339" s="1694"/>
    </row>
    <row r="340" spans="1:23" s="18" customFormat="1" ht="40.5" customHeight="1" x14ac:dyDescent="0.25">
      <c r="A340" s="401"/>
      <c r="B340" s="402"/>
      <c r="C340" s="403"/>
      <c r="D340" s="403"/>
      <c r="E340" s="403"/>
      <c r="F340" s="404"/>
      <c r="G340" s="184" t="s">
        <v>440</v>
      </c>
      <c r="H340" s="143" t="s">
        <v>441</v>
      </c>
      <c r="I340" s="2" t="s">
        <v>442</v>
      </c>
      <c r="J340" s="143">
        <v>0.06</v>
      </c>
      <c r="K340" s="143"/>
      <c r="L340" s="142"/>
      <c r="M340" s="154" t="s">
        <v>1485</v>
      </c>
      <c r="N340" s="1" t="s">
        <v>788</v>
      </c>
      <c r="O340" s="1">
        <v>0.54500000000000004</v>
      </c>
      <c r="P340" s="143"/>
      <c r="Q340" s="282"/>
      <c r="R340" s="142"/>
      <c r="S340" s="142"/>
      <c r="T340" s="142"/>
      <c r="U340" s="142"/>
      <c r="V340" s="142"/>
      <c r="W340" s="142"/>
    </row>
    <row r="341" spans="1:23" s="18" customFormat="1" ht="13.5" customHeight="1" x14ac:dyDescent="0.25">
      <c r="A341" s="581"/>
      <c r="B341" s="582"/>
      <c r="C341" s="584"/>
      <c r="D341" s="584"/>
      <c r="E341" s="584"/>
      <c r="F341" s="580"/>
      <c r="G341" s="1664" t="s">
        <v>1987</v>
      </c>
      <c r="H341" s="1709"/>
      <c r="I341" s="1709"/>
      <c r="J341" s="1709"/>
      <c r="K341" s="1709"/>
      <c r="L341" s="1709"/>
      <c r="M341" s="154"/>
      <c r="N341" s="1"/>
      <c r="O341" s="1"/>
      <c r="P341" s="143"/>
      <c r="Q341" s="282"/>
      <c r="R341" s="142"/>
      <c r="S341" s="142"/>
      <c r="T341" s="142"/>
      <c r="U341" s="142"/>
      <c r="V341" s="142"/>
      <c r="W341" s="142"/>
    </row>
    <row r="342" spans="1:23" ht="39.75" customHeight="1" thickBot="1" x14ac:dyDescent="0.3">
      <c r="A342" s="401"/>
      <c r="B342" s="402"/>
      <c r="C342" s="403"/>
      <c r="D342" s="403"/>
      <c r="E342" s="403"/>
      <c r="F342" s="404"/>
      <c r="G342" s="184" t="s">
        <v>2347</v>
      </c>
      <c r="H342" s="154" t="s">
        <v>2348</v>
      </c>
      <c r="I342" s="143" t="s">
        <v>2349</v>
      </c>
      <c r="J342" s="143">
        <v>0.1</v>
      </c>
      <c r="K342" s="143"/>
      <c r="L342" s="142"/>
      <c r="M342" s="143" t="s">
        <v>3340</v>
      </c>
      <c r="N342" s="143" t="s">
        <v>3339</v>
      </c>
      <c r="O342" s="143">
        <v>0.45</v>
      </c>
      <c r="P342" s="143"/>
      <c r="Q342" s="282"/>
      <c r="R342" s="142"/>
      <c r="S342" s="81"/>
      <c r="T342" s="142"/>
      <c r="U342" s="142"/>
      <c r="V342" s="142"/>
      <c r="W342" s="142"/>
    </row>
    <row r="343" spans="1:23" ht="18.75" customHeight="1" x14ac:dyDescent="0.25">
      <c r="A343" s="581"/>
      <c r="B343" s="582"/>
      <c r="C343" s="584"/>
      <c r="D343" s="584"/>
      <c r="E343" s="584"/>
      <c r="F343" s="580"/>
      <c r="G343" s="1702" t="s">
        <v>2061</v>
      </c>
      <c r="H343" s="1703"/>
      <c r="I343" s="1703"/>
      <c r="J343" s="1703"/>
      <c r="K343" s="1703"/>
      <c r="L343" s="1703"/>
      <c r="M343" s="151" t="s">
        <v>3340</v>
      </c>
      <c r="N343" s="151" t="s">
        <v>3341</v>
      </c>
      <c r="O343" s="151">
        <v>2.63</v>
      </c>
      <c r="P343" s="151"/>
      <c r="Q343" s="285"/>
      <c r="R343" s="149"/>
      <c r="S343" s="377"/>
      <c r="T343" s="149"/>
      <c r="U343" s="149"/>
      <c r="V343" s="149"/>
      <c r="W343" s="149"/>
    </row>
    <row r="344" spans="1:23" ht="27" customHeight="1" x14ac:dyDescent="0.25">
      <c r="A344" s="581"/>
      <c r="B344" s="582"/>
      <c r="C344" s="584"/>
      <c r="D344" s="584"/>
      <c r="E344" s="584"/>
      <c r="F344" s="580"/>
      <c r="G344" s="184" t="s">
        <v>1485</v>
      </c>
      <c r="H344" s="154" t="s">
        <v>1486</v>
      </c>
      <c r="I344" s="2" t="s">
        <v>2252</v>
      </c>
      <c r="J344" s="143">
        <v>0.32</v>
      </c>
      <c r="K344" s="143"/>
      <c r="L344" s="142"/>
      <c r="M344" s="151"/>
      <c r="N344" s="151"/>
      <c r="O344" s="151"/>
      <c r="P344" s="151"/>
      <c r="Q344" s="285"/>
      <c r="R344" s="149"/>
      <c r="S344" s="377"/>
      <c r="T344" s="149"/>
      <c r="U344" s="149"/>
      <c r="V344" s="149"/>
      <c r="W344" s="149"/>
    </row>
    <row r="345" spans="1:23" ht="27" customHeight="1" thickBot="1" x14ac:dyDescent="0.3">
      <c r="A345" s="581"/>
      <c r="B345" s="582"/>
      <c r="C345" s="584"/>
      <c r="D345" s="584"/>
      <c r="E345" s="584"/>
      <c r="F345" s="580"/>
      <c r="G345" s="184" t="s">
        <v>1485</v>
      </c>
      <c r="H345" s="154" t="s">
        <v>1487</v>
      </c>
      <c r="I345" s="143" t="s">
        <v>2253</v>
      </c>
      <c r="J345" s="143">
        <v>0.32</v>
      </c>
      <c r="K345" s="143"/>
      <c r="L345" s="142"/>
      <c r="M345" s="151"/>
      <c r="N345" s="151"/>
      <c r="O345" s="151"/>
      <c r="P345" s="151"/>
      <c r="Q345" s="285"/>
      <c r="R345" s="149"/>
      <c r="S345" s="377"/>
      <c r="T345" s="149"/>
      <c r="U345" s="149"/>
      <c r="V345" s="149"/>
      <c r="W345" s="149"/>
    </row>
    <row r="346" spans="1:23" ht="27" customHeight="1" x14ac:dyDescent="0.25">
      <c r="A346" s="855"/>
      <c r="B346" s="857"/>
      <c r="C346" s="858"/>
      <c r="D346" s="858"/>
      <c r="E346" s="858"/>
      <c r="F346" s="854"/>
      <c r="G346" s="1702" t="s">
        <v>2512</v>
      </c>
      <c r="H346" s="1703"/>
      <c r="I346" s="1703"/>
      <c r="J346" s="1703"/>
      <c r="K346" s="1703"/>
      <c r="L346" s="1703"/>
      <c r="M346" s="151"/>
      <c r="N346" s="151"/>
      <c r="O346" s="151"/>
      <c r="P346" s="151"/>
      <c r="Q346" s="285"/>
      <c r="R346" s="149"/>
      <c r="S346" s="377"/>
      <c r="T346" s="149"/>
      <c r="U346" s="149"/>
      <c r="V346" s="149"/>
      <c r="W346" s="149"/>
    </row>
    <row r="347" spans="1:23" ht="27" customHeight="1" thickBot="1" x14ac:dyDescent="0.3">
      <c r="A347" s="855"/>
      <c r="B347" s="857"/>
      <c r="C347" s="858"/>
      <c r="D347" s="858"/>
      <c r="E347" s="858"/>
      <c r="F347" s="854"/>
      <c r="G347" s="180" t="s">
        <v>2959</v>
      </c>
      <c r="H347" s="218" t="s">
        <v>3018</v>
      </c>
      <c r="I347" s="151" t="s">
        <v>3019</v>
      </c>
      <c r="J347" s="151">
        <v>6.0600000000000001E-2</v>
      </c>
      <c r="K347" s="151"/>
      <c r="L347" s="149"/>
      <c r="M347" s="151"/>
      <c r="N347" s="151"/>
      <c r="O347" s="151"/>
      <c r="P347" s="151"/>
      <c r="Q347" s="285"/>
      <c r="R347" s="149"/>
      <c r="S347" s="377"/>
      <c r="T347" s="149"/>
      <c r="U347" s="149"/>
      <c r="V347" s="149"/>
      <c r="W347" s="149"/>
    </row>
    <row r="348" spans="1:23" ht="27" customHeight="1" x14ac:dyDescent="0.25">
      <c r="A348" s="1200"/>
      <c r="B348" s="1201"/>
      <c r="C348" s="1203"/>
      <c r="D348" s="1203"/>
      <c r="E348" s="1203"/>
      <c r="F348" s="1202"/>
      <c r="G348" s="1702" t="s">
        <v>3069</v>
      </c>
      <c r="H348" s="1703"/>
      <c r="I348" s="1703"/>
      <c r="J348" s="1703"/>
      <c r="K348" s="1703"/>
      <c r="L348" s="1703"/>
      <c r="M348" s="151"/>
      <c r="N348" s="151"/>
      <c r="O348" s="151"/>
      <c r="P348" s="151"/>
      <c r="Q348" s="285"/>
      <c r="R348" s="149"/>
      <c r="S348" s="377"/>
      <c r="T348" s="149"/>
      <c r="U348" s="149"/>
      <c r="V348" s="149"/>
      <c r="W348" s="149"/>
    </row>
    <row r="349" spans="1:23" ht="33.75" customHeight="1" x14ac:dyDescent="0.25">
      <c r="A349" s="1200"/>
      <c r="B349" s="1201"/>
      <c r="C349" s="1203"/>
      <c r="D349" s="1203"/>
      <c r="E349" s="1203"/>
      <c r="F349" s="1202"/>
      <c r="G349" s="1665" t="s">
        <v>3481</v>
      </c>
      <c r="H349" s="1666"/>
      <c r="I349" s="1667"/>
      <c r="J349" s="786">
        <v>0.34799999999999998</v>
      </c>
      <c r="K349" s="786"/>
      <c r="L349" s="786"/>
      <c r="M349" s="151"/>
      <c r="N349" s="151"/>
      <c r="O349" s="151"/>
      <c r="P349" s="151"/>
      <c r="Q349" s="285"/>
      <c r="R349" s="149"/>
      <c r="S349" s="377"/>
      <c r="T349" s="149"/>
      <c r="U349" s="149"/>
      <c r="V349" s="149"/>
      <c r="W349" s="149"/>
    </row>
    <row r="350" spans="1:23" ht="20.100000000000001" customHeight="1" thickBot="1" x14ac:dyDescent="0.3">
      <c r="A350" s="405"/>
      <c r="B350" s="394"/>
      <c r="C350" s="395"/>
      <c r="D350" s="395"/>
      <c r="E350" s="395"/>
      <c r="F350" s="396"/>
      <c r="G350" s="1556" t="s">
        <v>1860</v>
      </c>
      <c r="H350" s="1711"/>
      <c r="I350" s="1711"/>
      <c r="J350" s="136">
        <f>SUM(J347:J349)</f>
        <v>0.40859999999999996</v>
      </c>
      <c r="K350" s="183">
        <v>0.8</v>
      </c>
      <c r="L350" s="136">
        <f>J350/K350</f>
        <v>0.51074999999999993</v>
      </c>
      <c r="M350" s="1711" t="s">
        <v>1861</v>
      </c>
      <c r="N350" s="1711"/>
      <c r="O350" s="136">
        <f>SUM(O337:O343)</f>
        <v>3.66</v>
      </c>
      <c r="P350" s="183">
        <v>0.8</v>
      </c>
      <c r="Q350" s="273">
        <f>O350/P350</f>
        <v>4.5750000000000002</v>
      </c>
      <c r="R350" s="1711" t="s">
        <v>1860</v>
      </c>
      <c r="S350" s="1711"/>
      <c r="T350" s="1711"/>
      <c r="U350" s="136" t="e">
        <f>SUM(U340:U342,#REF!)</f>
        <v>#REF!</v>
      </c>
      <c r="V350" s="183">
        <v>0.8</v>
      </c>
      <c r="W350" s="136" t="e">
        <f>U350/V350</f>
        <v>#REF!</v>
      </c>
    </row>
    <row r="351" spans="1:23" s="18" customFormat="1" ht="20.100000000000001" customHeight="1" x14ac:dyDescent="0.25">
      <c r="A351" s="406" t="str">
        <f>'Расчет ЦП - общая форма'!C321</f>
        <v xml:space="preserve">ПС 35/10 кВ Рязаново </v>
      </c>
      <c r="B351" s="398">
        <f>'Расчет ЦП - общая форма'!D321</f>
        <v>4</v>
      </c>
      <c r="C351" s="399" t="str">
        <f>'Расчет ЦП - общая форма'!E321</f>
        <v>+</v>
      </c>
      <c r="D351" s="399">
        <f>'Расчет ЦП - общая форма'!F321</f>
        <v>4</v>
      </c>
      <c r="E351" s="399"/>
      <c r="F351" s="400"/>
      <c r="G351" s="1702" t="s">
        <v>3068</v>
      </c>
      <c r="H351" s="1703"/>
      <c r="I351" s="1703"/>
      <c r="J351" s="1703"/>
      <c r="K351" s="1703"/>
      <c r="L351" s="1703"/>
      <c r="M351" s="42" t="s">
        <v>443</v>
      </c>
      <c r="N351" s="58" t="s">
        <v>444</v>
      </c>
      <c r="O351" s="58">
        <v>0.1</v>
      </c>
      <c r="P351" s="42"/>
      <c r="Q351" s="42"/>
      <c r="R351" s="42"/>
      <c r="S351" s="42"/>
      <c r="T351" s="42"/>
      <c r="U351" s="42"/>
      <c r="V351" s="42"/>
      <c r="W351" s="72"/>
    </row>
    <row r="352" spans="1:23" ht="48.75" customHeight="1" x14ac:dyDescent="0.25">
      <c r="A352" s="401"/>
      <c r="B352" s="402"/>
      <c r="C352" s="403"/>
      <c r="D352" s="403"/>
      <c r="E352" s="403"/>
      <c r="F352" s="404"/>
      <c r="G352" s="1665" t="s">
        <v>3481</v>
      </c>
      <c r="H352" s="1666"/>
      <c r="I352" s="1667"/>
      <c r="J352" s="785">
        <v>0.19600000000000001</v>
      </c>
      <c r="K352" s="785"/>
      <c r="L352" s="785"/>
      <c r="M352" s="142" t="s">
        <v>445</v>
      </c>
      <c r="N352" s="53" t="s">
        <v>446</v>
      </c>
      <c r="O352" s="53">
        <v>0.154</v>
      </c>
      <c r="P352" s="143"/>
      <c r="Q352" s="143"/>
      <c r="R352" s="143"/>
      <c r="S352" s="143"/>
      <c r="T352" s="143"/>
      <c r="U352" s="143"/>
      <c r="V352" s="143"/>
      <c r="W352" s="142"/>
    </row>
    <row r="353" spans="1:23" ht="20.100000000000001" customHeight="1" thickBot="1" x14ac:dyDescent="0.3">
      <c r="A353" s="405"/>
      <c r="B353" s="394"/>
      <c r="C353" s="395"/>
      <c r="D353" s="395"/>
      <c r="E353" s="395"/>
      <c r="F353" s="396"/>
      <c r="G353" s="1555" t="s">
        <v>1860</v>
      </c>
      <c r="H353" s="1555"/>
      <c r="I353" s="1556"/>
      <c r="J353" s="136">
        <f>SUM(J351:J352)</f>
        <v>0.19600000000000001</v>
      </c>
      <c r="K353" s="183">
        <v>0.8</v>
      </c>
      <c r="L353" s="136">
        <f>J353/K353</f>
        <v>0.245</v>
      </c>
      <c r="M353" s="1574" t="s">
        <v>1861</v>
      </c>
      <c r="N353" s="1556"/>
      <c r="O353" s="136">
        <f>SUM(O351:O352)</f>
        <v>0.254</v>
      </c>
      <c r="P353" s="183">
        <v>0.8</v>
      </c>
      <c r="Q353" s="136">
        <f>O353/P353</f>
        <v>0.3175</v>
      </c>
      <c r="R353" s="1574" t="s">
        <v>1860</v>
      </c>
      <c r="S353" s="1555"/>
      <c r="T353" s="1556"/>
      <c r="U353" s="136">
        <f>SUM(U351:U352)</f>
        <v>0</v>
      </c>
      <c r="V353" s="183">
        <v>0.8</v>
      </c>
      <c r="W353" s="136">
        <f>U353/V353</f>
        <v>0</v>
      </c>
    </row>
    <row r="354" spans="1:23" ht="20.100000000000001" customHeight="1" x14ac:dyDescent="0.25">
      <c r="A354" s="406" t="str">
        <f>'Расчет ЦП - общая форма'!C322</f>
        <v xml:space="preserve">ПС 35/10 кВ Савватьево </v>
      </c>
      <c r="B354" s="398">
        <f>'Расчет ЦП - общая форма'!D322</f>
        <v>1.6</v>
      </c>
      <c r="C354" s="399" t="str">
        <f>'Расчет ЦП - общая форма'!E322</f>
        <v>+</v>
      </c>
      <c r="D354" s="399">
        <f>'Расчет ЦП - общая форма'!F322</f>
        <v>2.5</v>
      </c>
      <c r="E354" s="399"/>
      <c r="F354" s="400"/>
      <c r="G354" s="1702" t="s">
        <v>3069</v>
      </c>
      <c r="H354" s="1703"/>
      <c r="I354" s="1703"/>
      <c r="J354" s="1703"/>
      <c r="K354" s="1703"/>
      <c r="L354" s="1703"/>
      <c r="M354" s="158" t="s">
        <v>447</v>
      </c>
      <c r="N354" s="182" t="s">
        <v>448</v>
      </c>
      <c r="O354" s="153">
        <v>1.1100000000000001</v>
      </c>
      <c r="P354" s="143"/>
      <c r="Q354" s="153"/>
      <c r="R354" s="143"/>
      <c r="S354" s="53"/>
      <c r="T354" s="2"/>
      <c r="U354" s="53"/>
      <c r="V354" s="143"/>
      <c r="W354" s="142"/>
    </row>
    <row r="355" spans="1:23" s="18" customFormat="1" ht="71.25" customHeight="1" x14ac:dyDescent="0.25">
      <c r="A355" s="401"/>
      <c r="B355" s="402"/>
      <c r="C355" s="403"/>
      <c r="D355" s="403"/>
      <c r="E355" s="403"/>
      <c r="F355" s="404"/>
      <c r="G355" s="143" t="s">
        <v>2826</v>
      </c>
      <c r="H355" s="143" t="s">
        <v>3210</v>
      </c>
      <c r="I355" s="143" t="s">
        <v>3230</v>
      </c>
      <c r="J355" s="143">
        <v>1.1000000000000001</v>
      </c>
      <c r="K355" s="143"/>
      <c r="L355" s="142"/>
      <c r="M355" s="143" t="s">
        <v>394</v>
      </c>
      <c r="N355" s="143" t="s">
        <v>395</v>
      </c>
      <c r="O355" s="143">
        <v>0.82850000000000001</v>
      </c>
      <c r="P355" s="143"/>
      <c r="Q355" s="143"/>
      <c r="R355" s="143"/>
      <c r="S355" s="143"/>
      <c r="T355" s="143"/>
      <c r="U355" s="53"/>
      <c r="V355" s="143"/>
      <c r="W355" s="142"/>
    </row>
    <row r="356" spans="1:23" s="18" customFormat="1" ht="52.5" customHeight="1" x14ac:dyDescent="0.25">
      <c r="A356" s="750"/>
      <c r="B356" s="751"/>
      <c r="C356" s="752"/>
      <c r="D356" s="752"/>
      <c r="E356" s="752"/>
      <c r="F356" s="749"/>
      <c r="G356" s="1665" t="s">
        <v>3481</v>
      </c>
      <c r="H356" s="1666"/>
      <c r="I356" s="1667"/>
      <c r="J356" s="785">
        <v>0.372</v>
      </c>
      <c r="K356" s="785"/>
      <c r="L356" s="785"/>
      <c r="M356" s="143" t="s">
        <v>3460</v>
      </c>
      <c r="N356" s="143" t="s">
        <v>3461</v>
      </c>
      <c r="O356" s="143">
        <v>5.5359999999999999E-2</v>
      </c>
      <c r="P356" s="143"/>
      <c r="Q356" s="143"/>
      <c r="R356" s="143"/>
      <c r="S356" s="143"/>
      <c r="T356" s="143"/>
      <c r="U356" s="53"/>
      <c r="V356" s="143"/>
      <c r="W356" s="142"/>
    </row>
    <row r="357" spans="1:23" s="18" customFormat="1" ht="20.100000000000001" customHeight="1" x14ac:dyDescent="0.25">
      <c r="A357" s="1064"/>
      <c r="B357" s="1065"/>
      <c r="C357" s="1067"/>
      <c r="D357" s="1067"/>
      <c r="E357" s="1067"/>
      <c r="F357" s="1066"/>
      <c r="G357" s="179"/>
      <c r="H357" s="179"/>
      <c r="I357" s="180"/>
      <c r="J357" s="137"/>
      <c r="K357" s="151"/>
      <c r="L357" s="149"/>
      <c r="M357" s="146"/>
      <c r="N357" s="180"/>
      <c r="O357" s="151"/>
      <c r="P357" s="151"/>
      <c r="Q357" s="151"/>
      <c r="R357" s="146"/>
      <c r="S357" s="179"/>
      <c r="T357" s="180"/>
      <c r="U357" s="137"/>
      <c r="V357" s="151"/>
      <c r="W357" s="149"/>
    </row>
    <row r="358" spans="1:23" ht="20.100000000000001" customHeight="1" thickBot="1" x14ac:dyDescent="0.3">
      <c r="A358" s="405"/>
      <c r="B358" s="394"/>
      <c r="C358" s="395"/>
      <c r="D358" s="395"/>
      <c r="E358" s="395"/>
      <c r="F358" s="396"/>
      <c r="G358" s="1555" t="s">
        <v>1860</v>
      </c>
      <c r="H358" s="1555"/>
      <c r="I358" s="1556"/>
      <c r="J358" s="136">
        <f>SUM(J354:J356)</f>
        <v>1.472</v>
      </c>
      <c r="K358" s="183">
        <v>0.8</v>
      </c>
      <c r="L358" s="136">
        <f>J358/K358</f>
        <v>1.8399999999999999</v>
      </c>
      <c r="M358" s="1574" t="s">
        <v>1861</v>
      </c>
      <c r="N358" s="1556"/>
      <c r="O358" s="136">
        <f>SUM(O354:O357)</f>
        <v>1.9938600000000002</v>
      </c>
      <c r="P358" s="183">
        <v>0.8</v>
      </c>
      <c r="Q358" s="136">
        <f>O358/P358</f>
        <v>2.4923250000000001</v>
      </c>
      <c r="R358" s="1574" t="s">
        <v>1860</v>
      </c>
      <c r="S358" s="1555"/>
      <c r="T358" s="1556"/>
      <c r="U358" s="136">
        <f>SUM(U354:U355)</f>
        <v>0</v>
      </c>
      <c r="V358" s="183">
        <v>0.8</v>
      </c>
      <c r="W358" s="136">
        <f>U358/V358</f>
        <v>0</v>
      </c>
    </row>
    <row r="359" spans="1:23" ht="20.100000000000001" customHeight="1" x14ac:dyDescent="0.25">
      <c r="A359" s="406" t="str">
        <f>'Расчет ЦП - общая форма'!C323</f>
        <v xml:space="preserve">ПС 35/10 кВ Беле-Кушаль </v>
      </c>
      <c r="B359" s="398">
        <f>'Расчет ЦП - общая форма'!D323</f>
        <v>1.6</v>
      </c>
      <c r="C359" s="399" t="str">
        <f>'Расчет ЦП - общая форма'!E323</f>
        <v>+</v>
      </c>
      <c r="D359" s="399">
        <f>'Расчет ЦП - общая форма'!F323</f>
        <v>2.5</v>
      </c>
      <c r="E359" s="399"/>
      <c r="F359" s="400"/>
      <c r="G359" s="1664" t="s">
        <v>2512</v>
      </c>
      <c r="H359" s="1709"/>
      <c r="I359" s="1709"/>
      <c r="J359" s="1709"/>
      <c r="K359" s="1709"/>
      <c r="L359" s="1709"/>
      <c r="M359" s="143"/>
      <c r="N359" s="143"/>
      <c r="O359" s="143"/>
      <c r="P359" s="143"/>
      <c r="Q359" s="143"/>
      <c r="R359" s="2"/>
      <c r="S359" s="2"/>
      <c r="T359" s="2"/>
      <c r="U359" s="2"/>
      <c r="V359" s="143"/>
      <c r="W359" s="142"/>
    </row>
    <row r="360" spans="1:23" ht="20.100000000000001" customHeight="1" x14ac:dyDescent="0.25">
      <c r="A360" s="805"/>
      <c r="B360" s="806"/>
      <c r="C360" s="808"/>
      <c r="D360" s="808"/>
      <c r="E360" s="808"/>
      <c r="F360" s="804"/>
      <c r="G360" s="143" t="s">
        <v>2805</v>
      </c>
      <c r="H360" s="143" t="s">
        <v>2806</v>
      </c>
      <c r="I360" s="143" t="s">
        <v>2910</v>
      </c>
      <c r="J360" s="143">
        <f>0.4-0.028</f>
        <v>0.372</v>
      </c>
      <c r="K360" s="151"/>
      <c r="L360" s="149"/>
      <c r="M360" s="146"/>
      <c r="N360" s="180"/>
      <c r="O360" s="151"/>
      <c r="P360" s="151"/>
      <c r="Q360" s="151"/>
      <c r="R360" s="825"/>
      <c r="S360" s="204"/>
      <c r="T360" s="121"/>
      <c r="U360" s="70"/>
      <c r="V360" s="151"/>
      <c r="W360" s="149"/>
    </row>
    <row r="361" spans="1:23" ht="20.100000000000001" customHeight="1" x14ac:dyDescent="0.25">
      <c r="A361" s="1200"/>
      <c r="B361" s="1201"/>
      <c r="C361" s="1203"/>
      <c r="D361" s="1203"/>
      <c r="E361" s="1203"/>
      <c r="F361" s="1202"/>
      <c r="G361" s="1664" t="s">
        <v>3069</v>
      </c>
      <c r="H361" s="1709"/>
      <c r="I361" s="1709"/>
      <c r="J361" s="1709"/>
      <c r="K361" s="1709"/>
      <c r="L361" s="1709"/>
      <c r="M361" s="146"/>
      <c r="N361" s="180"/>
      <c r="O361" s="151"/>
      <c r="P361" s="151"/>
      <c r="Q361" s="151"/>
      <c r="R361" s="825"/>
      <c r="S361" s="204"/>
      <c r="T361" s="121"/>
      <c r="U361" s="70"/>
      <c r="V361" s="151"/>
      <c r="W361" s="149"/>
    </row>
    <row r="362" spans="1:23" ht="20.100000000000001" customHeight="1" x14ac:dyDescent="0.25">
      <c r="A362" s="844"/>
      <c r="B362" s="845"/>
      <c r="C362" s="847"/>
      <c r="D362" s="847"/>
      <c r="E362" s="847"/>
      <c r="F362" s="843"/>
      <c r="G362" s="1665" t="s">
        <v>3481</v>
      </c>
      <c r="H362" s="1666"/>
      <c r="I362" s="1667"/>
      <c r="J362" s="786">
        <v>0.76</v>
      </c>
      <c r="K362" s="786"/>
      <c r="L362" s="786"/>
      <c r="M362" s="146" t="s">
        <v>3012</v>
      </c>
      <c r="N362" s="180" t="s">
        <v>3013</v>
      </c>
      <c r="O362" s="151">
        <v>3.5</v>
      </c>
      <c r="P362" s="151"/>
      <c r="Q362" s="151"/>
      <c r="R362" s="825"/>
      <c r="S362" s="204"/>
      <c r="T362" s="121"/>
      <c r="U362" s="70"/>
      <c r="V362" s="151"/>
      <c r="W362" s="149"/>
    </row>
    <row r="363" spans="1:23" ht="20.100000000000001" customHeight="1" thickBot="1" x14ac:dyDescent="0.3">
      <c r="A363" s="405"/>
      <c r="B363" s="394"/>
      <c r="C363" s="395"/>
      <c r="D363" s="395"/>
      <c r="E363" s="395"/>
      <c r="F363" s="396"/>
      <c r="G363" s="1555" t="s">
        <v>1860</v>
      </c>
      <c r="H363" s="1555"/>
      <c r="I363" s="1556"/>
      <c r="J363" s="136">
        <f>SUM(J359:J362)</f>
        <v>1.1320000000000001</v>
      </c>
      <c r="K363" s="183">
        <v>0.8</v>
      </c>
      <c r="L363" s="136">
        <f>J363/K363</f>
        <v>1.415</v>
      </c>
      <c r="M363" s="1574" t="s">
        <v>1861</v>
      </c>
      <c r="N363" s="1556"/>
      <c r="O363" s="136">
        <f>SUM(O359:O362)</f>
        <v>3.5</v>
      </c>
      <c r="P363" s="183">
        <v>0.8</v>
      </c>
      <c r="Q363" s="136">
        <f>O363/P363</f>
        <v>4.375</v>
      </c>
      <c r="R363" s="1574" t="s">
        <v>1860</v>
      </c>
      <c r="S363" s="1555"/>
      <c r="T363" s="1556"/>
      <c r="U363" s="136">
        <f>SUM(U359:U359)</f>
        <v>0</v>
      </c>
      <c r="V363" s="183">
        <v>0.8</v>
      </c>
      <c r="W363" s="136">
        <f>U363/V363</f>
        <v>0</v>
      </c>
    </row>
    <row r="364" spans="1:23" ht="20.100000000000001" customHeight="1" x14ac:dyDescent="0.25">
      <c r="A364" s="406" t="str">
        <f>'Расчет ЦП - общая форма'!C324</f>
        <v xml:space="preserve">ПС 35/10 кВ Стеклозавод </v>
      </c>
      <c r="B364" s="398">
        <f>'Расчет ЦП - общая форма'!D324</f>
        <v>2.5</v>
      </c>
      <c r="C364" s="399" t="str">
        <f>'Расчет ЦП - общая форма'!E324</f>
        <v>+</v>
      </c>
      <c r="D364" s="399">
        <f>'Расчет ЦП - общая форма'!F324</f>
        <v>2.5</v>
      </c>
      <c r="E364" s="399"/>
      <c r="F364" s="400"/>
      <c r="G364" s="184"/>
      <c r="H364" s="143"/>
      <c r="I364" s="143"/>
      <c r="J364" s="143"/>
      <c r="K364" s="143"/>
      <c r="L364" s="142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2"/>
    </row>
    <row r="365" spans="1:23" ht="20.100000000000001" customHeight="1" thickBot="1" x14ac:dyDescent="0.3">
      <c r="A365" s="405"/>
      <c r="B365" s="394"/>
      <c r="C365" s="395"/>
      <c r="D365" s="395"/>
      <c r="E365" s="395"/>
      <c r="F365" s="396"/>
      <c r="G365" s="1530" t="s">
        <v>1860</v>
      </c>
      <c r="H365" s="1530"/>
      <c r="I365" s="1531"/>
      <c r="J365" s="181">
        <f>SUM(J364:J364)</f>
        <v>0</v>
      </c>
      <c r="K365" s="151">
        <v>0.8</v>
      </c>
      <c r="L365" s="181">
        <f>J365/K365</f>
        <v>0</v>
      </c>
      <c r="M365" s="1529" t="s">
        <v>1861</v>
      </c>
      <c r="N365" s="1531"/>
      <c r="O365" s="181">
        <f>SUM(O364:O364)</f>
        <v>0</v>
      </c>
      <c r="P365" s="151">
        <v>0.8</v>
      </c>
      <c r="Q365" s="181">
        <f>O365/P365</f>
        <v>0</v>
      </c>
      <c r="R365" s="1529" t="s">
        <v>1860</v>
      </c>
      <c r="S365" s="1530"/>
      <c r="T365" s="1531"/>
      <c r="U365" s="181">
        <f>SUM(U364:U364)</f>
        <v>0</v>
      </c>
      <c r="V365" s="151">
        <v>0.8</v>
      </c>
      <c r="W365" s="181">
        <f>U365/V365</f>
        <v>0</v>
      </c>
    </row>
    <row r="366" spans="1:23" s="67" customFormat="1" ht="20.100000000000001" customHeight="1" x14ac:dyDescent="0.25">
      <c r="A366" s="1683" t="str">
        <f>'Расчет ЦП - общая форма'!C325</f>
        <v>ПС  35/10 кВ Гришкино</v>
      </c>
      <c r="B366" s="1551">
        <f>'Расчет ЦП - общая форма'!D325</f>
        <v>6.3</v>
      </c>
      <c r="C366" s="1552" t="str">
        <f>'Расчет ЦП - общая форма'!E325</f>
        <v>+</v>
      </c>
      <c r="D366" s="1552">
        <f>'Расчет ЦП - общая форма'!F325</f>
        <v>6.3</v>
      </c>
      <c r="E366" s="399"/>
      <c r="F366" s="400"/>
      <c r="G366" s="1702" t="s">
        <v>1988</v>
      </c>
      <c r="H366" s="1703"/>
      <c r="I366" s="1703"/>
      <c r="J366" s="1703"/>
      <c r="K366" s="1703"/>
      <c r="L366" s="1703"/>
      <c r="M366" s="77"/>
      <c r="N366" s="77"/>
      <c r="O366" s="77"/>
      <c r="P366" s="77"/>
      <c r="Q366" s="279"/>
      <c r="R366" s="1692"/>
      <c r="S366" s="1690"/>
      <c r="T366" s="1690"/>
      <c r="U366" s="1690"/>
      <c r="V366" s="1690"/>
      <c r="W366" s="1690"/>
    </row>
    <row r="367" spans="1:23" ht="20.100000000000001" customHeight="1" x14ac:dyDescent="0.25">
      <c r="A367" s="1540"/>
      <c r="B367" s="1501"/>
      <c r="C367" s="1553"/>
      <c r="D367" s="1553"/>
      <c r="E367" s="403"/>
      <c r="F367" s="404"/>
      <c r="G367" s="265" t="s">
        <v>454</v>
      </c>
      <c r="H367" s="142" t="s">
        <v>455</v>
      </c>
      <c r="I367" s="142" t="s">
        <v>456</v>
      </c>
      <c r="J367" s="56">
        <v>2.5</v>
      </c>
      <c r="K367" s="143"/>
      <c r="L367" s="142"/>
      <c r="M367" s="143" t="s">
        <v>1711</v>
      </c>
      <c r="N367" s="143" t="s">
        <v>449</v>
      </c>
      <c r="O367" s="143">
        <v>0.4</v>
      </c>
      <c r="P367" s="143"/>
      <c r="Q367" s="282"/>
      <c r="R367" s="265"/>
      <c r="S367" s="142"/>
      <c r="T367" s="142"/>
      <c r="U367" s="367"/>
      <c r="V367" s="142"/>
      <c r="W367" s="142"/>
    </row>
    <row r="368" spans="1:23" ht="51" customHeight="1" x14ac:dyDescent="0.25">
      <c r="A368" s="401"/>
      <c r="B368" s="402"/>
      <c r="C368" s="403"/>
      <c r="D368" s="403"/>
      <c r="E368" s="403"/>
      <c r="F368" s="404"/>
      <c r="G368" s="184" t="s">
        <v>461</v>
      </c>
      <c r="H368" s="143" t="s">
        <v>462</v>
      </c>
      <c r="I368" s="142" t="s">
        <v>463</v>
      </c>
      <c r="J368" s="143">
        <v>0.7</v>
      </c>
      <c r="K368" s="143"/>
      <c r="L368" s="142"/>
      <c r="M368" s="143" t="s">
        <v>450</v>
      </c>
      <c r="N368" s="143" t="s">
        <v>451</v>
      </c>
      <c r="O368" s="143">
        <v>0.85</v>
      </c>
      <c r="P368" s="143"/>
      <c r="Q368" s="282"/>
      <c r="R368" s="265"/>
      <c r="S368" s="142"/>
      <c r="T368" s="142"/>
      <c r="U368" s="142"/>
      <c r="V368" s="142"/>
      <c r="W368" s="142"/>
    </row>
    <row r="369" spans="1:23" ht="20.100000000000001" customHeight="1" x14ac:dyDescent="0.25">
      <c r="A369" s="401"/>
      <c r="B369" s="402"/>
      <c r="C369" s="403"/>
      <c r="D369" s="403"/>
      <c r="E369" s="403"/>
      <c r="F369" s="404"/>
      <c r="G369" s="184" t="s">
        <v>461</v>
      </c>
      <c r="H369" s="143" t="s">
        <v>466</v>
      </c>
      <c r="I369" s="142" t="s">
        <v>467</v>
      </c>
      <c r="J369" s="143">
        <v>0.7</v>
      </c>
      <c r="K369" s="143"/>
      <c r="L369" s="142"/>
      <c r="M369" s="143" t="s">
        <v>452</v>
      </c>
      <c r="N369" s="143" t="s">
        <v>453</v>
      </c>
      <c r="O369" s="143">
        <v>0.65</v>
      </c>
      <c r="P369" s="143"/>
      <c r="Q369" s="282"/>
      <c r="R369" s="265"/>
      <c r="S369" s="142"/>
      <c r="T369" s="142"/>
      <c r="U369" s="142"/>
      <c r="V369" s="142"/>
      <c r="W369" s="142"/>
    </row>
    <row r="370" spans="1:23" ht="41.25" customHeight="1" x14ac:dyDescent="0.25">
      <c r="A370" s="401"/>
      <c r="B370" s="402"/>
      <c r="C370" s="403"/>
      <c r="D370" s="403"/>
      <c r="E370" s="403"/>
      <c r="F370" s="404"/>
      <c r="G370" s="184" t="s">
        <v>470</v>
      </c>
      <c r="H370" s="143" t="s">
        <v>471</v>
      </c>
      <c r="I370" s="143" t="s">
        <v>472</v>
      </c>
      <c r="J370" s="143">
        <v>0.25</v>
      </c>
      <c r="K370" s="143"/>
      <c r="L370" s="142"/>
      <c r="M370" s="143" t="s">
        <v>457</v>
      </c>
      <c r="N370" s="143" t="s">
        <v>458</v>
      </c>
      <c r="O370" s="143">
        <v>8.6999999999999994E-2</v>
      </c>
      <c r="P370" s="143"/>
      <c r="Q370" s="282"/>
      <c r="R370" s="265"/>
      <c r="S370" s="142"/>
      <c r="T370" s="142"/>
      <c r="U370" s="142"/>
      <c r="V370" s="142"/>
      <c r="W370" s="142"/>
    </row>
    <row r="371" spans="1:23" ht="20.100000000000001" customHeight="1" x14ac:dyDescent="0.25">
      <c r="A371" s="401"/>
      <c r="B371" s="402"/>
      <c r="C371" s="403"/>
      <c r="D371" s="403"/>
      <c r="E371" s="403"/>
      <c r="F371" s="404"/>
      <c r="G371" s="1664" t="s">
        <v>1987</v>
      </c>
      <c r="H371" s="1709"/>
      <c r="I371" s="1709"/>
      <c r="J371" s="1709"/>
      <c r="K371" s="1709"/>
      <c r="L371" s="1709"/>
      <c r="M371" s="143"/>
      <c r="N371" s="143"/>
      <c r="O371" s="143"/>
      <c r="P371" s="143"/>
      <c r="Q371" s="282"/>
      <c r="R371" s="1664" t="s">
        <v>1987</v>
      </c>
      <c r="S371" s="1709"/>
      <c r="T371" s="1709"/>
      <c r="U371" s="1709"/>
      <c r="V371" s="1709"/>
      <c r="W371" s="1709"/>
    </row>
    <row r="372" spans="1:23" ht="20.100000000000001" customHeight="1" x14ac:dyDescent="0.25">
      <c r="A372" s="401"/>
      <c r="B372" s="402"/>
      <c r="C372" s="403"/>
      <c r="D372" s="403"/>
      <c r="E372" s="403"/>
      <c r="F372" s="404"/>
      <c r="G372" s="184" t="s">
        <v>475</v>
      </c>
      <c r="H372" s="143" t="s">
        <v>476</v>
      </c>
      <c r="I372" s="143" t="s">
        <v>477</v>
      </c>
      <c r="J372" s="143">
        <v>0.02</v>
      </c>
      <c r="K372" s="143"/>
      <c r="L372" s="142"/>
      <c r="M372" s="143" t="s">
        <v>459</v>
      </c>
      <c r="N372" s="143" t="s">
        <v>460</v>
      </c>
      <c r="O372" s="143">
        <v>0.25</v>
      </c>
      <c r="P372" s="143"/>
      <c r="Q372" s="282"/>
      <c r="R372" s="184"/>
      <c r="S372" s="143"/>
      <c r="T372" s="143"/>
      <c r="U372" s="143"/>
      <c r="V372" s="143"/>
      <c r="W372" s="142"/>
    </row>
    <row r="373" spans="1:23" ht="40.5" customHeight="1" x14ac:dyDescent="0.25">
      <c r="A373" s="401"/>
      <c r="B373" s="402"/>
      <c r="C373" s="403"/>
      <c r="D373" s="403"/>
      <c r="E373" s="403"/>
      <c r="F373" s="404"/>
      <c r="G373" s="184" t="s">
        <v>480</v>
      </c>
      <c r="H373" s="143" t="s">
        <v>481</v>
      </c>
      <c r="I373" s="143" t="s">
        <v>482</v>
      </c>
      <c r="J373" s="143">
        <v>0.59</v>
      </c>
      <c r="K373" s="143"/>
      <c r="L373" s="142"/>
      <c r="M373" s="143" t="s">
        <v>464</v>
      </c>
      <c r="N373" s="143" t="s">
        <v>2983</v>
      </c>
      <c r="O373" s="143">
        <f>0.5-0.5</f>
        <v>0</v>
      </c>
      <c r="P373" s="143"/>
      <c r="Q373" s="282"/>
      <c r="R373" s="184"/>
      <c r="S373" s="143"/>
      <c r="T373" s="143"/>
      <c r="U373" s="143"/>
      <c r="V373" s="143"/>
      <c r="W373" s="142"/>
    </row>
    <row r="374" spans="1:23" ht="56.25" customHeight="1" x14ac:dyDescent="0.25">
      <c r="A374" s="401"/>
      <c r="B374" s="402"/>
      <c r="C374" s="403"/>
      <c r="D374" s="403"/>
      <c r="E374" s="403"/>
      <c r="F374" s="404"/>
      <c r="G374" s="184" t="s">
        <v>485</v>
      </c>
      <c r="H374" s="143" t="s">
        <v>486</v>
      </c>
      <c r="I374" s="143" t="s">
        <v>487</v>
      </c>
      <c r="J374" s="143">
        <v>2.3E-2</v>
      </c>
      <c r="K374" s="143"/>
      <c r="L374" s="142"/>
      <c r="M374" s="143" t="s">
        <v>468</v>
      </c>
      <c r="N374" s="143" t="s">
        <v>469</v>
      </c>
      <c r="O374" s="143">
        <v>1.68</v>
      </c>
      <c r="P374" s="143"/>
      <c r="Q374" s="282"/>
      <c r="R374" s="184"/>
      <c r="S374" s="143"/>
      <c r="T374" s="143"/>
      <c r="U374" s="143"/>
      <c r="V374" s="143"/>
      <c r="W374" s="142"/>
    </row>
    <row r="375" spans="1:23" ht="60.75" customHeight="1" x14ac:dyDescent="0.25">
      <c r="A375" s="401"/>
      <c r="B375" s="402"/>
      <c r="C375" s="403"/>
      <c r="D375" s="403"/>
      <c r="E375" s="403"/>
      <c r="F375" s="404"/>
      <c r="G375" s="306"/>
      <c r="H375" s="301"/>
      <c r="I375" s="301"/>
      <c r="J375" s="301"/>
      <c r="K375" s="143"/>
      <c r="L375" s="142"/>
      <c r="M375" s="143" t="s">
        <v>473</v>
      </c>
      <c r="N375" s="143" t="s">
        <v>474</v>
      </c>
      <c r="O375" s="143">
        <v>0.875</v>
      </c>
      <c r="P375" s="143"/>
      <c r="Q375" s="282"/>
      <c r="R375" s="371" t="s">
        <v>490</v>
      </c>
      <c r="S375" s="345" t="s">
        <v>491</v>
      </c>
      <c r="T375" s="345" t="s">
        <v>2522</v>
      </c>
      <c r="U375" s="345">
        <v>8.5000000000000006E-2</v>
      </c>
      <c r="V375" s="345"/>
      <c r="W375" s="353"/>
    </row>
    <row r="376" spans="1:23" ht="20.100000000000001" customHeight="1" x14ac:dyDescent="0.25">
      <c r="A376" s="401"/>
      <c r="B376" s="402"/>
      <c r="C376" s="403"/>
      <c r="D376" s="403"/>
      <c r="E376" s="403"/>
      <c r="F376" s="404"/>
      <c r="G376" s="66" t="s">
        <v>492</v>
      </c>
      <c r="H376" s="2" t="s">
        <v>493</v>
      </c>
      <c r="I376" s="143" t="s">
        <v>494</v>
      </c>
      <c r="J376" s="2">
        <v>0.52500000000000002</v>
      </c>
      <c r="K376" s="143"/>
      <c r="L376" s="142"/>
      <c r="M376" s="143" t="s">
        <v>478</v>
      </c>
      <c r="N376" s="143" t="s">
        <v>479</v>
      </c>
      <c r="O376" s="143">
        <v>2.7E-2</v>
      </c>
      <c r="P376" s="143"/>
      <c r="Q376" s="282"/>
      <c r="R376" s="66"/>
      <c r="S376" s="2"/>
      <c r="T376" s="143"/>
      <c r="U376" s="2"/>
      <c r="V376" s="143"/>
      <c r="W376" s="142"/>
    </row>
    <row r="377" spans="1:23" ht="20.100000000000001" customHeight="1" x14ac:dyDescent="0.25">
      <c r="A377" s="401"/>
      <c r="B377" s="402"/>
      <c r="C377" s="403"/>
      <c r="D377" s="403"/>
      <c r="E377" s="403"/>
      <c r="F377" s="404"/>
      <c r="G377" s="184" t="s">
        <v>464</v>
      </c>
      <c r="H377" s="143" t="s">
        <v>465</v>
      </c>
      <c r="I377" s="143" t="s">
        <v>495</v>
      </c>
      <c r="J377" s="143">
        <v>0.1</v>
      </c>
      <c r="K377" s="143"/>
      <c r="L377" s="142"/>
      <c r="M377" s="143" t="s">
        <v>483</v>
      </c>
      <c r="N377" s="143" t="s">
        <v>484</v>
      </c>
      <c r="O377" s="143">
        <v>8.1000000000000003E-2</v>
      </c>
      <c r="P377" s="143"/>
      <c r="Q377" s="282"/>
      <c r="R377" s="184"/>
      <c r="S377" s="143"/>
      <c r="T377" s="143"/>
      <c r="U377" s="143"/>
      <c r="V377" s="143"/>
      <c r="W377" s="142"/>
    </row>
    <row r="378" spans="1:23" ht="20.100000000000001" customHeight="1" x14ac:dyDescent="0.25">
      <c r="A378" s="401"/>
      <c r="B378" s="402"/>
      <c r="C378" s="403"/>
      <c r="D378" s="403"/>
      <c r="E378" s="403"/>
      <c r="F378" s="404"/>
      <c r="G378" s="184" t="s">
        <v>464</v>
      </c>
      <c r="H378" s="143" t="s">
        <v>465</v>
      </c>
      <c r="I378" s="143" t="s">
        <v>496</v>
      </c>
      <c r="J378" s="143">
        <v>0.4</v>
      </c>
      <c r="K378" s="143"/>
      <c r="L378" s="142"/>
      <c r="M378" s="143" t="s">
        <v>488</v>
      </c>
      <c r="N378" s="143" t="s">
        <v>489</v>
      </c>
      <c r="O378" s="143">
        <v>0.17</v>
      </c>
      <c r="P378" s="143"/>
      <c r="Q378" s="282"/>
      <c r="R378" s="184"/>
      <c r="S378" s="143"/>
      <c r="T378" s="143"/>
      <c r="U378" s="143"/>
      <c r="V378" s="143"/>
      <c r="W378" s="142"/>
    </row>
    <row r="379" spans="1:23" ht="20.100000000000001" customHeight="1" x14ac:dyDescent="0.25">
      <c r="A379" s="401"/>
      <c r="B379" s="402"/>
      <c r="C379" s="403"/>
      <c r="D379" s="403"/>
      <c r="E379" s="403"/>
      <c r="F379" s="404"/>
      <c r="G379" s="1664" t="s">
        <v>2061</v>
      </c>
      <c r="H379" s="1709"/>
      <c r="I379" s="1709"/>
      <c r="J379" s="1709"/>
      <c r="K379" s="1709"/>
      <c r="L379" s="1709"/>
      <c r="M379" s="143"/>
      <c r="N379" s="143"/>
      <c r="O379" s="143"/>
      <c r="P379" s="143"/>
      <c r="Q379" s="282"/>
      <c r="R379" s="1408"/>
      <c r="S379" s="1694"/>
      <c r="T379" s="1694"/>
      <c r="U379" s="1694"/>
      <c r="V379" s="1694"/>
      <c r="W379" s="1694"/>
    </row>
    <row r="380" spans="1:23" ht="38.25" customHeight="1" x14ac:dyDescent="0.25">
      <c r="A380" s="401"/>
      <c r="B380" s="402"/>
      <c r="C380" s="403"/>
      <c r="D380" s="403"/>
      <c r="E380" s="403"/>
      <c r="F380" s="404"/>
      <c r="G380" s="278" t="s">
        <v>1488</v>
      </c>
      <c r="H380" s="154" t="s">
        <v>1489</v>
      </c>
      <c r="I380" s="143" t="s">
        <v>2306</v>
      </c>
      <c r="J380" s="143">
        <v>2.1000000000000001E-2</v>
      </c>
      <c r="K380" s="143"/>
      <c r="L380" s="142"/>
      <c r="M380" s="2" t="s">
        <v>492</v>
      </c>
      <c r="N380" s="2" t="s">
        <v>1331</v>
      </c>
      <c r="O380" s="143">
        <v>0.4</v>
      </c>
      <c r="P380" s="143"/>
      <c r="Q380" s="282"/>
      <c r="R380" s="370"/>
      <c r="S380" s="81"/>
      <c r="T380" s="142"/>
      <c r="U380" s="142"/>
      <c r="V380" s="142"/>
      <c r="W380" s="142"/>
    </row>
    <row r="381" spans="1:23" ht="102.75" customHeight="1" x14ac:dyDescent="0.25">
      <c r="A381" s="401"/>
      <c r="B381" s="402"/>
      <c r="C381" s="403"/>
      <c r="D381" s="403"/>
      <c r="E381" s="403"/>
      <c r="F381" s="404"/>
      <c r="G381" s="184" t="s">
        <v>2254</v>
      </c>
      <c r="H381" s="143" t="s">
        <v>2255</v>
      </c>
      <c r="I381" s="143" t="s">
        <v>2256</v>
      </c>
      <c r="J381" s="143">
        <v>0.25</v>
      </c>
      <c r="K381" s="2"/>
      <c r="L381" s="2"/>
      <c r="M381" s="143" t="s">
        <v>2360</v>
      </c>
      <c r="N381" s="143" t="s">
        <v>2361</v>
      </c>
      <c r="O381" s="143">
        <v>0.3</v>
      </c>
      <c r="P381" s="143"/>
      <c r="Q381" s="282"/>
      <c r="R381" s="265"/>
      <c r="S381" s="142"/>
      <c r="T381" s="142"/>
      <c r="U381" s="142"/>
      <c r="V381" s="142"/>
      <c r="W381" s="142"/>
    </row>
    <row r="382" spans="1:23" ht="72.75" customHeight="1" x14ac:dyDescent="0.25">
      <c r="A382" s="401"/>
      <c r="B382" s="402"/>
      <c r="C382" s="403"/>
      <c r="D382" s="403"/>
      <c r="E382" s="403"/>
      <c r="F382" s="404"/>
      <c r="G382" s="66" t="s">
        <v>35</v>
      </c>
      <c r="H382" s="2" t="s">
        <v>36</v>
      </c>
      <c r="I382" s="143" t="s">
        <v>2301</v>
      </c>
      <c r="J382" s="143">
        <v>0.7</v>
      </c>
      <c r="K382" s="2"/>
      <c r="L382" s="2"/>
      <c r="M382" s="2" t="s">
        <v>2186</v>
      </c>
      <c r="N382" s="2" t="s">
        <v>2187</v>
      </c>
      <c r="O382" s="143">
        <v>1</v>
      </c>
      <c r="P382" s="143"/>
      <c r="Q382" s="282"/>
      <c r="R382" s="265"/>
      <c r="S382" s="142"/>
      <c r="T382" s="142"/>
      <c r="U382" s="142"/>
      <c r="V382" s="142"/>
      <c r="W382" s="142"/>
    </row>
    <row r="383" spans="1:23" ht="57.75" customHeight="1" x14ac:dyDescent="0.25">
      <c r="A383" s="401"/>
      <c r="B383" s="402"/>
      <c r="C383" s="403"/>
      <c r="D383" s="403"/>
      <c r="E383" s="403"/>
      <c r="F383" s="404"/>
      <c r="G383" s="184" t="s">
        <v>1766</v>
      </c>
      <c r="H383" s="143" t="s">
        <v>2489</v>
      </c>
      <c r="I383" s="143" t="s">
        <v>2490</v>
      </c>
      <c r="J383" s="143">
        <f>0.12-0.035</f>
        <v>8.4999999999999992E-2</v>
      </c>
      <c r="K383" s="2"/>
      <c r="L383" s="2"/>
      <c r="M383" s="143" t="s">
        <v>2455</v>
      </c>
      <c r="N383" s="143" t="s">
        <v>2456</v>
      </c>
      <c r="O383" s="143">
        <v>0.7</v>
      </c>
      <c r="P383" s="143"/>
      <c r="Q383" s="282"/>
      <c r="R383" s="265"/>
      <c r="S383" s="142"/>
      <c r="T383" s="142"/>
      <c r="U383" s="142"/>
      <c r="V383" s="142"/>
      <c r="W383" s="142"/>
    </row>
    <row r="384" spans="1:23" ht="20.100000000000001" customHeight="1" x14ac:dyDescent="0.25">
      <c r="A384" s="401"/>
      <c r="B384" s="402"/>
      <c r="C384" s="403"/>
      <c r="D384" s="403"/>
      <c r="E384" s="403"/>
      <c r="F384" s="404"/>
      <c r="G384" s="66" t="s">
        <v>473</v>
      </c>
      <c r="H384" s="2" t="s">
        <v>815</v>
      </c>
      <c r="I384" s="143" t="s">
        <v>2498</v>
      </c>
      <c r="J384" s="143">
        <v>0.1</v>
      </c>
      <c r="K384" s="2"/>
      <c r="L384" s="2"/>
      <c r="M384" s="143" t="s">
        <v>2455</v>
      </c>
      <c r="N384" s="151" t="s">
        <v>2457</v>
      </c>
      <c r="O384" s="151">
        <v>0.7</v>
      </c>
      <c r="P384" s="143"/>
      <c r="Q384" s="282"/>
      <c r="R384" s="142"/>
      <c r="S384" s="142"/>
      <c r="T384" s="142"/>
      <c r="U384" s="142"/>
      <c r="V384" s="142"/>
      <c r="W384" s="142"/>
    </row>
    <row r="385" spans="1:23" ht="20.100000000000001" customHeight="1" x14ac:dyDescent="0.25">
      <c r="A385" s="401"/>
      <c r="B385" s="402"/>
      <c r="C385" s="403"/>
      <c r="D385" s="403"/>
      <c r="E385" s="403"/>
      <c r="F385" s="404"/>
      <c r="G385" s="1664" t="s">
        <v>2512</v>
      </c>
      <c r="H385" s="1709"/>
      <c r="I385" s="1709"/>
      <c r="J385" s="1709"/>
      <c r="K385" s="1709"/>
      <c r="L385" s="1709"/>
      <c r="M385" s="151" t="s">
        <v>2458</v>
      </c>
      <c r="N385" s="151" t="s">
        <v>2459</v>
      </c>
      <c r="O385" s="151">
        <v>0.22500000000000001</v>
      </c>
      <c r="P385" s="151"/>
      <c r="Q385" s="285"/>
      <c r="R385" s="1408"/>
      <c r="S385" s="1694"/>
      <c r="T385" s="1694"/>
      <c r="U385" s="1694"/>
      <c r="V385" s="1694"/>
      <c r="W385" s="1694"/>
    </row>
    <row r="386" spans="1:23" ht="66" customHeight="1" x14ac:dyDescent="0.25">
      <c r="A386" s="401"/>
      <c r="B386" s="402"/>
      <c r="C386" s="403"/>
      <c r="D386" s="403"/>
      <c r="E386" s="403"/>
      <c r="F386" s="404"/>
      <c r="G386" s="180" t="s">
        <v>2513</v>
      </c>
      <c r="H386" s="151" t="s">
        <v>2586</v>
      </c>
      <c r="I386" s="151" t="s">
        <v>2514</v>
      </c>
      <c r="J386" s="151">
        <v>2.5</v>
      </c>
      <c r="K386" s="70"/>
      <c r="L386" s="70"/>
      <c r="M386" s="151" t="s">
        <v>2460</v>
      </c>
      <c r="N386" s="151" t="s">
        <v>2461</v>
      </c>
      <c r="O386" s="151">
        <v>0.22500000000000001</v>
      </c>
      <c r="P386" s="151"/>
      <c r="Q386" s="285"/>
      <c r="R386" s="176"/>
      <c r="S386" s="149"/>
      <c r="T386" s="149"/>
      <c r="U386" s="149"/>
      <c r="V386" s="149"/>
      <c r="W386" s="149"/>
    </row>
    <row r="387" spans="1:23" ht="20.100000000000001" customHeight="1" x14ac:dyDescent="0.25">
      <c r="A387" s="401"/>
      <c r="B387" s="402"/>
      <c r="C387" s="403"/>
      <c r="D387" s="403"/>
      <c r="E387" s="403"/>
      <c r="F387" s="404"/>
      <c r="G387" s="143" t="s">
        <v>2455</v>
      </c>
      <c r="H387" s="151" t="s">
        <v>2788</v>
      </c>
      <c r="I387" s="2" t="s">
        <v>2789</v>
      </c>
      <c r="J387" s="2">
        <v>0.7</v>
      </c>
      <c r="K387" s="70"/>
      <c r="L387" s="70"/>
      <c r="M387" s="151" t="s">
        <v>2462</v>
      </c>
      <c r="N387" s="151" t="s">
        <v>2461</v>
      </c>
      <c r="O387" s="151">
        <v>0.27500000000000002</v>
      </c>
      <c r="P387" s="151"/>
      <c r="Q387" s="285"/>
      <c r="R387" s="176"/>
      <c r="S387" s="149"/>
      <c r="T387" s="149"/>
      <c r="U387" s="149"/>
      <c r="V387" s="149"/>
      <c r="W387" s="149"/>
    </row>
    <row r="388" spans="1:23" ht="20.100000000000001" customHeight="1" x14ac:dyDescent="0.25">
      <c r="A388" s="401"/>
      <c r="B388" s="402"/>
      <c r="C388" s="403"/>
      <c r="D388" s="403"/>
      <c r="E388" s="403"/>
      <c r="F388" s="404"/>
      <c r="G388" s="143" t="s">
        <v>2455</v>
      </c>
      <c r="H388" s="143" t="s">
        <v>2792</v>
      </c>
      <c r="I388" s="2" t="s">
        <v>2791</v>
      </c>
      <c r="J388" s="2">
        <v>0.7</v>
      </c>
      <c r="K388" s="70"/>
      <c r="L388" s="70"/>
      <c r="M388" s="218" t="s">
        <v>2557</v>
      </c>
      <c r="N388" s="218" t="s">
        <v>2558</v>
      </c>
      <c r="O388" s="151">
        <v>0.5</v>
      </c>
      <c r="P388" s="151"/>
      <c r="Q388" s="285"/>
      <c r="R388" s="176"/>
      <c r="S388" s="149"/>
      <c r="T388" s="149"/>
      <c r="U388" s="149"/>
      <c r="V388" s="149"/>
      <c r="W388" s="149"/>
    </row>
    <row r="389" spans="1:23" ht="20.100000000000001" customHeight="1" x14ac:dyDescent="0.25">
      <c r="A389" s="614"/>
      <c r="B389" s="615"/>
      <c r="C389" s="616"/>
      <c r="D389" s="616"/>
      <c r="E389" s="616"/>
      <c r="F389" s="613"/>
      <c r="G389" s="151" t="s">
        <v>2513</v>
      </c>
      <c r="H389" s="151" t="s">
        <v>3009</v>
      </c>
      <c r="I389" s="151" t="s">
        <v>3029</v>
      </c>
      <c r="J389" s="151">
        <v>0.5</v>
      </c>
      <c r="K389" s="70"/>
      <c r="L389" s="70"/>
      <c r="M389" s="218" t="s">
        <v>2590</v>
      </c>
      <c r="N389" s="151" t="s">
        <v>2591</v>
      </c>
      <c r="O389" s="151">
        <v>2</v>
      </c>
      <c r="P389" s="151"/>
      <c r="Q389" s="285"/>
      <c r="R389" s="176"/>
      <c r="S389" s="149"/>
      <c r="T389" s="149"/>
      <c r="U389" s="149"/>
      <c r="V389" s="149"/>
      <c r="W389" s="149"/>
    </row>
    <row r="390" spans="1:23" ht="20.100000000000001" customHeight="1" x14ac:dyDescent="0.25">
      <c r="A390" s="629"/>
      <c r="B390" s="631"/>
      <c r="C390" s="632"/>
      <c r="D390" s="632"/>
      <c r="E390" s="632"/>
      <c r="F390" s="628"/>
      <c r="G390" s="1740"/>
      <c r="H390" s="1741"/>
      <c r="I390" s="1577"/>
      <c r="J390" s="151"/>
      <c r="K390" s="70"/>
      <c r="L390" s="70"/>
      <c r="M390" s="218" t="s">
        <v>2566</v>
      </c>
      <c r="N390" s="151" t="s">
        <v>3463</v>
      </c>
      <c r="O390" s="151">
        <v>0.05</v>
      </c>
      <c r="P390" s="151"/>
      <c r="Q390" s="285"/>
      <c r="R390" s="176"/>
      <c r="S390" s="149"/>
      <c r="T390" s="149"/>
      <c r="U390" s="149"/>
      <c r="V390" s="149"/>
      <c r="W390" s="149"/>
    </row>
    <row r="391" spans="1:23" ht="20.100000000000001" customHeight="1" x14ac:dyDescent="0.25">
      <c r="A391" s="629"/>
      <c r="B391" s="631"/>
      <c r="C391" s="632"/>
      <c r="D391" s="632"/>
      <c r="E391" s="632"/>
      <c r="F391" s="628"/>
      <c r="G391" s="1664" t="s">
        <v>3069</v>
      </c>
      <c r="H391" s="1709"/>
      <c r="I391" s="1709"/>
      <c r="J391" s="1709"/>
      <c r="K391" s="1709"/>
      <c r="L391" s="1709"/>
      <c r="M391" s="218" t="s">
        <v>473</v>
      </c>
      <c r="N391" s="151" t="s">
        <v>2642</v>
      </c>
      <c r="O391" s="151">
        <v>0.15</v>
      </c>
      <c r="P391" s="151"/>
      <c r="Q391" s="285"/>
      <c r="R391" s="176"/>
      <c r="S391" s="149"/>
      <c r="T391" s="149"/>
      <c r="U391" s="149"/>
      <c r="V391" s="149"/>
      <c r="W391" s="149"/>
    </row>
    <row r="392" spans="1:23" ht="75" customHeight="1" x14ac:dyDescent="0.25">
      <c r="A392" s="401"/>
      <c r="B392" s="402"/>
      <c r="C392" s="403"/>
      <c r="D392" s="403"/>
      <c r="E392" s="403"/>
      <c r="F392" s="404"/>
      <c r="G392" s="151" t="s">
        <v>475</v>
      </c>
      <c r="H392" s="151" t="s">
        <v>3154</v>
      </c>
      <c r="I392" s="151" t="s">
        <v>3272</v>
      </c>
      <c r="J392" s="151">
        <v>0.3</v>
      </c>
      <c r="K392" s="70"/>
      <c r="L392" s="70"/>
      <c r="M392" s="143" t="s">
        <v>2513</v>
      </c>
      <c r="N392" s="143" t="s">
        <v>2754</v>
      </c>
      <c r="O392" s="143">
        <v>0.4</v>
      </c>
      <c r="P392" s="151"/>
      <c r="Q392" s="285"/>
      <c r="R392" s="176"/>
      <c r="S392" s="149"/>
      <c r="T392" s="149"/>
      <c r="U392" s="149"/>
      <c r="V392" s="149"/>
      <c r="W392" s="149"/>
    </row>
    <row r="393" spans="1:23" ht="60" customHeight="1" x14ac:dyDescent="0.25">
      <c r="A393" s="663"/>
      <c r="B393" s="664"/>
      <c r="C393" s="665"/>
      <c r="D393" s="665"/>
      <c r="E393" s="665"/>
      <c r="F393" s="662"/>
      <c r="G393" s="151" t="s">
        <v>3388</v>
      </c>
      <c r="H393" s="151" t="s">
        <v>3368</v>
      </c>
      <c r="I393" s="151" t="s">
        <v>3389</v>
      </c>
      <c r="J393" s="151">
        <v>0.08</v>
      </c>
      <c r="K393" s="70"/>
      <c r="L393" s="70"/>
      <c r="M393" s="143" t="s">
        <v>473</v>
      </c>
      <c r="N393" s="143" t="s">
        <v>2928</v>
      </c>
      <c r="O393" s="143">
        <v>0.96499999999999997</v>
      </c>
      <c r="P393" s="151"/>
      <c r="Q393" s="285"/>
      <c r="R393" s="176"/>
      <c r="S393" s="149"/>
      <c r="T393" s="149"/>
      <c r="U393" s="149"/>
      <c r="V393" s="149"/>
      <c r="W393" s="149"/>
    </row>
    <row r="394" spans="1:23" ht="39" customHeight="1" x14ac:dyDescent="0.25">
      <c r="A394" s="805"/>
      <c r="B394" s="806"/>
      <c r="C394" s="808"/>
      <c r="D394" s="808"/>
      <c r="E394" s="808"/>
      <c r="F394" s="804"/>
      <c r="G394" s="1665" t="s">
        <v>3483</v>
      </c>
      <c r="H394" s="1666"/>
      <c r="I394" s="1667"/>
      <c r="J394" s="786">
        <v>1.248</v>
      </c>
      <c r="K394" s="786"/>
      <c r="L394" s="786"/>
      <c r="M394" s="151" t="s">
        <v>1766</v>
      </c>
      <c r="N394" s="151" t="s">
        <v>2942</v>
      </c>
      <c r="O394" s="151">
        <f>0.12-0.035</f>
        <v>8.4999999999999992E-2</v>
      </c>
      <c r="P394" s="151"/>
      <c r="Q394" s="285"/>
      <c r="R394" s="176"/>
      <c r="S394" s="149"/>
      <c r="T394" s="149"/>
      <c r="U394" s="149"/>
      <c r="V394" s="149"/>
      <c r="W394" s="149"/>
    </row>
    <row r="395" spans="1:23" ht="60" customHeight="1" x14ac:dyDescent="0.25">
      <c r="A395" s="815"/>
      <c r="B395" s="817"/>
      <c r="C395" s="818"/>
      <c r="D395" s="818"/>
      <c r="E395" s="818"/>
      <c r="F395" s="814"/>
      <c r="G395" s="180"/>
      <c r="H395" s="151"/>
      <c r="I395" s="151"/>
      <c r="J395" s="151"/>
      <c r="K395" s="70"/>
      <c r="L395" s="70"/>
      <c r="M395" s="151" t="s">
        <v>473</v>
      </c>
      <c r="N395" s="151" t="s">
        <v>3061</v>
      </c>
      <c r="O395" s="151">
        <v>0.1</v>
      </c>
      <c r="P395" s="151"/>
      <c r="Q395" s="285"/>
      <c r="R395" s="176"/>
      <c r="S395" s="149"/>
      <c r="T395" s="149"/>
      <c r="U395" s="149"/>
      <c r="V395" s="149"/>
      <c r="W395" s="149"/>
    </row>
    <row r="396" spans="1:23" ht="60" customHeight="1" x14ac:dyDescent="0.25">
      <c r="A396" s="834"/>
      <c r="B396" s="835"/>
      <c r="C396" s="836"/>
      <c r="D396" s="836"/>
      <c r="E396" s="836"/>
      <c r="F396" s="833"/>
      <c r="G396" s="180"/>
      <c r="H396" s="151"/>
      <c r="I396" s="151"/>
      <c r="J396" s="151"/>
      <c r="K396" s="70"/>
      <c r="L396" s="70"/>
      <c r="M396" s="151" t="s">
        <v>3101</v>
      </c>
      <c r="N396" s="151" t="s">
        <v>3102</v>
      </c>
      <c r="O396" s="151">
        <v>0.9</v>
      </c>
      <c r="P396" s="151"/>
      <c r="Q396" s="285"/>
      <c r="R396" s="176"/>
      <c r="S396" s="149"/>
      <c r="T396" s="149"/>
      <c r="U396" s="149"/>
      <c r="V396" s="149"/>
      <c r="W396" s="149"/>
    </row>
    <row r="397" spans="1:23" ht="60" customHeight="1" x14ac:dyDescent="0.25">
      <c r="A397" s="1034"/>
      <c r="B397" s="1032"/>
      <c r="C397" s="1036"/>
      <c r="D397" s="1036"/>
      <c r="E397" s="1036"/>
      <c r="F397" s="1033"/>
      <c r="G397" s="180"/>
      <c r="H397" s="151"/>
      <c r="I397" s="151"/>
      <c r="J397" s="151"/>
      <c r="K397" s="70"/>
      <c r="L397" s="70"/>
      <c r="M397" s="151" t="s">
        <v>3307</v>
      </c>
      <c r="N397" s="151" t="s">
        <v>3308</v>
      </c>
      <c r="O397" s="151">
        <v>0.2</v>
      </c>
      <c r="P397" s="151"/>
      <c r="Q397" s="285"/>
      <c r="R397" s="176"/>
      <c r="S397" s="149"/>
      <c r="T397" s="149"/>
      <c r="U397" s="149"/>
      <c r="V397" s="149"/>
      <c r="W397" s="149"/>
    </row>
    <row r="398" spans="1:23" ht="60" customHeight="1" x14ac:dyDescent="0.25">
      <c r="A398" s="1142"/>
      <c r="B398" s="1140"/>
      <c r="C398" s="1143"/>
      <c r="D398" s="1143"/>
      <c r="E398" s="1143"/>
      <c r="F398" s="1141"/>
      <c r="G398" s="180"/>
      <c r="H398" s="151"/>
      <c r="I398" s="151"/>
      <c r="J398" s="151"/>
      <c r="K398" s="70"/>
      <c r="L398" s="70"/>
      <c r="M398" s="151" t="s">
        <v>1335</v>
      </c>
      <c r="N398" s="151" t="s">
        <v>3455</v>
      </c>
      <c r="O398" s="151">
        <v>0.1</v>
      </c>
      <c r="P398" s="151"/>
      <c r="Q398" s="285"/>
      <c r="R398" s="176"/>
      <c r="S398" s="149"/>
      <c r="T398" s="149"/>
      <c r="U398" s="149"/>
      <c r="V398" s="149"/>
      <c r="W398" s="149"/>
    </row>
    <row r="399" spans="1:23" ht="60" customHeight="1" x14ac:dyDescent="0.25">
      <c r="A399" s="1186"/>
      <c r="B399" s="1184"/>
      <c r="C399" s="1188"/>
      <c r="D399" s="1188"/>
      <c r="E399" s="1188"/>
      <c r="F399" s="1185"/>
      <c r="G399" s="180"/>
      <c r="H399" s="151"/>
      <c r="I399" s="151"/>
      <c r="J399" s="151"/>
      <c r="K399" s="70"/>
      <c r="L399" s="70"/>
      <c r="M399" s="149"/>
      <c r="N399" s="149"/>
      <c r="O399" s="149"/>
      <c r="P399" s="151"/>
      <c r="Q399" s="285"/>
      <c r="R399" s="176"/>
      <c r="S399" s="149"/>
      <c r="T399" s="149"/>
      <c r="U399" s="149"/>
      <c r="V399" s="149"/>
      <c r="W399" s="149"/>
    </row>
    <row r="400" spans="1:23" ht="20.100000000000001" customHeight="1" thickBot="1" x14ac:dyDescent="0.3">
      <c r="A400" s="405"/>
      <c r="B400" s="394"/>
      <c r="C400" s="395"/>
      <c r="D400" s="395"/>
      <c r="E400" s="395"/>
      <c r="F400" s="396"/>
      <c r="G400" s="1556" t="s">
        <v>1860</v>
      </c>
      <c r="H400" s="1711"/>
      <c r="I400" s="1711"/>
      <c r="J400" s="208">
        <f>SUM(J386:J398)</f>
        <v>6.0280000000000005</v>
      </c>
      <c r="K400" s="183">
        <v>0.8</v>
      </c>
      <c r="L400" s="136">
        <f>J400/K400</f>
        <v>7.5350000000000001</v>
      </c>
      <c r="M400" s="1711" t="s">
        <v>1861</v>
      </c>
      <c r="N400" s="1711"/>
      <c r="O400" s="136">
        <f>SUM(O367:O398)</f>
        <v>14.345000000000001</v>
      </c>
      <c r="P400" s="183">
        <v>0.8</v>
      </c>
      <c r="Q400" s="273">
        <f>O400/P400</f>
        <v>17.931249999999999</v>
      </c>
      <c r="R400" s="1556" t="s">
        <v>1860</v>
      </c>
      <c r="S400" s="1711"/>
      <c r="T400" s="1711"/>
      <c r="U400" s="208">
        <f>SUM(U375)</f>
        <v>8.5000000000000006E-2</v>
      </c>
      <c r="V400" s="183">
        <v>0.8</v>
      </c>
      <c r="W400" s="136">
        <f>U400/V400</f>
        <v>0.10625</v>
      </c>
    </row>
    <row r="401" spans="1:23" ht="20.100000000000001" customHeight="1" x14ac:dyDescent="0.25">
      <c r="A401" s="406" t="str">
        <f>'Расчет ЦП - общая форма'!C326</f>
        <v xml:space="preserve">ПС 35/3 кВ №2 </v>
      </c>
      <c r="B401" s="398">
        <f>'Расчет ЦП - общая форма'!D326</f>
        <v>1</v>
      </c>
      <c r="C401" s="399" t="str">
        <f>'Расчет ЦП - общая форма'!E326</f>
        <v>+</v>
      </c>
      <c r="D401" s="399">
        <f>'Расчет ЦП - общая форма'!F326</f>
        <v>1</v>
      </c>
      <c r="E401" s="399"/>
      <c r="F401" s="400"/>
      <c r="G401" s="424"/>
      <c r="H401" s="4"/>
      <c r="I401" s="4"/>
      <c r="J401" s="4"/>
      <c r="K401" s="4"/>
      <c r="L401" s="77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72"/>
    </row>
    <row r="402" spans="1:23" ht="20.100000000000001" customHeight="1" thickBot="1" x14ac:dyDescent="0.3">
      <c r="A402" s="405"/>
      <c r="B402" s="394"/>
      <c r="C402" s="395"/>
      <c r="D402" s="395"/>
      <c r="E402" s="395"/>
      <c r="F402" s="396"/>
      <c r="G402" s="1555" t="s">
        <v>1860</v>
      </c>
      <c r="H402" s="1555"/>
      <c r="I402" s="1556"/>
      <c r="J402" s="136">
        <f>SUM(J401:J401)</f>
        <v>0</v>
      </c>
      <c r="K402" s="183">
        <v>0.8</v>
      </c>
      <c r="L402" s="136">
        <f>J402/K402</f>
        <v>0</v>
      </c>
      <c r="M402" s="1574" t="s">
        <v>1861</v>
      </c>
      <c r="N402" s="1556"/>
      <c r="O402" s="136">
        <f>SUM(O401:O401)</f>
        <v>0</v>
      </c>
      <c r="P402" s="183">
        <v>0.8</v>
      </c>
      <c r="Q402" s="136">
        <f>O402/P402</f>
        <v>0</v>
      </c>
      <c r="R402" s="1529" t="s">
        <v>1860</v>
      </c>
      <c r="S402" s="1530"/>
      <c r="T402" s="1531"/>
      <c r="U402" s="181">
        <f>SUM(U401:U401)</f>
        <v>0</v>
      </c>
      <c r="V402" s="151">
        <v>0.8</v>
      </c>
      <c r="W402" s="181">
        <f>U402/V402</f>
        <v>0</v>
      </c>
    </row>
    <row r="403" spans="1:23" s="18" customFormat="1" ht="20.25" customHeight="1" x14ac:dyDescent="0.25">
      <c r="A403" s="406" t="str">
        <f>'Расчет ЦП - общая форма'!C327</f>
        <v>ПС  35/10 кВ №15</v>
      </c>
      <c r="B403" s="398">
        <f>'Расчет ЦП - общая форма'!D327</f>
        <v>4</v>
      </c>
      <c r="C403" s="399" t="str">
        <f>'Расчет ЦП - общая форма'!E327</f>
        <v>+</v>
      </c>
      <c r="D403" s="399">
        <f>'Расчет ЦП - общая форма'!F327</f>
        <v>6.3</v>
      </c>
      <c r="E403" s="399"/>
      <c r="F403" s="400"/>
      <c r="G403" s="1702" t="s">
        <v>2061</v>
      </c>
      <c r="H403" s="1703"/>
      <c r="I403" s="1703"/>
      <c r="J403" s="1703"/>
      <c r="K403" s="1703"/>
      <c r="L403" s="1703"/>
      <c r="M403" s="143" t="s">
        <v>497</v>
      </c>
      <c r="N403" s="143" t="s">
        <v>498</v>
      </c>
      <c r="O403" s="53">
        <v>0.01</v>
      </c>
      <c r="P403" s="143"/>
      <c r="Q403" s="143"/>
      <c r="R403" s="53" t="s">
        <v>2182</v>
      </c>
      <c r="S403" s="143" t="s">
        <v>2183</v>
      </c>
      <c r="T403" s="53" t="s">
        <v>2407</v>
      </c>
      <c r="U403" s="143">
        <v>0.2</v>
      </c>
      <c r="V403" s="143"/>
      <c r="W403" s="142"/>
    </row>
    <row r="404" spans="1:23" s="18" customFormat="1" ht="20.100000000000001" customHeight="1" thickBot="1" x14ac:dyDescent="0.3">
      <c r="A404" s="401"/>
      <c r="B404" s="402"/>
      <c r="C404" s="403"/>
      <c r="D404" s="403"/>
      <c r="E404" s="403"/>
      <c r="F404" s="404"/>
      <c r="G404" s="568" t="s">
        <v>2182</v>
      </c>
      <c r="H404" s="42" t="s">
        <v>2183</v>
      </c>
      <c r="I404" s="58" t="s">
        <v>2407</v>
      </c>
      <c r="J404" s="42">
        <v>0.2</v>
      </c>
      <c r="K404" s="143"/>
      <c r="L404" s="142"/>
      <c r="M404" s="143" t="s">
        <v>500</v>
      </c>
      <c r="N404" s="53"/>
      <c r="O404" s="143">
        <v>0.74</v>
      </c>
      <c r="Q404" s="143"/>
      <c r="R404" s="143"/>
      <c r="S404" s="143"/>
      <c r="T404" s="143"/>
      <c r="U404" s="143"/>
      <c r="V404" s="143"/>
      <c r="W404" s="142"/>
    </row>
    <row r="405" spans="1:23" ht="20.100000000000001" customHeight="1" x14ac:dyDescent="0.25">
      <c r="A405" s="401"/>
      <c r="B405" s="402"/>
      <c r="C405" s="403"/>
      <c r="D405" s="403"/>
      <c r="E405" s="403"/>
      <c r="F405" s="404"/>
      <c r="G405" s="1702" t="s">
        <v>2512</v>
      </c>
      <c r="H405" s="1703"/>
      <c r="I405" s="1703"/>
      <c r="J405" s="1703"/>
      <c r="K405" s="1703"/>
      <c r="L405" s="1703"/>
      <c r="M405" s="53" t="s">
        <v>501</v>
      </c>
      <c r="N405" s="143"/>
      <c r="O405" s="53">
        <v>0.74</v>
      </c>
      <c r="P405" s="143"/>
      <c r="Q405" s="143"/>
      <c r="R405" s="143"/>
      <c r="S405" s="143"/>
      <c r="T405" s="143"/>
      <c r="U405" s="143"/>
      <c r="V405" s="143"/>
      <c r="W405" s="142"/>
    </row>
    <row r="406" spans="1:23" ht="57" customHeight="1" x14ac:dyDescent="0.25">
      <c r="A406" s="401"/>
      <c r="B406" s="402"/>
      <c r="C406" s="403"/>
      <c r="D406" s="403"/>
      <c r="E406" s="403"/>
      <c r="F406" s="404"/>
      <c r="G406" s="779" t="s">
        <v>2844</v>
      </c>
      <c r="H406" s="643" t="s">
        <v>2845</v>
      </c>
      <c r="I406" s="643" t="s">
        <v>2843</v>
      </c>
      <c r="J406" s="643">
        <v>0.105</v>
      </c>
      <c r="K406" s="643"/>
      <c r="L406" s="643"/>
      <c r="M406" s="53" t="s">
        <v>2182</v>
      </c>
      <c r="N406" s="143" t="s">
        <v>2183</v>
      </c>
      <c r="O406" s="53">
        <v>0.5</v>
      </c>
      <c r="P406" s="143"/>
      <c r="Q406" s="143"/>
      <c r="R406" s="143"/>
      <c r="S406" s="143"/>
      <c r="T406" s="143"/>
      <c r="U406" s="143"/>
      <c r="V406" s="143"/>
      <c r="W406" s="142"/>
    </row>
    <row r="407" spans="1:23" ht="74.25" customHeight="1" x14ac:dyDescent="0.25">
      <c r="A407" s="401"/>
      <c r="B407" s="402"/>
      <c r="C407" s="403"/>
      <c r="D407" s="403"/>
      <c r="E407" s="403"/>
      <c r="F407" s="404"/>
      <c r="G407" s="143" t="s">
        <v>499</v>
      </c>
      <c r="H407" s="53" t="s">
        <v>2650</v>
      </c>
      <c r="I407" s="143" t="s">
        <v>2846</v>
      </c>
      <c r="J407" s="143">
        <v>1.68</v>
      </c>
      <c r="K407" s="143"/>
      <c r="L407" s="142"/>
      <c r="M407" s="143" t="s">
        <v>2866</v>
      </c>
      <c r="N407" s="53" t="s">
        <v>2867</v>
      </c>
      <c r="O407" s="143">
        <v>0.25</v>
      </c>
      <c r="P407" s="143"/>
      <c r="Q407" s="143"/>
      <c r="R407" s="143"/>
      <c r="S407" s="143"/>
      <c r="T407" s="143"/>
      <c r="U407" s="143"/>
      <c r="V407" s="143"/>
      <c r="W407" s="142"/>
    </row>
    <row r="408" spans="1:23" ht="18" customHeight="1" x14ac:dyDescent="0.25">
      <c r="A408" s="401"/>
      <c r="B408" s="402"/>
      <c r="C408" s="403"/>
      <c r="D408" s="403"/>
      <c r="E408" s="403"/>
      <c r="F408" s="404"/>
      <c r="G408" s="1664">
        <v>2012</v>
      </c>
      <c r="H408" s="1709"/>
      <c r="I408" s="1709"/>
      <c r="J408" s="1709"/>
      <c r="K408" s="1709"/>
      <c r="L408" s="1709"/>
      <c r="M408" s="143" t="s">
        <v>2898</v>
      </c>
      <c r="N408" s="53" t="s">
        <v>2899</v>
      </c>
      <c r="O408" s="143">
        <f>3.75-2.07</f>
        <v>1.6800000000000002</v>
      </c>
      <c r="P408" s="143"/>
      <c r="Q408" s="143"/>
      <c r="R408" s="143"/>
      <c r="S408" s="143"/>
      <c r="T408" s="143"/>
      <c r="U408" s="143"/>
      <c r="V408" s="143"/>
      <c r="W408" s="142"/>
    </row>
    <row r="409" spans="1:23" ht="20.100000000000001" customHeight="1" x14ac:dyDescent="0.25">
      <c r="A409" s="401"/>
      <c r="B409" s="402"/>
      <c r="C409" s="403"/>
      <c r="D409" s="403"/>
      <c r="E409" s="403"/>
      <c r="F409" s="404"/>
      <c r="G409" s="1665" t="s">
        <v>3481</v>
      </c>
      <c r="H409" s="1666"/>
      <c r="I409" s="1667"/>
      <c r="J409" s="785">
        <v>0.22500000000000001</v>
      </c>
      <c r="K409" s="143"/>
      <c r="L409" s="142"/>
      <c r="M409" s="1265" t="s">
        <v>2866</v>
      </c>
      <c r="N409" s="53" t="s">
        <v>3534</v>
      </c>
      <c r="O409" s="1265">
        <v>0</v>
      </c>
      <c r="P409" s="143"/>
      <c r="Q409" s="143"/>
      <c r="R409" s="143"/>
      <c r="S409" s="143"/>
      <c r="T409" s="143"/>
      <c r="U409" s="143"/>
      <c r="V409" s="143"/>
      <c r="W409" s="142"/>
    </row>
    <row r="410" spans="1:23" ht="20.100000000000001" customHeight="1" thickBot="1" x14ac:dyDescent="0.3">
      <c r="A410" s="405"/>
      <c r="B410" s="394"/>
      <c r="C410" s="395"/>
      <c r="D410" s="395"/>
      <c r="E410" s="395"/>
      <c r="F410" s="396"/>
      <c r="G410" s="1555" t="s">
        <v>1860</v>
      </c>
      <c r="H410" s="1555"/>
      <c r="I410" s="1556"/>
      <c r="J410" s="136">
        <f>SUM(J406:J409)</f>
        <v>2.0099999999999998</v>
      </c>
      <c r="K410" s="183">
        <v>0.8</v>
      </c>
      <c r="L410" s="136">
        <f>J410/K410</f>
        <v>2.5124999999999997</v>
      </c>
      <c r="M410" s="1574" t="s">
        <v>1861</v>
      </c>
      <c r="N410" s="1556"/>
      <c r="O410" s="136">
        <f>SUM(O403:O409)</f>
        <v>3.9200000000000004</v>
      </c>
      <c r="P410" s="183">
        <v>0.8</v>
      </c>
      <c r="Q410" s="136">
        <f>O410/P410</f>
        <v>4.9000000000000004</v>
      </c>
      <c r="R410" s="1574" t="s">
        <v>1860</v>
      </c>
      <c r="S410" s="1555"/>
      <c r="T410" s="1556"/>
      <c r="U410" s="136">
        <f>SUM(U403:U406)</f>
        <v>0.2</v>
      </c>
      <c r="V410" s="183">
        <v>0.8</v>
      </c>
      <c r="W410" s="136">
        <f>U410/V410</f>
        <v>0.25</v>
      </c>
    </row>
    <row r="411" spans="1:23" ht="20.100000000000001" customHeight="1" x14ac:dyDescent="0.25">
      <c r="A411" s="1683" t="str">
        <f>'Расчет ЦП - общая форма'!C328</f>
        <v xml:space="preserve">ПС 35/10 кВ Медное </v>
      </c>
      <c r="B411" s="1551">
        <f>'Расчет ЦП - общая форма'!D328</f>
        <v>6.3</v>
      </c>
      <c r="C411" s="1552" t="str">
        <f>'Расчет ЦП - общая форма'!E328</f>
        <v>+</v>
      </c>
      <c r="D411" s="1552">
        <f>'Расчет ЦП - общая форма'!F328</f>
        <v>6.3</v>
      </c>
      <c r="E411" s="399"/>
      <c r="F411" s="400"/>
      <c r="G411" s="1712" t="s">
        <v>1987</v>
      </c>
      <c r="H411" s="1712"/>
      <c r="I411" s="1712"/>
      <c r="J411" s="1712"/>
      <c r="K411" s="1712"/>
      <c r="L411" s="1702"/>
      <c r="M411" s="133"/>
      <c r="N411" s="175"/>
      <c r="O411" s="77"/>
      <c r="P411" s="77"/>
      <c r="Q411" s="77"/>
      <c r="R411" s="1733" t="s">
        <v>1987</v>
      </c>
      <c r="S411" s="1712"/>
      <c r="T411" s="1712"/>
      <c r="U411" s="1712"/>
      <c r="V411" s="1712"/>
      <c r="W411" s="1702"/>
    </row>
    <row r="412" spans="1:23" ht="81" customHeight="1" x14ac:dyDescent="0.25">
      <c r="A412" s="1540"/>
      <c r="B412" s="1501"/>
      <c r="C412" s="1553"/>
      <c r="D412" s="1553"/>
      <c r="E412" s="403"/>
      <c r="F412" s="404"/>
      <c r="G412" s="544"/>
      <c r="H412" s="303"/>
      <c r="I412" s="304"/>
      <c r="J412" s="303"/>
      <c r="K412" s="303"/>
      <c r="L412" s="305"/>
      <c r="M412" s="42" t="s">
        <v>505</v>
      </c>
      <c r="N412" s="42" t="s">
        <v>506</v>
      </c>
      <c r="O412" s="42">
        <v>0.9</v>
      </c>
      <c r="P412" s="42"/>
      <c r="Q412" s="42"/>
      <c r="R412" s="338" t="s">
        <v>503</v>
      </c>
      <c r="S412" s="338" t="s">
        <v>504</v>
      </c>
      <c r="T412" s="372" t="s">
        <v>2518</v>
      </c>
      <c r="U412" s="338">
        <v>0.185</v>
      </c>
      <c r="V412" s="338"/>
      <c r="W412" s="346"/>
    </row>
    <row r="413" spans="1:23" ht="20.100000000000001" customHeight="1" x14ac:dyDescent="0.25">
      <c r="A413" s="401"/>
      <c r="B413" s="402"/>
      <c r="C413" s="403"/>
      <c r="D413" s="403"/>
      <c r="E413" s="403"/>
      <c r="F413" s="404"/>
      <c r="G413" s="262" t="s">
        <v>511</v>
      </c>
      <c r="H413" s="143" t="s">
        <v>512</v>
      </c>
      <c r="I413" s="143" t="s">
        <v>513</v>
      </c>
      <c r="J413" s="143">
        <v>0.16</v>
      </c>
      <c r="K413" s="42"/>
      <c r="L413" s="72"/>
      <c r="M413" s="42" t="s">
        <v>507</v>
      </c>
      <c r="N413" s="42" t="s">
        <v>508</v>
      </c>
      <c r="O413" s="42">
        <v>0.6</v>
      </c>
      <c r="P413" s="42"/>
      <c r="Q413" s="42"/>
      <c r="R413" s="72"/>
      <c r="S413" s="142"/>
      <c r="T413" s="142"/>
      <c r="U413" s="142"/>
      <c r="V413" s="72"/>
      <c r="W413" s="72"/>
    </row>
    <row r="414" spans="1:23" ht="49.5" customHeight="1" x14ac:dyDescent="0.25">
      <c r="A414" s="401"/>
      <c r="B414" s="402"/>
      <c r="C414" s="403"/>
      <c r="D414" s="403"/>
      <c r="E414" s="403"/>
      <c r="F414" s="404"/>
      <c r="G414" s="566" t="s">
        <v>311</v>
      </c>
      <c r="H414" s="119" t="s">
        <v>1502</v>
      </c>
      <c r="I414" s="143" t="s">
        <v>2332</v>
      </c>
      <c r="J414" s="143">
        <v>8.5000000000000006E-2</v>
      </c>
      <c r="K414" s="143"/>
      <c r="L414" s="142"/>
      <c r="M414" s="42" t="s">
        <v>509</v>
      </c>
      <c r="N414" s="42" t="s">
        <v>510</v>
      </c>
      <c r="O414" s="42">
        <v>0.5</v>
      </c>
      <c r="P414" s="42"/>
      <c r="Q414" s="42"/>
      <c r="R414" s="81"/>
      <c r="S414" s="81"/>
      <c r="T414" s="142"/>
      <c r="U414" s="142"/>
      <c r="V414" s="142"/>
      <c r="W414" s="142"/>
    </row>
    <row r="415" spans="1:23" ht="18.75" customHeight="1" x14ac:dyDescent="0.25">
      <c r="A415" s="401"/>
      <c r="B415" s="402"/>
      <c r="C415" s="403"/>
      <c r="D415" s="403"/>
      <c r="E415" s="403"/>
      <c r="F415" s="404"/>
      <c r="G415" s="1664" t="s">
        <v>2061</v>
      </c>
      <c r="H415" s="1709"/>
      <c r="I415" s="1709"/>
      <c r="J415" s="1709"/>
      <c r="K415" s="1709"/>
      <c r="L415" s="1709"/>
      <c r="M415" s="42"/>
      <c r="N415" s="42"/>
      <c r="O415" s="42"/>
      <c r="P415" s="42"/>
      <c r="Q415" s="42"/>
      <c r="R415" s="1694"/>
      <c r="S415" s="1694"/>
      <c r="T415" s="1694"/>
      <c r="U415" s="1694"/>
      <c r="V415" s="1694"/>
      <c r="W415" s="1694"/>
    </row>
    <row r="416" spans="1:23" ht="49.5" customHeight="1" x14ac:dyDescent="0.25">
      <c r="A416" s="401"/>
      <c r="B416" s="402"/>
      <c r="C416" s="403"/>
      <c r="D416" s="403"/>
      <c r="E416" s="403"/>
      <c r="F416" s="404"/>
      <c r="G416" s="278" t="s">
        <v>2065</v>
      </c>
      <c r="H416" s="154" t="s">
        <v>2066</v>
      </c>
      <c r="I416" s="143" t="s">
        <v>2274</v>
      </c>
      <c r="J416" s="59">
        <v>9.5000000000000001E-2</v>
      </c>
      <c r="K416" s="42"/>
      <c r="L416" s="72"/>
      <c r="M416" s="154" t="s">
        <v>1500</v>
      </c>
      <c r="N416" s="154" t="s">
        <v>1501</v>
      </c>
      <c r="O416" s="42">
        <v>1.2090000000000001</v>
      </c>
      <c r="P416" s="42"/>
      <c r="Q416" s="42"/>
      <c r="R416" s="81"/>
      <c r="S416" s="81"/>
      <c r="T416" s="142"/>
      <c r="U416" s="46"/>
      <c r="V416" s="72"/>
      <c r="W416" s="72"/>
    </row>
    <row r="417" spans="1:23" ht="26.25" customHeight="1" x14ac:dyDescent="0.25">
      <c r="A417" s="855"/>
      <c r="B417" s="857"/>
      <c r="C417" s="858"/>
      <c r="D417" s="858"/>
      <c r="E417" s="858"/>
      <c r="F417" s="854"/>
      <c r="G417" s="1664" t="s">
        <v>2512</v>
      </c>
      <c r="H417" s="1709"/>
      <c r="I417" s="1709"/>
      <c r="J417" s="1709"/>
      <c r="K417" s="1709"/>
      <c r="L417" s="1709"/>
      <c r="M417" s="154"/>
      <c r="N417" s="154"/>
      <c r="O417" s="42"/>
      <c r="P417" s="42"/>
      <c r="Q417" s="42"/>
      <c r="R417" s="81"/>
      <c r="S417" s="81"/>
      <c r="T417" s="142"/>
      <c r="U417" s="46"/>
      <c r="V417" s="157"/>
      <c r="W417" s="157"/>
    </row>
    <row r="418" spans="1:23" ht="20.100000000000001" customHeight="1" x14ac:dyDescent="0.25">
      <c r="A418" s="401"/>
      <c r="B418" s="402"/>
      <c r="C418" s="403"/>
      <c r="D418" s="403"/>
      <c r="E418" s="403"/>
      <c r="F418" s="404"/>
      <c r="G418" s="143" t="s">
        <v>2945</v>
      </c>
      <c r="H418" s="143" t="s">
        <v>2947</v>
      </c>
      <c r="I418" s="180" t="s">
        <v>3027</v>
      </c>
      <c r="J418" s="222">
        <v>0.25679999999999997</v>
      </c>
      <c r="K418" s="159"/>
      <c r="L418" s="157"/>
      <c r="M418" s="143"/>
      <c r="N418" s="143"/>
      <c r="O418" s="143"/>
      <c r="P418" s="143"/>
      <c r="Q418" s="143"/>
      <c r="R418" s="142"/>
      <c r="S418" s="142"/>
      <c r="T418" s="142"/>
      <c r="U418" s="46"/>
      <c r="V418" s="157"/>
      <c r="W418" s="157"/>
    </row>
    <row r="419" spans="1:23" ht="20.100000000000001" customHeight="1" x14ac:dyDescent="0.25">
      <c r="A419" s="1212"/>
      <c r="B419" s="1210"/>
      <c r="C419" s="1214"/>
      <c r="D419" s="1214"/>
      <c r="E419" s="1214"/>
      <c r="F419" s="1211"/>
      <c r="G419" s="1664">
        <v>2012</v>
      </c>
      <c r="H419" s="1709"/>
      <c r="I419" s="1709"/>
      <c r="J419" s="1709"/>
      <c r="K419" s="1709"/>
      <c r="L419" s="1709"/>
      <c r="M419" s="146"/>
      <c r="N419" s="180"/>
      <c r="O419" s="151"/>
      <c r="P419" s="151"/>
      <c r="Q419" s="151"/>
      <c r="R419" s="147"/>
      <c r="S419" s="363"/>
      <c r="T419" s="176"/>
      <c r="U419" s="1235"/>
      <c r="V419" s="157"/>
      <c r="W419" s="157"/>
    </row>
    <row r="420" spans="1:23" ht="20.100000000000001" customHeight="1" x14ac:dyDescent="0.25">
      <c r="A420" s="1212"/>
      <c r="B420" s="1210"/>
      <c r="C420" s="1214"/>
      <c r="D420" s="1214"/>
      <c r="E420" s="1214"/>
      <c r="F420" s="1211"/>
      <c r="G420" s="1665" t="s">
        <v>3481</v>
      </c>
      <c r="H420" s="1666"/>
      <c r="I420" s="1667"/>
      <c r="J420" s="1236">
        <v>0.48070000000000002</v>
      </c>
      <c r="K420" s="159"/>
      <c r="L420" s="157"/>
      <c r="M420" s="146"/>
      <c r="N420" s="180"/>
      <c r="O420" s="151"/>
      <c r="P420" s="151"/>
      <c r="Q420" s="151"/>
      <c r="R420" s="147"/>
      <c r="S420" s="363"/>
      <c r="T420" s="176"/>
      <c r="U420" s="1235"/>
      <c r="V420" s="157"/>
      <c r="W420" s="157"/>
    </row>
    <row r="421" spans="1:23" ht="20.100000000000001" customHeight="1" thickBot="1" x14ac:dyDescent="0.3">
      <c r="A421" s="405"/>
      <c r="B421" s="394"/>
      <c r="C421" s="395"/>
      <c r="D421" s="395"/>
      <c r="E421" s="395"/>
      <c r="F421" s="396"/>
      <c r="G421" s="1555" t="s">
        <v>1860</v>
      </c>
      <c r="H421" s="1555"/>
      <c r="I421" s="1556"/>
      <c r="J421" s="219">
        <f>SUM(J418:J420)</f>
        <v>0.73750000000000004</v>
      </c>
      <c r="K421" s="183">
        <v>0.8</v>
      </c>
      <c r="L421" s="136">
        <f>J421/K421</f>
        <v>0.921875</v>
      </c>
      <c r="M421" s="1574" t="s">
        <v>1861</v>
      </c>
      <c r="N421" s="1556"/>
      <c r="O421" s="136">
        <f>SUM(O412:O418)</f>
        <v>3.2090000000000001</v>
      </c>
      <c r="P421" s="183">
        <v>0.8</v>
      </c>
      <c r="Q421" s="136">
        <f>O421/P421</f>
        <v>4.0112499999999995</v>
      </c>
      <c r="R421" s="1574" t="s">
        <v>1860</v>
      </c>
      <c r="S421" s="1555"/>
      <c r="T421" s="1556"/>
      <c r="U421" s="136">
        <f>SUM(U412)</f>
        <v>0.185</v>
      </c>
      <c r="V421" s="183">
        <v>0.8</v>
      </c>
      <c r="W421" s="136">
        <f>U421/V421</f>
        <v>0.23124999999999998</v>
      </c>
    </row>
    <row r="422" spans="1:23" ht="28.5" customHeight="1" x14ac:dyDescent="0.25">
      <c r="A422" s="406" t="str">
        <f>'Расчет ЦП - общая форма'!C329</f>
        <v xml:space="preserve">ПС 35/10 кВ Толмачи       </v>
      </c>
      <c r="B422" s="398">
        <f>'Расчет ЦП - общая форма'!D329</f>
        <v>2.5</v>
      </c>
      <c r="C422" s="399" t="str">
        <f>'Расчет ЦП - общая форма'!E329</f>
        <v>+</v>
      </c>
      <c r="D422" s="399">
        <f>'Расчет ЦП - общая форма'!F329</f>
        <v>1.8</v>
      </c>
      <c r="E422" s="399"/>
      <c r="F422" s="400"/>
      <c r="G422" s="184"/>
      <c r="H422" s="143"/>
      <c r="I422" s="143"/>
      <c r="J422" s="143"/>
      <c r="K422" s="143"/>
      <c r="L422" s="142"/>
      <c r="M422" s="4" t="s">
        <v>2371</v>
      </c>
      <c r="N422" s="4" t="s">
        <v>2372</v>
      </c>
      <c r="O422" s="153">
        <v>0.1</v>
      </c>
      <c r="P422" s="143"/>
      <c r="Q422" s="143"/>
      <c r="R422" s="143"/>
      <c r="S422" s="143"/>
      <c r="T422" s="143"/>
      <c r="U422" s="143"/>
      <c r="V422" s="143"/>
      <c r="W422" s="142"/>
    </row>
    <row r="423" spans="1:23" ht="20.100000000000001" customHeight="1" thickBot="1" x14ac:dyDescent="0.3">
      <c r="A423" s="405"/>
      <c r="B423" s="394"/>
      <c r="C423" s="395"/>
      <c r="D423" s="395"/>
      <c r="E423" s="395"/>
      <c r="F423" s="396"/>
      <c r="G423" s="1574" t="s">
        <v>1860</v>
      </c>
      <c r="H423" s="1555"/>
      <c r="I423" s="1556"/>
      <c r="J423" s="136">
        <f>SUM(J422:J422)</f>
        <v>0</v>
      </c>
      <c r="K423" s="183">
        <v>0.8</v>
      </c>
      <c r="L423" s="136">
        <f>J423/K423</f>
        <v>0</v>
      </c>
      <c r="M423" s="1574" t="s">
        <v>1861</v>
      </c>
      <c r="N423" s="1556"/>
      <c r="O423" s="136">
        <f>SUM(O422:O422)</f>
        <v>0.1</v>
      </c>
      <c r="P423" s="183">
        <v>0.8</v>
      </c>
      <c r="Q423" s="136">
        <f>O423/P423</f>
        <v>0.125</v>
      </c>
      <c r="R423" s="1574" t="s">
        <v>1860</v>
      </c>
      <c r="S423" s="1555"/>
      <c r="T423" s="1556"/>
      <c r="U423" s="136">
        <f>SUM(U422:U422)</f>
        <v>0</v>
      </c>
      <c r="V423" s="183">
        <v>0.8</v>
      </c>
      <c r="W423" s="136">
        <f>U423/V423</f>
        <v>0</v>
      </c>
    </row>
    <row r="424" spans="1:23" s="18" customFormat="1" ht="20.100000000000001" customHeight="1" x14ac:dyDescent="0.25">
      <c r="A424" s="406" t="str">
        <f>'Расчет ЦП - общая форма'!C330</f>
        <v xml:space="preserve">ПС 35/10 кВ № 7 </v>
      </c>
      <c r="B424" s="398">
        <f>'Расчет ЦП - общая форма'!D330</f>
        <v>1.8</v>
      </c>
      <c r="C424" s="399" t="str">
        <f>'Расчет ЦП - общая форма'!E330</f>
        <v>+</v>
      </c>
      <c r="D424" s="399">
        <f>'Расчет ЦП - общая форма'!F330</f>
        <v>2.5</v>
      </c>
      <c r="E424" s="399"/>
      <c r="F424" s="400"/>
      <c r="G424" s="1688" t="s">
        <v>2061</v>
      </c>
      <c r="H424" s="1689"/>
      <c r="I424" s="1689"/>
      <c r="J424" s="1689"/>
      <c r="K424" s="1689"/>
      <c r="L424" s="1689"/>
      <c r="M424" s="143" t="s">
        <v>394</v>
      </c>
      <c r="N424" s="143" t="s">
        <v>395</v>
      </c>
      <c r="O424" s="143">
        <v>0.49149999999999999</v>
      </c>
      <c r="P424" s="143"/>
      <c r="Q424" s="143"/>
      <c r="R424" s="143"/>
      <c r="S424" s="143"/>
      <c r="T424" s="143"/>
      <c r="U424" s="143"/>
      <c r="V424" s="143"/>
      <c r="W424" s="142"/>
    </row>
    <row r="425" spans="1:23" s="18" customFormat="1" ht="20.100000000000001" customHeight="1" x14ac:dyDescent="0.25">
      <c r="A425" s="401"/>
      <c r="B425" s="402"/>
      <c r="C425" s="403"/>
      <c r="D425" s="403"/>
      <c r="E425" s="403"/>
      <c r="F425" s="404"/>
      <c r="G425" s="184" t="s">
        <v>2190</v>
      </c>
      <c r="H425" s="143" t="s">
        <v>2191</v>
      </c>
      <c r="I425" s="143" t="s">
        <v>2542</v>
      </c>
      <c r="J425" s="143">
        <v>0.15</v>
      </c>
      <c r="K425" s="151"/>
      <c r="L425" s="149"/>
      <c r="M425" s="143" t="s">
        <v>2190</v>
      </c>
      <c r="N425" s="143" t="s">
        <v>2191</v>
      </c>
      <c r="O425" s="143">
        <v>0.15</v>
      </c>
      <c r="P425" s="151"/>
      <c r="Q425" s="151"/>
      <c r="R425" s="146"/>
      <c r="S425" s="179"/>
      <c r="T425" s="180"/>
      <c r="U425" s="151"/>
      <c r="V425" s="151"/>
      <c r="W425" s="149"/>
    </row>
    <row r="426" spans="1:23" ht="20.100000000000001" customHeight="1" thickBot="1" x14ac:dyDescent="0.3">
      <c r="A426" s="405"/>
      <c r="B426" s="394"/>
      <c r="C426" s="395"/>
      <c r="D426" s="395"/>
      <c r="E426" s="395"/>
      <c r="F426" s="396"/>
      <c r="G426" s="1530" t="s">
        <v>1860</v>
      </c>
      <c r="H426" s="1530"/>
      <c r="I426" s="1531"/>
      <c r="J426" s="181">
        <f>SUM(J424:J425)</f>
        <v>0.15</v>
      </c>
      <c r="K426" s="151">
        <v>0.8</v>
      </c>
      <c r="L426" s="181">
        <f>J426/K426</f>
        <v>0.18749999999999997</v>
      </c>
      <c r="M426" s="1529" t="s">
        <v>1861</v>
      </c>
      <c r="N426" s="1531"/>
      <c r="O426" s="181">
        <f>SUM(O424:O425)</f>
        <v>0.64149999999999996</v>
      </c>
      <c r="P426" s="151">
        <v>0.8</v>
      </c>
      <c r="Q426" s="181">
        <f>O426/P426</f>
        <v>0.80187499999999989</v>
      </c>
      <c r="R426" s="1529" t="s">
        <v>1860</v>
      </c>
      <c r="S426" s="1530"/>
      <c r="T426" s="1531"/>
      <c r="U426" s="181">
        <f>SUM(U424:U424)</f>
        <v>0</v>
      </c>
      <c r="V426" s="151">
        <v>0.8</v>
      </c>
      <c r="W426" s="181">
        <f>U426/V426</f>
        <v>0</v>
      </c>
    </row>
    <row r="427" spans="1:23" ht="20.100000000000001" customHeight="1" x14ac:dyDescent="0.25">
      <c r="A427" s="1683" t="str">
        <f>'Расчет ЦП - общая форма'!C331</f>
        <v xml:space="preserve">ПС  35/6 кВ № 5 </v>
      </c>
      <c r="B427" s="1551">
        <f>'Расчет ЦП - общая форма'!D331</f>
        <v>5.6</v>
      </c>
      <c r="C427" s="1552" t="str">
        <f>'Расчет ЦП - общая форма'!E331</f>
        <v>+</v>
      </c>
      <c r="D427" s="1552">
        <f>'Расчет ЦП - общая форма'!F331</f>
        <v>4</v>
      </c>
      <c r="E427" s="399"/>
      <c r="F427" s="400"/>
      <c r="G427" s="1702" t="s">
        <v>2061</v>
      </c>
      <c r="H427" s="1703"/>
      <c r="I427" s="1703"/>
      <c r="J427" s="1703"/>
      <c r="K427" s="1703"/>
      <c r="L427" s="1703"/>
      <c r="M427" s="77"/>
      <c r="N427" s="77"/>
      <c r="O427" s="77"/>
      <c r="P427" s="77"/>
      <c r="Q427" s="279"/>
      <c r="R427" s="1692"/>
      <c r="S427" s="1690"/>
      <c r="T427" s="1690"/>
      <c r="U427" s="1690"/>
      <c r="V427" s="1690"/>
      <c r="W427" s="1690"/>
    </row>
    <row r="428" spans="1:23" s="18" customFormat="1" ht="49.5" customHeight="1" thickBot="1" x14ac:dyDescent="0.3">
      <c r="A428" s="1540"/>
      <c r="B428" s="1501"/>
      <c r="C428" s="1553"/>
      <c r="D428" s="1553"/>
      <c r="E428" s="403"/>
      <c r="F428" s="404"/>
      <c r="G428" s="278" t="s">
        <v>1512</v>
      </c>
      <c r="H428" s="154" t="s">
        <v>1513</v>
      </c>
      <c r="I428" s="143" t="s">
        <v>2263</v>
      </c>
      <c r="J428" s="143">
        <v>0.12</v>
      </c>
      <c r="K428" s="143"/>
      <c r="L428" s="142"/>
      <c r="M428" s="142" t="s">
        <v>537</v>
      </c>
      <c r="N428" s="142" t="s">
        <v>538</v>
      </c>
      <c r="O428" s="283">
        <v>0.1</v>
      </c>
      <c r="P428" s="142"/>
      <c r="Q428" s="280"/>
      <c r="R428" s="370"/>
      <c r="S428" s="81"/>
      <c r="T428" s="142"/>
      <c r="U428" s="142"/>
      <c r="V428" s="142"/>
      <c r="W428" s="142"/>
    </row>
    <row r="429" spans="1:23" s="18" customFormat="1" ht="29.25" customHeight="1" x14ac:dyDescent="0.25">
      <c r="A429" s="774"/>
      <c r="B429" s="775"/>
      <c r="C429" s="777"/>
      <c r="D429" s="777"/>
      <c r="E429" s="777"/>
      <c r="F429" s="773"/>
      <c r="G429" s="1702" t="s">
        <v>2512</v>
      </c>
      <c r="H429" s="1703"/>
      <c r="I429" s="1703"/>
      <c r="J429" s="1703"/>
      <c r="K429" s="1703"/>
      <c r="L429" s="1703"/>
      <c r="M429" s="149" t="s">
        <v>3108</v>
      </c>
      <c r="N429" s="149" t="s">
        <v>3109</v>
      </c>
      <c r="O429" s="342">
        <v>0.04</v>
      </c>
      <c r="P429" s="149"/>
      <c r="Q429" s="712"/>
      <c r="R429" s="713"/>
      <c r="S429" s="377"/>
      <c r="T429" s="149"/>
      <c r="U429" s="149"/>
      <c r="V429" s="149"/>
      <c r="W429" s="149"/>
    </row>
    <row r="430" spans="1:23" s="18" customFormat="1" ht="49.5" customHeight="1" x14ac:dyDescent="0.25">
      <c r="A430" s="774"/>
      <c r="B430" s="775"/>
      <c r="C430" s="777"/>
      <c r="D430" s="777"/>
      <c r="E430" s="777"/>
      <c r="F430" s="773"/>
      <c r="G430" s="567" t="s">
        <v>2837</v>
      </c>
      <c r="H430" s="218" t="s">
        <v>2854</v>
      </c>
      <c r="I430" s="151" t="s">
        <v>2855</v>
      </c>
      <c r="J430" s="151">
        <v>0.15</v>
      </c>
      <c r="K430" s="151"/>
      <c r="L430" s="149"/>
      <c r="M430" s="149"/>
      <c r="N430" s="149"/>
      <c r="O430" s="342"/>
      <c r="P430" s="149"/>
      <c r="Q430" s="712"/>
      <c r="R430" s="713"/>
      <c r="S430" s="377"/>
      <c r="T430" s="149"/>
      <c r="U430" s="149"/>
      <c r="V430" s="149"/>
      <c r="W430" s="149"/>
    </row>
    <row r="431" spans="1:23" ht="20.100000000000001" customHeight="1" thickBot="1" x14ac:dyDescent="0.3">
      <c r="A431" s="405"/>
      <c r="B431" s="394"/>
      <c r="C431" s="395"/>
      <c r="D431" s="395"/>
      <c r="E431" s="395"/>
      <c r="F431" s="396"/>
      <c r="G431" s="1556" t="s">
        <v>1860</v>
      </c>
      <c r="H431" s="1711"/>
      <c r="I431" s="1711"/>
      <c r="J431" s="136">
        <f>SUM(J430)</f>
        <v>0.15</v>
      </c>
      <c r="K431" s="183">
        <v>0.8</v>
      </c>
      <c r="L431" s="136">
        <f>J431/K431</f>
        <v>0.18749999999999997</v>
      </c>
      <c r="M431" s="1711" t="s">
        <v>1861</v>
      </c>
      <c r="N431" s="1711"/>
      <c r="O431" s="136">
        <f>SUM(O428:O429)</f>
        <v>0.14000000000000001</v>
      </c>
      <c r="P431" s="183">
        <v>0.8</v>
      </c>
      <c r="Q431" s="273">
        <f>O431/P431</f>
        <v>0.17500000000000002</v>
      </c>
      <c r="R431" s="1556" t="s">
        <v>1860</v>
      </c>
      <c r="S431" s="1711"/>
      <c r="T431" s="1711"/>
      <c r="U431" s="136">
        <f>SUM(U428:U428)</f>
        <v>0</v>
      </c>
      <c r="V431" s="183">
        <v>0.8</v>
      </c>
      <c r="W431" s="136">
        <f>U431/V431</f>
        <v>0</v>
      </c>
    </row>
    <row r="432" spans="1:23" ht="20.100000000000001" customHeight="1" x14ac:dyDescent="0.25">
      <c r="A432" s="1683" t="str">
        <f>'Расчет ЦП - общая форма'!C332</f>
        <v xml:space="preserve">ПС  35/6 кВ № 9 </v>
      </c>
      <c r="B432" s="1551">
        <f>'Расчет ЦП - общая форма'!D332</f>
        <v>5.6</v>
      </c>
      <c r="C432" s="1552" t="str">
        <f>'Расчет ЦП - общая форма'!E332</f>
        <v>+</v>
      </c>
      <c r="D432" s="1552">
        <f>'Расчет ЦП - общая форма'!F332</f>
        <v>6.3</v>
      </c>
      <c r="E432" s="399"/>
      <c r="F432" s="400"/>
      <c r="G432" s="1702" t="s">
        <v>2061</v>
      </c>
      <c r="H432" s="1703"/>
      <c r="I432" s="1703"/>
      <c r="J432" s="1703"/>
      <c r="K432" s="1703"/>
      <c r="L432" s="1703"/>
      <c r="M432" s="157"/>
      <c r="N432" s="157"/>
      <c r="O432" s="157"/>
      <c r="P432" s="157"/>
      <c r="Q432" s="55"/>
      <c r="R432" s="1692"/>
      <c r="S432" s="1690"/>
      <c r="T432" s="1690"/>
      <c r="U432" s="1690"/>
      <c r="V432" s="1690"/>
      <c r="W432" s="1690"/>
    </row>
    <row r="433" spans="1:23" s="18" customFormat="1" ht="81" customHeight="1" x14ac:dyDescent="0.25">
      <c r="A433" s="1540"/>
      <c r="B433" s="1501"/>
      <c r="C433" s="1553"/>
      <c r="D433" s="1553"/>
      <c r="E433" s="403"/>
      <c r="F433" s="404"/>
      <c r="G433" s="261" t="s">
        <v>2038</v>
      </c>
      <c r="H433" s="159" t="s">
        <v>2039</v>
      </c>
      <c r="I433" s="42" t="s">
        <v>2271</v>
      </c>
      <c r="J433" s="42">
        <v>1.78E-2</v>
      </c>
      <c r="K433" s="42"/>
      <c r="L433" s="72"/>
      <c r="M433" s="143" t="s">
        <v>539</v>
      </c>
      <c r="N433" s="143" t="s">
        <v>540</v>
      </c>
      <c r="O433" s="143">
        <v>0.12</v>
      </c>
      <c r="P433" s="143"/>
      <c r="Q433" s="143"/>
      <c r="R433" s="157"/>
      <c r="S433" s="157"/>
      <c r="T433" s="72"/>
      <c r="U433" s="72"/>
      <c r="V433" s="72"/>
      <c r="W433" s="72"/>
    </row>
    <row r="434" spans="1:23" s="18" customFormat="1" ht="69.75" customHeight="1" x14ac:dyDescent="0.25">
      <c r="A434" s="401"/>
      <c r="B434" s="402"/>
      <c r="C434" s="403"/>
      <c r="D434" s="403"/>
      <c r="E434" s="403"/>
      <c r="F434" s="404"/>
      <c r="G434" s="184" t="s">
        <v>2036</v>
      </c>
      <c r="H434" s="143" t="s">
        <v>2037</v>
      </c>
      <c r="I434" s="143" t="s">
        <v>2284</v>
      </c>
      <c r="J434" s="143">
        <v>2.5000000000000001E-2</v>
      </c>
      <c r="K434" s="143"/>
      <c r="L434" s="142"/>
      <c r="M434" s="143" t="s">
        <v>541</v>
      </c>
      <c r="N434" s="143" t="s">
        <v>542</v>
      </c>
      <c r="O434" s="143">
        <v>0.1</v>
      </c>
      <c r="P434" s="143"/>
      <c r="Q434" s="143"/>
      <c r="R434" s="142"/>
      <c r="S434" s="142"/>
      <c r="T434" s="142"/>
      <c r="U434" s="142"/>
      <c r="V434" s="142"/>
      <c r="W434" s="142"/>
    </row>
    <row r="435" spans="1:23" s="18" customFormat="1" ht="79.5" customHeight="1" x14ac:dyDescent="0.25">
      <c r="A435" s="401"/>
      <c r="B435" s="402"/>
      <c r="C435" s="403"/>
      <c r="D435" s="403"/>
      <c r="E435" s="403"/>
      <c r="F435" s="404"/>
      <c r="G435" s="218" t="s">
        <v>2787</v>
      </c>
      <c r="H435" s="218" t="s">
        <v>2993</v>
      </c>
      <c r="I435" s="151" t="s">
        <v>3032</v>
      </c>
      <c r="J435" s="151">
        <v>5.5E-2</v>
      </c>
      <c r="K435" s="151"/>
      <c r="L435" s="149"/>
      <c r="M435" s="143" t="s">
        <v>543</v>
      </c>
      <c r="N435" s="143" t="s">
        <v>544</v>
      </c>
      <c r="O435" s="143">
        <v>5.416E-2</v>
      </c>
      <c r="P435" s="143"/>
      <c r="Q435" s="143"/>
      <c r="R435" s="142"/>
      <c r="S435" s="142"/>
      <c r="T435" s="142"/>
      <c r="U435" s="142"/>
      <c r="V435" s="142"/>
      <c r="W435" s="142"/>
    </row>
    <row r="436" spans="1:23" s="18" customFormat="1" ht="20.100000000000001" customHeight="1" x14ac:dyDescent="0.25">
      <c r="A436" s="401"/>
      <c r="B436" s="402"/>
      <c r="C436" s="403"/>
      <c r="D436" s="403"/>
      <c r="E436" s="403"/>
      <c r="F436" s="404"/>
      <c r="G436" s="1709" t="s">
        <v>2512</v>
      </c>
      <c r="H436" s="1709"/>
      <c r="I436" s="1709"/>
      <c r="J436" s="1709"/>
      <c r="K436" s="1709"/>
      <c r="L436" s="1709"/>
      <c r="P436" s="143"/>
      <c r="Q436" s="143"/>
      <c r="R436" s="142"/>
      <c r="S436" s="142"/>
      <c r="T436" s="142"/>
      <c r="U436" s="142"/>
      <c r="V436" s="142"/>
      <c r="W436" s="142"/>
    </row>
    <row r="437" spans="1:23" ht="20.100000000000001" customHeight="1" x14ac:dyDescent="0.25">
      <c r="A437" s="401"/>
      <c r="B437" s="402"/>
      <c r="C437" s="403"/>
      <c r="D437" s="403"/>
      <c r="E437" s="403"/>
      <c r="F437" s="404"/>
      <c r="G437" s="2" t="s">
        <v>3072</v>
      </c>
      <c r="H437" s="2" t="s">
        <v>3073</v>
      </c>
      <c r="I437" s="143" t="s">
        <v>2843</v>
      </c>
      <c r="J437" s="143">
        <v>0.60599999999999998</v>
      </c>
      <c r="K437" s="143"/>
      <c r="L437" s="142"/>
      <c r="M437" s="154" t="s">
        <v>2078</v>
      </c>
      <c r="N437" s="154" t="s">
        <v>2079</v>
      </c>
      <c r="O437" s="143">
        <v>0.04</v>
      </c>
      <c r="P437" s="8"/>
      <c r="Q437" s="8"/>
      <c r="R437" s="142"/>
      <c r="S437" s="142"/>
      <c r="T437" s="142"/>
      <c r="U437" s="142"/>
      <c r="V437" s="142"/>
      <c r="W437" s="142"/>
    </row>
    <row r="438" spans="1:23" ht="20.100000000000001" customHeight="1" x14ac:dyDescent="0.25">
      <c r="A438" s="401"/>
      <c r="B438" s="402"/>
      <c r="C438" s="403"/>
      <c r="D438" s="403"/>
      <c r="E438" s="403"/>
      <c r="F438" s="404"/>
      <c r="G438" s="1709" t="s">
        <v>3069</v>
      </c>
      <c r="H438" s="1709"/>
      <c r="I438" s="1709"/>
      <c r="J438" s="1709"/>
      <c r="K438" s="1709"/>
      <c r="L438" s="1709"/>
      <c r="M438" s="143" t="s">
        <v>22</v>
      </c>
      <c r="N438" s="143" t="s">
        <v>23</v>
      </c>
      <c r="O438" s="143">
        <v>0.15</v>
      </c>
      <c r="P438" s="85"/>
      <c r="Q438" s="79"/>
      <c r="R438" s="142"/>
      <c r="S438" s="142"/>
      <c r="T438" s="142"/>
      <c r="U438" s="142"/>
      <c r="V438" s="142"/>
      <c r="W438" s="142"/>
    </row>
    <row r="439" spans="1:23" ht="89.25" customHeight="1" x14ac:dyDescent="0.25">
      <c r="A439" s="401"/>
      <c r="B439" s="402"/>
      <c r="C439" s="403"/>
      <c r="D439" s="403"/>
      <c r="E439" s="403"/>
      <c r="F439" s="404"/>
      <c r="G439" s="154" t="s">
        <v>3121</v>
      </c>
      <c r="H439" s="154" t="s">
        <v>3216</v>
      </c>
      <c r="I439" s="143" t="s">
        <v>3234</v>
      </c>
      <c r="J439" s="143">
        <v>0.2</v>
      </c>
      <c r="K439" s="143"/>
      <c r="L439" s="142"/>
      <c r="M439" s="154" t="s">
        <v>897</v>
      </c>
      <c r="N439" s="154" t="s">
        <v>898</v>
      </c>
      <c r="O439" s="143">
        <v>0.06</v>
      </c>
      <c r="P439" s="8"/>
      <c r="Q439" s="8"/>
      <c r="R439" s="142"/>
      <c r="S439" s="142"/>
      <c r="T439" s="142"/>
      <c r="U439" s="142"/>
      <c r="V439" s="142"/>
      <c r="W439" s="142"/>
    </row>
    <row r="440" spans="1:23" ht="20.100000000000001" customHeight="1" x14ac:dyDescent="0.25">
      <c r="A440" s="614"/>
      <c r="B440" s="615"/>
      <c r="C440" s="616"/>
      <c r="D440" s="616"/>
      <c r="E440" s="616"/>
      <c r="F440" s="613"/>
      <c r="G440" s="154" t="s">
        <v>3395</v>
      </c>
      <c r="H440" s="154" t="s">
        <v>3396</v>
      </c>
      <c r="I440" s="143" t="s">
        <v>3437</v>
      </c>
      <c r="J440" s="143">
        <v>1.4999999999999999E-2</v>
      </c>
      <c r="K440" s="143"/>
      <c r="L440" s="142"/>
      <c r="M440" s="649" t="s">
        <v>2576</v>
      </c>
      <c r="N440" s="154" t="s">
        <v>2577</v>
      </c>
      <c r="O440" s="151">
        <v>0.15</v>
      </c>
      <c r="P440" s="92"/>
      <c r="Q440" s="92"/>
      <c r="R440" s="147"/>
      <c r="S440" s="363"/>
      <c r="T440" s="176"/>
      <c r="U440" s="149"/>
      <c r="V440" s="149"/>
      <c r="W440" s="149"/>
    </row>
    <row r="441" spans="1:23" ht="20.100000000000001" customHeight="1" x14ac:dyDescent="0.25">
      <c r="A441" s="614"/>
      <c r="B441" s="615"/>
      <c r="C441" s="616"/>
      <c r="D441" s="616"/>
      <c r="E441" s="616"/>
      <c r="F441" s="613"/>
      <c r="G441" s="154" t="s">
        <v>3400</v>
      </c>
      <c r="H441" s="154" t="s">
        <v>3401</v>
      </c>
      <c r="I441" s="143" t="s">
        <v>3473</v>
      </c>
      <c r="J441" s="143">
        <v>0.03</v>
      </c>
      <c r="K441" s="143"/>
      <c r="L441" s="142"/>
      <c r="M441" s="154" t="s">
        <v>2578</v>
      </c>
      <c r="N441" s="154" t="s">
        <v>2579</v>
      </c>
      <c r="O441" s="151">
        <f>0.02-0.003</f>
        <v>1.7000000000000001E-2</v>
      </c>
      <c r="P441" s="92"/>
      <c r="Q441" s="92"/>
      <c r="R441" s="147"/>
      <c r="S441" s="363"/>
      <c r="T441" s="176"/>
      <c r="U441" s="149"/>
      <c r="V441" s="149"/>
      <c r="W441" s="149"/>
    </row>
    <row r="442" spans="1:23" ht="20.100000000000001" customHeight="1" x14ac:dyDescent="0.25">
      <c r="A442" s="750"/>
      <c r="B442" s="751"/>
      <c r="C442" s="752"/>
      <c r="D442" s="752"/>
      <c r="E442" s="752"/>
      <c r="F442" s="749"/>
      <c r="G442" s="143"/>
      <c r="H442" s="143"/>
      <c r="I442" s="143"/>
      <c r="J442" s="143"/>
      <c r="K442" s="143"/>
      <c r="L442" s="142"/>
      <c r="M442" s="154" t="s">
        <v>2987</v>
      </c>
      <c r="N442" s="154" t="s">
        <v>2988</v>
      </c>
      <c r="O442" s="143">
        <f>0.4785-0.1785</f>
        <v>0.3</v>
      </c>
      <c r="P442" s="92"/>
      <c r="Q442" s="92"/>
      <c r="R442" s="147"/>
      <c r="S442" s="363"/>
      <c r="T442" s="176"/>
      <c r="U442" s="149"/>
      <c r="V442" s="149"/>
      <c r="W442" s="149"/>
    </row>
    <row r="443" spans="1:23" ht="20.100000000000001" customHeight="1" x14ac:dyDescent="0.25">
      <c r="A443" s="834"/>
      <c r="B443" s="835"/>
      <c r="C443" s="836"/>
      <c r="D443" s="836"/>
      <c r="E443" s="836"/>
      <c r="F443" s="833"/>
      <c r="G443" s="143"/>
      <c r="H443" s="143"/>
      <c r="I443" s="143"/>
      <c r="J443" s="143"/>
      <c r="K443" s="143"/>
      <c r="L443" s="142"/>
      <c r="M443" s="154" t="s">
        <v>3121</v>
      </c>
      <c r="N443" s="154" t="s">
        <v>3122</v>
      </c>
      <c r="O443" s="143">
        <v>0.01</v>
      </c>
      <c r="P443" s="8"/>
      <c r="Q443" s="8"/>
      <c r="R443" s="142"/>
      <c r="S443" s="142"/>
      <c r="T443" s="142"/>
      <c r="U443" s="142"/>
      <c r="V443" s="142"/>
      <c r="W443" s="142"/>
    </row>
    <row r="444" spans="1:23" ht="20.100000000000001" customHeight="1" x14ac:dyDescent="0.25">
      <c r="A444" s="844"/>
      <c r="B444" s="845"/>
      <c r="C444" s="847"/>
      <c r="D444" s="847"/>
      <c r="E444" s="847"/>
      <c r="F444" s="843"/>
      <c r="G444" s="143"/>
      <c r="H444" s="143"/>
      <c r="I444" s="143"/>
      <c r="J444" s="143"/>
      <c r="K444" s="143"/>
      <c r="L444" s="142"/>
      <c r="M444" s="154" t="s">
        <v>3121</v>
      </c>
      <c r="N444" s="154" t="s">
        <v>3182</v>
      </c>
      <c r="O444" s="143">
        <v>0.2</v>
      </c>
      <c r="P444" s="92"/>
      <c r="Q444" s="92"/>
      <c r="R444" s="147"/>
      <c r="S444" s="363"/>
      <c r="T444" s="176"/>
      <c r="U444" s="149"/>
      <c r="V444" s="149"/>
      <c r="W444" s="149"/>
    </row>
    <row r="445" spans="1:23" ht="20.100000000000001" customHeight="1" x14ac:dyDescent="0.25">
      <c r="A445" s="1064"/>
      <c r="B445" s="1065"/>
      <c r="C445" s="1067"/>
      <c r="D445" s="1067"/>
      <c r="E445" s="1067"/>
      <c r="F445" s="1066"/>
      <c r="G445" s="179"/>
      <c r="H445" s="179"/>
      <c r="I445" s="180"/>
      <c r="J445" s="151"/>
      <c r="K445" s="151"/>
      <c r="L445" s="149"/>
      <c r="M445" s="154"/>
      <c r="N445" s="154"/>
      <c r="O445" s="143"/>
      <c r="P445" s="92"/>
      <c r="Q445" s="92"/>
      <c r="R445" s="147"/>
      <c r="S445" s="363"/>
      <c r="T445" s="176"/>
      <c r="U445" s="149"/>
      <c r="V445" s="149"/>
      <c r="W445" s="149"/>
    </row>
    <row r="446" spans="1:23" ht="20.100000000000001" customHeight="1" x14ac:dyDescent="0.25">
      <c r="A446" s="1163"/>
      <c r="B446" s="1164"/>
      <c r="C446" s="1166"/>
      <c r="D446" s="1166"/>
      <c r="E446" s="1166"/>
      <c r="F446" s="1165"/>
      <c r="G446" s="179"/>
      <c r="H446" s="179"/>
      <c r="I446" s="180"/>
      <c r="J446" s="151"/>
      <c r="K446" s="151"/>
      <c r="L446" s="149"/>
      <c r="M446" s="154"/>
      <c r="N446" s="154"/>
      <c r="O446" s="143"/>
      <c r="P446" s="92"/>
      <c r="Q446" s="92"/>
      <c r="R446" s="147"/>
      <c r="S446" s="363"/>
      <c r="T446" s="176"/>
      <c r="U446" s="149"/>
      <c r="V446" s="149"/>
      <c r="W446" s="149"/>
    </row>
    <row r="447" spans="1:23" ht="20.100000000000001" customHeight="1" thickBot="1" x14ac:dyDescent="0.3">
      <c r="A447" s="405"/>
      <c r="B447" s="394"/>
      <c r="C447" s="395"/>
      <c r="D447" s="395"/>
      <c r="E447" s="395"/>
      <c r="F447" s="396"/>
      <c r="G447" s="1555" t="s">
        <v>1860</v>
      </c>
      <c r="H447" s="1555"/>
      <c r="I447" s="1556"/>
      <c r="J447" s="181">
        <f>SUM(J437:J444)</f>
        <v>0.85100000000000009</v>
      </c>
      <c r="K447" s="183">
        <v>0.8</v>
      </c>
      <c r="L447" s="136">
        <f>J447/K447</f>
        <v>1.06375</v>
      </c>
      <c r="M447" s="1574" t="s">
        <v>1861</v>
      </c>
      <c r="N447" s="1556"/>
      <c r="O447" s="136">
        <f>SUM(O433:O446)</f>
        <v>1.20116</v>
      </c>
      <c r="P447" s="183">
        <v>0.8</v>
      </c>
      <c r="Q447" s="136">
        <f>O447/P447</f>
        <v>1.50145</v>
      </c>
      <c r="R447" s="1574" t="s">
        <v>1860</v>
      </c>
      <c r="S447" s="1555"/>
      <c r="T447" s="1556"/>
      <c r="U447" s="181">
        <f>SUM(U433:U436)</f>
        <v>0</v>
      </c>
      <c r="V447" s="183">
        <v>0.8</v>
      </c>
      <c r="W447" s="136">
        <f>U447/V447</f>
        <v>0</v>
      </c>
    </row>
    <row r="448" spans="1:23" ht="19.5" customHeight="1" x14ac:dyDescent="0.25">
      <c r="A448" s="406" t="str">
        <f>'Расчет ЦП - общая форма'!C333</f>
        <v xml:space="preserve">ПС 35/10 кВ № 9  </v>
      </c>
      <c r="B448" s="398">
        <f>'Расчет ЦП - общая форма'!D333</f>
        <v>4</v>
      </c>
      <c r="C448" s="399" t="str">
        <f>'Расчет ЦП - общая форма'!E333</f>
        <v>+</v>
      </c>
      <c r="D448" s="399">
        <f>'Расчет ЦП - общая форма'!F333</f>
        <v>6.3</v>
      </c>
      <c r="E448" s="399"/>
      <c r="F448" s="400"/>
      <c r="G448" s="1702" t="s">
        <v>2061</v>
      </c>
      <c r="H448" s="1703"/>
      <c r="I448" s="1703"/>
      <c r="J448" s="1703"/>
      <c r="K448" s="1703"/>
      <c r="L448" s="1703"/>
      <c r="M448" s="143"/>
      <c r="N448" s="143"/>
      <c r="O448" s="53"/>
      <c r="P448" s="143"/>
      <c r="Q448" s="143"/>
      <c r="R448" s="1692"/>
      <c r="S448" s="1690"/>
      <c r="T448" s="1690"/>
      <c r="U448" s="1690"/>
      <c r="V448" s="1690"/>
      <c r="W448" s="1690"/>
    </row>
    <row r="449" spans="1:23" s="18" customFormat="1" ht="41.25" customHeight="1" x14ac:dyDescent="0.25">
      <c r="A449" s="401"/>
      <c r="B449" s="402"/>
      <c r="C449" s="403"/>
      <c r="D449" s="403"/>
      <c r="E449" s="403"/>
      <c r="F449" s="404"/>
      <c r="G449" s="184" t="s">
        <v>2076</v>
      </c>
      <c r="H449" s="143" t="s">
        <v>2077</v>
      </c>
      <c r="I449" s="42" t="s">
        <v>2278</v>
      </c>
      <c r="J449" s="143">
        <v>7.0000000000000007E-2</v>
      </c>
      <c r="K449" s="143"/>
      <c r="L449" s="142"/>
      <c r="M449" s="143" t="s">
        <v>394</v>
      </c>
      <c r="N449" s="143" t="s">
        <v>395</v>
      </c>
      <c r="O449" s="143">
        <v>1.452</v>
      </c>
      <c r="P449" s="143"/>
      <c r="Q449" s="143"/>
      <c r="R449" s="142"/>
      <c r="S449" s="142"/>
      <c r="T449" s="72"/>
      <c r="U449" s="142"/>
      <c r="V449" s="142"/>
      <c r="W449" s="142"/>
    </row>
    <row r="450" spans="1:23" ht="20.100000000000001" customHeight="1" x14ac:dyDescent="0.25">
      <c r="A450" s="401"/>
      <c r="B450" s="402"/>
      <c r="C450" s="403"/>
      <c r="D450" s="403"/>
      <c r="E450" s="403"/>
      <c r="F450" s="404"/>
      <c r="G450" s="1709" t="s">
        <v>3069</v>
      </c>
      <c r="H450" s="1709"/>
      <c r="I450" s="1709"/>
      <c r="J450" s="1709"/>
      <c r="K450" s="1709"/>
      <c r="L450" s="1709"/>
      <c r="M450" s="154" t="s">
        <v>1514</v>
      </c>
      <c r="N450" s="154" t="s">
        <v>1515</v>
      </c>
      <c r="O450" s="143">
        <v>0.1</v>
      </c>
      <c r="P450" s="143"/>
      <c r="Q450" s="143"/>
      <c r="R450" s="142"/>
      <c r="S450" s="142"/>
      <c r="T450" s="142"/>
      <c r="U450" s="142"/>
      <c r="V450" s="142"/>
      <c r="W450" s="142"/>
    </row>
    <row r="451" spans="1:23" ht="71.25" customHeight="1" x14ac:dyDescent="0.25">
      <c r="A451" s="401"/>
      <c r="B451" s="402"/>
      <c r="C451" s="403"/>
      <c r="D451" s="403"/>
      <c r="E451" s="403"/>
      <c r="F451" s="404"/>
      <c r="G451" s="22" t="s">
        <v>2645</v>
      </c>
      <c r="H451" s="142" t="s">
        <v>2743</v>
      </c>
      <c r="I451" s="143" t="s">
        <v>3143</v>
      </c>
      <c r="J451" s="151">
        <v>2.3E-2</v>
      </c>
      <c r="K451" s="151"/>
      <c r="L451" s="149"/>
      <c r="M451" s="81" t="s">
        <v>1516</v>
      </c>
      <c r="N451" s="81" t="s">
        <v>1517</v>
      </c>
      <c r="O451" s="142">
        <v>5.416E-2</v>
      </c>
      <c r="P451" s="142"/>
      <c r="Q451" s="142"/>
      <c r="R451" s="142"/>
      <c r="S451" s="142"/>
      <c r="T451" s="142"/>
      <c r="U451" s="142"/>
      <c r="V451" s="142"/>
      <c r="W451" s="142"/>
    </row>
    <row r="452" spans="1:23" ht="44.25" customHeight="1" x14ac:dyDescent="0.25">
      <c r="A452" s="401"/>
      <c r="B452" s="402"/>
      <c r="C452" s="403"/>
      <c r="D452" s="403"/>
      <c r="E452" s="403"/>
      <c r="F452" s="404"/>
      <c r="G452" s="143"/>
      <c r="H452" s="143"/>
      <c r="I452" s="143"/>
      <c r="J452" s="151"/>
      <c r="K452" s="151"/>
      <c r="L452" s="149"/>
      <c r="M452" s="22" t="s">
        <v>3169</v>
      </c>
      <c r="N452" s="142" t="s">
        <v>3170</v>
      </c>
      <c r="O452" s="142">
        <v>2.1000000000000001E-2</v>
      </c>
      <c r="P452" s="142"/>
      <c r="Q452" s="142"/>
      <c r="R452" s="142"/>
      <c r="S452" s="142"/>
      <c r="T452" s="142"/>
      <c r="U452" s="142"/>
      <c r="V452" s="142"/>
      <c r="W452" s="142"/>
    </row>
    <row r="453" spans="1:23" ht="51" customHeight="1" x14ac:dyDescent="0.25">
      <c r="A453" s="573"/>
      <c r="B453" s="402"/>
      <c r="C453" s="403"/>
      <c r="D453" s="403"/>
      <c r="E453" s="403"/>
      <c r="F453" s="404"/>
      <c r="G453" s="143"/>
      <c r="H453" s="143"/>
      <c r="I453" s="143"/>
      <c r="J453" s="143"/>
      <c r="K453" s="143"/>
      <c r="L453" s="142"/>
      <c r="M453" s="184"/>
      <c r="N453" s="143"/>
      <c r="O453" s="143"/>
      <c r="P453" s="143"/>
      <c r="Q453" s="143"/>
      <c r="R453" s="142"/>
      <c r="S453" s="142"/>
      <c r="T453" s="142"/>
      <c r="U453" s="142"/>
      <c r="V453" s="142"/>
      <c r="W453" s="142"/>
    </row>
    <row r="454" spans="1:23" ht="20.100000000000001" customHeight="1" x14ac:dyDescent="0.25">
      <c r="A454" s="573"/>
      <c r="B454" s="668"/>
      <c r="C454" s="669"/>
      <c r="D454" s="669"/>
      <c r="E454" s="669"/>
      <c r="F454" s="666"/>
      <c r="G454" s="143"/>
      <c r="H454" s="143"/>
      <c r="I454" s="143"/>
      <c r="J454" s="143"/>
      <c r="K454" s="143"/>
      <c r="L454" s="142"/>
      <c r="M454" s="143"/>
      <c r="N454" s="143"/>
      <c r="O454" s="143"/>
      <c r="P454" s="143"/>
      <c r="Q454" s="143"/>
      <c r="R454" s="142"/>
      <c r="S454" s="142"/>
      <c r="T454" s="142"/>
      <c r="U454" s="142"/>
      <c r="V454" s="142"/>
      <c r="W454" s="142"/>
    </row>
    <row r="455" spans="1:23" ht="20.100000000000001" customHeight="1" thickBot="1" x14ac:dyDescent="0.3">
      <c r="A455" s="405"/>
      <c r="B455" s="394"/>
      <c r="C455" s="395"/>
      <c r="D455" s="395"/>
      <c r="E455" s="395"/>
      <c r="F455" s="396"/>
      <c r="G455" s="1530" t="s">
        <v>1860</v>
      </c>
      <c r="H455" s="1530"/>
      <c r="I455" s="1531"/>
      <c r="J455" s="181">
        <f>SUM(J451)</f>
        <v>2.3E-2</v>
      </c>
      <c r="K455" s="151">
        <v>0.8</v>
      </c>
      <c r="L455" s="181">
        <f>J455/K455</f>
        <v>2.8749999999999998E-2</v>
      </c>
      <c r="M455" s="1529" t="s">
        <v>1861</v>
      </c>
      <c r="N455" s="1531"/>
      <c r="O455" s="181">
        <f>SUM(O449:O452)</f>
        <v>1.6271599999999999</v>
      </c>
      <c r="P455" s="151">
        <v>0.8</v>
      </c>
      <c r="Q455" s="181">
        <f>O455/P455</f>
        <v>2.0339499999999999</v>
      </c>
      <c r="R455" s="1529" t="s">
        <v>1860</v>
      </c>
      <c r="S455" s="1530"/>
      <c r="T455" s="1531"/>
      <c r="U455" s="181">
        <f>SUM(U449:U450)</f>
        <v>0</v>
      </c>
      <c r="V455" s="151">
        <v>0.8</v>
      </c>
      <c r="W455" s="181">
        <f>U455/V455</f>
        <v>0</v>
      </c>
    </row>
    <row r="456" spans="1:23" s="67" customFormat="1" ht="20.100000000000001" customHeight="1" x14ac:dyDescent="0.25">
      <c r="A456" s="1683" t="str">
        <f>'Расчет ЦП - общая форма'!C334</f>
        <v xml:space="preserve">ПС 35/6 кВ № 10 </v>
      </c>
      <c r="B456" s="1551">
        <f>'Расчет ЦП - общая форма'!D334</f>
        <v>1.8</v>
      </c>
      <c r="C456" s="1552" t="str">
        <f>'Расчет ЦП - общая форма'!E334</f>
        <v>+</v>
      </c>
      <c r="D456" s="1552">
        <f>'Расчет ЦП - общая форма'!F334</f>
        <v>1.8</v>
      </c>
      <c r="E456" s="399"/>
      <c r="F456" s="400"/>
      <c r="G456" s="1712" t="s">
        <v>1988</v>
      </c>
      <c r="H456" s="1712"/>
      <c r="I456" s="1712"/>
      <c r="J456" s="1712"/>
      <c r="K456" s="1712"/>
      <c r="L456" s="1702"/>
      <c r="M456" s="4" t="s">
        <v>546</v>
      </c>
      <c r="N456" s="4" t="s">
        <v>547</v>
      </c>
      <c r="O456" s="4">
        <v>0.35199999999999998</v>
      </c>
      <c r="P456" s="77"/>
      <c r="Q456" s="279"/>
      <c r="R456" s="1713"/>
      <c r="S456" s="1691"/>
      <c r="T456" s="1691"/>
      <c r="U456" s="1691"/>
      <c r="V456" s="1691"/>
      <c r="W456" s="1692"/>
    </row>
    <row r="457" spans="1:23" s="18" customFormat="1" ht="20.100000000000001" customHeight="1" x14ac:dyDescent="0.25">
      <c r="A457" s="1540"/>
      <c r="B457" s="1501"/>
      <c r="C457" s="1553"/>
      <c r="D457" s="1553"/>
      <c r="E457" s="403"/>
      <c r="F457" s="404"/>
      <c r="G457" s="262" t="s">
        <v>548</v>
      </c>
      <c r="H457" s="58" t="s">
        <v>549</v>
      </c>
      <c r="I457" s="58" t="s">
        <v>550</v>
      </c>
      <c r="J457" s="58">
        <v>0.03</v>
      </c>
      <c r="K457" s="42"/>
      <c r="L457" s="72"/>
      <c r="M457" s="143" t="s">
        <v>551</v>
      </c>
      <c r="N457" s="143" t="s">
        <v>552</v>
      </c>
      <c r="O457" s="143">
        <v>0.2</v>
      </c>
      <c r="P457" s="42"/>
      <c r="Q457" s="284"/>
      <c r="R457" s="72"/>
      <c r="S457" s="373"/>
      <c r="T457" s="373"/>
      <c r="U457" s="373"/>
      <c r="V457" s="72"/>
      <c r="W457" s="72"/>
    </row>
    <row r="458" spans="1:23" s="18" customFormat="1" ht="20.100000000000001" customHeight="1" x14ac:dyDescent="0.25">
      <c r="A458" s="401"/>
      <c r="B458" s="402"/>
      <c r="C458" s="403"/>
      <c r="D458" s="403"/>
      <c r="E458" s="403"/>
      <c r="F458" s="404"/>
      <c r="G458" s="1663" t="s">
        <v>1987</v>
      </c>
      <c r="H458" s="1663"/>
      <c r="I458" s="1663"/>
      <c r="J458" s="1663"/>
      <c r="K458" s="1663"/>
      <c r="L458" s="1664"/>
      <c r="M458" s="143" t="s">
        <v>2080</v>
      </c>
      <c r="N458" s="143" t="s">
        <v>2081</v>
      </c>
      <c r="O458" s="143">
        <v>9.7199999999999995E-2</v>
      </c>
      <c r="P458" s="42"/>
      <c r="Q458" s="284"/>
      <c r="R458" s="1680"/>
      <c r="S458" s="1681"/>
      <c r="T458" s="1681"/>
      <c r="U458" s="1681"/>
      <c r="V458" s="1681"/>
      <c r="W458" s="1408"/>
    </row>
    <row r="459" spans="1:23" ht="20.100000000000001" customHeight="1" x14ac:dyDescent="0.25">
      <c r="A459" s="401"/>
      <c r="B459" s="402"/>
      <c r="C459" s="403"/>
      <c r="D459" s="403"/>
      <c r="E459" s="403"/>
      <c r="F459" s="404"/>
      <c r="G459" s="184" t="s">
        <v>553</v>
      </c>
      <c r="H459" s="143" t="s">
        <v>1524</v>
      </c>
      <c r="I459" s="53" t="s">
        <v>2321</v>
      </c>
      <c r="J459" s="143">
        <v>0.2</v>
      </c>
      <c r="K459" s="143"/>
      <c r="L459" s="142"/>
      <c r="M459" s="143" t="s">
        <v>26</v>
      </c>
      <c r="N459" s="143" t="s">
        <v>27</v>
      </c>
      <c r="O459" s="143">
        <f>0.33242-0.05</f>
        <v>0.28242</v>
      </c>
      <c r="P459" s="143"/>
      <c r="Q459" s="282"/>
      <c r="R459" s="142"/>
      <c r="S459" s="142"/>
      <c r="T459" s="283"/>
      <c r="U459" s="142"/>
      <c r="V459" s="142"/>
      <c r="W459" s="142"/>
    </row>
    <row r="460" spans="1:23" ht="20.100000000000001" customHeight="1" x14ac:dyDescent="0.25">
      <c r="A460" s="401"/>
      <c r="B460" s="402"/>
      <c r="C460" s="403"/>
      <c r="D460" s="403"/>
      <c r="E460" s="403"/>
      <c r="F460" s="404"/>
      <c r="G460" s="1663" t="s">
        <v>2061</v>
      </c>
      <c r="H460" s="1663"/>
      <c r="I460" s="1663"/>
      <c r="J460" s="1663"/>
      <c r="K460" s="1663"/>
      <c r="L460" s="1664"/>
      <c r="M460" s="1" t="s">
        <v>3373</v>
      </c>
      <c r="N460" s="1" t="s">
        <v>3374</v>
      </c>
      <c r="O460" s="8">
        <v>0.2</v>
      </c>
      <c r="P460" s="143"/>
      <c r="Q460" s="282"/>
      <c r="R460" s="1680"/>
      <c r="S460" s="1681"/>
      <c r="T460" s="1681"/>
      <c r="U460" s="1681"/>
      <c r="V460" s="1681"/>
      <c r="W460" s="1408"/>
    </row>
    <row r="461" spans="1:23" ht="28.5" customHeight="1" x14ac:dyDescent="0.25">
      <c r="A461" s="401"/>
      <c r="B461" s="402"/>
      <c r="C461" s="403"/>
      <c r="D461" s="403"/>
      <c r="E461" s="403"/>
      <c r="F461" s="404"/>
      <c r="G461" s="184" t="s">
        <v>794</v>
      </c>
      <c r="H461" s="143" t="s">
        <v>795</v>
      </c>
      <c r="I461" s="137" t="s">
        <v>2286</v>
      </c>
      <c r="J461" s="143">
        <v>0.1</v>
      </c>
      <c r="K461" s="151"/>
      <c r="L461" s="149"/>
      <c r="M461" s="1264" t="s">
        <v>3516</v>
      </c>
      <c r="N461" s="1265" t="s">
        <v>3517</v>
      </c>
      <c r="O461" s="143">
        <v>0.45</v>
      </c>
      <c r="P461" s="143"/>
      <c r="Q461" s="143"/>
      <c r="R461" s="142"/>
      <c r="S461" s="142"/>
      <c r="T461" s="283"/>
      <c r="U461" s="142"/>
      <c r="V461" s="142"/>
      <c r="W461" s="142"/>
    </row>
    <row r="462" spans="1:23" ht="28.5" customHeight="1" x14ac:dyDescent="0.25">
      <c r="A462" s="815"/>
      <c r="B462" s="817"/>
      <c r="C462" s="818"/>
      <c r="D462" s="818"/>
      <c r="E462" s="818"/>
      <c r="F462" s="814"/>
      <c r="G462" s="1663" t="s">
        <v>2512</v>
      </c>
      <c r="H462" s="1663"/>
      <c r="I462" s="1663"/>
      <c r="J462" s="1663"/>
      <c r="K462" s="1663"/>
      <c r="L462" s="1664"/>
      <c r="M462" s="1"/>
      <c r="N462" s="143"/>
      <c r="O462" s="143"/>
      <c r="P462" s="143"/>
      <c r="Q462" s="143"/>
      <c r="R462" s="142"/>
      <c r="S462" s="142"/>
      <c r="T462" s="283"/>
      <c r="U462" s="142"/>
      <c r="V462" s="142"/>
      <c r="W462" s="142"/>
    </row>
    <row r="463" spans="1:23" ht="28.5" customHeight="1" x14ac:dyDescent="0.25">
      <c r="A463" s="834"/>
      <c r="B463" s="835"/>
      <c r="C463" s="836"/>
      <c r="D463" s="836"/>
      <c r="E463" s="836"/>
      <c r="F463" s="833"/>
      <c r="G463" s="1" t="s">
        <v>2939</v>
      </c>
      <c r="H463" s="143" t="s">
        <v>2943</v>
      </c>
      <c r="I463" s="137" t="s">
        <v>3020</v>
      </c>
      <c r="J463" s="151">
        <v>2.01E-2</v>
      </c>
      <c r="K463" s="151"/>
      <c r="L463" s="149"/>
      <c r="M463" s="1"/>
      <c r="N463" s="143"/>
      <c r="O463" s="143"/>
      <c r="P463" s="143"/>
      <c r="Q463" s="143"/>
      <c r="R463" s="142"/>
      <c r="S463" s="142"/>
      <c r="T463" s="283"/>
      <c r="U463" s="142"/>
      <c r="V463" s="142"/>
      <c r="W463" s="142"/>
    </row>
    <row r="464" spans="1:23" ht="28.5" customHeight="1" x14ac:dyDescent="0.25">
      <c r="A464" s="855"/>
      <c r="B464" s="857"/>
      <c r="C464" s="858"/>
      <c r="D464" s="858"/>
      <c r="E464" s="858"/>
      <c r="F464" s="854"/>
      <c r="G464" s="1" t="s">
        <v>2939</v>
      </c>
      <c r="H464" s="1" t="s">
        <v>2940</v>
      </c>
      <c r="I464" s="137" t="s">
        <v>3021</v>
      </c>
      <c r="J464" s="151">
        <v>9.0300000000000005E-2</v>
      </c>
      <c r="K464" s="151"/>
      <c r="L464" s="149"/>
      <c r="M464" s="1"/>
      <c r="N464" s="143"/>
      <c r="O464" s="143"/>
      <c r="P464" s="143"/>
      <c r="Q464" s="143"/>
      <c r="R464" s="142"/>
      <c r="S464" s="142"/>
      <c r="T464" s="283"/>
      <c r="U464" s="142"/>
      <c r="V464" s="142"/>
      <c r="W464" s="142"/>
    </row>
    <row r="465" spans="1:23" ht="28.5" customHeight="1" x14ac:dyDescent="0.25">
      <c r="A465" s="855"/>
      <c r="B465" s="857"/>
      <c r="C465" s="858"/>
      <c r="D465" s="858"/>
      <c r="E465" s="858"/>
      <c r="F465" s="854"/>
      <c r="G465" s="1" t="s">
        <v>2939</v>
      </c>
      <c r="H465" s="143" t="s">
        <v>2949</v>
      </c>
      <c r="I465" s="137" t="s">
        <v>3026</v>
      </c>
      <c r="J465" s="151">
        <v>3.3000000000000002E-2</v>
      </c>
      <c r="K465" s="151"/>
      <c r="L465" s="149"/>
      <c r="M465" s="1"/>
      <c r="N465" s="143"/>
      <c r="O465" s="143"/>
      <c r="P465" s="143"/>
      <c r="Q465" s="143"/>
      <c r="R465" s="142"/>
      <c r="S465" s="142"/>
      <c r="T465" s="283"/>
      <c r="U465" s="142"/>
      <c r="V465" s="142"/>
      <c r="W465" s="142"/>
    </row>
    <row r="466" spans="1:23" ht="28.5" customHeight="1" x14ac:dyDescent="0.25">
      <c r="A466" s="855"/>
      <c r="B466" s="857"/>
      <c r="C466" s="858"/>
      <c r="D466" s="858"/>
      <c r="E466" s="858"/>
      <c r="F466" s="854"/>
      <c r="G466" s="1" t="s">
        <v>2989</v>
      </c>
      <c r="H466" s="143" t="s">
        <v>2990</v>
      </c>
      <c r="I466" s="137" t="s">
        <v>3052</v>
      </c>
      <c r="J466" s="151">
        <v>0.2</v>
      </c>
      <c r="K466" s="151"/>
      <c r="L466" s="149"/>
      <c r="M466" s="1"/>
      <c r="N466" s="143"/>
      <c r="O466" s="143"/>
      <c r="P466" s="143"/>
      <c r="Q466" s="143"/>
      <c r="R466" s="142"/>
      <c r="S466" s="142"/>
      <c r="T466" s="283"/>
      <c r="U466" s="142"/>
      <c r="V466" s="142"/>
      <c r="W466" s="142"/>
    </row>
    <row r="467" spans="1:23" ht="28.5" customHeight="1" x14ac:dyDescent="0.25">
      <c r="A467" s="1078"/>
      <c r="B467" s="1076"/>
      <c r="C467" s="1080"/>
      <c r="D467" s="1080"/>
      <c r="E467" s="1080"/>
      <c r="F467" s="1077"/>
      <c r="G467" s="1663" t="s">
        <v>3069</v>
      </c>
      <c r="H467" s="1663"/>
      <c r="I467" s="1663"/>
      <c r="J467" s="1663"/>
      <c r="K467" s="1663"/>
      <c r="L467" s="1664"/>
      <c r="M467" s="1"/>
      <c r="N467" s="143"/>
      <c r="O467" s="143"/>
      <c r="P467" s="143"/>
      <c r="Q467" s="143"/>
      <c r="R467" s="142"/>
      <c r="S467" s="142"/>
      <c r="T467" s="283"/>
      <c r="U467" s="142"/>
      <c r="V467" s="142"/>
      <c r="W467" s="142"/>
    </row>
    <row r="468" spans="1:23" ht="28.5" customHeight="1" x14ac:dyDescent="0.25">
      <c r="A468" s="855"/>
      <c r="B468" s="857"/>
      <c r="C468" s="858"/>
      <c r="D468" s="858"/>
      <c r="E468" s="858"/>
      <c r="F468" s="854"/>
      <c r="G468" s="180" t="s">
        <v>3231</v>
      </c>
      <c r="H468" s="151" t="s">
        <v>3232</v>
      </c>
      <c r="I468" s="137" t="s">
        <v>3233</v>
      </c>
      <c r="J468" s="151">
        <v>0.03</v>
      </c>
      <c r="K468" s="151"/>
      <c r="L468" s="149"/>
      <c r="M468" s="1"/>
      <c r="N468" s="143"/>
      <c r="O468" s="143"/>
      <c r="P468" s="143"/>
      <c r="Q468" s="143"/>
      <c r="R468" s="142"/>
      <c r="S468" s="142"/>
      <c r="T468" s="283"/>
      <c r="U468" s="142"/>
      <c r="V468" s="142"/>
      <c r="W468" s="142"/>
    </row>
    <row r="469" spans="1:23" ht="28.5" customHeight="1" x14ac:dyDescent="0.25">
      <c r="A469" s="1200"/>
      <c r="B469" s="1201"/>
      <c r="C469" s="1203"/>
      <c r="D469" s="1203"/>
      <c r="E469" s="1203"/>
      <c r="F469" s="1202"/>
      <c r="G469" s="1665" t="s">
        <v>3481</v>
      </c>
      <c r="H469" s="1666"/>
      <c r="I469" s="1667"/>
      <c r="J469" s="786">
        <v>0.186</v>
      </c>
      <c r="K469" s="151"/>
      <c r="L469" s="149"/>
      <c r="M469" s="19"/>
      <c r="N469" s="180"/>
      <c r="O469" s="151"/>
      <c r="P469" s="151"/>
      <c r="Q469" s="146"/>
      <c r="R469" s="149"/>
      <c r="S469" s="149"/>
      <c r="T469" s="342"/>
      <c r="U469" s="149"/>
      <c r="V469" s="149"/>
      <c r="W469" s="149"/>
    </row>
    <row r="470" spans="1:23" ht="20.100000000000001" customHeight="1" thickBot="1" x14ac:dyDescent="0.3">
      <c r="A470" s="405"/>
      <c r="B470" s="394"/>
      <c r="C470" s="395"/>
      <c r="D470" s="395"/>
      <c r="E470" s="395"/>
      <c r="F470" s="396"/>
      <c r="G470" s="1531" t="s">
        <v>1860</v>
      </c>
      <c r="H470" s="1526"/>
      <c r="I470" s="1526"/>
      <c r="J470" s="181">
        <f>SUM(J463:J469)</f>
        <v>0.55940000000000012</v>
      </c>
      <c r="K470" s="151">
        <v>0.8</v>
      </c>
      <c r="L470" s="181">
        <f>J470/K470</f>
        <v>0.69925000000000015</v>
      </c>
      <c r="M470" s="1529" t="s">
        <v>1861</v>
      </c>
      <c r="N470" s="1531"/>
      <c r="O470" s="181">
        <f>SUM(O456:O463)</f>
        <v>1.58162</v>
      </c>
      <c r="P470" s="151">
        <v>0.8</v>
      </c>
      <c r="Q470" s="274">
        <f>O470/P470</f>
        <v>1.977025</v>
      </c>
      <c r="R470" s="1526" t="s">
        <v>1860</v>
      </c>
      <c r="S470" s="1526"/>
      <c r="T470" s="1526"/>
      <c r="U470" s="181">
        <f>SUM(U457,U459,U461)</f>
        <v>0</v>
      </c>
      <c r="V470" s="151">
        <v>0.8</v>
      </c>
      <c r="W470" s="181">
        <f>U470/V470</f>
        <v>0</v>
      </c>
    </row>
    <row r="471" spans="1:23" ht="20.100000000000001" customHeight="1" x14ac:dyDescent="0.25">
      <c r="A471" s="1683" t="str">
        <f>'Расчет ЦП - общая форма'!C335</f>
        <v xml:space="preserve">ПС 35/10 кВ № 11  </v>
      </c>
      <c r="B471" s="1551">
        <f>'Расчет ЦП - общая форма'!D335</f>
        <v>10</v>
      </c>
      <c r="C471" s="1552" t="str">
        <f>'Расчет ЦП - общая форма'!E335</f>
        <v>+</v>
      </c>
      <c r="D471" s="1552">
        <f>'Расчет ЦП - общая форма'!F335</f>
        <v>6.3</v>
      </c>
      <c r="E471" s="399"/>
      <c r="F471" s="400"/>
      <c r="G471" s="1702" t="s">
        <v>1988</v>
      </c>
      <c r="H471" s="1703"/>
      <c r="I471" s="1703"/>
      <c r="J471" s="1703"/>
      <c r="K471" s="1703"/>
      <c r="L471" s="1703"/>
      <c r="M471" s="77"/>
      <c r="N471" s="77"/>
      <c r="O471" s="77"/>
      <c r="P471" s="77"/>
      <c r="Q471" s="279"/>
      <c r="R471" s="1692"/>
      <c r="S471" s="1690"/>
      <c r="T471" s="1690"/>
      <c r="U471" s="1690"/>
      <c r="V471" s="1690"/>
      <c r="W471" s="1690"/>
    </row>
    <row r="472" spans="1:23" ht="20.100000000000001" customHeight="1" x14ac:dyDescent="0.25">
      <c r="A472" s="1540"/>
      <c r="B472" s="1501"/>
      <c r="C472" s="1553"/>
      <c r="D472" s="1553"/>
      <c r="E472" s="403"/>
      <c r="F472" s="404"/>
      <c r="G472" s="184" t="s">
        <v>1525</v>
      </c>
      <c r="H472" s="143" t="s">
        <v>1526</v>
      </c>
      <c r="I472" s="143" t="s">
        <v>1527</v>
      </c>
      <c r="J472" s="143">
        <v>7.4999999999999997E-2</v>
      </c>
      <c r="K472" s="143"/>
      <c r="L472" s="142"/>
      <c r="M472" s="143"/>
      <c r="N472" s="143"/>
      <c r="O472" s="143"/>
      <c r="P472" s="143"/>
      <c r="Q472" s="282"/>
      <c r="R472" s="265"/>
      <c r="S472" s="142"/>
      <c r="T472" s="142"/>
      <c r="U472" s="142"/>
      <c r="V472" s="142"/>
      <c r="W472" s="142"/>
    </row>
    <row r="473" spans="1:23" ht="20.100000000000001" customHeight="1" x14ac:dyDescent="0.25">
      <c r="A473" s="401"/>
      <c r="B473" s="402"/>
      <c r="C473" s="403"/>
      <c r="D473" s="403"/>
      <c r="E473" s="403"/>
      <c r="F473" s="404"/>
      <c r="G473" s="184" t="s">
        <v>1528</v>
      </c>
      <c r="H473" s="143" t="s">
        <v>1529</v>
      </c>
      <c r="I473" s="143" t="s">
        <v>1530</v>
      </c>
      <c r="J473" s="143">
        <v>0.04</v>
      </c>
      <c r="K473" s="143"/>
      <c r="L473" s="142"/>
      <c r="M473" s="143"/>
      <c r="N473" s="143"/>
      <c r="O473" s="143"/>
      <c r="P473" s="143"/>
      <c r="Q473" s="282"/>
      <c r="R473" s="265"/>
      <c r="S473" s="142"/>
      <c r="T473" s="142"/>
      <c r="U473" s="142"/>
      <c r="V473" s="142"/>
      <c r="W473" s="142"/>
    </row>
    <row r="474" spans="1:23" ht="20.100000000000001" customHeight="1" x14ac:dyDescent="0.25">
      <c r="A474" s="1020"/>
      <c r="B474" s="1021"/>
      <c r="C474" s="1023"/>
      <c r="D474" s="1023"/>
      <c r="E474" s="1023"/>
      <c r="F474" s="1022"/>
      <c r="G474" s="1710" t="s">
        <v>3069</v>
      </c>
      <c r="H474" s="1663"/>
      <c r="I474" s="1663"/>
      <c r="J474" s="1663"/>
      <c r="K474" s="1663"/>
      <c r="L474" s="1664"/>
      <c r="M474" s="151"/>
      <c r="N474" s="151"/>
      <c r="O474" s="151"/>
      <c r="P474" s="151"/>
      <c r="Q474" s="285"/>
      <c r="R474" s="176"/>
      <c r="S474" s="149"/>
      <c r="T474" s="149"/>
      <c r="U474" s="149"/>
      <c r="V474" s="149"/>
      <c r="W474" s="149"/>
    </row>
    <row r="475" spans="1:23" ht="20.100000000000001" customHeight="1" x14ac:dyDescent="0.25">
      <c r="A475" s="1020"/>
      <c r="B475" s="1021"/>
      <c r="C475" s="1023"/>
      <c r="D475" s="1023"/>
      <c r="E475" s="1023"/>
      <c r="F475" s="1022"/>
      <c r="G475" s="142" t="s">
        <v>3064</v>
      </c>
      <c r="H475" s="142" t="s">
        <v>3065</v>
      </c>
      <c r="I475" s="143" t="s">
        <v>3092</v>
      </c>
      <c r="J475" s="142">
        <f>1.665-1.565+0.1</f>
        <v>0.20000000000000009</v>
      </c>
      <c r="K475" s="143"/>
      <c r="L475" s="142"/>
      <c r="M475" s="151"/>
      <c r="N475" s="151"/>
      <c r="O475" s="151"/>
      <c r="P475" s="151"/>
      <c r="Q475" s="285"/>
      <c r="R475" s="176"/>
      <c r="S475" s="149"/>
      <c r="T475" s="149"/>
      <c r="U475" s="149"/>
      <c r="V475" s="149"/>
      <c r="W475" s="149"/>
    </row>
    <row r="476" spans="1:23" ht="20.100000000000001" customHeight="1" x14ac:dyDescent="0.25">
      <c r="A476" s="1186"/>
      <c r="B476" s="1184"/>
      <c r="C476" s="1188"/>
      <c r="D476" s="1188"/>
      <c r="E476" s="1188"/>
      <c r="F476" s="1185"/>
      <c r="G476" s="142" t="s">
        <v>3453</v>
      </c>
      <c r="H476" s="142" t="s">
        <v>3454</v>
      </c>
      <c r="I476" s="143" t="s">
        <v>3471</v>
      </c>
      <c r="J476" s="142">
        <v>0.107</v>
      </c>
      <c r="K476" s="143"/>
      <c r="L476" s="142"/>
      <c r="M476" s="151"/>
      <c r="N476" s="151"/>
      <c r="O476" s="151"/>
      <c r="P476" s="151"/>
      <c r="Q476" s="285"/>
      <c r="R476" s="176"/>
      <c r="S476" s="149"/>
      <c r="T476" s="149"/>
      <c r="U476" s="149"/>
      <c r="V476" s="149"/>
      <c r="W476" s="149"/>
    </row>
    <row r="477" spans="1:23" ht="20.100000000000001" customHeight="1" x14ac:dyDescent="0.25">
      <c r="A477" s="1200"/>
      <c r="B477" s="1201"/>
      <c r="C477" s="1203"/>
      <c r="D477" s="1203"/>
      <c r="E477" s="1203"/>
      <c r="F477" s="1202"/>
      <c r="G477" s="1665" t="s">
        <v>3481</v>
      </c>
      <c r="H477" s="1666"/>
      <c r="I477" s="1667"/>
      <c r="J477" s="786">
        <v>0.13</v>
      </c>
      <c r="K477" s="151"/>
      <c r="L477" s="149"/>
      <c r="M477" s="151"/>
      <c r="N477" s="151"/>
      <c r="O477" s="151"/>
      <c r="P477" s="151"/>
      <c r="Q477" s="285"/>
      <c r="R477" s="176"/>
      <c r="S477" s="149"/>
      <c r="T477" s="149"/>
      <c r="U477" s="149"/>
      <c r="V477" s="149"/>
      <c r="W477" s="149"/>
    </row>
    <row r="478" spans="1:23" ht="20.100000000000001" customHeight="1" thickBot="1" x14ac:dyDescent="0.3">
      <c r="A478" s="405"/>
      <c r="B478" s="394"/>
      <c r="C478" s="395"/>
      <c r="D478" s="395"/>
      <c r="E478" s="395"/>
      <c r="F478" s="396"/>
      <c r="G478" s="180"/>
      <c r="H478" s="151"/>
      <c r="I478" s="151"/>
      <c r="J478" s="181">
        <f>SUM(J475:J477)</f>
        <v>0.43700000000000011</v>
      </c>
      <c r="K478" s="151">
        <v>0.8</v>
      </c>
      <c r="L478" s="181">
        <f>J478/K478</f>
        <v>0.54625000000000012</v>
      </c>
      <c r="M478" s="1526" t="s">
        <v>1861</v>
      </c>
      <c r="N478" s="1526"/>
      <c r="O478" s="181">
        <f>SUM(O471:O475)</f>
        <v>0</v>
      </c>
      <c r="P478" s="151">
        <v>0.8</v>
      </c>
      <c r="Q478" s="274">
        <f>O478/P478</f>
        <v>0</v>
      </c>
      <c r="R478" s="180"/>
      <c r="S478" s="151"/>
      <c r="T478" s="151"/>
      <c r="U478" s="181">
        <f>SUM(U472:U473)</f>
        <v>0</v>
      </c>
      <c r="V478" s="151">
        <v>0.8</v>
      </c>
      <c r="W478" s="181">
        <f>U478/V478</f>
        <v>0</v>
      </c>
    </row>
    <row r="479" spans="1:23" ht="20.100000000000001" customHeight="1" x14ac:dyDescent="0.25">
      <c r="A479" s="1683" t="str">
        <f>'Расчет ЦП - общая форма'!C336</f>
        <v xml:space="preserve">ПС 35/10 кВ Дм.Гора  </v>
      </c>
      <c r="B479" s="1551">
        <f>'Расчет ЦП - общая форма'!D336</f>
        <v>10</v>
      </c>
      <c r="C479" s="1552" t="str">
        <f>'Расчет ЦП - общая форма'!E336</f>
        <v>+</v>
      </c>
      <c r="D479" s="1552">
        <f>'Расчет ЦП - общая форма'!F336</f>
        <v>10</v>
      </c>
      <c r="E479" s="399"/>
      <c r="F479" s="400"/>
      <c r="G479" s="1702" t="s">
        <v>2061</v>
      </c>
      <c r="H479" s="1703"/>
      <c r="I479" s="1703"/>
      <c r="J479" s="1703"/>
      <c r="K479" s="1703"/>
      <c r="L479" s="1703"/>
      <c r="M479" s="158"/>
      <c r="N479" s="158"/>
      <c r="O479" s="16"/>
      <c r="P479" s="16"/>
      <c r="Q479" s="287"/>
      <c r="R479" s="1692"/>
      <c r="S479" s="1690"/>
      <c r="T479" s="1690"/>
      <c r="U479" s="1690"/>
      <c r="V479" s="1690"/>
      <c r="W479" s="1690"/>
    </row>
    <row r="480" spans="1:23" ht="77.25" customHeight="1" x14ac:dyDescent="0.25">
      <c r="A480" s="1540"/>
      <c r="B480" s="1501"/>
      <c r="C480" s="1553"/>
      <c r="D480" s="1553"/>
      <c r="E480" s="403"/>
      <c r="F480" s="404"/>
      <c r="G480" s="286" t="s">
        <v>2033</v>
      </c>
      <c r="H480" s="113" t="s">
        <v>2034</v>
      </c>
      <c r="I480" s="42" t="s">
        <v>2267</v>
      </c>
      <c r="J480" s="42">
        <v>0.1</v>
      </c>
      <c r="K480" s="42"/>
      <c r="L480" s="72"/>
      <c r="M480" s="42" t="s">
        <v>1531</v>
      </c>
      <c r="N480" s="42" t="s">
        <v>1532</v>
      </c>
      <c r="O480" s="72">
        <v>3.5000000000000003E-2</v>
      </c>
      <c r="P480" s="72"/>
      <c r="Q480" s="288"/>
      <c r="R480" s="374"/>
      <c r="S480" s="375"/>
      <c r="T480" s="72"/>
      <c r="U480" s="72"/>
      <c r="V480" s="72"/>
      <c r="W480" s="72"/>
    </row>
    <row r="481" spans="1:23" ht="67.5" customHeight="1" x14ac:dyDescent="0.25">
      <c r="A481" s="401"/>
      <c r="B481" s="402"/>
      <c r="C481" s="403"/>
      <c r="D481" s="403"/>
      <c r="E481" s="403"/>
      <c r="F481" s="404"/>
      <c r="G481" s="278" t="s">
        <v>2165</v>
      </c>
      <c r="H481" s="154" t="s">
        <v>2166</v>
      </c>
      <c r="I481" s="143" t="s">
        <v>2298</v>
      </c>
      <c r="J481" s="143">
        <v>1.8</v>
      </c>
      <c r="K481" s="143"/>
      <c r="L481" s="142"/>
      <c r="M481" s="143" t="s">
        <v>1533</v>
      </c>
      <c r="N481" s="143" t="s">
        <v>1534</v>
      </c>
      <c r="O481" s="143">
        <v>0.25</v>
      </c>
      <c r="P481" s="143"/>
      <c r="Q481" s="282"/>
      <c r="R481" s="370"/>
      <c r="S481" s="81"/>
      <c r="T481" s="142"/>
      <c r="U481" s="142"/>
      <c r="V481" s="142"/>
      <c r="W481" s="142"/>
    </row>
    <row r="482" spans="1:23" ht="75.75" customHeight="1" thickBot="1" x14ac:dyDescent="0.3">
      <c r="A482" s="401"/>
      <c r="B482" s="402"/>
      <c r="C482" s="403"/>
      <c r="D482" s="403"/>
      <c r="E482" s="403"/>
      <c r="F482" s="404"/>
      <c r="G482" s="278" t="s">
        <v>2368</v>
      </c>
      <c r="H482" s="154" t="s">
        <v>2507</v>
      </c>
      <c r="I482" s="143" t="s">
        <v>2508</v>
      </c>
      <c r="J482" s="143">
        <v>0.25</v>
      </c>
      <c r="K482" s="143"/>
      <c r="L482" s="142"/>
      <c r="M482" s="143" t="s">
        <v>1531</v>
      </c>
      <c r="N482" s="143" t="s">
        <v>1994</v>
      </c>
      <c r="O482" s="143"/>
      <c r="P482" s="143"/>
      <c r="Q482" s="282"/>
      <c r="R482" s="81"/>
      <c r="S482" s="81"/>
      <c r="T482" s="142"/>
      <c r="U482" s="142"/>
      <c r="V482" s="142"/>
      <c r="W482" s="142"/>
    </row>
    <row r="483" spans="1:23" ht="20.100000000000001" customHeight="1" x14ac:dyDescent="0.25">
      <c r="A483" s="401"/>
      <c r="B483" s="402"/>
      <c r="C483" s="403"/>
      <c r="D483" s="403"/>
      <c r="E483" s="403"/>
      <c r="F483" s="404"/>
      <c r="G483" s="1702" t="s">
        <v>2512</v>
      </c>
      <c r="H483" s="1703"/>
      <c r="I483" s="1703"/>
      <c r="J483" s="1703"/>
      <c r="K483" s="1703"/>
      <c r="L483" s="1703"/>
      <c r="M483" s="42" t="s">
        <v>1531</v>
      </c>
      <c r="N483" s="42" t="s">
        <v>1995</v>
      </c>
      <c r="O483" s="42"/>
      <c r="P483" s="42"/>
      <c r="Q483" s="284"/>
      <c r="R483" s="184"/>
      <c r="S483" s="143"/>
      <c r="T483" s="143"/>
      <c r="U483" s="143"/>
      <c r="V483" s="143"/>
      <c r="W483" s="142"/>
    </row>
    <row r="484" spans="1:23" ht="20.100000000000001" customHeight="1" x14ac:dyDescent="0.25">
      <c r="A484" s="401"/>
      <c r="B484" s="402"/>
      <c r="C484" s="403"/>
      <c r="D484" s="403"/>
      <c r="E484" s="403"/>
      <c r="F484" s="404"/>
      <c r="G484" s="1248"/>
      <c r="H484" s="1253"/>
      <c r="I484" s="1253"/>
      <c r="J484" s="1253"/>
      <c r="K484" s="1253"/>
      <c r="L484" s="1253"/>
      <c r="M484" s="143" t="s">
        <v>1531</v>
      </c>
      <c r="N484" s="143" t="s">
        <v>1535</v>
      </c>
      <c r="O484" s="143">
        <v>4.1000000000000002E-2</v>
      </c>
      <c r="P484" s="143"/>
      <c r="Q484" s="282"/>
      <c r="R484" s="184"/>
      <c r="S484" s="143"/>
      <c r="T484" s="143"/>
      <c r="U484" s="143"/>
      <c r="V484" s="143"/>
      <c r="W484" s="142"/>
    </row>
    <row r="485" spans="1:23" ht="72.75" customHeight="1" x14ac:dyDescent="0.25">
      <c r="A485" s="401"/>
      <c r="B485" s="402"/>
      <c r="C485" s="403"/>
      <c r="D485" s="403"/>
      <c r="E485" s="403"/>
      <c r="F485" s="404"/>
      <c r="G485" s="184" t="s">
        <v>2644</v>
      </c>
      <c r="H485" s="143" t="s">
        <v>2772</v>
      </c>
      <c r="I485" s="143" t="s">
        <v>2911</v>
      </c>
      <c r="J485" s="143">
        <v>0.28000000000000003</v>
      </c>
      <c r="K485" s="143"/>
      <c r="L485" s="142"/>
      <c r="M485" s="143" t="s">
        <v>1536</v>
      </c>
      <c r="N485" s="143" t="s">
        <v>1996</v>
      </c>
      <c r="O485" s="143">
        <v>0.02</v>
      </c>
      <c r="P485" s="143"/>
      <c r="Q485" s="282"/>
      <c r="R485" s="184"/>
      <c r="S485" s="143"/>
      <c r="T485" s="143"/>
      <c r="U485" s="143"/>
      <c r="V485" s="143"/>
      <c r="W485" s="142"/>
    </row>
    <row r="486" spans="1:23" ht="20.100000000000001" customHeight="1" thickBot="1" x14ac:dyDescent="0.3">
      <c r="A486" s="401"/>
      <c r="B486" s="402"/>
      <c r="C486" s="403"/>
      <c r="D486" s="403"/>
      <c r="E486" s="403"/>
      <c r="F486" s="404"/>
      <c r="G486" s="184" t="s">
        <v>2886</v>
      </c>
      <c r="H486" s="143" t="s">
        <v>2978</v>
      </c>
      <c r="I486" s="143" t="s">
        <v>2979</v>
      </c>
      <c r="J486" s="143">
        <v>2.5</v>
      </c>
      <c r="K486" s="143"/>
      <c r="L486" s="142"/>
      <c r="M486" s="143" t="s">
        <v>1537</v>
      </c>
      <c r="N486" s="143" t="s">
        <v>1997</v>
      </c>
      <c r="O486" s="143"/>
      <c r="P486" s="143"/>
      <c r="Q486" s="282"/>
      <c r="R486" s="184"/>
      <c r="S486" s="143"/>
      <c r="T486" s="143"/>
      <c r="U486" s="143"/>
      <c r="V486" s="143"/>
      <c r="W486" s="142"/>
    </row>
    <row r="487" spans="1:23" ht="15.75" customHeight="1" x14ac:dyDescent="0.25">
      <c r="A487" s="401"/>
      <c r="B487" s="402"/>
      <c r="C487" s="403"/>
      <c r="D487" s="403"/>
      <c r="E487" s="403"/>
      <c r="F487" s="404"/>
      <c r="G487" s="1702" t="s">
        <v>3069</v>
      </c>
      <c r="H487" s="1703"/>
      <c r="I487" s="1703"/>
      <c r="J487" s="1703"/>
      <c r="K487" s="1703"/>
      <c r="L487" s="1703"/>
      <c r="M487" s="143" t="s">
        <v>1538</v>
      </c>
      <c r="N487" s="143" t="s">
        <v>1539</v>
      </c>
      <c r="O487" s="143">
        <v>1.6E-2</v>
      </c>
      <c r="P487" s="143"/>
      <c r="Q487" s="282"/>
      <c r="R487" s="184"/>
      <c r="S487" s="143"/>
      <c r="T487" s="143"/>
      <c r="U487" s="143"/>
      <c r="V487" s="143"/>
      <c r="W487" s="142"/>
    </row>
    <row r="488" spans="1:23" ht="24.75" customHeight="1" x14ac:dyDescent="0.25">
      <c r="A488" s="401"/>
      <c r="B488" s="402"/>
      <c r="C488" s="403"/>
      <c r="D488" s="403"/>
      <c r="E488" s="403"/>
      <c r="F488" s="404"/>
      <c r="G488" s="1665" t="s">
        <v>3481</v>
      </c>
      <c r="H488" s="1666"/>
      <c r="I488" s="1667"/>
      <c r="J488" s="786">
        <v>0.57399999999999995</v>
      </c>
      <c r="K488" s="143"/>
      <c r="L488" s="142"/>
      <c r="M488" s="154" t="s">
        <v>2057</v>
      </c>
      <c r="N488" s="154" t="s">
        <v>2058</v>
      </c>
      <c r="O488" s="143">
        <v>1.78E-2</v>
      </c>
      <c r="P488" s="151"/>
      <c r="Q488" s="285"/>
      <c r="R488" s="184"/>
      <c r="S488" s="143"/>
      <c r="T488" s="143"/>
      <c r="U488" s="143"/>
      <c r="V488" s="143"/>
      <c r="W488" s="142"/>
    </row>
    <row r="489" spans="1:23" ht="20.100000000000001" customHeight="1" x14ac:dyDescent="0.25">
      <c r="A489" s="401"/>
      <c r="B489" s="402"/>
      <c r="C489" s="403"/>
      <c r="D489" s="403"/>
      <c r="E489" s="403"/>
      <c r="F489" s="404"/>
      <c r="G489" s="184"/>
      <c r="H489" s="143"/>
      <c r="I489" s="143"/>
      <c r="J489" s="143"/>
      <c r="K489" s="143"/>
      <c r="L489" s="142"/>
      <c r="M489" s="154" t="s">
        <v>2059</v>
      </c>
      <c r="N489" s="154" t="s">
        <v>2060</v>
      </c>
      <c r="O489" s="143">
        <v>3.5999999999999997E-2</v>
      </c>
      <c r="P489" s="151"/>
      <c r="Q489" s="285"/>
      <c r="R489" s="184"/>
      <c r="S489" s="143"/>
      <c r="T489" s="143"/>
      <c r="U489" s="143"/>
      <c r="V489" s="143"/>
      <c r="W489" s="142"/>
    </row>
    <row r="490" spans="1:23" ht="20.100000000000001" customHeight="1" x14ac:dyDescent="0.25">
      <c r="A490" s="401" t="s">
        <v>2194</v>
      </c>
      <c r="B490" s="402"/>
      <c r="C490" s="403"/>
      <c r="D490" s="403"/>
      <c r="E490" s="403"/>
      <c r="F490" s="404"/>
      <c r="G490" s="184"/>
      <c r="H490" s="143"/>
      <c r="I490" s="143"/>
      <c r="J490" s="143"/>
      <c r="K490" s="143"/>
      <c r="L490" s="142"/>
      <c r="M490" s="154" t="s">
        <v>2084</v>
      </c>
      <c r="N490" s="154" t="s">
        <v>2085</v>
      </c>
      <c r="O490" s="143">
        <v>7.5999999999999998E-2</v>
      </c>
      <c r="P490" s="151"/>
      <c r="Q490" s="285"/>
      <c r="R490" s="143"/>
      <c r="S490" s="143"/>
      <c r="T490" s="143"/>
      <c r="U490" s="143"/>
      <c r="V490" s="143"/>
      <c r="W490" s="142"/>
    </row>
    <row r="491" spans="1:23" ht="20.100000000000001" customHeight="1" x14ac:dyDescent="0.25">
      <c r="A491" s="401"/>
      <c r="B491" s="402"/>
      <c r="C491" s="403"/>
      <c r="D491" s="403"/>
      <c r="E491" s="403"/>
      <c r="F491" s="404"/>
      <c r="G491" s="184"/>
      <c r="H491" s="143"/>
      <c r="I491" s="143"/>
      <c r="J491" s="143"/>
      <c r="K491" s="143"/>
      <c r="L491" s="142"/>
      <c r="M491" s="154" t="s">
        <v>2059</v>
      </c>
      <c r="N491" s="154" t="s">
        <v>2171</v>
      </c>
      <c r="O491" s="143">
        <v>0.02</v>
      </c>
      <c r="P491" s="151"/>
      <c r="Q491" s="285"/>
      <c r="R491" s="143"/>
      <c r="S491" s="143"/>
      <c r="T491" s="143"/>
      <c r="U491" s="143"/>
      <c r="V491" s="143"/>
      <c r="W491" s="142"/>
    </row>
    <row r="492" spans="1:23" ht="56.25" customHeight="1" x14ac:dyDescent="0.25">
      <c r="A492" s="401"/>
      <c r="B492" s="402"/>
      <c r="C492" s="403"/>
      <c r="D492" s="403"/>
      <c r="E492" s="403"/>
      <c r="F492" s="404"/>
      <c r="G492" s="184"/>
      <c r="H492" s="143"/>
      <c r="I492" s="143"/>
      <c r="J492" s="143"/>
      <c r="K492" s="143"/>
      <c r="L492" s="142"/>
      <c r="M492" s="154" t="s">
        <v>2057</v>
      </c>
      <c r="N492" s="154" t="s">
        <v>2058</v>
      </c>
      <c r="O492" s="143">
        <v>0.05</v>
      </c>
      <c r="P492" s="151"/>
      <c r="Q492" s="285"/>
      <c r="R492" s="143"/>
      <c r="S492" s="143"/>
      <c r="T492" s="143"/>
      <c r="U492" s="143"/>
      <c r="V492" s="143"/>
      <c r="W492" s="142"/>
    </row>
    <row r="493" spans="1:23" ht="56.25" customHeight="1" x14ac:dyDescent="0.25">
      <c r="A493" s="401"/>
      <c r="B493" s="402"/>
      <c r="C493" s="403"/>
      <c r="D493" s="403"/>
      <c r="E493" s="403"/>
      <c r="F493" s="404"/>
      <c r="G493" s="184"/>
      <c r="H493" s="143"/>
      <c r="I493" s="143"/>
      <c r="J493" s="143"/>
      <c r="K493" s="143"/>
      <c r="L493" s="142"/>
      <c r="M493" s="154" t="s">
        <v>2364</v>
      </c>
      <c r="N493" s="154" t="s">
        <v>2365</v>
      </c>
      <c r="O493" s="143">
        <v>0.48</v>
      </c>
      <c r="P493" s="143"/>
      <c r="Q493" s="285"/>
      <c r="R493" s="143"/>
      <c r="S493" s="143"/>
      <c r="T493" s="143"/>
      <c r="U493" s="143"/>
      <c r="V493" s="143"/>
      <c r="W493" s="142"/>
    </row>
    <row r="494" spans="1:23" ht="34.5" customHeight="1" x14ac:dyDescent="0.25">
      <c r="A494" s="834"/>
      <c r="B494" s="835"/>
      <c r="C494" s="836"/>
      <c r="D494" s="836"/>
      <c r="E494" s="836"/>
      <c r="F494" s="833"/>
      <c r="G494" s="143"/>
      <c r="H494" s="143"/>
      <c r="I494" s="143"/>
      <c r="J494" s="143"/>
      <c r="K494" s="143"/>
      <c r="L494" s="142"/>
      <c r="M494" s="154" t="s">
        <v>2886</v>
      </c>
      <c r="N494" s="154" t="s">
        <v>2991</v>
      </c>
      <c r="O494" s="143">
        <v>2.5</v>
      </c>
      <c r="P494" s="143"/>
      <c r="Q494" s="143"/>
      <c r="R494" s="143"/>
      <c r="S494" s="143"/>
      <c r="T494" s="143"/>
      <c r="U494" s="143"/>
      <c r="V494" s="143"/>
      <c r="W494" s="142"/>
    </row>
    <row r="495" spans="1:23" ht="34.5" customHeight="1" x14ac:dyDescent="0.25">
      <c r="A495" s="1055"/>
      <c r="B495" s="1053"/>
      <c r="C495" s="1056"/>
      <c r="D495" s="1056"/>
      <c r="E495" s="1056"/>
      <c r="F495" s="1054"/>
      <c r="G495" s="179"/>
      <c r="H495" s="179"/>
      <c r="I495" s="180"/>
      <c r="J495" s="151"/>
      <c r="K495" s="151"/>
      <c r="L495" s="149"/>
      <c r="M495" s="154" t="s">
        <v>3183</v>
      </c>
      <c r="N495" s="154" t="s">
        <v>3184</v>
      </c>
      <c r="O495" s="143">
        <v>0.15</v>
      </c>
      <c r="P495" s="151"/>
      <c r="Q495" s="146"/>
      <c r="R495" s="179"/>
      <c r="S495" s="179"/>
      <c r="T495" s="180"/>
      <c r="U495" s="151"/>
      <c r="V495" s="151"/>
      <c r="W495" s="149"/>
    </row>
    <row r="496" spans="1:23" ht="34.5" customHeight="1" x14ac:dyDescent="0.25">
      <c r="A496" s="1175"/>
      <c r="B496" s="1173"/>
      <c r="C496" s="1176"/>
      <c r="D496" s="1176"/>
      <c r="E496" s="1176"/>
      <c r="F496" s="1174"/>
      <c r="G496" s="179"/>
      <c r="H496" s="179"/>
      <c r="I496" s="180"/>
      <c r="J496" s="151"/>
      <c r="K496" s="151"/>
      <c r="L496" s="149"/>
      <c r="M496" s="649" t="s">
        <v>3432</v>
      </c>
      <c r="N496" s="567" t="s">
        <v>3433</v>
      </c>
      <c r="O496" s="151">
        <v>0.04</v>
      </c>
      <c r="P496" s="151"/>
      <c r="Q496" s="146"/>
      <c r="R496" s="179"/>
      <c r="S496" s="179"/>
      <c r="T496" s="180"/>
      <c r="U496" s="151"/>
      <c r="V496" s="151"/>
      <c r="W496" s="149"/>
    </row>
    <row r="497" spans="1:23" ht="19.5" customHeight="1" thickBot="1" x14ac:dyDescent="0.3">
      <c r="A497" s="405"/>
      <c r="B497" s="394"/>
      <c r="C497" s="395"/>
      <c r="D497" s="395"/>
      <c r="E497" s="395"/>
      <c r="F497" s="396"/>
      <c r="G497" s="1555" t="s">
        <v>1860</v>
      </c>
      <c r="H497" s="1555"/>
      <c r="I497" s="1556"/>
      <c r="J497" s="136">
        <f>SUM(J484:J488)</f>
        <v>3.3540000000000001</v>
      </c>
      <c r="K497" s="183">
        <v>0.8</v>
      </c>
      <c r="L497" s="136">
        <f>J497/K497</f>
        <v>4.1924999999999999</v>
      </c>
      <c r="M497" s="1574" t="s">
        <v>1861</v>
      </c>
      <c r="N497" s="1556"/>
      <c r="O497" s="136">
        <f>SUM(O480:O496)</f>
        <v>3.7318000000000002</v>
      </c>
      <c r="P497" s="183">
        <v>0.8</v>
      </c>
      <c r="Q497" s="273">
        <f>O497/P497</f>
        <v>4.6647499999999997</v>
      </c>
      <c r="R497" s="1555" t="s">
        <v>1860</v>
      </c>
      <c r="S497" s="1555"/>
      <c r="T497" s="1556"/>
      <c r="U497" s="136">
        <f>SUM(U480:U487)</f>
        <v>0</v>
      </c>
      <c r="V497" s="183">
        <v>0.8</v>
      </c>
      <c r="W497" s="136">
        <f>U497/V497</f>
        <v>0</v>
      </c>
    </row>
    <row r="498" spans="1:23" s="67" customFormat="1" ht="20.25" customHeight="1" x14ac:dyDescent="0.25">
      <c r="A498" s="1683" t="str">
        <f>'Расчет ЦП - общая форма'!C337</f>
        <v xml:space="preserve">ПС 35/6 кВ ЗМИ  </v>
      </c>
      <c r="B498" s="1551">
        <f>'Расчет ЦП - общая форма'!D337</f>
        <v>10</v>
      </c>
      <c r="C498" s="1552" t="str">
        <f>'Расчет ЦП - общая форма'!E337</f>
        <v>+</v>
      </c>
      <c r="D498" s="1552">
        <f>'Расчет ЦП - общая форма'!F337</f>
        <v>16</v>
      </c>
      <c r="E498" s="399"/>
      <c r="F498" s="400"/>
      <c r="G498" s="1720" t="s">
        <v>1989</v>
      </c>
      <c r="H498" s="1720"/>
      <c r="I498" s="1720"/>
      <c r="J498" s="1720"/>
      <c r="K498" s="1720"/>
      <c r="L498" s="1688"/>
      <c r="M498" s="76"/>
      <c r="N498" s="76"/>
      <c r="O498" s="72"/>
      <c r="P498" s="72"/>
      <c r="Q498" s="157"/>
      <c r="R498" s="1728"/>
      <c r="S498" s="1729"/>
      <c r="T498" s="1729"/>
      <c r="U498" s="1729"/>
      <c r="V498" s="1729"/>
      <c r="W498" s="1697"/>
    </row>
    <row r="499" spans="1:23" s="18" customFormat="1" ht="43.5" customHeight="1" x14ac:dyDescent="0.25">
      <c r="A499" s="1540"/>
      <c r="B499" s="1501"/>
      <c r="C499" s="1553"/>
      <c r="D499" s="1553"/>
      <c r="E499" s="403"/>
      <c r="F499" s="404"/>
      <c r="G499" s="265" t="s">
        <v>1540</v>
      </c>
      <c r="H499" s="142" t="s">
        <v>1541</v>
      </c>
      <c r="I499" s="142" t="s">
        <v>1542</v>
      </c>
      <c r="J499" s="142">
        <v>9.7000000000000003E-2</v>
      </c>
      <c r="K499" s="143"/>
      <c r="L499" s="142"/>
      <c r="M499" s="143" t="s">
        <v>1543</v>
      </c>
      <c r="N499" s="143" t="s">
        <v>1544</v>
      </c>
      <c r="O499" s="53">
        <v>9.6549999999999997E-2</v>
      </c>
      <c r="P499" s="143"/>
      <c r="Q499" s="143"/>
      <c r="R499" s="142"/>
      <c r="S499" s="142"/>
      <c r="T499" s="142"/>
      <c r="U499" s="142"/>
      <c r="V499" s="142"/>
      <c r="W499" s="142"/>
    </row>
    <row r="500" spans="1:23" ht="36.75" customHeight="1" x14ac:dyDescent="0.25">
      <c r="A500" s="401"/>
      <c r="B500" s="402"/>
      <c r="C500" s="403"/>
      <c r="D500" s="403"/>
      <c r="E500" s="403"/>
      <c r="F500" s="404"/>
      <c r="G500" s="265" t="s">
        <v>1545</v>
      </c>
      <c r="H500" s="142" t="s">
        <v>1546</v>
      </c>
      <c r="I500" s="142" t="s">
        <v>1547</v>
      </c>
      <c r="J500" s="142">
        <v>0.26100000000000001</v>
      </c>
      <c r="K500" s="143"/>
      <c r="L500" s="142"/>
      <c r="M500" s="143" t="s">
        <v>1548</v>
      </c>
      <c r="N500" s="143" t="s">
        <v>1549</v>
      </c>
      <c r="O500" s="143">
        <v>0.03</v>
      </c>
      <c r="P500" s="143"/>
      <c r="Q500" s="143"/>
      <c r="R500" s="142"/>
      <c r="S500" s="142"/>
      <c r="T500" s="142"/>
      <c r="U500" s="142"/>
      <c r="V500" s="142"/>
      <c r="W500" s="142"/>
    </row>
    <row r="501" spans="1:23" ht="18.75" customHeight="1" x14ac:dyDescent="0.25">
      <c r="A501" s="401"/>
      <c r="B501" s="402"/>
      <c r="C501" s="403"/>
      <c r="D501" s="403"/>
      <c r="E501" s="403"/>
      <c r="F501" s="404"/>
      <c r="G501" s="1663" t="s">
        <v>1987</v>
      </c>
      <c r="H501" s="1663"/>
      <c r="I501" s="1663"/>
      <c r="J501" s="1663"/>
      <c r="K501" s="1663"/>
      <c r="L501" s="1664"/>
      <c r="O501" s="143"/>
      <c r="P501" s="143"/>
      <c r="Q501" s="143"/>
      <c r="R501" s="1680"/>
      <c r="S501" s="1681"/>
      <c r="T501" s="1681"/>
      <c r="U501" s="1681"/>
      <c r="V501" s="1681"/>
      <c r="W501" s="1408"/>
    </row>
    <row r="502" spans="1:23" ht="52.5" customHeight="1" x14ac:dyDescent="0.25">
      <c r="A502" s="401"/>
      <c r="B502" s="402"/>
      <c r="C502" s="403"/>
      <c r="D502" s="403"/>
      <c r="E502" s="403"/>
      <c r="F502" s="404"/>
      <c r="G502" s="184" t="s">
        <v>1550</v>
      </c>
      <c r="H502" s="143" t="s">
        <v>1551</v>
      </c>
      <c r="I502" s="142" t="s">
        <v>1552</v>
      </c>
      <c r="J502" s="142">
        <v>7.6999999999999999E-2</v>
      </c>
      <c r="K502" s="143"/>
      <c r="L502" s="142"/>
      <c r="M502" s="143" t="s">
        <v>1553</v>
      </c>
      <c r="N502" s="143" t="s">
        <v>1554</v>
      </c>
      <c r="O502" s="143">
        <v>2.5000000000000001E-2</v>
      </c>
      <c r="P502" s="143"/>
      <c r="Q502" s="143"/>
      <c r="R502" s="142"/>
      <c r="S502" s="142"/>
      <c r="T502" s="142"/>
      <c r="U502" s="142"/>
      <c r="V502" s="142"/>
      <c r="W502" s="142"/>
    </row>
    <row r="503" spans="1:23" ht="19.5" customHeight="1" x14ac:dyDescent="0.25">
      <c r="A503" s="401"/>
      <c r="B503" s="402"/>
      <c r="C503" s="403"/>
      <c r="D503" s="403"/>
      <c r="E503" s="403"/>
      <c r="F503" s="404"/>
      <c r="G503" s="1663" t="s">
        <v>2062</v>
      </c>
      <c r="H503" s="1663"/>
      <c r="I503" s="1663"/>
      <c r="J503" s="1663"/>
      <c r="K503" s="1663"/>
      <c r="L503" s="1664"/>
      <c r="M503" s="146"/>
      <c r="N503" s="180"/>
      <c r="O503" s="151"/>
      <c r="P503" s="151"/>
      <c r="Q503" s="151"/>
      <c r="R503" s="1680"/>
      <c r="S503" s="1681"/>
      <c r="T503" s="1681"/>
      <c r="U503" s="1681"/>
      <c r="V503" s="1681"/>
      <c r="W503" s="1408"/>
    </row>
    <row r="504" spans="1:23" ht="69.75" customHeight="1" x14ac:dyDescent="0.25">
      <c r="A504" s="401"/>
      <c r="B504" s="402"/>
      <c r="C504" s="403"/>
      <c r="D504" s="403"/>
      <c r="E504" s="403"/>
      <c r="F504" s="404"/>
      <c r="G504" s="184" t="s">
        <v>2464</v>
      </c>
      <c r="H504" s="143" t="s">
        <v>2465</v>
      </c>
      <c r="I504" s="142" t="s">
        <v>2496</v>
      </c>
      <c r="J504" s="142">
        <v>0.1157</v>
      </c>
      <c r="K504" s="143"/>
      <c r="L504" s="142"/>
      <c r="M504" s="146"/>
      <c r="N504" s="180"/>
      <c r="O504" s="151"/>
      <c r="P504" s="151"/>
      <c r="Q504" s="151"/>
      <c r="R504" s="142"/>
      <c r="S504" s="142"/>
      <c r="T504" s="142"/>
      <c r="U504" s="142"/>
      <c r="V504" s="142"/>
      <c r="W504" s="142"/>
    </row>
    <row r="505" spans="1:23" ht="69.75" customHeight="1" x14ac:dyDescent="0.25">
      <c r="A505" s="401"/>
      <c r="B505" s="402"/>
      <c r="C505" s="403"/>
      <c r="D505" s="403"/>
      <c r="E505" s="403"/>
      <c r="F505" s="404"/>
      <c r="G505" s="265" t="s">
        <v>2464</v>
      </c>
      <c r="H505" s="142" t="s">
        <v>2466</v>
      </c>
      <c r="I505" s="176" t="s">
        <v>2497</v>
      </c>
      <c r="J505" s="149">
        <v>0.57999999999999996</v>
      </c>
      <c r="K505" s="151"/>
      <c r="L505" s="149"/>
      <c r="M505" s="146"/>
      <c r="N505" s="180"/>
      <c r="O505" s="151"/>
      <c r="P505" s="151"/>
      <c r="Q505" s="151"/>
      <c r="R505" s="142"/>
      <c r="S505" s="142"/>
      <c r="T505" s="176"/>
      <c r="U505" s="149"/>
      <c r="V505" s="149"/>
      <c r="W505" s="149"/>
    </row>
    <row r="506" spans="1:23" ht="20.100000000000001" customHeight="1" thickBot="1" x14ac:dyDescent="0.3">
      <c r="A506" s="405"/>
      <c r="B506" s="394"/>
      <c r="C506" s="395"/>
      <c r="D506" s="395"/>
      <c r="E506" s="395"/>
      <c r="F506" s="396"/>
      <c r="G506" s="1555" t="s">
        <v>1860</v>
      </c>
      <c r="H506" s="1555"/>
      <c r="I506" s="1556"/>
      <c r="J506" s="136">
        <f>SUM(J504:J505)</f>
        <v>0.69569999999999999</v>
      </c>
      <c r="K506" s="183">
        <v>0.8</v>
      </c>
      <c r="L506" s="136">
        <f>J506/K506</f>
        <v>0.86962499999999998</v>
      </c>
      <c r="M506" s="1574" t="s">
        <v>1861</v>
      </c>
      <c r="N506" s="1556"/>
      <c r="O506" s="136">
        <f>SUM(O498:O502)</f>
        <v>0.15154999999999999</v>
      </c>
      <c r="P506" s="183">
        <v>0.8</v>
      </c>
      <c r="Q506" s="136">
        <f>O506/P506</f>
        <v>0.18943749999999998</v>
      </c>
      <c r="R506" s="1574" t="s">
        <v>1860</v>
      </c>
      <c r="S506" s="1555"/>
      <c r="T506" s="1556"/>
      <c r="U506" s="136">
        <f>SUM(U502,U504)</f>
        <v>0</v>
      </c>
      <c r="V506" s="183">
        <v>0.8</v>
      </c>
      <c r="W506" s="136">
        <f>U506/V506</f>
        <v>0</v>
      </c>
    </row>
    <row r="507" spans="1:23" ht="89.25" customHeight="1" x14ac:dyDescent="0.25">
      <c r="A507" s="406" t="str">
        <f>'Расчет ЦП - общая форма'!C338</f>
        <v xml:space="preserve">ПС 35/10 кВ Изоплит  </v>
      </c>
      <c r="B507" s="398">
        <f>'Расчет ЦП - общая форма'!D338</f>
        <v>6.3</v>
      </c>
      <c r="C507" s="399" t="str">
        <f>'Расчет ЦП - общая форма'!E338</f>
        <v>+</v>
      </c>
      <c r="D507" s="399">
        <f>'Расчет ЦП - общая форма'!F338</f>
        <v>6.3</v>
      </c>
      <c r="E507" s="399"/>
      <c r="F507" s="400"/>
      <c r="G507" s="184"/>
      <c r="H507" s="143"/>
      <c r="I507" s="143"/>
      <c r="J507" s="143"/>
      <c r="K507" s="143"/>
      <c r="L507" s="142"/>
      <c r="M507" s="143" t="s">
        <v>2748</v>
      </c>
      <c r="N507" s="143" t="s">
        <v>2749</v>
      </c>
      <c r="O507" s="143">
        <v>0.03</v>
      </c>
      <c r="P507" s="143"/>
      <c r="Q507" s="143"/>
      <c r="R507" s="143"/>
      <c r="S507" s="143"/>
      <c r="T507" s="143"/>
      <c r="U507" s="143"/>
      <c r="V507" s="143"/>
      <c r="W507" s="142"/>
    </row>
    <row r="508" spans="1:23" ht="89.25" customHeight="1" x14ac:dyDescent="0.25">
      <c r="A508" s="1142"/>
      <c r="B508" s="1140"/>
      <c r="C508" s="1143"/>
      <c r="D508" s="1143"/>
      <c r="E508" s="1143"/>
      <c r="F508" s="1141"/>
      <c r="G508" s="179"/>
      <c r="H508" s="179"/>
      <c r="I508" s="180"/>
      <c r="J508" s="151"/>
      <c r="K508" s="151"/>
      <c r="L508" s="149"/>
      <c r="M508" s="143" t="s">
        <v>3350</v>
      </c>
      <c r="N508" s="143" t="s">
        <v>3351</v>
      </c>
      <c r="O508" s="143">
        <f>12-5</f>
        <v>7</v>
      </c>
      <c r="P508" s="143"/>
      <c r="Q508" s="143"/>
      <c r="R508" s="143"/>
      <c r="S508" s="143"/>
      <c r="T508" s="143"/>
      <c r="U508" s="143"/>
      <c r="V508" s="143"/>
      <c r="W508" s="142"/>
    </row>
    <row r="509" spans="1:23" ht="20.100000000000001" customHeight="1" thickBot="1" x14ac:dyDescent="0.3">
      <c r="A509" s="405"/>
      <c r="B509" s="394"/>
      <c r="C509" s="395"/>
      <c r="D509" s="395"/>
      <c r="E509" s="395"/>
      <c r="F509" s="396"/>
      <c r="G509" s="1530" t="s">
        <v>1860</v>
      </c>
      <c r="H509" s="1530"/>
      <c r="I509" s="1531"/>
      <c r="J509" s="181">
        <f>SUM(J507:J507)</f>
        <v>0</v>
      </c>
      <c r="K509" s="151">
        <v>0.8</v>
      </c>
      <c r="L509" s="181">
        <f>J509/K509</f>
        <v>0</v>
      </c>
      <c r="M509" s="1529" t="s">
        <v>1861</v>
      </c>
      <c r="N509" s="1531"/>
      <c r="O509" s="181">
        <f>SUM(O507:O508)</f>
        <v>7.03</v>
      </c>
      <c r="P509" s="151">
        <v>0.8</v>
      </c>
      <c r="Q509" s="181">
        <f>O509/P509</f>
        <v>8.7874999999999996</v>
      </c>
      <c r="R509" s="1529" t="s">
        <v>1860</v>
      </c>
      <c r="S509" s="1530"/>
      <c r="T509" s="1531"/>
      <c r="U509" s="181">
        <f>SUM(U507:U507)</f>
        <v>0</v>
      </c>
      <c r="V509" s="151">
        <v>0.8</v>
      </c>
      <c r="W509" s="181">
        <f>U509/V509</f>
        <v>0</v>
      </c>
    </row>
    <row r="510" spans="1:23" s="67" customFormat="1" ht="20.100000000000001" customHeight="1" x14ac:dyDescent="0.25">
      <c r="A510" s="1683" t="str">
        <f>'Расчет ЦП - общая форма'!C339</f>
        <v>ПС 35/6 кВ Карачарово</v>
      </c>
      <c r="B510" s="1551">
        <f>'Расчет ЦП - общая форма'!D339</f>
        <v>4</v>
      </c>
      <c r="C510" s="1552" t="str">
        <f>'Расчет ЦП - общая форма'!E339</f>
        <v>+</v>
      </c>
      <c r="D510" s="1552">
        <f>'Расчет ЦП - общая форма'!F339</f>
        <v>6.3</v>
      </c>
      <c r="E510" s="399"/>
      <c r="F510" s="400"/>
      <c r="G510" s="1702" t="s">
        <v>1988</v>
      </c>
      <c r="H510" s="1703"/>
      <c r="I510" s="1703"/>
      <c r="J510" s="1703"/>
      <c r="K510" s="1703"/>
      <c r="L510" s="1703"/>
      <c r="M510" s="289"/>
      <c r="N510" s="290"/>
      <c r="O510" s="16"/>
      <c r="P510" s="16"/>
      <c r="Q510" s="287"/>
      <c r="R510" s="1690"/>
      <c r="S510" s="1690"/>
      <c r="T510" s="1690"/>
      <c r="U510" s="1690"/>
      <c r="V510" s="1690"/>
      <c r="W510" s="1690"/>
    </row>
    <row r="511" spans="1:23" ht="59.25" customHeight="1" x14ac:dyDescent="0.25">
      <c r="A511" s="1540"/>
      <c r="B511" s="1501"/>
      <c r="C511" s="1553"/>
      <c r="D511" s="1553"/>
      <c r="E511" s="403"/>
      <c r="F511" s="404"/>
      <c r="G511" s="200" t="s">
        <v>1557</v>
      </c>
      <c r="H511" s="157" t="s">
        <v>1558</v>
      </c>
      <c r="I511" s="157" t="s">
        <v>1559</v>
      </c>
      <c r="J511" s="42">
        <v>0.03</v>
      </c>
      <c r="K511" s="42"/>
      <c r="L511" s="72"/>
      <c r="M511" s="143" t="s">
        <v>1555</v>
      </c>
      <c r="N511" s="143" t="s">
        <v>1556</v>
      </c>
      <c r="O511" s="42">
        <v>0.18</v>
      </c>
      <c r="P511" s="42"/>
      <c r="Q511" s="284"/>
      <c r="R511" s="157"/>
      <c r="S511" s="157"/>
      <c r="T511" s="157"/>
      <c r="U511" s="72"/>
      <c r="V511" s="72"/>
      <c r="W511" s="72"/>
    </row>
    <row r="512" spans="1:23" ht="20.100000000000001" customHeight="1" x14ac:dyDescent="0.25">
      <c r="A512" s="401"/>
      <c r="B512" s="402"/>
      <c r="C512" s="403"/>
      <c r="D512" s="403"/>
      <c r="E512" s="403"/>
      <c r="F512" s="404"/>
      <c r="G512" s="1663" t="s">
        <v>2061</v>
      </c>
      <c r="H512" s="1663"/>
      <c r="I512" s="1663"/>
      <c r="J512" s="1663"/>
      <c r="K512" s="1663"/>
      <c r="L512" s="1664"/>
      <c r="M512" s="42"/>
      <c r="N512" s="42"/>
      <c r="O512" s="42"/>
      <c r="P512" s="42"/>
      <c r="Q512" s="284"/>
      <c r="R512" s="1680"/>
      <c r="S512" s="1681"/>
      <c r="T512" s="1681"/>
      <c r="U512" s="1681"/>
      <c r="V512" s="1681"/>
      <c r="W512" s="1408"/>
    </row>
    <row r="513" spans="1:23" ht="20.100000000000001" customHeight="1" x14ac:dyDescent="0.25">
      <c r="A513" s="401"/>
      <c r="B513" s="402"/>
      <c r="C513" s="403"/>
      <c r="D513" s="403"/>
      <c r="E513" s="403"/>
      <c r="F513" s="404"/>
      <c r="G513" s="217" t="s">
        <v>1560</v>
      </c>
      <c r="H513" s="53" t="s">
        <v>1561</v>
      </c>
      <c r="I513" s="149" t="s">
        <v>2319</v>
      </c>
      <c r="J513" s="142">
        <v>0.05</v>
      </c>
      <c r="K513" s="143"/>
      <c r="L513" s="142"/>
      <c r="M513" s="154"/>
      <c r="N513" s="154"/>
      <c r="O513" s="143"/>
      <c r="P513" s="143"/>
      <c r="Q513" s="282"/>
      <c r="R513" s="283"/>
      <c r="S513" s="283"/>
      <c r="T513" s="149"/>
      <c r="U513" s="142"/>
      <c r="V513" s="142"/>
      <c r="W513" s="142"/>
    </row>
    <row r="514" spans="1:23" ht="20.100000000000001" customHeight="1" x14ac:dyDescent="0.25">
      <c r="A514" s="695"/>
      <c r="B514" s="697"/>
      <c r="C514" s="698"/>
      <c r="D514" s="698"/>
      <c r="E514" s="698"/>
      <c r="F514" s="694"/>
      <c r="G514" s="1663" t="s">
        <v>2512</v>
      </c>
      <c r="H514" s="1663"/>
      <c r="I514" s="1663"/>
      <c r="J514" s="1663"/>
      <c r="K514" s="1663"/>
      <c r="L514" s="1664"/>
      <c r="M514" s="154"/>
      <c r="N514" s="154"/>
      <c r="O514" s="143"/>
      <c r="P514" s="151"/>
      <c r="Q514" s="285"/>
      <c r="R514" s="707"/>
      <c r="S514" s="708"/>
      <c r="T514" s="176"/>
      <c r="U514" s="149"/>
      <c r="V514" s="149"/>
      <c r="W514" s="149"/>
    </row>
    <row r="515" spans="1:23" ht="75.75" customHeight="1" x14ac:dyDescent="0.25">
      <c r="A515" s="695"/>
      <c r="B515" s="697"/>
      <c r="C515" s="698"/>
      <c r="D515" s="698"/>
      <c r="E515" s="698"/>
      <c r="F515" s="694"/>
      <c r="G515" s="53" t="s">
        <v>2545</v>
      </c>
      <c r="H515" s="53" t="s">
        <v>2710</v>
      </c>
      <c r="I515" s="142" t="s">
        <v>2711</v>
      </c>
      <c r="J515" s="142">
        <f>0.515-0.2</f>
        <v>0.315</v>
      </c>
      <c r="K515" s="143"/>
      <c r="L515" s="142"/>
      <c r="M515" s="154"/>
      <c r="N515" s="154"/>
      <c r="O515" s="143"/>
      <c r="P515" s="151"/>
      <c r="Q515" s="285"/>
      <c r="R515" s="707"/>
      <c r="S515" s="708"/>
      <c r="T515" s="176"/>
      <c r="U515" s="149"/>
      <c r="V515" s="149"/>
      <c r="W515" s="149"/>
    </row>
    <row r="516" spans="1:23" ht="48.75" customHeight="1" x14ac:dyDescent="0.25">
      <c r="A516" s="770"/>
      <c r="B516" s="771"/>
      <c r="C516" s="772"/>
      <c r="D516" s="772"/>
      <c r="E516" s="772"/>
      <c r="F516" s="769"/>
      <c r="G516" s="283"/>
      <c r="H516" s="283"/>
      <c r="I516" s="1253"/>
      <c r="J516" s="1253"/>
      <c r="K516" s="1253"/>
      <c r="L516" s="1253"/>
      <c r="M516" s="154"/>
      <c r="N516" s="154"/>
      <c r="O516" s="151"/>
      <c r="P516" s="151"/>
      <c r="Q516" s="285"/>
      <c r="R516" s="707"/>
      <c r="S516" s="708"/>
      <c r="T516" s="176"/>
      <c r="U516" s="149"/>
      <c r="V516" s="149"/>
      <c r="W516" s="149"/>
    </row>
    <row r="517" spans="1:23" ht="48.75" customHeight="1" x14ac:dyDescent="0.25">
      <c r="A517" s="1200"/>
      <c r="B517" s="1201"/>
      <c r="C517" s="1203"/>
      <c r="D517" s="1203"/>
      <c r="E517" s="1203"/>
      <c r="F517" s="1202"/>
      <c r="G517" s="1663" t="s">
        <v>3069</v>
      </c>
      <c r="H517" s="1663"/>
      <c r="I517" s="1663"/>
      <c r="J517" s="1663"/>
      <c r="K517" s="1663"/>
      <c r="L517" s="1664"/>
      <c r="M517" s="649"/>
      <c r="N517" s="567"/>
      <c r="O517" s="151"/>
      <c r="P517" s="151"/>
      <c r="Q517" s="285"/>
      <c r="R517" s="707"/>
      <c r="S517" s="708"/>
      <c r="T517" s="176"/>
      <c r="U517" s="149"/>
      <c r="V517" s="149"/>
      <c r="W517" s="149"/>
    </row>
    <row r="518" spans="1:23" ht="48.75" customHeight="1" x14ac:dyDescent="0.25">
      <c r="A518" s="1200"/>
      <c r="B518" s="1201"/>
      <c r="C518" s="1203"/>
      <c r="D518" s="1203"/>
      <c r="E518" s="1203"/>
      <c r="F518" s="1202"/>
      <c r="G518" s="1756" t="s">
        <v>3481</v>
      </c>
      <c r="H518" s="1757"/>
      <c r="I518" s="1758"/>
      <c r="J518" s="786">
        <v>0.19400000000000001</v>
      </c>
      <c r="K518" s="786"/>
      <c r="L518" s="786"/>
      <c r="M518" s="649"/>
      <c r="N518" s="567"/>
      <c r="O518" s="151"/>
      <c r="P518" s="151"/>
      <c r="Q518" s="285"/>
      <c r="R518" s="707"/>
      <c r="S518" s="708"/>
      <c r="T518" s="176"/>
      <c r="U518" s="149"/>
      <c r="V518" s="149"/>
      <c r="W518" s="149"/>
    </row>
    <row r="519" spans="1:23" ht="20.100000000000001" customHeight="1" thickBot="1" x14ac:dyDescent="0.3">
      <c r="A519" s="405"/>
      <c r="B519" s="394"/>
      <c r="C519" s="395"/>
      <c r="D519" s="395"/>
      <c r="E519" s="395"/>
      <c r="F519" s="396"/>
      <c r="G519" s="1555" t="s">
        <v>1860</v>
      </c>
      <c r="H519" s="1555"/>
      <c r="I519" s="1556"/>
      <c r="J519" s="136">
        <f>SUM(J515:J518)</f>
        <v>0.50900000000000001</v>
      </c>
      <c r="K519" s="183">
        <v>0.8</v>
      </c>
      <c r="L519" s="136">
        <f>J519/K519</f>
        <v>0.63624999999999998</v>
      </c>
      <c r="M519" s="1574" t="s">
        <v>1861</v>
      </c>
      <c r="N519" s="1556"/>
      <c r="O519" s="136">
        <f>SUM(O511:O513)</f>
        <v>0.18</v>
      </c>
      <c r="P519" s="183">
        <v>0.8</v>
      </c>
      <c r="Q519" s="273">
        <f>O519/P519</f>
        <v>0.22499999999999998</v>
      </c>
      <c r="R519" s="1574" t="s">
        <v>1860</v>
      </c>
      <c r="S519" s="1555"/>
      <c r="T519" s="1556"/>
      <c r="U519" s="136">
        <f>SUM(U511:U513)</f>
        <v>0</v>
      </c>
      <c r="V519" s="183">
        <v>0.8</v>
      </c>
      <c r="W519" s="136">
        <f>U519/V519</f>
        <v>0</v>
      </c>
    </row>
    <row r="520" spans="1:23" s="67" customFormat="1" ht="20.100000000000001" customHeight="1" x14ac:dyDescent="0.25">
      <c r="A520" s="1683" t="str">
        <f>'Расчет ЦП - общая форма'!C340</f>
        <v xml:space="preserve">ПС 35/6 кВ Кр. Луч  </v>
      </c>
      <c r="B520" s="1551">
        <f>'Расчет ЦП - общая форма'!D340</f>
        <v>2.5</v>
      </c>
      <c r="C520" s="1552" t="str">
        <f>'Расчет ЦП - общая форма'!E340</f>
        <v>+</v>
      </c>
      <c r="D520" s="1552">
        <f>'Расчет ЦП - общая форма'!F340</f>
        <v>3.2</v>
      </c>
      <c r="E520" s="399"/>
      <c r="F520" s="400"/>
      <c r="G520" s="1720" t="s">
        <v>1988</v>
      </c>
      <c r="H520" s="1720"/>
      <c r="I520" s="1720"/>
      <c r="J520" s="1720"/>
      <c r="K520" s="1720"/>
      <c r="L520" s="1688"/>
      <c r="M520" s="55"/>
      <c r="N520" s="200"/>
      <c r="O520" s="157"/>
      <c r="P520" s="157"/>
      <c r="Q520" s="157"/>
      <c r="R520" s="1728"/>
      <c r="S520" s="1729"/>
      <c r="T520" s="1729"/>
      <c r="U520" s="1729"/>
      <c r="V520" s="1729"/>
      <c r="W520" s="1697"/>
    </row>
    <row r="521" spans="1:23" ht="20.100000000000001" customHeight="1" x14ac:dyDescent="0.25">
      <c r="A521" s="1540"/>
      <c r="B521" s="1501"/>
      <c r="C521" s="1553"/>
      <c r="D521" s="1553"/>
      <c r="E521" s="403"/>
      <c r="F521" s="404"/>
      <c r="G521" s="184" t="s">
        <v>872</v>
      </c>
      <c r="H521" s="143" t="s">
        <v>1497</v>
      </c>
      <c r="I521" s="143" t="s">
        <v>1562</v>
      </c>
      <c r="J521" s="143">
        <v>0.03</v>
      </c>
      <c r="K521" s="143"/>
      <c r="L521" s="142"/>
      <c r="M521" s="142" t="s">
        <v>1563</v>
      </c>
      <c r="N521" s="142" t="s">
        <v>1564</v>
      </c>
      <c r="O521" s="53">
        <v>0.01</v>
      </c>
      <c r="P521" s="143"/>
      <c r="Q521" s="143"/>
      <c r="R521" s="142"/>
      <c r="S521" s="142"/>
      <c r="T521" s="142"/>
      <c r="U521" s="142"/>
      <c r="V521" s="142"/>
      <c r="W521" s="142"/>
    </row>
    <row r="522" spans="1:23" ht="20.100000000000001" customHeight="1" x14ac:dyDescent="0.25">
      <c r="A522" s="401"/>
      <c r="B522" s="402"/>
      <c r="C522" s="403"/>
      <c r="D522" s="403"/>
      <c r="E522" s="403"/>
      <c r="F522" s="404"/>
      <c r="G522" s="1704" t="s">
        <v>1987</v>
      </c>
      <c r="H522" s="1704"/>
      <c r="I522" s="1704"/>
      <c r="J522" s="1704"/>
      <c r="K522" s="1704"/>
      <c r="L522" s="1705"/>
      <c r="M522" s="142"/>
      <c r="N522" s="142"/>
      <c r="O522" s="53"/>
      <c r="P522" s="143"/>
      <c r="Q522" s="143"/>
      <c r="R522" s="1732"/>
      <c r="S522" s="1730"/>
      <c r="T522" s="1730"/>
      <c r="U522" s="1730"/>
      <c r="V522" s="1730"/>
      <c r="W522" s="1731"/>
    </row>
    <row r="523" spans="1:23" s="135" customFormat="1" ht="20.100000000000001" customHeight="1" x14ac:dyDescent="0.25">
      <c r="A523" s="401"/>
      <c r="B523" s="402"/>
      <c r="C523" s="403"/>
      <c r="D523" s="403"/>
      <c r="E523" s="403"/>
      <c r="F523" s="404"/>
      <c r="G523" s="153" t="s">
        <v>1565</v>
      </c>
      <c r="H523" s="143" t="s">
        <v>1566</v>
      </c>
      <c r="I523" s="143" t="s">
        <v>1567</v>
      </c>
      <c r="J523" s="143">
        <v>6.5000000000000002E-2</v>
      </c>
      <c r="K523" s="143"/>
      <c r="L523" s="142"/>
      <c r="M523" s="142" t="s">
        <v>1568</v>
      </c>
      <c r="N523" s="142" t="s">
        <v>1569</v>
      </c>
      <c r="O523" s="53">
        <v>0.03</v>
      </c>
      <c r="P523" s="143"/>
      <c r="Q523" s="143"/>
      <c r="R523" s="86"/>
      <c r="S523" s="142"/>
      <c r="T523" s="142"/>
      <c r="U523" s="142"/>
      <c r="V523" s="142"/>
      <c r="W523" s="142"/>
    </row>
    <row r="524" spans="1:23" s="135" customFormat="1" ht="20.100000000000001" customHeight="1" x14ac:dyDescent="0.25">
      <c r="A524" s="401"/>
      <c r="B524" s="402"/>
      <c r="C524" s="403"/>
      <c r="D524" s="403"/>
      <c r="E524" s="403"/>
      <c r="F524" s="404"/>
      <c r="G524" s="1704" t="s">
        <v>2061</v>
      </c>
      <c r="H524" s="1704"/>
      <c r="I524" s="1704"/>
      <c r="J524" s="1704"/>
      <c r="K524" s="1704"/>
      <c r="L524" s="1705"/>
      <c r="M524" s="142"/>
      <c r="N524" s="142"/>
      <c r="O524" s="291"/>
      <c r="P524" s="143"/>
      <c r="Q524" s="143"/>
      <c r="R524" s="1704">
        <v>2012</v>
      </c>
      <c r="S524" s="1704"/>
      <c r="T524" s="1704"/>
      <c r="U524" s="1704"/>
      <c r="V524" s="1704"/>
      <c r="W524" s="1705"/>
    </row>
    <row r="525" spans="1:23" ht="78" customHeight="1" x14ac:dyDescent="0.25">
      <c r="A525" s="401"/>
      <c r="B525" s="402"/>
      <c r="C525" s="403"/>
      <c r="D525" s="403"/>
      <c r="E525" s="403"/>
      <c r="F525" s="404"/>
      <c r="G525" s="184"/>
      <c r="H525" s="143"/>
      <c r="I525" s="215"/>
      <c r="J525" s="143"/>
      <c r="K525" s="143"/>
      <c r="L525" s="142"/>
      <c r="M525" s="143" t="s">
        <v>394</v>
      </c>
      <c r="N525" s="143" t="s">
        <v>395</v>
      </c>
      <c r="O525" s="153">
        <v>1.3640000000000001</v>
      </c>
      <c r="P525" s="143"/>
      <c r="Q525" s="143"/>
      <c r="R525" s="184" t="s">
        <v>1570</v>
      </c>
      <c r="S525" s="143" t="s">
        <v>1571</v>
      </c>
      <c r="T525" s="215" t="s">
        <v>2241</v>
      </c>
      <c r="U525" s="143">
        <v>0.2</v>
      </c>
      <c r="V525" s="143"/>
      <c r="W525" s="142"/>
    </row>
    <row r="526" spans="1:23" ht="20.100000000000001" customHeight="1" x14ac:dyDescent="0.25">
      <c r="A526" s="401"/>
      <c r="B526" s="402"/>
      <c r="C526" s="403"/>
      <c r="D526" s="403"/>
      <c r="E526" s="403"/>
      <c r="F526" s="404"/>
      <c r="G526" s="1704" t="s">
        <v>2512</v>
      </c>
      <c r="H526" s="1704"/>
      <c r="I526" s="1704"/>
      <c r="J526" s="1704"/>
      <c r="K526" s="1704"/>
      <c r="L526" s="1705"/>
      <c r="M526" s="154" t="s">
        <v>551</v>
      </c>
      <c r="N526" s="154" t="s">
        <v>1498</v>
      </c>
      <c r="O526" s="143">
        <v>0.05</v>
      </c>
      <c r="P526" s="143"/>
      <c r="Q526" s="143"/>
      <c r="R526" s="142"/>
      <c r="S526" s="142"/>
      <c r="T526" s="142"/>
      <c r="U526" s="142"/>
      <c r="V526" s="142"/>
      <c r="W526" s="142"/>
    </row>
    <row r="527" spans="1:23" ht="20.100000000000001" customHeight="1" x14ac:dyDescent="0.25">
      <c r="A527" s="815"/>
      <c r="B527" s="817"/>
      <c r="C527" s="818"/>
      <c r="D527" s="818"/>
      <c r="E527" s="818"/>
      <c r="F527" s="814"/>
      <c r="G527" s="154" t="s">
        <v>2939</v>
      </c>
      <c r="H527" s="154" t="s">
        <v>2948</v>
      </c>
      <c r="I527" s="143" t="s">
        <v>3022</v>
      </c>
      <c r="J527" s="143">
        <v>5.0599999999999999E-2</v>
      </c>
      <c r="K527" s="143"/>
      <c r="L527" s="142"/>
      <c r="M527" s="154" t="s">
        <v>3309</v>
      </c>
      <c r="N527" s="154" t="s">
        <v>3310</v>
      </c>
      <c r="O527" s="143">
        <v>0.1</v>
      </c>
      <c r="P527" s="143"/>
      <c r="Q527" s="143"/>
      <c r="R527" s="142"/>
      <c r="S527" s="142"/>
      <c r="T527" s="142"/>
      <c r="U527" s="142"/>
      <c r="V527" s="142"/>
      <c r="W527" s="142"/>
    </row>
    <row r="528" spans="1:23" ht="20.100000000000001" customHeight="1" x14ac:dyDescent="0.25">
      <c r="A528" s="815"/>
      <c r="B528" s="817"/>
      <c r="C528" s="818"/>
      <c r="D528" s="818"/>
      <c r="E528" s="818"/>
      <c r="F528" s="814"/>
      <c r="G528" s="154" t="s">
        <v>2939</v>
      </c>
      <c r="H528" s="154" t="s">
        <v>2944</v>
      </c>
      <c r="I528" s="143" t="s">
        <v>3024</v>
      </c>
      <c r="J528" s="143">
        <v>5.2600000000000001E-2</v>
      </c>
      <c r="K528" s="143"/>
      <c r="L528" s="142"/>
      <c r="M528" s="154" t="s">
        <v>3458</v>
      </c>
      <c r="N528" s="154" t="s">
        <v>3459</v>
      </c>
      <c r="O528" s="143">
        <v>0.66900000000000004</v>
      </c>
      <c r="P528" s="151"/>
      <c r="Q528" s="151"/>
      <c r="R528" s="147"/>
      <c r="S528" s="363"/>
      <c r="T528" s="176"/>
      <c r="U528" s="149"/>
      <c r="V528" s="149"/>
      <c r="W528" s="149"/>
    </row>
    <row r="529" spans="1:23" ht="20.100000000000001" customHeight="1" x14ac:dyDescent="0.25">
      <c r="A529" s="883"/>
      <c r="B529" s="885"/>
      <c r="C529" s="886"/>
      <c r="D529" s="886"/>
      <c r="E529" s="886"/>
      <c r="F529" s="881"/>
      <c r="G529" s="1714"/>
      <c r="H529" s="1715"/>
      <c r="I529" s="1716"/>
      <c r="J529" s="151"/>
      <c r="K529" s="151"/>
      <c r="L529" s="149"/>
      <c r="M529" s="649"/>
      <c r="N529" s="567"/>
      <c r="O529" s="151"/>
      <c r="P529" s="151"/>
      <c r="Q529" s="151"/>
      <c r="R529" s="147"/>
      <c r="S529" s="363"/>
      <c r="T529" s="176"/>
      <c r="U529" s="149"/>
      <c r="V529" s="149"/>
      <c r="W529" s="149"/>
    </row>
    <row r="530" spans="1:23" ht="20.100000000000001" customHeight="1" x14ac:dyDescent="0.25">
      <c r="A530" s="1212"/>
      <c r="B530" s="1210"/>
      <c r="C530" s="1214"/>
      <c r="D530" s="1214"/>
      <c r="E530" s="1214"/>
      <c r="F530" s="1211"/>
      <c r="G530" s="1704" t="s">
        <v>3069</v>
      </c>
      <c r="H530" s="1704"/>
      <c r="I530" s="1704"/>
      <c r="J530" s="1704"/>
      <c r="K530" s="1704"/>
      <c r="L530" s="1705"/>
      <c r="M530" s="649"/>
      <c r="N530" s="567"/>
      <c r="O530" s="151"/>
      <c r="P530" s="151"/>
      <c r="Q530" s="151"/>
      <c r="R530" s="147"/>
      <c r="S530" s="363"/>
      <c r="T530" s="176"/>
      <c r="U530" s="149"/>
      <c r="V530" s="149"/>
      <c r="W530" s="149"/>
    </row>
    <row r="531" spans="1:23" ht="20.100000000000001" customHeight="1" x14ac:dyDescent="0.25">
      <c r="A531" s="1212"/>
      <c r="B531" s="1210"/>
      <c r="C531" s="1214"/>
      <c r="D531" s="1214"/>
      <c r="E531" s="1214"/>
      <c r="F531" s="1211"/>
      <c r="G531" s="1706" t="s">
        <v>3481</v>
      </c>
      <c r="H531" s="1707"/>
      <c r="I531" s="1708"/>
      <c r="J531" s="786">
        <v>0.41399999999999998</v>
      </c>
      <c r="K531" s="151"/>
      <c r="L531" s="149"/>
      <c r="M531" s="649"/>
      <c r="N531" s="567"/>
      <c r="O531" s="151"/>
      <c r="P531" s="151"/>
      <c r="Q531" s="151"/>
      <c r="R531" s="147"/>
      <c r="S531" s="363"/>
      <c r="T531" s="176"/>
      <c r="U531" s="149"/>
      <c r="V531" s="149"/>
      <c r="W531" s="149"/>
    </row>
    <row r="532" spans="1:23" ht="20.100000000000001" customHeight="1" x14ac:dyDescent="0.25">
      <c r="A532" s="1272"/>
      <c r="B532" s="1266"/>
      <c r="C532" s="1274"/>
      <c r="D532" s="1274"/>
      <c r="E532" s="1274"/>
      <c r="F532" s="1267"/>
      <c r="G532" s="1704" t="s">
        <v>3537</v>
      </c>
      <c r="H532" s="1704"/>
      <c r="I532" s="1704"/>
      <c r="J532" s="1704"/>
      <c r="K532" s="1704"/>
      <c r="L532" s="1705"/>
      <c r="M532" s="649"/>
      <c r="N532" s="567"/>
      <c r="O532" s="1268"/>
      <c r="P532" s="1268"/>
      <c r="Q532" s="1268"/>
      <c r="R532" s="1286"/>
      <c r="S532" s="1284"/>
      <c r="T532" s="1285"/>
      <c r="U532" s="149"/>
      <c r="V532" s="149"/>
      <c r="W532" s="149"/>
    </row>
    <row r="533" spans="1:23" ht="20.100000000000001" customHeight="1" x14ac:dyDescent="0.25">
      <c r="A533" s="1272"/>
      <c r="B533" s="1266"/>
      <c r="C533" s="1274"/>
      <c r="D533" s="1274"/>
      <c r="E533" s="1274"/>
      <c r="F533" s="1267"/>
      <c r="G533" s="649" t="s">
        <v>3492</v>
      </c>
      <c r="H533" s="567" t="s">
        <v>3498</v>
      </c>
      <c r="I533" s="713" t="s">
        <v>3539</v>
      </c>
      <c r="J533" s="149">
        <v>0.255</v>
      </c>
      <c r="K533" s="149"/>
      <c r="L533" s="149"/>
      <c r="M533" s="649"/>
      <c r="N533" s="567"/>
      <c r="O533" s="1268"/>
      <c r="P533" s="1268"/>
      <c r="Q533" s="1268"/>
      <c r="R533" s="1286"/>
      <c r="S533" s="1284"/>
      <c r="T533" s="1285"/>
      <c r="U533" s="149"/>
      <c r="V533" s="149"/>
      <c r="W533" s="149"/>
    </row>
    <row r="534" spans="1:23" ht="20.100000000000001" customHeight="1" thickBot="1" x14ac:dyDescent="0.3">
      <c r="A534" s="405"/>
      <c r="B534" s="394"/>
      <c r="C534" s="395"/>
      <c r="D534" s="395"/>
      <c r="E534" s="395"/>
      <c r="F534" s="396"/>
      <c r="G534" s="1555" t="s">
        <v>1860</v>
      </c>
      <c r="H534" s="1555"/>
      <c r="I534" s="1556"/>
      <c r="J534" s="136">
        <f>SUM(J527:J533)</f>
        <v>0.7722</v>
      </c>
      <c r="K534" s="183">
        <v>0.8</v>
      </c>
      <c r="L534" s="136">
        <f>J534/K534</f>
        <v>0.96524999999999994</v>
      </c>
      <c r="M534" s="1574" t="s">
        <v>1861</v>
      </c>
      <c r="N534" s="1556"/>
      <c r="O534" s="136">
        <f>SUM(O521:O531)</f>
        <v>2.2230000000000003</v>
      </c>
      <c r="P534" s="183">
        <v>0.8</v>
      </c>
      <c r="Q534" s="136">
        <f>O534/P534</f>
        <v>2.7787500000000001</v>
      </c>
      <c r="R534" s="1574" t="s">
        <v>1860</v>
      </c>
      <c r="S534" s="1555"/>
      <c r="T534" s="1556"/>
      <c r="U534" s="136">
        <f>SUM(U521:U526)</f>
        <v>0.2</v>
      </c>
      <c r="V534" s="183">
        <v>0.8</v>
      </c>
      <c r="W534" s="136">
        <f>U534/V534</f>
        <v>0.25</v>
      </c>
    </row>
    <row r="535" spans="1:23" s="18" customFormat="1" ht="20.100000000000001" customHeight="1" x14ac:dyDescent="0.25">
      <c r="A535" s="406" t="str">
        <f>'Расчет ЦП - общая форма'!C341</f>
        <v xml:space="preserve">ПС 35/6 кВ Мелково  </v>
      </c>
      <c r="B535" s="398">
        <f>'Расчет ЦП - общая форма'!D341</f>
        <v>1.6</v>
      </c>
      <c r="C535" s="399" t="str">
        <f>'Расчет ЦП - общая форма'!E341</f>
        <v>+</v>
      </c>
      <c r="D535" s="399">
        <f>'Расчет ЦП - общая форма'!F341</f>
        <v>2.5</v>
      </c>
      <c r="E535" s="399"/>
      <c r="F535" s="400"/>
      <c r="G535" s="1704" t="s">
        <v>2512</v>
      </c>
      <c r="H535" s="1704"/>
      <c r="I535" s="1704"/>
      <c r="J535" s="1704"/>
      <c r="K535" s="1704"/>
      <c r="L535" s="1705"/>
      <c r="M535" s="153"/>
      <c r="N535" s="153"/>
      <c r="O535" s="153"/>
      <c r="P535" s="143"/>
      <c r="Q535" s="143"/>
      <c r="R535" s="2"/>
      <c r="S535" s="2"/>
      <c r="T535" s="2"/>
      <c r="U535" s="2"/>
      <c r="V535" s="143"/>
      <c r="W535" s="142"/>
    </row>
    <row r="536" spans="1:23" s="18" customFormat="1" ht="20.100000000000001" customHeight="1" x14ac:dyDescent="0.25">
      <c r="A536" s="401"/>
      <c r="B536" s="402"/>
      <c r="C536" s="403"/>
      <c r="D536" s="403"/>
      <c r="E536" s="403"/>
      <c r="F536" s="404"/>
      <c r="G536" s="1714"/>
      <c r="H536" s="1715"/>
      <c r="I536" s="1716"/>
      <c r="J536" s="2"/>
      <c r="K536" s="143"/>
      <c r="L536" s="142"/>
      <c r="M536" s="153"/>
      <c r="N536" s="153"/>
      <c r="O536" s="153"/>
      <c r="P536" s="143"/>
      <c r="Q536" s="143"/>
      <c r="R536" s="2"/>
      <c r="S536" s="2"/>
      <c r="T536" s="2"/>
      <c r="U536" s="2"/>
      <c r="V536" s="143"/>
      <c r="W536" s="142"/>
    </row>
    <row r="537" spans="1:23" s="18" customFormat="1" ht="20.100000000000001" customHeight="1" x14ac:dyDescent="0.25">
      <c r="A537" s="1212"/>
      <c r="B537" s="1210"/>
      <c r="C537" s="1214"/>
      <c r="D537" s="1214"/>
      <c r="E537" s="1214"/>
      <c r="F537" s="1211"/>
      <c r="G537" s="1704" t="s">
        <v>3068</v>
      </c>
      <c r="H537" s="1704"/>
      <c r="I537" s="1704"/>
      <c r="J537" s="1704"/>
      <c r="K537" s="1704"/>
      <c r="L537" s="1705"/>
      <c r="M537" s="153"/>
      <c r="N537" s="153"/>
      <c r="O537" s="153"/>
      <c r="P537" s="151"/>
      <c r="Q537" s="151"/>
      <c r="R537" s="825"/>
      <c r="S537" s="204"/>
      <c r="T537" s="121"/>
      <c r="U537" s="70"/>
      <c r="V537" s="151"/>
      <c r="W537" s="149"/>
    </row>
    <row r="538" spans="1:23" s="18" customFormat="1" ht="39.75" customHeight="1" x14ac:dyDescent="0.25">
      <c r="A538" s="1212"/>
      <c r="B538" s="1210"/>
      <c r="C538" s="1214"/>
      <c r="D538" s="1214"/>
      <c r="E538" s="1214"/>
      <c r="F538" s="1211"/>
      <c r="G538" s="1706" t="s">
        <v>3481</v>
      </c>
      <c r="H538" s="1707"/>
      <c r="I538" s="1708"/>
      <c r="J538" s="786">
        <v>0.17100000000000001</v>
      </c>
      <c r="K538" s="151"/>
      <c r="L538" s="149"/>
      <c r="M538" s="153"/>
      <c r="N538" s="153"/>
      <c r="O538" s="153"/>
      <c r="P538" s="151"/>
      <c r="Q538" s="151"/>
      <c r="R538" s="825"/>
      <c r="S538" s="204"/>
      <c r="T538" s="121"/>
      <c r="U538" s="70"/>
      <c r="V538" s="151"/>
      <c r="W538" s="149"/>
    </row>
    <row r="539" spans="1:23" ht="20.100000000000001" customHeight="1" thickBot="1" x14ac:dyDescent="0.3">
      <c r="A539" s="405"/>
      <c r="B539" s="394"/>
      <c r="C539" s="395"/>
      <c r="D539" s="395"/>
      <c r="E539" s="395"/>
      <c r="F539" s="396"/>
      <c r="G539" s="1555" t="s">
        <v>1860</v>
      </c>
      <c r="H539" s="1555"/>
      <c r="I539" s="1556"/>
      <c r="J539" s="136">
        <f>SUM(J535:J538)</f>
        <v>0.17100000000000001</v>
      </c>
      <c r="K539" s="183">
        <v>0.8</v>
      </c>
      <c r="L539" s="136">
        <f>J539/K539</f>
        <v>0.21375</v>
      </c>
      <c r="M539" s="1574" t="s">
        <v>1861</v>
      </c>
      <c r="N539" s="1556"/>
      <c r="O539" s="136">
        <f>SUM(O535:O536)</f>
        <v>0</v>
      </c>
      <c r="P539" s="183">
        <v>0.8</v>
      </c>
      <c r="Q539" s="136">
        <f>O539/P539</f>
        <v>0</v>
      </c>
      <c r="R539" s="1574" t="s">
        <v>1860</v>
      </c>
      <c r="S539" s="1555"/>
      <c r="T539" s="1556"/>
      <c r="U539" s="136">
        <f>SUM(U535:U536)</f>
        <v>0</v>
      </c>
      <c r="V539" s="183">
        <v>0.8</v>
      </c>
      <c r="W539" s="136">
        <f>U539/V539</f>
        <v>0</v>
      </c>
    </row>
    <row r="540" spans="1:23" s="67" customFormat="1" ht="20.100000000000001" customHeight="1" x14ac:dyDescent="0.25">
      <c r="A540" s="1683" t="str">
        <f>'Расчет ЦП - общая форма'!C342</f>
        <v xml:space="preserve">ПС 35/6 кВ Селихово </v>
      </c>
      <c r="B540" s="1551">
        <f>'Расчет ЦП - общая форма'!D342</f>
        <v>2.5</v>
      </c>
      <c r="C540" s="1552" t="str">
        <f>'Расчет ЦП - общая форма'!E342</f>
        <v>+</v>
      </c>
      <c r="D540" s="1552">
        <f>'Расчет ЦП - общая форма'!F342</f>
        <v>2.5</v>
      </c>
      <c r="E540" s="399"/>
      <c r="F540" s="400"/>
      <c r="G540" s="1712" t="s">
        <v>1991</v>
      </c>
      <c r="H540" s="1712"/>
      <c r="I540" s="1712"/>
      <c r="J540" s="1712"/>
      <c r="K540" s="1712"/>
      <c r="L540" s="1702"/>
      <c r="M540" s="147"/>
      <c r="N540" s="176"/>
      <c r="O540" s="149"/>
      <c r="P540" s="149"/>
      <c r="Q540" s="149"/>
      <c r="R540" s="1713"/>
      <c r="S540" s="1691"/>
      <c r="T540" s="1691"/>
      <c r="U540" s="1691"/>
      <c r="V540" s="1691"/>
      <c r="W540" s="1692"/>
    </row>
    <row r="541" spans="1:23" ht="41.25" customHeight="1" x14ac:dyDescent="0.25">
      <c r="A541" s="1540"/>
      <c r="B541" s="1501"/>
      <c r="C541" s="1553"/>
      <c r="D541" s="1553"/>
      <c r="E541" s="403"/>
      <c r="F541" s="404"/>
      <c r="G541" s="66" t="s">
        <v>1572</v>
      </c>
      <c r="H541" s="2" t="s">
        <v>1573</v>
      </c>
      <c r="I541" s="2" t="s">
        <v>1574</v>
      </c>
      <c r="J541" s="47">
        <v>0.3</v>
      </c>
      <c r="K541" s="143"/>
      <c r="L541" s="142"/>
      <c r="M541" s="143"/>
      <c r="N541" s="143"/>
      <c r="O541" s="143"/>
      <c r="P541" s="143"/>
      <c r="Q541" s="143"/>
      <c r="R541" s="142"/>
      <c r="S541" s="142"/>
      <c r="T541" s="142"/>
      <c r="U541" s="367"/>
      <c r="V541" s="142"/>
      <c r="W541" s="142"/>
    </row>
    <row r="542" spans="1:23" ht="21" customHeight="1" x14ac:dyDescent="0.25">
      <c r="A542" s="1212"/>
      <c r="B542" s="1210"/>
      <c r="C542" s="1214"/>
      <c r="D542" s="1214"/>
      <c r="E542" s="1214"/>
      <c r="F542" s="1211"/>
      <c r="G542" s="1704" t="s">
        <v>3068</v>
      </c>
      <c r="H542" s="1704"/>
      <c r="I542" s="1704"/>
      <c r="J542" s="1704"/>
      <c r="K542" s="1704"/>
      <c r="L542" s="1705"/>
      <c r="M542" s="146"/>
      <c r="N542" s="180"/>
      <c r="O542" s="151"/>
      <c r="P542" s="151"/>
      <c r="Q542" s="151"/>
      <c r="R542" s="147"/>
      <c r="S542" s="363"/>
      <c r="T542" s="176"/>
      <c r="U542" s="714"/>
      <c r="V542" s="149"/>
      <c r="W542" s="149"/>
    </row>
    <row r="543" spans="1:23" ht="41.25" customHeight="1" x14ac:dyDescent="0.25">
      <c r="A543" s="1212"/>
      <c r="B543" s="1210"/>
      <c r="C543" s="1214"/>
      <c r="D543" s="1214"/>
      <c r="E543" s="1214"/>
      <c r="F543" s="1211"/>
      <c r="G543" s="1706" t="s">
        <v>3481</v>
      </c>
      <c r="H543" s="1707"/>
      <c r="I543" s="1708"/>
      <c r="J543" s="786">
        <v>0.24</v>
      </c>
      <c r="K543" s="151"/>
      <c r="L543" s="149"/>
      <c r="M543" s="146"/>
      <c r="N543" s="180"/>
      <c r="O543" s="151"/>
      <c r="P543" s="151"/>
      <c r="Q543" s="151"/>
      <c r="R543" s="147"/>
      <c r="S543" s="363"/>
      <c r="T543" s="176"/>
      <c r="U543" s="714"/>
      <c r="V543" s="149"/>
      <c r="W543" s="149"/>
    </row>
    <row r="544" spans="1:23" ht="20.100000000000001" customHeight="1" thickBot="1" x14ac:dyDescent="0.3">
      <c r="A544" s="405"/>
      <c r="B544" s="394"/>
      <c r="C544" s="395"/>
      <c r="D544" s="395"/>
      <c r="E544" s="395"/>
      <c r="F544" s="396"/>
      <c r="G544" s="1530" t="s">
        <v>1860</v>
      </c>
      <c r="H544" s="1530"/>
      <c r="I544" s="1531"/>
      <c r="J544" s="181">
        <f>SUM(J543)</f>
        <v>0.24</v>
      </c>
      <c r="K544" s="151">
        <v>0.8</v>
      </c>
      <c r="L544" s="181">
        <f>J544/K544</f>
        <v>0.3</v>
      </c>
      <c r="M544" s="1529" t="s">
        <v>1861</v>
      </c>
      <c r="N544" s="1531"/>
      <c r="O544" s="181">
        <f>SUM(O541:O541)</f>
        <v>0</v>
      </c>
      <c r="P544" s="151">
        <v>0.8</v>
      </c>
      <c r="Q544" s="181">
        <f>O544/P544</f>
        <v>0</v>
      </c>
      <c r="R544" s="1529" t="s">
        <v>1860</v>
      </c>
      <c r="S544" s="1530"/>
      <c r="T544" s="1531"/>
      <c r="U544" s="181">
        <v>0</v>
      </c>
      <c r="V544" s="151">
        <v>0.8</v>
      </c>
      <c r="W544" s="181">
        <f>U544/V544</f>
        <v>0</v>
      </c>
    </row>
    <row r="545" spans="1:23" s="67" customFormat="1" ht="20.100000000000001" customHeight="1" x14ac:dyDescent="0.25">
      <c r="A545" s="1683" t="str">
        <f>'Расчет ЦП - общая форма'!C343</f>
        <v>ПС 35/10 кВ Мокшино</v>
      </c>
      <c r="B545" s="1551">
        <f>'Расчет ЦП - общая форма'!D343</f>
        <v>6.3</v>
      </c>
      <c r="C545" s="1552" t="str">
        <f>'Расчет ЦП - общая форма'!E343</f>
        <v>+</v>
      </c>
      <c r="D545" s="1552">
        <f>'Расчет ЦП - общая форма'!F343</f>
        <v>10</v>
      </c>
      <c r="E545" s="399"/>
      <c r="F545" s="400"/>
      <c r="G545" s="1712" t="s">
        <v>1987</v>
      </c>
      <c r="H545" s="1712"/>
      <c r="I545" s="1712"/>
      <c r="J545" s="1712"/>
      <c r="K545" s="1712"/>
      <c r="L545" s="1702"/>
      <c r="M545" s="133"/>
      <c r="N545" s="175"/>
      <c r="O545" s="77"/>
      <c r="P545" s="77"/>
      <c r="Q545" s="279"/>
      <c r="R545" s="1691"/>
      <c r="S545" s="1691"/>
      <c r="T545" s="1691"/>
      <c r="U545" s="1691"/>
      <c r="V545" s="1691"/>
      <c r="W545" s="1692"/>
    </row>
    <row r="546" spans="1:23" ht="51.75" customHeight="1" x14ac:dyDescent="0.25">
      <c r="A546" s="1540"/>
      <c r="B546" s="1501"/>
      <c r="C546" s="1553"/>
      <c r="D546" s="1553"/>
      <c r="E546" s="403"/>
      <c r="F546" s="404"/>
      <c r="G546" s="271" t="s">
        <v>1924</v>
      </c>
      <c r="H546" s="72" t="s">
        <v>1577</v>
      </c>
      <c r="I546" s="42" t="s">
        <v>1578</v>
      </c>
      <c r="J546" s="58">
        <v>0.67</v>
      </c>
      <c r="K546" s="42"/>
      <c r="L546" s="72"/>
      <c r="M546" s="1265" t="s">
        <v>1575</v>
      </c>
      <c r="N546" s="143" t="s">
        <v>1576</v>
      </c>
      <c r="O546" s="53">
        <v>0.33</v>
      </c>
      <c r="P546" s="42"/>
      <c r="Q546" s="284"/>
      <c r="R546" s="271"/>
      <c r="S546" s="72"/>
      <c r="T546" s="72"/>
      <c r="U546" s="373"/>
      <c r="V546" s="72"/>
      <c r="W546" s="72"/>
    </row>
    <row r="547" spans="1:23" s="18" customFormat="1" ht="73.5" customHeight="1" x14ac:dyDescent="0.25">
      <c r="A547" s="410"/>
      <c r="B547" s="402"/>
      <c r="C547" s="403"/>
      <c r="D547" s="403"/>
      <c r="E547" s="403"/>
      <c r="F547" s="404"/>
      <c r="G547" s="184" t="s">
        <v>1580</v>
      </c>
      <c r="H547" s="143" t="s">
        <v>1581</v>
      </c>
      <c r="I547" s="143" t="s">
        <v>2351</v>
      </c>
      <c r="J547" s="143">
        <v>0.08</v>
      </c>
      <c r="K547" s="143"/>
      <c r="L547" s="142"/>
      <c r="M547" s="143" t="s">
        <v>1575</v>
      </c>
      <c r="N547" s="53" t="s">
        <v>1579</v>
      </c>
      <c r="O547" s="53">
        <v>0.73</v>
      </c>
      <c r="P547" s="143"/>
      <c r="Q547" s="282"/>
      <c r="R547" s="265"/>
      <c r="S547" s="142"/>
      <c r="T547" s="142"/>
      <c r="U547" s="142"/>
      <c r="V547" s="142"/>
      <c r="W547" s="142"/>
    </row>
    <row r="548" spans="1:23" s="18" customFormat="1" ht="19.5" customHeight="1" x14ac:dyDescent="0.25">
      <c r="A548" s="410"/>
      <c r="B548" s="402"/>
      <c r="C548" s="403"/>
      <c r="D548" s="403"/>
      <c r="E548" s="403"/>
      <c r="F548" s="404"/>
      <c r="G548" s="1704" t="s">
        <v>2061</v>
      </c>
      <c r="H548" s="1704"/>
      <c r="I548" s="1704"/>
      <c r="J548" s="1704"/>
      <c r="K548" s="1704"/>
      <c r="L548" s="1705"/>
      <c r="M548" s="143" t="s">
        <v>1575</v>
      </c>
      <c r="N548" s="53" t="s">
        <v>1582</v>
      </c>
      <c r="O548" s="53">
        <v>0.04</v>
      </c>
      <c r="P548" s="143"/>
      <c r="Q548" s="282"/>
      <c r="R548" s="1730"/>
      <c r="S548" s="1730"/>
      <c r="T548" s="1730"/>
      <c r="U548" s="1730"/>
      <c r="V548" s="1730"/>
      <c r="W548" s="1731"/>
    </row>
    <row r="549" spans="1:23" s="18" customFormat="1" ht="49.5" customHeight="1" x14ac:dyDescent="0.25">
      <c r="A549" s="410"/>
      <c r="B549" s="402"/>
      <c r="C549" s="403"/>
      <c r="D549" s="403"/>
      <c r="E549" s="403"/>
      <c r="F549" s="404"/>
      <c r="G549" s="278" t="s">
        <v>1580</v>
      </c>
      <c r="H549" s="154" t="s">
        <v>1505</v>
      </c>
      <c r="I549" s="143" t="s">
        <v>2279</v>
      </c>
      <c r="J549" s="143">
        <v>0.6</v>
      </c>
      <c r="K549" s="143"/>
      <c r="L549" s="142"/>
      <c r="M549" s="143" t="s">
        <v>1575</v>
      </c>
      <c r="N549" s="53" t="s">
        <v>1583</v>
      </c>
      <c r="O549" s="53">
        <v>0.05</v>
      </c>
      <c r="P549" s="143"/>
      <c r="Q549" s="282"/>
      <c r="R549" s="370"/>
      <c r="S549" s="81"/>
      <c r="T549" s="142"/>
      <c r="U549" s="142"/>
      <c r="V549" s="142"/>
      <c r="W549" s="142"/>
    </row>
    <row r="550" spans="1:23" s="18" customFormat="1" ht="42.75" customHeight="1" x14ac:dyDescent="0.25">
      <c r="A550" s="410"/>
      <c r="B550" s="402"/>
      <c r="C550" s="403"/>
      <c r="D550" s="403"/>
      <c r="E550" s="403"/>
      <c r="F550" s="404"/>
      <c r="G550" s="278" t="s">
        <v>1580</v>
      </c>
      <c r="H550" s="154" t="s">
        <v>1505</v>
      </c>
      <c r="I550" s="143" t="s">
        <v>2280</v>
      </c>
      <c r="J550" s="143">
        <v>0.4</v>
      </c>
      <c r="K550" s="143"/>
      <c r="L550" s="142"/>
      <c r="M550" s="143" t="s">
        <v>1584</v>
      </c>
      <c r="N550" s="53" t="s">
        <v>1585</v>
      </c>
      <c r="O550" s="53">
        <v>1</v>
      </c>
      <c r="P550" s="143"/>
      <c r="Q550" s="282"/>
      <c r="R550" s="370"/>
      <c r="S550" s="81"/>
      <c r="T550" s="142"/>
      <c r="U550" s="142"/>
      <c r="V550" s="142"/>
      <c r="W550" s="142"/>
    </row>
    <row r="551" spans="1:23" s="18" customFormat="1" ht="91.5" customHeight="1" x14ac:dyDescent="0.25">
      <c r="A551" s="410"/>
      <c r="B551" s="402"/>
      <c r="C551" s="403"/>
      <c r="D551" s="403"/>
      <c r="E551" s="403"/>
      <c r="F551" s="404"/>
      <c r="G551" s="278" t="s">
        <v>1580</v>
      </c>
      <c r="H551" s="154" t="s">
        <v>793</v>
      </c>
      <c r="I551" s="143" t="s">
        <v>2289</v>
      </c>
      <c r="J551" s="143">
        <v>0.6</v>
      </c>
      <c r="K551" s="143"/>
      <c r="L551" s="142"/>
      <c r="M551" s="142" t="s">
        <v>1586</v>
      </c>
      <c r="N551" s="142" t="s">
        <v>1587</v>
      </c>
      <c r="O551" s="143">
        <v>0.2</v>
      </c>
      <c r="P551" s="143"/>
      <c r="Q551" s="282"/>
      <c r="R551" s="370"/>
      <c r="S551" s="81"/>
      <c r="T551" s="142"/>
      <c r="U551" s="142"/>
      <c r="V551" s="142"/>
      <c r="W551" s="142"/>
    </row>
    <row r="552" spans="1:23" ht="50.25" customHeight="1" x14ac:dyDescent="0.25">
      <c r="A552" s="410"/>
      <c r="B552" s="402"/>
      <c r="C552" s="403"/>
      <c r="D552" s="403"/>
      <c r="E552" s="403"/>
      <c r="F552" s="404"/>
      <c r="G552" s="184" t="s">
        <v>51</v>
      </c>
      <c r="H552" s="143" t="s">
        <v>52</v>
      </c>
      <c r="I552" s="143" t="s">
        <v>2313</v>
      </c>
      <c r="J552" s="143">
        <v>2.5000000000000001E-2</v>
      </c>
      <c r="K552" s="143"/>
      <c r="L552" s="142"/>
      <c r="M552" s="143" t="s">
        <v>1588</v>
      </c>
      <c r="N552" s="143" t="s">
        <v>50</v>
      </c>
      <c r="O552" s="143">
        <v>0.25900000000000001</v>
      </c>
      <c r="P552" s="143"/>
      <c r="Q552" s="282"/>
      <c r="R552" s="265"/>
      <c r="S552" s="142"/>
      <c r="T552" s="142"/>
      <c r="U552" s="142"/>
      <c r="V552" s="142"/>
      <c r="W552" s="142"/>
    </row>
    <row r="553" spans="1:23" ht="24.75" customHeight="1" x14ac:dyDescent="0.25">
      <c r="A553" s="410"/>
      <c r="B553" s="717"/>
      <c r="C553" s="718"/>
      <c r="D553" s="718"/>
      <c r="E553" s="718"/>
      <c r="F553" s="715"/>
      <c r="G553" s="1704" t="s">
        <v>2512</v>
      </c>
      <c r="H553" s="1704"/>
      <c r="I553" s="1704"/>
      <c r="J553" s="1704"/>
      <c r="K553" s="1704"/>
      <c r="L553" s="1705"/>
      <c r="M553" s="1265" t="s">
        <v>2209</v>
      </c>
      <c r="N553" s="143" t="s">
        <v>2210</v>
      </c>
      <c r="O553" s="143">
        <v>2.5000000000000001E-2</v>
      </c>
      <c r="P553" s="143"/>
      <c r="Q553" s="282"/>
      <c r="R553" s="265"/>
      <c r="S553" s="142"/>
      <c r="T553" s="142"/>
      <c r="U553" s="142"/>
      <c r="V553" s="142"/>
      <c r="W553" s="142"/>
    </row>
    <row r="554" spans="1:23" ht="71.25" customHeight="1" x14ac:dyDescent="0.25">
      <c r="A554" s="410"/>
      <c r="B554" s="402"/>
      <c r="C554" s="403"/>
      <c r="D554" s="403"/>
      <c r="E554" s="403"/>
      <c r="F554" s="404"/>
      <c r="G554" s="151" t="s">
        <v>2732</v>
      </c>
      <c r="H554" s="151" t="s">
        <v>2657</v>
      </c>
      <c r="I554" s="143" t="s">
        <v>2740</v>
      </c>
      <c r="J554" s="143">
        <v>0.31</v>
      </c>
      <c r="K554" s="143"/>
      <c r="L554" s="142"/>
      <c r="M554" s="143" t="s">
        <v>53</v>
      </c>
      <c r="N554" s="143" t="s">
        <v>54</v>
      </c>
      <c r="O554" s="143">
        <v>0.13700000000000001</v>
      </c>
      <c r="P554" s="143"/>
      <c r="Q554" s="282"/>
      <c r="R554" s="265"/>
      <c r="S554" s="142"/>
      <c r="T554" s="142"/>
      <c r="U554" s="142"/>
      <c r="V554" s="142"/>
      <c r="W554" s="142"/>
    </row>
    <row r="555" spans="1:23" ht="20.100000000000001" customHeight="1" x14ac:dyDescent="0.25">
      <c r="A555" s="410"/>
      <c r="B555" s="402"/>
      <c r="C555" s="403"/>
      <c r="D555" s="403"/>
      <c r="E555" s="403"/>
      <c r="F555" s="404"/>
      <c r="G555" s="1248"/>
      <c r="H555" s="1253"/>
      <c r="I555" s="1253"/>
      <c r="J555" s="1253"/>
      <c r="K555" s="1253"/>
      <c r="L555" s="1253"/>
      <c r="M555" s="143" t="s">
        <v>543</v>
      </c>
      <c r="N555" s="143" t="s">
        <v>544</v>
      </c>
      <c r="O555" s="143">
        <v>5.416E-2</v>
      </c>
      <c r="P555" s="143"/>
      <c r="Q555" s="282"/>
      <c r="R555" s="265"/>
      <c r="S555" s="142"/>
      <c r="T555" s="142"/>
      <c r="U555" s="142"/>
      <c r="V555" s="142"/>
      <c r="W555" s="142"/>
    </row>
    <row r="556" spans="1:23" ht="20.100000000000001" customHeight="1" x14ac:dyDescent="0.25">
      <c r="A556" s="410"/>
      <c r="B556" s="751"/>
      <c r="C556" s="752"/>
      <c r="D556" s="752"/>
      <c r="E556" s="752"/>
      <c r="F556" s="749"/>
      <c r="G556" s="1717"/>
      <c r="H556" s="1718"/>
      <c r="I556" s="1719"/>
      <c r="J556" s="149"/>
      <c r="K556" s="149"/>
      <c r="L556" s="149"/>
      <c r="M556" s="151" t="s">
        <v>1580</v>
      </c>
      <c r="N556" s="151" t="s">
        <v>3168</v>
      </c>
      <c r="O556" s="151">
        <v>0.43</v>
      </c>
      <c r="P556" s="151"/>
      <c r="Q556" s="285"/>
      <c r="R556" s="176"/>
      <c r="S556" s="149"/>
      <c r="T556" s="149"/>
      <c r="U556" s="149"/>
      <c r="V556" s="149"/>
      <c r="W556" s="149"/>
    </row>
    <row r="557" spans="1:23" ht="20.100000000000001" customHeight="1" x14ac:dyDescent="0.25">
      <c r="A557" s="410"/>
      <c r="B557" s="1032"/>
      <c r="C557" s="1036"/>
      <c r="D557" s="1036"/>
      <c r="E557" s="1036"/>
      <c r="F557" s="1033"/>
      <c r="G557" s="1704" t="s">
        <v>3069</v>
      </c>
      <c r="H557" s="1704"/>
      <c r="I557" s="1704"/>
      <c r="J557" s="1704"/>
      <c r="K557" s="1704"/>
      <c r="L557" s="1705"/>
      <c r="M557" s="143" t="s">
        <v>3348</v>
      </c>
      <c r="N557" s="143" t="s">
        <v>3349</v>
      </c>
      <c r="O557" s="143">
        <v>9.5000000000000001E-2</v>
      </c>
      <c r="P557" s="151"/>
      <c r="Q557" s="285"/>
      <c r="R557" s="176"/>
      <c r="S557" s="149"/>
      <c r="T557" s="149"/>
      <c r="U557" s="149"/>
      <c r="V557" s="149"/>
      <c r="W557" s="149"/>
    </row>
    <row r="558" spans="1:23" ht="20.100000000000001" customHeight="1" x14ac:dyDescent="0.25">
      <c r="A558" s="410"/>
      <c r="B558" s="1032"/>
      <c r="C558" s="1036"/>
      <c r="D558" s="1036"/>
      <c r="E558" s="1036"/>
      <c r="F558" s="1033"/>
      <c r="G558" s="151" t="s">
        <v>1580</v>
      </c>
      <c r="H558" s="151" t="s">
        <v>3167</v>
      </c>
      <c r="I558" s="567" t="s">
        <v>3196</v>
      </c>
      <c r="J558" s="151">
        <v>0.36</v>
      </c>
      <c r="K558" s="151"/>
      <c r="L558" s="149"/>
      <c r="M558" s="143"/>
      <c r="N558" s="143"/>
      <c r="O558" s="143"/>
      <c r="P558" s="151"/>
      <c r="Q558" s="285"/>
      <c r="R558" s="176"/>
      <c r="S558" s="149"/>
      <c r="T558" s="149"/>
      <c r="U558" s="149"/>
      <c r="V558" s="149"/>
      <c r="W558" s="149"/>
    </row>
    <row r="559" spans="1:23" ht="54.75" customHeight="1" x14ac:dyDescent="0.25">
      <c r="A559" s="410"/>
      <c r="B559" s="1076"/>
      <c r="C559" s="1080"/>
      <c r="D559" s="1080"/>
      <c r="E559" s="1080"/>
      <c r="F559" s="1077"/>
      <c r="G559" s="151" t="s">
        <v>1516</v>
      </c>
      <c r="H559" s="151" t="s">
        <v>3100</v>
      </c>
      <c r="I559" s="567" t="s">
        <v>3224</v>
      </c>
      <c r="J559" s="151">
        <v>8.8200000000000001E-2</v>
      </c>
      <c r="K559" s="151"/>
      <c r="L559" s="149"/>
      <c r="M559" s="301" t="s">
        <v>2825</v>
      </c>
      <c r="N559" s="301" t="s">
        <v>3392</v>
      </c>
      <c r="O559" s="301">
        <v>1.1000000000000001</v>
      </c>
      <c r="P559" s="151"/>
      <c r="Q559" s="285"/>
      <c r="R559" s="176"/>
      <c r="S559" s="149"/>
      <c r="T559" s="149"/>
      <c r="U559" s="149"/>
      <c r="V559" s="149"/>
      <c r="W559" s="149"/>
    </row>
    <row r="560" spans="1:23" ht="54.75" customHeight="1" x14ac:dyDescent="0.25">
      <c r="A560" s="410"/>
      <c r="B560" s="1184"/>
      <c r="C560" s="1188"/>
      <c r="D560" s="1188"/>
      <c r="E560" s="1188"/>
      <c r="F560" s="1185"/>
      <c r="G560" s="143" t="s">
        <v>3360</v>
      </c>
      <c r="H560" s="143" t="s">
        <v>3361</v>
      </c>
      <c r="I560" s="567" t="s">
        <v>3472</v>
      </c>
      <c r="J560" s="151">
        <v>0.6</v>
      </c>
      <c r="K560" s="151"/>
      <c r="L560" s="149"/>
      <c r="M560" s="1268" t="s">
        <v>3529</v>
      </c>
      <c r="N560" s="1268" t="s">
        <v>3530</v>
      </c>
      <c r="O560" s="151">
        <v>0.16300000000000001</v>
      </c>
      <c r="P560" s="151"/>
      <c r="Q560" s="285"/>
      <c r="R560" s="176"/>
      <c r="S560" s="149"/>
      <c r="T560" s="149"/>
      <c r="U560" s="149"/>
      <c r="V560" s="149"/>
      <c r="W560" s="149"/>
    </row>
    <row r="561" spans="1:23" ht="54.75" customHeight="1" x14ac:dyDescent="0.25">
      <c r="A561" s="410"/>
      <c r="B561" s="1210"/>
      <c r="C561" s="1214"/>
      <c r="D561" s="1214"/>
      <c r="E561" s="1214"/>
      <c r="F561" s="1211"/>
      <c r="G561" s="1665" t="s">
        <v>3481</v>
      </c>
      <c r="H561" s="1666"/>
      <c r="I561" s="1667"/>
      <c r="J561" s="786">
        <v>0.245</v>
      </c>
      <c r="K561" s="151"/>
      <c r="L561" s="149"/>
      <c r="M561" s="151"/>
      <c r="N561" s="151"/>
      <c r="O561" s="151"/>
      <c r="P561" s="151"/>
      <c r="Q561" s="285"/>
      <c r="R561" s="176"/>
      <c r="S561" s="149"/>
      <c r="T561" s="149"/>
      <c r="U561" s="149"/>
      <c r="V561" s="149"/>
      <c r="W561" s="149"/>
    </row>
    <row r="562" spans="1:23" ht="20.100000000000001" customHeight="1" thickBot="1" x14ac:dyDescent="0.3">
      <c r="A562" s="574"/>
      <c r="B562" s="394"/>
      <c r="C562" s="395"/>
      <c r="D562" s="395"/>
      <c r="E562" s="395"/>
      <c r="F562" s="396"/>
      <c r="G562" s="1556" t="s">
        <v>1860</v>
      </c>
      <c r="H562" s="1711"/>
      <c r="I562" s="1711"/>
      <c r="J562" s="136">
        <f>SUM(J554:J561)</f>
        <v>1.6032000000000002</v>
      </c>
      <c r="K562" s="183">
        <v>0.8</v>
      </c>
      <c r="L562" s="136">
        <f>J562/K562</f>
        <v>2.004</v>
      </c>
      <c r="M562" s="1711" t="s">
        <v>1861</v>
      </c>
      <c r="N562" s="1711"/>
      <c r="O562" s="136">
        <f>SUM(O546:O560)</f>
        <v>4.6131600000000006</v>
      </c>
      <c r="P562" s="183">
        <v>0.8</v>
      </c>
      <c r="Q562" s="273">
        <f>O562/P562</f>
        <v>5.7664500000000007</v>
      </c>
      <c r="R562" s="1556" t="s">
        <v>1860</v>
      </c>
      <c r="S562" s="1711"/>
      <c r="T562" s="1711"/>
      <c r="U562" s="136">
        <f>SUM(U546:U555)</f>
        <v>0</v>
      </c>
      <c r="V562" s="183">
        <v>0.8</v>
      </c>
      <c r="W562" s="136">
        <f>U562/V562</f>
        <v>0</v>
      </c>
    </row>
    <row r="563" spans="1:23" s="18" customFormat="1" ht="20.100000000000001" customHeight="1" x14ac:dyDescent="0.25">
      <c r="A563" s="406" t="str">
        <f>'Расчет ЦП - общая форма'!C344</f>
        <v xml:space="preserve">ПС 35/10 кВ Энергетик </v>
      </c>
      <c r="B563" s="398">
        <f>'Расчет ЦП - общая форма'!D344</f>
        <v>4</v>
      </c>
      <c r="C563" s="399" t="str">
        <f>'Расчет ЦП - общая форма'!E344</f>
        <v>+</v>
      </c>
      <c r="D563" s="399">
        <f>'Расчет ЦП - общая форма'!F344</f>
        <v>2.5</v>
      </c>
      <c r="E563" s="399"/>
      <c r="F563" s="400"/>
      <c r="G563" s="1663" t="s">
        <v>3069</v>
      </c>
      <c r="H563" s="1663"/>
      <c r="I563" s="1663"/>
      <c r="J563" s="1663"/>
      <c r="K563" s="1663"/>
      <c r="L563" s="1664"/>
      <c r="M563" s="42" t="s">
        <v>55</v>
      </c>
      <c r="N563" s="42" t="s">
        <v>56</v>
      </c>
      <c r="O563" s="58">
        <v>0.2</v>
      </c>
      <c r="P563" s="42"/>
      <c r="Q563" s="42"/>
      <c r="R563" s="42"/>
      <c r="S563" s="42"/>
      <c r="T563" s="42"/>
      <c r="U563" s="42"/>
      <c r="V563" s="42"/>
      <c r="W563" s="72"/>
    </row>
    <row r="564" spans="1:23" s="18" customFormat="1" ht="20.100000000000001" customHeight="1" x14ac:dyDescent="0.25">
      <c r="A564" s="401"/>
      <c r="B564" s="402"/>
      <c r="C564" s="403"/>
      <c r="D564" s="403"/>
      <c r="E564" s="403"/>
      <c r="F564" s="404"/>
      <c r="G564" s="1665" t="s">
        <v>3481</v>
      </c>
      <c r="H564" s="1666"/>
      <c r="I564" s="1667"/>
      <c r="J564" s="786">
        <v>0.11</v>
      </c>
      <c r="K564" s="143"/>
      <c r="L564" s="142"/>
      <c r="M564" s="143" t="s">
        <v>57</v>
      </c>
      <c r="N564" s="143" t="s">
        <v>58</v>
      </c>
      <c r="O564" s="53">
        <v>0.03</v>
      </c>
      <c r="P564" s="143"/>
      <c r="Q564" s="143"/>
      <c r="R564" s="143"/>
      <c r="S564" s="143"/>
      <c r="T564" s="143"/>
      <c r="U564" s="143"/>
      <c r="V564" s="143"/>
      <c r="W564" s="142"/>
    </row>
    <row r="565" spans="1:23" s="18" customFormat="1" ht="56.25" customHeight="1" x14ac:dyDescent="0.25">
      <c r="A565" s="401"/>
      <c r="B565" s="402"/>
      <c r="C565" s="403"/>
      <c r="D565" s="403"/>
      <c r="E565" s="403"/>
      <c r="F565" s="404"/>
      <c r="G565" s="184"/>
      <c r="H565" s="143"/>
      <c r="I565" s="143"/>
      <c r="J565" s="143"/>
      <c r="K565" s="143"/>
      <c r="L565" s="142"/>
      <c r="M565" s="153" t="s">
        <v>1584</v>
      </c>
      <c r="N565" s="53" t="s">
        <v>59</v>
      </c>
      <c r="O565" s="53">
        <v>1</v>
      </c>
      <c r="P565" s="143"/>
      <c r="Q565" s="143"/>
      <c r="R565" s="143"/>
      <c r="S565" s="143"/>
      <c r="T565" s="143"/>
      <c r="U565" s="143"/>
      <c r="V565" s="143"/>
      <c r="W565" s="142"/>
    </row>
    <row r="566" spans="1:23" ht="58.5" customHeight="1" x14ac:dyDescent="0.25">
      <c r="A566" s="401"/>
      <c r="B566" s="402"/>
      <c r="C566" s="403"/>
      <c r="D566" s="403"/>
      <c r="E566" s="403"/>
      <c r="F566" s="404"/>
      <c r="G566" s="184"/>
      <c r="H566" s="143"/>
      <c r="I566" s="143"/>
      <c r="J566" s="143"/>
      <c r="K566" s="143"/>
      <c r="L566" s="142"/>
      <c r="M566" s="143" t="s">
        <v>2391</v>
      </c>
      <c r="N566" s="143" t="s">
        <v>2397</v>
      </c>
      <c r="O566" s="143">
        <v>0.12</v>
      </c>
      <c r="P566" s="143"/>
      <c r="Q566" s="143"/>
      <c r="R566" s="143"/>
      <c r="S566" s="143"/>
      <c r="T566" s="143"/>
      <c r="U566" s="143"/>
      <c r="V566" s="143"/>
      <c r="W566" s="142"/>
    </row>
    <row r="567" spans="1:23" ht="20.100000000000001" customHeight="1" thickBot="1" x14ac:dyDescent="0.3">
      <c r="A567" s="405"/>
      <c r="B567" s="394"/>
      <c r="C567" s="395"/>
      <c r="D567" s="395"/>
      <c r="E567" s="395"/>
      <c r="F567" s="396"/>
      <c r="G567" s="1555" t="s">
        <v>1860</v>
      </c>
      <c r="H567" s="1555"/>
      <c r="I567" s="1556"/>
      <c r="J567" s="136">
        <f>SUM(J563:J566)</f>
        <v>0.11</v>
      </c>
      <c r="K567" s="183">
        <v>0.8</v>
      </c>
      <c r="L567" s="136">
        <f>J567/K567</f>
        <v>0.13749999999999998</v>
      </c>
      <c r="M567" s="1574" t="s">
        <v>1861</v>
      </c>
      <c r="N567" s="1556"/>
      <c r="O567" s="136">
        <f>SUM(O563:O566)</f>
        <v>1.35</v>
      </c>
      <c r="P567" s="183">
        <v>0.8</v>
      </c>
      <c r="Q567" s="136">
        <f>O567/P567</f>
        <v>1.6875</v>
      </c>
      <c r="R567" s="1574" t="s">
        <v>1860</v>
      </c>
      <c r="S567" s="1555"/>
      <c r="T567" s="1556"/>
      <c r="U567" s="136">
        <f>SUM(U563:U566)</f>
        <v>0</v>
      </c>
      <c r="V567" s="183">
        <v>0.8</v>
      </c>
      <c r="W567" s="136">
        <f>U567/V567</f>
        <v>0</v>
      </c>
    </row>
    <row r="568" spans="1:23" ht="20.100000000000001" customHeight="1" x14ac:dyDescent="0.25">
      <c r="A568" s="1683" t="str">
        <f>'Расчет ЦП - общая форма'!C345</f>
        <v xml:space="preserve">ПС 35/10 кВ Эммаус  </v>
      </c>
      <c r="B568" s="1551">
        <f>'Расчет ЦП - общая форма'!D345</f>
        <v>4</v>
      </c>
      <c r="C568" s="1552" t="str">
        <f>'Расчет ЦП - общая форма'!E345</f>
        <v>+</v>
      </c>
      <c r="D568" s="1552">
        <f>'Расчет ЦП - общая форма'!F345</f>
        <v>4</v>
      </c>
      <c r="E568" s="399"/>
      <c r="F568" s="400"/>
      <c r="G568" s="1712" t="s">
        <v>1989</v>
      </c>
      <c r="H568" s="1712"/>
      <c r="I568" s="1712"/>
      <c r="J568" s="1712"/>
      <c r="K568" s="1712"/>
      <c r="L568" s="1702"/>
      <c r="M568" s="147"/>
      <c r="N568" s="176"/>
      <c r="O568" s="176"/>
      <c r="P568" s="149"/>
      <c r="Q568" s="149"/>
      <c r="R568" s="1713"/>
      <c r="S568" s="1691"/>
      <c r="T568" s="1691"/>
      <c r="U568" s="1691"/>
      <c r="V568" s="1691"/>
      <c r="W568" s="1692"/>
    </row>
    <row r="569" spans="1:23" ht="20.100000000000001" customHeight="1" x14ac:dyDescent="0.25">
      <c r="A569" s="1540"/>
      <c r="B569" s="1501"/>
      <c r="C569" s="1553"/>
      <c r="D569" s="1553"/>
      <c r="E569" s="403"/>
      <c r="F569" s="404"/>
      <c r="G569" s="184" t="s">
        <v>545</v>
      </c>
      <c r="H569" s="143" t="s">
        <v>694</v>
      </c>
      <c r="I569" s="143" t="s">
        <v>695</v>
      </c>
      <c r="J569" s="143">
        <v>3.0000000000000001E-3</v>
      </c>
      <c r="K569" s="142"/>
      <c r="L569" s="142"/>
      <c r="M569" s="142"/>
      <c r="N569" s="142"/>
      <c r="O569" s="142"/>
      <c r="P569" s="149"/>
      <c r="Q569" s="149"/>
      <c r="R569" s="142"/>
      <c r="S569" s="142"/>
      <c r="T569" s="142"/>
      <c r="U569" s="142"/>
      <c r="V569" s="142"/>
      <c r="W569" s="142"/>
    </row>
    <row r="570" spans="1:23" ht="20.100000000000001" customHeight="1" x14ac:dyDescent="0.25">
      <c r="A570" s="1540"/>
      <c r="B570" s="1501"/>
      <c r="C570" s="1553"/>
      <c r="D570" s="1553"/>
      <c r="E570" s="403"/>
      <c r="F570" s="404"/>
      <c r="G570" s="184" t="s">
        <v>60</v>
      </c>
      <c r="H570" s="143" t="s">
        <v>61</v>
      </c>
      <c r="I570" s="143" t="s">
        <v>62</v>
      </c>
      <c r="J570" s="143">
        <v>0.03</v>
      </c>
      <c r="K570" s="143"/>
      <c r="L570" s="142"/>
      <c r="M570" s="143" t="s">
        <v>63</v>
      </c>
      <c r="N570" s="143" t="s">
        <v>64</v>
      </c>
      <c r="O570" s="143">
        <v>1.4239999999999999</v>
      </c>
      <c r="P570" s="151"/>
      <c r="Q570" s="143"/>
      <c r="R570" s="142"/>
      <c r="S570" s="142"/>
      <c r="T570" s="142"/>
      <c r="U570" s="142"/>
      <c r="V570" s="142"/>
      <c r="W570" s="142"/>
    </row>
    <row r="571" spans="1:23" ht="20.100000000000001" customHeight="1" x14ac:dyDescent="0.25">
      <c r="A571" s="401"/>
      <c r="B571" s="402"/>
      <c r="C571" s="403"/>
      <c r="D571" s="403"/>
      <c r="E571" s="403"/>
      <c r="F571" s="404"/>
      <c r="G571" s="1663" t="s">
        <v>1988</v>
      </c>
      <c r="H571" s="1663"/>
      <c r="I571" s="1663"/>
      <c r="J571" s="1663"/>
      <c r="K571" s="1663"/>
      <c r="L571" s="1664"/>
      <c r="M571" s="143"/>
      <c r="N571" s="143"/>
      <c r="O571" s="143"/>
      <c r="P571" s="151"/>
      <c r="Q571" s="143"/>
      <c r="R571" s="1680"/>
      <c r="S571" s="1681"/>
      <c r="T571" s="1681"/>
      <c r="U571" s="1681"/>
      <c r="V571" s="1681"/>
      <c r="W571" s="1408"/>
    </row>
    <row r="572" spans="1:23" ht="20.100000000000001" customHeight="1" x14ac:dyDescent="0.25">
      <c r="A572" s="401"/>
      <c r="B572" s="402"/>
      <c r="C572" s="403"/>
      <c r="D572" s="403"/>
      <c r="E572" s="403"/>
      <c r="F572" s="404"/>
      <c r="G572" s="184" t="s">
        <v>65</v>
      </c>
      <c r="H572" s="143" t="s">
        <v>66</v>
      </c>
      <c r="I572" s="143" t="s">
        <v>67</v>
      </c>
      <c r="J572" s="143">
        <v>0.03</v>
      </c>
      <c r="K572" s="143"/>
      <c r="L572" s="142"/>
      <c r="M572" s="143"/>
      <c r="N572" s="143"/>
      <c r="O572" s="143"/>
      <c r="P572" s="143"/>
      <c r="Q572" s="143"/>
      <c r="R572" s="142"/>
      <c r="S572" s="142"/>
      <c r="T572" s="142"/>
      <c r="U572" s="142"/>
      <c r="V572" s="142"/>
      <c r="W572" s="142"/>
    </row>
    <row r="573" spans="1:23" ht="20.100000000000001" customHeight="1" x14ac:dyDescent="0.25">
      <c r="A573" s="401"/>
      <c r="B573" s="402"/>
      <c r="C573" s="403"/>
      <c r="D573" s="403"/>
      <c r="E573" s="403"/>
      <c r="F573" s="404"/>
      <c r="G573" s="184" t="s">
        <v>485</v>
      </c>
      <c r="H573" s="143" t="s">
        <v>696</v>
      </c>
      <c r="I573" s="143" t="s">
        <v>697</v>
      </c>
      <c r="J573" s="143">
        <v>2.4E-2</v>
      </c>
      <c r="K573" s="143"/>
      <c r="L573" s="142"/>
      <c r="M573" s="143" t="s">
        <v>2082</v>
      </c>
      <c r="N573" s="143" t="s">
        <v>2083</v>
      </c>
      <c r="O573" s="143">
        <v>3.5000000000000003E-2</v>
      </c>
      <c r="P573" s="143"/>
      <c r="Q573" s="143"/>
      <c r="R573" s="142"/>
      <c r="S573" s="142"/>
      <c r="T573" s="142"/>
      <c r="U573" s="142"/>
      <c r="V573" s="142"/>
      <c r="W573" s="142"/>
    </row>
    <row r="574" spans="1:23" ht="20.100000000000001" customHeight="1" x14ac:dyDescent="0.25">
      <c r="A574" s="695"/>
      <c r="B574" s="697"/>
      <c r="C574" s="698"/>
      <c r="D574" s="698"/>
      <c r="E574" s="698"/>
      <c r="F574" s="694"/>
      <c r="G574" s="1663" t="s">
        <v>2675</v>
      </c>
      <c r="H574" s="1663"/>
      <c r="I574" s="1663"/>
      <c r="J574" s="1663"/>
      <c r="K574" s="1663"/>
      <c r="L574" s="1664"/>
      <c r="M574" s="143"/>
      <c r="N574" s="155"/>
      <c r="O574" s="143"/>
      <c r="P574" s="143"/>
      <c r="Q574" s="143"/>
      <c r="R574" s="142"/>
      <c r="S574" s="142"/>
      <c r="T574" s="142"/>
      <c r="U574" s="142"/>
      <c r="V574" s="142"/>
      <c r="W574" s="142"/>
    </row>
    <row r="575" spans="1:23" ht="20.100000000000001" customHeight="1" x14ac:dyDescent="0.25">
      <c r="A575" s="401"/>
      <c r="B575" s="402"/>
      <c r="C575" s="403"/>
      <c r="D575" s="403"/>
      <c r="E575" s="403"/>
      <c r="F575" s="404"/>
      <c r="G575" s="184" t="s">
        <v>2653</v>
      </c>
      <c r="H575" s="143" t="s">
        <v>2708</v>
      </c>
      <c r="I575" s="143" t="s">
        <v>2709</v>
      </c>
      <c r="J575" s="143">
        <v>0.1</v>
      </c>
      <c r="K575" s="143"/>
      <c r="L575" s="142"/>
      <c r="M575" s="143"/>
      <c r="N575" s="155"/>
      <c r="O575" s="143"/>
      <c r="P575" s="143"/>
      <c r="Q575" s="143"/>
      <c r="R575" s="142"/>
      <c r="S575" s="142"/>
      <c r="T575" s="142"/>
      <c r="U575" s="142"/>
      <c r="V575" s="142"/>
      <c r="W575" s="142"/>
    </row>
    <row r="576" spans="1:23" ht="20.100000000000001" customHeight="1" x14ac:dyDescent="0.25">
      <c r="A576" s="1212"/>
      <c r="B576" s="1210"/>
      <c r="C576" s="1214"/>
      <c r="D576" s="1214"/>
      <c r="E576" s="1214"/>
      <c r="F576" s="1211"/>
      <c r="G576" s="1663" t="s">
        <v>3068</v>
      </c>
      <c r="H576" s="1663"/>
      <c r="I576" s="1663"/>
      <c r="J576" s="1663"/>
      <c r="K576" s="1663"/>
      <c r="L576" s="1664"/>
      <c r="M576" s="146"/>
      <c r="N576" s="179"/>
      <c r="O576" s="151"/>
      <c r="P576" s="151"/>
      <c r="Q576" s="151"/>
      <c r="R576" s="147"/>
      <c r="S576" s="363"/>
      <c r="T576" s="176"/>
      <c r="U576" s="149"/>
      <c r="V576" s="149"/>
      <c r="W576" s="149"/>
    </row>
    <row r="577" spans="1:23" ht="46.5" customHeight="1" x14ac:dyDescent="0.25">
      <c r="A577" s="1212"/>
      <c r="B577" s="1210"/>
      <c r="C577" s="1214"/>
      <c r="D577" s="1214"/>
      <c r="E577" s="1214"/>
      <c r="F577" s="1211"/>
      <c r="G577" s="1665" t="s">
        <v>3481</v>
      </c>
      <c r="H577" s="1666"/>
      <c r="I577" s="1667"/>
      <c r="J577" s="786">
        <v>0.317</v>
      </c>
      <c r="K577" s="151"/>
      <c r="L577" s="149"/>
      <c r="M577" s="146"/>
      <c r="N577" s="179"/>
      <c r="O577" s="151"/>
      <c r="P577" s="151"/>
      <c r="Q577" s="151"/>
      <c r="R577" s="147"/>
      <c r="S577" s="363"/>
      <c r="T577" s="176"/>
      <c r="U577" s="149"/>
      <c r="V577" s="149"/>
      <c r="W577" s="149"/>
    </row>
    <row r="578" spans="1:23" ht="20.100000000000001" customHeight="1" thickBot="1" x14ac:dyDescent="0.3">
      <c r="A578" s="405"/>
      <c r="B578" s="394"/>
      <c r="C578" s="395"/>
      <c r="D578" s="395"/>
      <c r="E578" s="395"/>
      <c r="F578" s="396"/>
      <c r="G578" s="1530" t="s">
        <v>1860</v>
      </c>
      <c r="H578" s="1530"/>
      <c r="I578" s="1531"/>
      <c r="J578" s="181">
        <f>SUM(J575:J577)</f>
        <v>0.41700000000000004</v>
      </c>
      <c r="K578" s="151">
        <v>0.8</v>
      </c>
      <c r="L578" s="181">
        <f>J578/K578</f>
        <v>0.52124999999999999</v>
      </c>
      <c r="M578" s="1529" t="s">
        <v>1861</v>
      </c>
      <c r="N578" s="1531"/>
      <c r="O578" s="181">
        <f>SUM(O570:O575)</f>
        <v>1.4589999999999999</v>
      </c>
      <c r="P578" s="151">
        <v>0.8</v>
      </c>
      <c r="Q578" s="181">
        <f>O578/P578</f>
        <v>1.8237499999999998</v>
      </c>
      <c r="R578" s="1529" t="s">
        <v>1860</v>
      </c>
      <c r="S578" s="1530"/>
      <c r="T578" s="1531"/>
      <c r="U578" s="181">
        <f>SUM(U572:U573)</f>
        <v>0</v>
      </c>
      <c r="V578" s="151">
        <v>0.8</v>
      </c>
      <c r="W578" s="181">
        <f>U578/V578</f>
        <v>0</v>
      </c>
    </row>
    <row r="579" spans="1:23" ht="20.100000000000001" customHeight="1" x14ac:dyDescent="0.25">
      <c r="A579" s="406"/>
      <c r="B579" s="398"/>
      <c r="C579" s="399"/>
      <c r="D579" s="399"/>
      <c r="E579" s="399"/>
      <c r="F579" s="400"/>
      <c r="G579" s="1712" t="s">
        <v>1991</v>
      </c>
      <c r="H579" s="1712"/>
      <c r="I579" s="1712"/>
      <c r="J579" s="1712"/>
      <c r="K579" s="1712"/>
      <c r="L579" s="1702"/>
      <c r="M579" s="289"/>
      <c r="N579" s="290"/>
      <c r="O579" s="16"/>
      <c r="P579" s="16"/>
      <c r="Q579" s="287"/>
      <c r="R579" s="1691"/>
      <c r="S579" s="1691"/>
      <c r="T579" s="1691"/>
      <c r="U579" s="1691"/>
      <c r="V579" s="1691"/>
      <c r="W579" s="1692"/>
    </row>
    <row r="580" spans="1:23" ht="20.100000000000001" customHeight="1" x14ac:dyDescent="0.25">
      <c r="A580" s="401" t="str">
        <f>'Расчет ЦП - общая форма'!C346</f>
        <v>ПС  35/10 кВ Ю.-Девичье</v>
      </c>
      <c r="B580" s="402">
        <f>'Расчет ЦП - общая форма'!D346</f>
        <v>4</v>
      </c>
      <c r="C580" s="403" t="str">
        <f>'Расчет ЦП - общая форма'!E346</f>
        <v>+</v>
      </c>
      <c r="D580" s="403">
        <f>'Расчет ЦП - общая форма'!F346</f>
        <v>4</v>
      </c>
      <c r="E580" s="403"/>
      <c r="F580" s="404"/>
      <c r="G580" s="184" t="s">
        <v>722</v>
      </c>
      <c r="H580" s="143" t="s">
        <v>723</v>
      </c>
      <c r="I580" s="70" t="s">
        <v>724</v>
      </c>
      <c r="J580" s="143">
        <v>0.4</v>
      </c>
      <c r="K580" s="142"/>
      <c r="L580" s="142"/>
      <c r="M580" s="142" t="s">
        <v>698</v>
      </c>
      <c r="N580" s="142" t="s">
        <v>699</v>
      </c>
      <c r="O580" s="53">
        <v>1.4999999999999999E-2</v>
      </c>
      <c r="P580" s="143"/>
      <c r="Q580" s="282"/>
      <c r="R580" s="265"/>
      <c r="S580" s="142"/>
      <c r="T580" s="149"/>
      <c r="U580" s="142"/>
      <c r="V580" s="142"/>
      <c r="W580" s="142"/>
    </row>
    <row r="581" spans="1:23" ht="20.100000000000001" customHeight="1" x14ac:dyDescent="0.25">
      <c r="A581" s="401"/>
      <c r="B581" s="402"/>
      <c r="C581" s="403"/>
      <c r="D581" s="403"/>
      <c r="E581" s="403"/>
      <c r="F581" s="404"/>
      <c r="G581" s="1663" t="s">
        <v>1989</v>
      </c>
      <c r="H581" s="1663"/>
      <c r="I581" s="1663"/>
      <c r="J581" s="1663"/>
      <c r="K581" s="1663"/>
      <c r="L581" s="1664"/>
      <c r="M581" s="142"/>
      <c r="N581" s="142"/>
      <c r="O581" s="53"/>
      <c r="P581" s="143"/>
      <c r="Q581" s="282"/>
      <c r="R581" s="1681"/>
      <c r="S581" s="1681"/>
      <c r="T581" s="1681"/>
      <c r="U581" s="1681"/>
      <c r="V581" s="1681"/>
      <c r="W581" s="1408"/>
    </row>
    <row r="582" spans="1:23" ht="20.100000000000001" customHeight="1" x14ac:dyDescent="0.25">
      <c r="A582" s="401"/>
      <c r="B582" s="402"/>
      <c r="C582" s="403"/>
      <c r="D582" s="403"/>
      <c r="E582" s="403"/>
      <c r="F582" s="404"/>
      <c r="G582" s="184" t="s">
        <v>713</v>
      </c>
      <c r="H582" s="143" t="s">
        <v>714</v>
      </c>
      <c r="I582" s="70" t="s">
        <v>715</v>
      </c>
      <c r="J582" s="143">
        <v>0.4</v>
      </c>
      <c r="K582" s="142"/>
      <c r="L582" s="142"/>
      <c r="M582" s="142"/>
      <c r="N582" s="142"/>
      <c r="O582" s="53"/>
      <c r="P582" s="143"/>
      <c r="Q582" s="282"/>
      <c r="R582" s="265"/>
      <c r="S582" s="142"/>
      <c r="T582" s="149"/>
      <c r="U582" s="142"/>
      <c r="V582" s="142"/>
      <c r="W582" s="142"/>
    </row>
    <row r="583" spans="1:23" ht="20.100000000000001" customHeight="1" x14ac:dyDescent="0.25">
      <c r="A583" s="401"/>
      <c r="B583" s="402"/>
      <c r="C583" s="403"/>
      <c r="D583" s="403"/>
      <c r="E583" s="403"/>
      <c r="F583" s="404"/>
      <c r="G583" s="184" t="s">
        <v>716</v>
      </c>
      <c r="H583" s="143" t="s">
        <v>717</v>
      </c>
      <c r="I583" s="70" t="s">
        <v>718</v>
      </c>
      <c r="J583" s="143">
        <v>0.25</v>
      </c>
      <c r="K583" s="143"/>
      <c r="L583" s="142"/>
      <c r="M583" s="142"/>
      <c r="N583" s="142"/>
      <c r="O583" s="53"/>
      <c r="P583" s="143"/>
      <c r="Q583" s="282"/>
      <c r="R583" s="265"/>
      <c r="S583" s="142"/>
      <c r="T583" s="149"/>
      <c r="U583" s="142"/>
      <c r="V583" s="142"/>
      <c r="W583" s="142"/>
    </row>
    <row r="584" spans="1:23" ht="20.100000000000001" customHeight="1" x14ac:dyDescent="0.25">
      <c r="A584" s="401"/>
      <c r="B584" s="402"/>
      <c r="C584" s="403"/>
      <c r="D584" s="403"/>
      <c r="E584" s="403"/>
      <c r="F584" s="404"/>
      <c r="G584" s="184" t="s">
        <v>719</v>
      </c>
      <c r="H584" s="143" t="s">
        <v>720</v>
      </c>
      <c r="I584" s="70" t="s">
        <v>721</v>
      </c>
      <c r="J584" s="143">
        <v>1</v>
      </c>
      <c r="K584" s="143"/>
      <c r="L584" s="142"/>
      <c r="M584" s="142"/>
      <c r="N584" s="142"/>
      <c r="O584" s="217"/>
      <c r="P584" s="143"/>
      <c r="Q584" s="282"/>
      <c r="R584" s="265"/>
      <c r="S584" s="142"/>
      <c r="T584" s="149"/>
      <c r="U584" s="142"/>
      <c r="V584" s="142"/>
      <c r="W584" s="142"/>
    </row>
    <row r="585" spans="1:23" ht="20.100000000000001" customHeight="1" x14ac:dyDescent="0.25">
      <c r="A585" s="401"/>
      <c r="B585" s="402"/>
      <c r="C585" s="403"/>
      <c r="D585" s="403"/>
      <c r="E585" s="403"/>
      <c r="F585" s="404"/>
      <c r="G585" s="184" t="s">
        <v>708</v>
      </c>
      <c r="H585" s="151" t="s">
        <v>709</v>
      </c>
      <c r="I585" s="70" t="s">
        <v>710</v>
      </c>
      <c r="J585" s="151">
        <v>0.4</v>
      </c>
      <c r="K585" s="143"/>
      <c r="L585" s="142"/>
      <c r="M585" s="143"/>
      <c r="N585" s="143"/>
      <c r="O585" s="153"/>
      <c r="P585" s="143"/>
      <c r="Q585" s="282"/>
      <c r="R585" s="265"/>
      <c r="S585" s="149"/>
      <c r="T585" s="149"/>
      <c r="U585" s="149"/>
      <c r="V585" s="142"/>
      <c r="W585" s="142"/>
    </row>
    <row r="586" spans="1:23" ht="20.100000000000001" customHeight="1" x14ac:dyDescent="0.25">
      <c r="A586" s="401"/>
      <c r="B586" s="402"/>
      <c r="C586" s="403"/>
      <c r="D586" s="403"/>
      <c r="E586" s="403"/>
      <c r="F586" s="404"/>
      <c r="G586" s="1663" t="s">
        <v>1988</v>
      </c>
      <c r="H586" s="1663"/>
      <c r="I586" s="1663"/>
      <c r="J586" s="1663"/>
      <c r="K586" s="1663"/>
      <c r="L586" s="1664"/>
      <c r="M586" s="143"/>
      <c r="N586" s="143"/>
      <c r="O586" s="184"/>
      <c r="P586" s="143"/>
      <c r="Q586" s="282"/>
      <c r="R586" s="1681"/>
      <c r="S586" s="1681"/>
      <c r="T586" s="1681"/>
      <c r="U586" s="1681"/>
      <c r="V586" s="1681"/>
      <c r="W586" s="1408"/>
    </row>
    <row r="587" spans="1:23" ht="20.100000000000001" customHeight="1" x14ac:dyDescent="0.25">
      <c r="A587" s="401"/>
      <c r="B587" s="402"/>
      <c r="C587" s="403"/>
      <c r="D587" s="403"/>
      <c r="E587" s="403"/>
      <c r="F587" s="404"/>
      <c r="G587" s="66" t="s">
        <v>700</v>
      </c>
      <c r="H587" s="2" t="s">
        <v>701</v>
      </c>
      <c r="I587" s="70" t="s">
        <v>702</v>
      </c>
      <c r="J587" s="2">
        <v>5.8000000000000003E-2</v>
      </c>
      <c r="K587" s="42"/>
      <c r="L587" s="72"/>
      <c r="M587" s="143" t="s">
        <v>711</v>
      </c>
      <c r="N587" s="143" t="s">
        <v>712</v>
      </c>
      <c r="O587" s="143">
        <v>0.03</v>
      </c>
      <c r="P587" s="143"/>
      <c r="Q587" s="282"/>
      <c r="R587" s="265"/>
      <c r="S587" s="142"/>
      <c r="T587" s="149"/>
      <c r="U587" s="142"/>
      <c r="V587" s="72"/>
      <c r="W587" s="72"/>
    </row>
    <row r="588" spans="1:23" ht="49.5" customHeight="1" x14ac:dyDescent="0.25">
      <c r="A588" s="401"/>
      <c r="B588" s="402"/>
      <c r="C588" s="403"/>
      <c r="D588" s="403"/>
      <c r="E588" s="403"/>
      <c r="F588" s="404"/>
      <c r="G588" s="1663" t="s">
        <v>1987</v>
      </c>
      <c r="H588" s="1663"/>
      <c r="I588" s="1663"/>
      <c r="J588" s="1663"/>
      <c r="K588" s="1663"/>
      <c r="L588" s="1664"/>
      <c r="M588" s="143" t="s">
        <v>3240</v>
      </c>
      <c r="N588" s="143" t="s">
        <v>3241</v>
      </c>
      <c r="O588" s="143">
        <v>0.75</v>
      </c>
      <c r="P588" s="143"/>
      <c r="Q588" s="282"/>
      <c r="R588" s="1681"/>
      <c r="S588" s="1681"/>
      <c r="T588" s="1681"/>
      <c r="U588" s="1681"/>
      <c r="V588" s="1681"/>
      <c r="W588" s="1408"/>
    </row>
    <row r="589" spans="1:23" ht="37.5" customHeight="1" x14ac:dyDescent="0.25">
      <c r="A589" s="401"/>
      <c r="B589" s="402"/>
      <c r="C589" s="403"/>
      <c r="D589" s="403"/>
      <c r="E589" s="403"/>
      <c r="F589" s="404"/>
      <c r="G589" s="271" t="s">
        <v>703</v>
      </c>
      <c r="H589" s="72" t="s">
        <v>704</v>
      </c>
      <c r="I589" s="70" t="s">
        <v>705</v>
      </c>
      <c r="J589" s="42">
        <v>0.36</v>
      </c>
      <c r="K589" s="143"/>
      <c r="L589" s="142"/>
      <c r="M589" s="143"/>
      <c r="N589" s="143"/>
      <c r="O589" s="143"/>
      <c r="P589" s="143"/>
      <c r="Q589" s="282"/>
      <c r="R589" s="271"/>
      <c r="S589" s="72"/>
      <c r="T589" s="149"/>
      <c r="U589" s="72"/>
      <c r="V589" s="142"/>
      <c r="W589" s="142"/>
    </row>
    <row r="590" spans="1:23" ht="20.100000000000001" customHeight="1" x14ac:dyDescent="0.25">
      <c r="A590" s="401"/>
      <c r="B590" s="402"/>
      <c r="C590" s="403"/>
      <c r="D590" s="403"/>
      <c r="E590" s="403"/>
      <c r="F590" s="404"/>
      <c r="G590" s="265" t="s">
        <v>703</v>
      </c>
      <c r="H590" s="142" t="s">
        <v>704</v>
      </c>
      <c r="I590" s="70" t="s">
        <v>725</v>
      </c>
      <c r="J590" s="143">
        <v>0.14499999999999999</v>
      </c>
      <c r="K590" s="143"/>
      <c r="L590" s="142"/>
      <c r="M590" s="143"/>
      <c r="N590" s="143"/>
      <c r="O590" s="143"/>
      <c r="P590" s="143"/>
      <c r="Q590" s="282"/>
      <c r="R590" s="265"/>
      <c r="S590" s="142"/>
      <c r="T590" s="149"/>
      <c r="U590" s="142"/>
      <c r="V590" s="142"/>
      <c r="W590" s="142"/>
    </row>
    <row r="591" spans="1:23" ht="20.100000000000001" customHeight="1" x14ac:dyDescent="0.25">
      <c r="A591" s="401"/>
      <c r="B591" s="402"/>
      <c r="C591" s="403"/>
      <c r="D591" s="403"/>
      <c r="E591" s="403"/>
      <c r="F591" s="404"/>
      <c r="G591" s="1663" t="s">
        <v>2061</v>
      </c>
      <c r="H591" s="1663"/>
      <c r="I591" s="1663"/>
      <c r="J591" s="1663"/>
      <c r="K591" s="1663"/>
      <c r="L591" s="1664"/>
      <c r="M591" s="143"/>
      <c r="N591" s="143"/>
      <c r="O591" s="151"/>
      <c r="P591" s="151"/>
      <c r="Q591" s="285"/>
      <c r="R591" s="1680"/>
      <c r="S591" s="1681"/>
      <c r="T591" s="1681"/>
      <c r="U591" s="1681"/>
      <c r="V591" s="1681"/>
      <c r="W591" s="1408"/>
    </row>
    <row r="592" spans="1:23" ht="43.5" customHeight="1" x14ac:dyDescent="0.25">
      <c r="A592" s="401"/>
      <c r="B592" s="402"/>
      <c r="C592" s="403"/>
      <c r="D592" s="403"/>
      <c r="E592" s="403"/>
      <c r="F592" s="404"/>
      <c r="G592" s="261" t="s">
        <v>706</v>
      </c>
      <c r="H592" s="159" t="s">
        <v>707</v>
      </c>
      <c r="I592" s="654" t="s">
        <v>2357</v>
      </c>
      <c r="J592" s="159">
        <v>7.4999999999999997E-2</v>
      </c>
      <c r="K592" s="159"/>
      <c r="L592" s="157"/>
      <c r="M592" s="151"/>
      <c r="N592" s="151"/>
      <c r="O592" s="151"/>
      <c r="P592" s="151"/>
      <c r="Q592" s="285"/>
      <c r="R592" s="271"/>
      <c r="S592" s="157"/>
      <c r="T592" s="655"/>
      <c r="U592" s="157"/>
      <c r="V592" s="157"/>
      <c r="W592" s="157"/>
    </row>
    <row r="593" spans="1:23" ht="18.75" customHeight="1" x14ac:dyDescent="0.25">
      <c r="A593" s="629"/>
      <c r="B593" s="631"/>
      <c r="C593" s="632"/>
      <c r="D593" s="632"/>
      <c r="E593" s="632"/>
      <c r="F593" s="628"/>
      <c r="G593" s="1663" t="s">
        <v>2512</v>
      </c>
      <c r="H593" s="1663"/>
      <c r="I593" s="1663"/>
      <c r="J593" s="1663"/>
      <c r="K593" s="1663"/>
      <c r="L593" s="1664"/>
      <c r="M593" s="143"/>
      <c r="N593" s="143"/>
      <c r="O593" s="143"/>
      <c r="P593" s="143"/>
      <c r="Q593" s="285"/>
      <c r="R593" s="86"/>
      <c r="S593" s="142"/>
      <c r="T593" s="216"/>
      <c r="U593" s="142"/>
      <c r="V593" s="142"/>
      <c r="W593" s="142"/>
    </row>
    <row r="594" spans="1:23" ht="43.5" customHeight="1" x14ac:dyDescent="0.25">
      <c r="A594" s="629"/>
      <c r="B594" s="631"/>
      <c r="C594" s="632"/>
      <c r="D594" s="632"/>
      <c r="E594" s="632"/>
      <c r="F594" s="628"/>
      <c r="G594" s="143" t="s">
        <v>2564</v>
      </c>
      <c r="H594" s="143" t="s">
        <v>2565</v>
      </c>
      <c r="I594" s="215" t="s">
        <v>2585</v>
      </c>
      <c r="J594" s="143">
        <v>1.7250000000000001</v>
      </c>
      <c r="K594" s="143"/>
      <c r="L594" s="142"/>
      <c r="M594" s="143"/>
      <c r="N594" s="143"/>
      <c r="O594" s="143"/>
      <c r="P594" s="143"/>
      <c r="Q594" s="285"/>
      <c r="R594" s="86"/>
      <c r="S594" s="142"/>
      <c r="T594" s="216"/>
      <c r="U594" s="142"/>
      <c r="V594" s="142"/>
      <c r="W594" s="142"/>
    </row>
    <row r="595" spans="1:23" ht="20.100000000000001" customHeight="1" thickBot="1" x14ac:dyDescent="0.3">
      <c r="A595" s="405"/>
      <c r="B595" s="394"/>
      <c r="C595" s="395"/>
      <c r="D595" s="395"/>
      <c r="E595" s="395"/>
      <c r="F595" s="396"/>
      <c r="G595" s="1555" t="s">
        <v>1860</v>
      </c>
      <c r="H595" s="1555"/>
      <c r="I595" s="1556"/>
      <c r="J595" s="136">
        <f>SUM(J594)</f>
        <v>1.7250000000000001</v>
      </c>
      <c r="K595" s="183">
        <v>0.8</v>
      </c>
      <c r="L595" s="136">
        <f>J595/K595</f>
        <v>2.15625</v>
      </c>
      <c r="M595" s="1574" t="s">
        <v>1861</v>
      </c>
      <c r="N595" s="1556"/>
      <c r="O595" s="136">
        <f>SUM(O580:O590)</f>
        <v>0.79500000000000004</v>
      </c>
      <c r="P595" s="183">
        <v>0.8</v>
      </c>
      <c r="Q595" s="273">
        <f>O595/P595</f>
        <v>0.99375000000000002</v>
      </c>
      <c r="R595" s="1555" t="s">
        <v>1860</v>
      </c>
      <c r="S595" s="1555"/>
      <c r="T595" s="1556"/>
      <c r="U595" s="136">
        <f>SUM(U587,U589:U592)</f>
        <v>0</v>
      </c>
      <c r="V595" s="183">
        <v>0.8</v>
      </c>
      <c r="W595" s="136">
        <f>U595/V595</f>
        <v>0</v>
      </c>
    </row>
    <row r="596" spans="1:23" s="67" customFormat="1" ht="20.100000000000001" customHeight="1" x14ac:dyDescent="0.25">
      <c r="A596" s="1683" t="str">
        <f>'Расчет ЦП - общая форма'!C347</f>
        <v xml:space="preserve">ПС 35/6 кВ №18  </v>
      </c>
      <c r="B596" s="1551">
        <f>'Расчет ЦП - общая форма'!D347</f>
        <v>10</v>
      </c>
      <c r="C596" s="1552" t="str">
        <f>'Расчет ЦП - общая форма'!E347</f>
        <v>+</v>
      </c>
      <c r="D596" s="1552">
        <f>'Расчет ЦП - общая форма'!F347</f>
        <v>10</v>
      </c>
      <c r="E596" s="1552" t="str">
        <f>'Расчет ЦП - общая форма'!G347</f>
        <v>+</v>
      </c>
      <c r="F596" s="1502">
        <f>'Расчет ЦП - общая форма'!H347</f>
        <v>10</v>
      </c>
      <c r="G596" s="1720" t="s">
        <v>1988</v>
      </c>
      <c r="H596" s="1720"/>
      <c r="I596" s="1720"/>
      <c r="J596" s="1720"/>
      <c r="K596" s="1720"/>
      <c r="L596" s="1688"/>
      <c r="M596" s="55"/>
      <c r="N596" s="200"/>
      <c r="O596" s="157"/>
      <c r="P596" s="157"/>
      <c r="Q596" s="157"/>
      <c r="R596" s="1728"/>
      <c r="S596" s="1729"/>
      <c r="T596" s="1729"/>
      <c r="U596" s="1729"/>
      <c r="V596" s="1729"/>
      <c r="W596" s="1697"/>
    </row>
    <row r="597" spans="1:23" ht="45.75" customHeight="1" x14ac:dyDescent="0.25">
      <c r="A597" s="1540"/>
      <c r="B597" s="1501"/>
      <c r="C597" s="1553"/>
      <c r="D597" s="1553"/>
      <c r="E597" s="1553"/>
      <c r="F597" s="1503"/>
      <c r="G597" s="66" t="s">
        <v>306</v>
      </c>
      <c r="H597" s="2" t="s">
        <v>307</v>
      </c>
      <c r="I597" s="2" t="s">
        <v>308</v>
      </c>
      <c r="J597" s="2">
        <v>5.5E-2</v>
      </c>
      <c r="K597" s="2"/>
      <c r="L597" s="142"/>
      <c r="M597" s="2" t="s">
        <v>309</v>
      </c>
      <c r="N597" s="2" t="s">
        <v>310</v>
      </c>
      <c r="O597" s="143">
        <v>0.55000000000000004</v>
      </c>
      <c r="P597" s="143"/>
      <c r="Q597" s="143"/>
      <c r="R597" s="142"/>
      <c r="S597" s="142"/>
      <c r="T597" s="142"/>
      <c r="U597" s="142"/>
      <c r="V597" s="142"/>
      <c r="W597" s="142"/>
    </row>
    <row r="598" spans="1:23" ht="20.100000000000001" customHeight="1" x14ac:dyDescent="0.25">
      <c r="A598" s="1540"/>
      <c r="B598" s="1501"/>
      <c r="C598" s="1553"/>
      <c r="D598" s="1553"/>
      <c r="E598" s="1553"/>
      <c r="F598" s="1503"/>
      <c r="G598" s="66"/>
      <c r="H598" s="2"/>
      <c r="I598" s="2"/>
      <c r="J598" s="2"/>
      <c r="K598" s="2"/>
      <c r="L598" s="142"/>
      <c r="M598" s="2" t="s">
        <v>312</v>
      </c>
      <c r="N598" s="2" t="s">
        <v>313</v>
      </c>
      <c r="O598" s="143">
        <v>0.48</v>
      </c>
      <c r="P598" s="143"/>
      <c r="Q598" s="143"/>
      <c r="R598" s="142"/>
      <c r="S598" s="142"/>
      <c r="T598" s="142"/>
      <c r="U598" s="142"/>
      <c r="V598" s="142"/>
      <c r="W598" s="142"/>
    </row>
    <row r="599" spans="1:23" ht="20.100000000000001" customHeight="1" x14ac:dyDescent="0.25">
      <c r="A599" s="1540"/>
      <c r="B599" s="1501"/>
      <c r="C599" s="1553"/>
      <c r="D599" s="1553"/>
      <c r="E599" s="1553"/>
      <c r="F599" s="1503"/>
      <c r="G599" s="66"/>
      <c r="H599" s="2"/>
      <c r="I599" s="2"/>
      <c r="J599" s="2"/>
      <c r="K599" s="2"/>
      <c r="L599" s="142"/>
      <c r="M599" s="2" t="s">
        <v>314</v>
      </c>
      <c r="N599" s="2" t="s">
        <v>315</v>
      </c>
      <c r="O599" s="143">
        <v>6.7000000000000004E-2</v>
      </c>
      <c r="P599" s="143"/>
      <c r="Q599" s="143"/>
      <c r="R599" s="142"/>
      <c r="S599" s="142"/>
      <c r="T599" s="142"/>
      <c r="U599" s="142"/>
      <c r="V599" s="142"/>
      <c r="W599" s="142"/>
    </row>
    <row r="600" spans="1:23" ht="20.100000000000001" customHeight="1" x14ac:dyDescent="0.25">
      <c r="A600" s="774"/>
      <c r="B600" s="775"/>
      <c r="C600" s="777"/>
      <c r="D600" s="777"/>
      <c r="E600" s="777"/>
      <c r="F600" s="773"/>
      <c r="G600" s="2"/>
      <c r="H600" s="2"/>
      <c r="I600" s="2"/>
      <c r="J600" s="2"/>
      <c r="K600" s="2"/>
      <c r="L600" s="142"/>
      <c r="M600" s="2" t="s">
        <v>2869</v>
      </c>
      <c r="N600" s="2" t="s">
        <v>2870</v>
      </c>
      <c r="O600" s="143">
        <v>0.08</v>
      </c>
      <c r="P600" s="143"/>
      <c r="Q600" s="143"/>
      <c r="R600" s="142"/>
      <c r="S600" s="142"/>
      <c r="T600" s="142"/>
      <c r="U600" s="142"/>
      <c r="V600" s="142"/>
      <c r="W600" s="142"/>
    </row>
    <row r="601" spans="1:23" ht="20.100000000000001" customHeight="1" x14ac:dyDescent="0.25">
      <c r="A601" s="1020"/>
      <c r="B601" s="1021"/>
      <c r="C601" s="1023"/>
      <c r="D601" s="1023"/>
      <c r="E601" s="1023"/>
      <c r="F601" s="1022"/>
      <c r="G601" s="204"/>
      <c r="H601" s="204"/>
      <c r="I601" s="121"/>
      <c r="J601" s="70"/>
      <c r="K601" s="70"/>
      <c r="L601" s="149"/>
      <c r="M601" s="2" t="s">
        <v>2201</v>
      </c>
      <c r="N601" s="2" t="s">
        <v>3111</v>
      </c>
      <c r="O601" s="143">
        <f>0.15-0.05</f>
        <v>9.9999999999999992E-2</v>
      </c>
      <c r="P601" s="151"/>
      <c r="Q601" s="151"/>
      <c r="R601" s="147"/>
      <c r="S601" s="363"/>
      <c r="T601" s="176"/>
      <c r="U601" s="149"/>
      <c r="V601" s="149"/>
      <c r="W601" s="149"/>
    </row>
    <row r="602" spans="1:23" ht="20.100000000000001" customHeight="1" thickBot="1" x14ac:dyDescent="0.3">
      <c r="A602" s="405"/>
      <c r="B602" s="394"/>
      <c r="C602" s="395"/>
      <c r="D602" s="395"/>
      <c r="E602" s="395"/>
      <c r="F602" s="396"/>
      <c r="G602" s="1555" t="s">
        <v>1860</v>
      </c>
      <c r="H602" s="1555"/>
      <c r="I602" s="1556"/>
      <c r="J602" s="136">
        <f>SUM(0)</f>
        <v>0</v>
      </c>
      <c r="K602" s="183">
        <v>0.8</v>
      </c>
      <c r="L602" s="136">
        <f>J602/K602</f>
        <v>0</v>
      </c>
      <c r="M602" s="1574" t="s">
        <v>1861</v>
      </c>
      <c r="N602" s="1556"/>
      <c r="O602" s="136">
        <f>SUM(O597:O601)</f>
        <v>1.2770000000000001</v>
      </c>
      <c r="P602" s="183">
        <v>0.8</v>
      </c>
      <c r="Q602" s="136">
        <f>O602/P602</f>
        <v>1.5962500000000002</v>
      </c>
      <c r="R602" s="1574" t="s">
        <v>1860</v>
      </c>
      <c r="S602" s="1555"/>
      <c r="T602" s="1556"/>
      <c r="U602" s="136">
        <f>SUM(U597:U599)</f>
        <v>0</v>
      </c>
      <c r="V602" s="183">
        <v>0.8</v>
      </c>
      <c r="W602" s="136">
        <f>U602/V602</f>
        <v>0</v>
      </c>
    </row>
    <row r="603" spans="1:23" s="67" customFormat="1" ht="20.100000000000001" customHeight="1" x14ac:dyDescent="0.25">
      <c r="A603" s="1683" t="str">
        <f>'Расчет ЦП - общая форма'!C348</f>
        <v xml:space="preserve">ПС 35/6  кВ Затверецкая </v>
      </c>
      <c r="B603" s="1551">
        <f>'Расчет ЦП - общая форма'!D348</f>
        <v>10</v>
      </c>
      <c r="C603" s="1552" t="str">
        <f>'Расчет ЦП - общая форма'!E348</f>
        <v>+</v>
      </c>
      <c r="D603" s="1552">
        <f>'Расчет ЦП - общая форма'!F348</f>
        <v>10</v>
      </c>
      <c r="E603" s="1552" t="str">
        <f>'Расчет ЦП - общая форма'!G348</f>
        <v>+</v>
      </c>
      <c r="F603" s="1502">
        <f>'Расчет ЦП - общая форма'!H348</f>
        <v>10</v>
      </c>
      <c r="G603" s="1712" t="s">
        <v>1989</v>
      </c>
      <c r="H603" s="1712"/>
      <c r="I603" s="1712"/>
      <c r="J603" s="1712"/>
      <c r="K603" s="1712"/>
      <c r="L603" s="1702"/>
      <c r="M603" s="133"/>
      <c r="N603" s="175"/>
      <c r="O603" s="77"/>
      <c r="P603" s="77"/>
      <c r="Q603" s="77"/>
      <c r="R603" s="1713"/>
      <c r="S603" s="1691"/>
      <c r="T603" s="1691"/>
      <c r="U603" s="1691"/>
      <c r="V603" s="1691"/>
      <c r="W603" s="1692"/>
    </row>
    <row r="604" spans="1:23" s="116" customFormat="1" ht="20.100000000000001" customHeight="1" x14ac:dyDescent="0.25">
      <c r="A604" s="1540"/>
      <c r="B604" s="1501"/>
      <c r="C604" s="1553"/>
      <c r="D604" s="1553"/>
      <c r="E604" s="1553"/>
      <c r="F604" s="1503"/>
      <c r="G604" s="271" t="s">
        <v>316</v>
      </c>
      <c r="H604" s="72" t="s">
        <v>317</v>
      </c>
      <c r="I604" s="72" t="s">
        <v>318</v>
      </c>
      <c r="J604" s="186">
        <v>0.19</v>
      </c>
      <c r="K604" s="42"/>
      <c r="L604" s="72"/>
      <c r="M604" s="42" t="s">
        <v>319</v>
      </c>
      <c r="N604" s="42" t="s">
        <v>320</v>
      </c>
      <c r="O604" s="159">
        <v>0.05</v>
      </c>
      <c r="P604" s="42"/>
      <c r="Q604" s="42"/>
      <c r="R604" s="72"/>
      <c r="S604" s="72"/>
      <c r="T604" s="72"/>
      <c r="U604" s="376"/>
      <c r="V604" s="72"/>
      <c r="W604" s="72"/>
    </row>
    <row r="605" spans="1:23" ht="20.100000000000001" customHeight="1" x14ac:dyDescent="0.25">
      <c r="A605" s="1540"/>
      <c r="B605" s="1501"/>
      <c r="C605" s="1553"/>
      <c r="D605" s="1553"/>
      <c r="E605" s="1553"/>
      <c r="F605" s="1503"/>
      <c r="G605" s="265" t="s">
        <v>321</v>
      </c>
      <c r="H605" s="142" t="s">
        <v>322</v>
      </c>
      <c r="I605" s="142" t="s">
        <v>323</v>
      </c>
      <c r="J605" s="6">
        <v>0.3</v>
      </c>
      <c r="K605" s="143"/>
      <c r="L605" s="142"/>
      <c r="M605" s="143" t="s">
        <v>1071</v>
      </c>
      <c r="N605" s="143" t="s">
        <v>324</v>
      </c>
      <c r="O605" s="143">
        <v>0.6</v>
      </c>
      <c r="P605" s="143"/>
      <c r="Q605" s="143"/>
      <c r="R605" s="142"/>
      <c r="S605" s="142"/>
      <c r="T605" s="142"/>
      <c r="U605" s="26"/>
      <c r="V605" s="142"/>
      <c r="W605" s="142"/>
    </row>
    <row r="606" spans="1:23" ht="20.100000000000001" customHeight="1" x14ac:dyDescent="0.25">
      <c r="A606" s="410"/>
      <c r="B606" s="569"/>
      <c r="C606" s="571"/>
      <c r="D606" s="571"/>
      <c r="E606" s="571"/>
      <c r="F606" s="572"/>
      <c r="G606" s="265" t="s">
        <v>325</v>
      </c>
      <c r="H606" s="142" t="s">
        <v>326</v>
      </c>
      <c r="I606" s="142" t="s">
        <v>327</v>
      </c>
      <c r="J606" s="46">
        <v>7.1999999999999995E-2</v>
      </c>
      <c r="K606" s="142"/>
      <c r="L606" s="142"/>
      <c r="M606" s="142" t="s">
        <v>80</v>
      </c>
      <c r="N606" s="142" t="s">
        <v>81</v>
      </c>
      <c r="O606" s="143">
        <v>0.6</v>
      </c>
      <c r="P606" s="143"/>
      <c r="Q606" s="143"/>
      <c r="R606" s="142"/>
      <c r="S606" s="142"/>
      <c r="T606" s="142"/>
      <c r="U606" s="46"/>
      <c r="V606" s="142"/>
      <c r="W606" s="142"/>
    </row>
    <row r="607" spans="1:23" ht="20.100000000000001" customHeight="1" x14ac:dyDescent="0.25">
      <c r="A607" s="410"/>
      <c r="B607" s="569"/>
      <c r="C607" s="571"/>
      <c r="D607" s="571"/>
      <c r="E607" s="571"/>
      <c r="F607" s="572"/>
      <c r="G607" s="265" t="s">
        <v>82</v>
      </c>
      <c r="H607" s="142" t="s">
        <v>328</v>
      </c>
      <c r="I607" s="142" t="s">
        <v>329</v>
      </c>
      <c r="J607" s="142">
        <v>1.7999999999999999E-2</v>
      </c>
      <c r="K607" s="142"/>
      <c r="L607" s="142"/>
      <c r="M607" s="143" t="s">
        <v>330</v>
      </c>
      <c r="N607" s="143" t="s">
        <v>83</v>
      </c>
      <c r="O607" s="143">
        <v>0.01</v>
      </c>
      <c r="P607" s="143"/>
      <c r="Q607" s="143"/>
      <c r="R607" s="142"/>
      <c r="S607" s="142"/>
      <c r="T607" s="142"/>
      <c r="U607" s="142"/>
      <c r="V607" s="142"/>
      <c r="W607" s="142"/>
    </row>
    <row r="608" spans="1:23" ht="20.100000000000001" customHeight="1" x14ac:dyDescent="0.25">
      <c r="A608" s="410"/>
      <c r="B608" s="569"/>
      <c r="C608" s="571"/>
      <c r="D608" s="571"/>
      <c r="E608" s="571"/>
      <c r="F608" s="572"/>
      <c r="G608" s="1663" t="s">
        <v>1988</v>
      </c>
      <c r="H608" s="1663"/>
      <c r="I608" s="1663"/>
      <c r="J608" s="1663"/>
      <c r="K608" s="1663"/>
      <c r="L608" s="1664"/>
      <c r="M608" s="143"/>
      <c r="N608" s="143"/>
      <c r="O608" s="143"/>
      <c r="P608" s="143"/>
      <c r="Q608" s="143"/>
      <c r="R608" s="1680"/>
      <c r="S608" s="1681"/>
      <c r="T608" s="1681"/>
      <c r="U608" s="1681"/>
      <c r="V608" s="1681"/>
      <c r="W608" s="1408"/>
    </row>
    <row r="609" spans="1:23" ht="48.75" customHeight="1" x14ac:dyDescent="0.25">
      <c r="A609" s="410"/>
      <c r="B609" s="569"/>
      <c r="C609" s="571"/>
      <c r="D609" s="571"/>
      <c r="E609" s="571"/>
      <c r="F609" s="572"/>
      <c r="G609" s="184" t="s">
        <v>84</v>
      </c>
      <c r="H609" s="143" t="s">
        <v>85</v>
      </c>
      <c r="I609" s="142" t="s">
        <v>2382</v>
      </c>
      <c r="J609" s="143">
        <v>0.1</v>
      </c>
      <c r="K609" s="143"/>
      <c r="L609" s="142"/>
      <c r="M609" s="143" t="s">
        <v>86</v>
      </c>
      <c r="N609" s="143" t="s">
        <v>87</v>
      </c>
      <c r="O609" s="143">
        <v>0.05</v>
      </c>
      <c r="P609" s="143"/>
      <c r="Q609" s="143"/>
      <c r="R609" s="142"/>
      <c r="S609" s="142"/>
      <c r="T609" s="142"/>
      <c r="U609" s="142"/>
      <c r="V609" s="142"/>
      <c r="W609" s="142"/>
    </row>
    <row r="610" spans="1:23" ht="20.100000000000001" customHeight="1" x14ac:dyDescent="0.25">
      <c r="A610" s="410"/>
      <c r="B610" s="569"/>
      <c r="C610" s="571"/>
      <c r="D610" s="571"/>
      <c r="E610" s="571"/>
      <c r="F610" s="572"/>
      <c r="G610" s="1663" t="s">
        <v>1987</v>
      </c>
      <c r="H610" s="1663"/>
      <c r="I610" s="1663"/>
      <c r="J610" s="1663"/>
      <c r="K610" s="1663"/>
      <c r="L610" s="1664"/>
      <c r="M610" s="143"/>
      <c r="N610" s="143"/>
      <c r="O610" s="143"/>
      <c r="P610" s="143"/>
      <c r="Q610" s="143"/>
      <c r="R610" s="1680"/>
      <c r="S610" s="1681"/>
      <c r="T610" s="1681"/>
      <c r="U610" s="1681"/>
      <c r="V610" s="1681"/>
      <c r="W610" s="1408"/>
    </row>
    <row r="611" spans="1:23" ht="20.100000000000001" customHeight="1" x14ac:dyDescent="0.25">
      <c r="A611" s="410"/>
      <c r="B611" s="569"/>
      <c r="C611" s="571"/>
      <c r="D611" s="571"/>
      <c r="E611" s="571"/>
      <c r="F611" s="572"/>
      <c r="G611" s="265" t="s">
        <v>88</v>
      </c>
      <c r="H611" s="142" t="s">
        <v>89</v>
      </c>
      <c r="I611" s="142" t="s">
        <v>90</v>
      </c>
      <c r="J611" s="143">
        <v>7.0000000000000007E-2</v>
      </c>
      <c r="K611" s="143"/>
      <c r="L611" s="142"/>
      <c r="M611" s="143" t="s">
        <v>337</v>
      </c>
      <c r="N611" s="143" t="s">
        <v>338</v>
      </c>
      <c r="O611" s="143">
        <v>0.2</v>
      </c>
      <c r="P611" s="143"/>
      <c r="Q611" s="143"/>
      <c r="R611" s="142"/>
      <c r="S611" s="142"/>
      <c r="T611" s="142"/>
      <c r="U611" s="142"/>
      <c r="V611" s="142"/>
      <c r="W611" s="142"/>
    </row>
    <row r="612" spans="1:23" ht="72.75" customHeight="1" x14ac:dyDescent="0.25">
      <c r="A612" s="410"/>
      <c r="B612" s="569"/>
      <c r="C612" s="571"/>
      <c r="D612" s="571"/>
      <c r="E612" s="571"/>
      <c r="F612" s="572"/>
      <c r="G612" s="265" t="s">
        <v>339</v>
      </c>
      <c r="H612" s="142" t="s">
        <v>340</v>
      </c>
      <c r="I612" s="215" t="s">
        <v>2334</v>
      </c>
      <c r="J612" s="143">
        <v>0.1</v>
      </c>
      <c r="K612" s="143"/>
      <c r="L612" s="142"/>
      <c r="M612" s="143"/>
      <c r="N612" s="143"/>
      <c r="O612" s="143"/>
      <c r="P612" s="143"/>
      <c r="Q612" s="143"/>
      <c r="R612" s="142"/>
      <c r="S612" s="142"/>
      <c r="T612" s="216"/>
      <c r="U612" s="142"/>
      <c r="V612" s="142"/>
      <c r="W612" s="142"/>
    </row>
    <row r="613" spans="1:23" ht="21" customHeight="1" x14ac:dyDescent="0.25">
      <c r="A613" s="410"/>
      <c r="B613" s="569"/>
      <c r="C613" s="571"/>
      <c r="D613" s="571"/>
      <c r="E613" s="571"/>
      <c r="F613" s="572"/>
      <c r="G613" s="1663" t="s">
        <v>2061</v>
      </c>
      <c r="H613" s="1663"/>
      <c r="I613" s="1663"/>
      <c r="J613" s="1663"/>
      <c r="K613" s="1663"/>
      <c r="L613" s="1664"/>
      <c r="M613" s="143"/>
      <c r="N613" s="143"/>
      <c r="O613" s="143"/>
      <c r="P613" s="143"/>
      <c r="Q613" s="143"/>
      <c r="R613" s="1680"/>
      <c r="S613" s="1681"/>
      <c r="T613" s="1681"/>
      <c r="U613" s="1681"/>
      <c r="V613" s="1681"/>
      <c r="W613" s="1408"/>
    </row>
    <row r="614" spans="1:23" ht="73.5" customHeight="1" x14ac:dyDescent="0.25">
      <c r="A614" s="410"/>
      <c r="B614" s="569"/>
      <c r="C614" s="571"/>
      <c r="D614" s="571"/>
      <c r="E614" s="571"/>
      <c r="F614" s="572"/>
      <c r="G614" s="184" t="s">
        <v>343</v>
      </c>
      <c r="H614" s="143" t="s">
        <v>344</v>
      </c>
      <c r="I614" s="215" t="s">
        <v>2249</v>
      </c>
      <c r="J614" s="143">
        <v>0.5</v>
      </c>
      <c r="K614" s="143"/>
      <c r="L614" s="142"/>
      <c r="M614" s="143" t="s">
        <v>341</v>
      </c>
      <c r="N614" s="143" t="s">
        <v>342</v>
      </c>
      <c r="O614" s="143">
        <v>0.05</v>
      </c>
      <c r="P614" s="143"/>
      <c r="Q614" s="143"/>
      <c r="R614" s="142"/>
      <c r="S614" s="142"/>
      <c r="T614" s="216"/>
      <c r="U614" s="142"/>
      <c r="V614" s="142"/>
      <c r="W614" s="142"/>
    </row>
    <row r="615" spans="1:23" ht="20.100000000000001" customHeight="1" x14ac:dyDescent="0.25">
      <c r="A615" s="410"/>
      <c r="B615" s="569"/>
      <c r="C615" s="571"/>
      <c r="D615" s="571"/>
      <c r="E615" s="571"/>
      <c r="F615" s="572"/>
      <c r="G615" s="1663" t="s">
        <v>2512</v>
      </c>
      <c r="H615" s="1663"/>
      <c r="I615" s="1663"/>
      <c r="J615" s="1663"/>
      <c r="K615" s="1663"/>
      <c r="L615" s="1664"/>
      <c r="M615" s="143" t="s">
        <v>345</v>
      </c>
      <c r="N615" s="143" t="s">
        <v>346</v>
      </c>
      <c r="O615" s="143">
        <v>3.5000000000000003E-2</v>
      </c>
      <c r="P615" s="143"/>
      <c r="Q615" s="143"/>
      <c r="R615" s="142"/>
      <c r="S615" s="142"/>
      <c r="T615" s="142"/>
      <c r="U615" s="142"/>
      <c r="V615" s="142"/>
      <c r="W615" s="142"/>
    </row>
    <row r="616" spans="1:23" ht="20.100000000000001" customHeight="1" x14ac:dyDescent="0.25">
      <c r="A616" s="410"/>
      <c r="B616" s="569"/>
      <c r="C616" s="571"/>
      <c r="D616" s="571"/>
      <c r="E616" s="571"/>
      <c r="F616" s="572"/>
      <c r="G616" s="143" t="s">
        <v>2759</v>
      </c>
      <c r="H616" s="143" t="s">
        <v>2829</v>
      </c>
      <c r="I616" s="143" t="s">
        <v>2967</v>
      </c>
      <c r="J616" s="143">
        <v>2.2999999999999998</v>
      </c>
      <c r="K616" s="143"/>
      <c r="L616" s="142"/>
      <c r="M616" s="143" t="s">
        <v>347</v>
      </c>
      <c r="N616" s="143" t="s">
        <v>348</v>
      </c>
      <c r="O616" s="143">
        <v>0.20799999999999999</v>
      </c>
      <c r="P616" s="143"/>
      <c r="Q616" s="143"/>
      <c r="R616" s="142"/>
      <c r="S616" s="142"/>
      <c r="T616" s="142"/>
      <c r="U616" s="142"/>
      <c r="V616" s="142"/>
      <c r="W616" s="142"/>
    </row>
    <row r="617" spans="1:23" ht="20.100000000000001" customHeight="1" x14ac:dyDescent="0.25">
      <c r="A617" s="410"/>
      <c r="B617" s="569"/>
      <c r="C617" s="571"/>
      <c r="D617" s="571"/>
      <c r="E617" s="571"/>
      <c r="F617" s="572"/>
      <c r="G617" s="143" t="s">
        <v>2984</v>
      </c>
      <c r="H617" s="143" t="s">
        <v>3042</v>
      </c>
      <c r="I617" s="143" t="s">
        <v>3055</v>
      </c>
      <c r="J617" s="6">
        <f>0.1-0.02</f>
        <v>0.08</v>
      </c>
      <c r="K617" s="143"/>
      <c r="L617" s="142"/>
      <c r="M617" s="143" t="s">
        <v>2201</v>
      </c>
      <c r="N617" s="143" t="s">
        <v>2608</v>
      </c>
      <c r="O617" s="143">
        <v>0.06</v>
      </c>
      <c r="P617" s="143"/>
      <c r="Q617" s="143"/>
      <c r="R617" s="142"/>
      <c r="S617" s="142"/>
      <c r="T617" s="142"/>
      <c r="U617" s="142"/>
      <c r="V617" s="142"/>
      <c r="W617" s="142"/>
    </row>
    <row r="618" spans="1:23" ht="20.100000000000001" customHeight="1" x14ac:dyDescent="0.25">
      <c r="A618" s="410"/>
      <c r="B618" s="569"/>
      <c r="C618" s="571"/>
      <c r="D618" s="571"/>
      <c r="E618" s="571"/>
      <c r="F618" s="572"/>
      <c r="G618" s="1663" t="s">
        <v>3069</v>
      </c>
      <c r="H618" s="1663"/>
      <c r="I618" s="1663"/>
      <c r="J618" s="1663"/>
      <c r="K618" s="1663"/>
      <c r="L618" s="1664"/>
      <c r="M618" s="143" t="s">
        <v>3105</v>
      </c>
      <c r="N618" s="143" t="s">
        <v>3106</v>
      </c>
      <c r="O618" s="6">
        <v>0.65</v>
      </c>
      <c r="P618" s="143"/>
      <c r="Q618" s="143"/>
      <c r="R618" s="142"/>
      <c r="S618" s="142"/>
      <c r="T618" s="142"/>
      <c r="U618" s="142"/>
      <c r="V618" s="142"/>
      <c r="W618" s="142"/>
    </row>
    <row r="619" spans="1:23" ht="20.100000000000001" customHeight="1" x14ac:dyDescent="0.25">
      <c r="A619" s="410"/>
      <c r="B619" s="569"/>
      <c r="C619" s="571"/>
      <c r="D619" s="571"/>
      <c r="E619" s="571"/>
      <c r="F619" s="572"/>
      <c r="G619" s="143" t="s">
        <v>3010</v>
      </c>
      <c r="H619" s="143" t="s">
        <v>3011</v>
      </c>
      <c r="I619" s="143" t="s">
        <v>3093</v>
      </c>
      <c r="J619" s="6">
        <v>2.5000000000000001E-2</v>
      </c>
      <c r="K619" s="143"/>
      <c r="L619" s="142"/>
      <c r="M619" s="143" t="s">
        <v>3371</v>
      </c>
      <c r="N619" s="143" t="s">
        <v>3372</v>
      </c>
      <c r="O619" s="6">
        <v>0.2</v>
      </c>
      <c r="P619" s="143"/>
      <c r="Q619" s="143"/>
      <c r="R619" s="142"/>
      <c r="S619" s="142"/>
      <c r="T619" s="142"/>
      <c r="U619" s="142"/>
      <c r="V619" s="142"/>
      <c r="W619" s="142"/>
    </row>
    <row r="620" spans="1:23" ht="20.100000000000001" customHeight="1" x14ac:dyDescent="0.25">
      <c r="A620" s="410"/>
      <c r="B620" s="569"/>
      <c r="C620" s="571"/>
      <c r="D620" s="571"/>
      <c r="E620" s="571"/>
      <c r="F620" s="572"/>
      <c r="G620" s="143" t="s">
        <v>3249</v>
      </c>
      <c r="H620" s="143" t="s">
        <v>3250</v>
      </c>
      <c r="I620" s="215" t="s">
        <v>3298</v>
      </c>
      <c r="J620" s="6">
        <f>0.5-0.1</f>
        <v>0.4</v>
      </c>
      <c r="K620" s="151"/>
      <c r="L620" s="149"/>
      <c r="M620" s="143"/>
      <c r="N620" s="143"/>
      <c r="O620" s="6"/>
      <c r="P620" s="143"/>
      <c r="Q620" s="151"/>
      <c r="R620" s="147"/>
      <c r="S620" s="363"/>
      <c r="T620" s="176"/>
      <c r="U620" s="149"/>
      <c r="V620" s="149"/>
      <c r="W620" s="149"/>
    </row>
    <row r="621" spans="1:23" ht="20.100000000000001" customHeight="1" thickBot="1" x14ac:dyDescent="0.3">
      <c r="A621" s="405"/>
      <c r="B621" s="575"/>
      <c r="C621" s="576"/>
      <c r="D621" s="576"/>
      <c r="E621" s="576"/>
      <c r="F621" s="577"/>
      <c r="G621" s="1555" t="s">
        <v>1860</v>
      </c>
      <c r="H621" s="1555"/>
      <c r="I621" s="1556"/>
      <c r="J621" s="136">
        <f>SUM(J616:J620)</f>
        <v>2.8049999999999997</v>
      </c>
      <c r="K621" s="183">
        <v>0.8</v>
      </c>
      <c r="L621" s="136">
        <f>J621/K621</f>
        <v>3.5062499999999996</v>
      </c>
      <c r="M621" s="1574" t="s">
        <v>1861</v>
      </c>
      <c r="N621" s="1556"/>
      <c r="O621" s="136">
        <f>SUM(O604:O619)</f>
        <v>2.7130000000000001</v>
      </c>
      <c r="P621" s="183">
        <v>0.8</v>
      </c>
      <c r="Q621" s="136">
        <f>O621/P621</f>
        <v>3.3912499999999999</v>
      </c>
      <c r="R621" s="1574" t="s">
        <v>1860</v>
      </c>
      <c r="S621" s="1555"/>
      <c r="T621" s="1556"/>
      <c r="U621" s="136">
        <f>SUM(U609:U617)</f>
        <v>0</v>
      </c>
      <c r="V621" s="183">
        <v>0.8</v>
      </c>
      <c r="W621" s="136">
        <f>U621/V621</f>
        <v>0</v>
      </c>
    </row>
    <row r="622" spans="1:23" s="18" customFormat="1" ht="20.100000000000001" customHeight="1" x14ac:dyDescent="0.25">
      <c r="A622" s="406" t="str">
        <f>'Расчет ЦП - общая форма'!C349</f>
        <v xml:space="preserve">ПС 110/35/10 кВ Пушкино </v>
      </c>
      <c r="B622" s="398">
        <f>'Расчет ЦП - общая форма'!D349</f>
        <v>10</v>
      </c>
      <c r="C622" s="399"/>
      <c r="D622" s="399"/>
      <c r="E622" s="399"/>
      <c r="F622" s="400"/>
      <c r="G622" s="424"/>
      <c r="H622" s="4"/>
      <c r="I622" s="4"/>
      <c r="J622" s="4"/>
      <c r="K622" s="4"/>
      <c r="L622" s="77"/>
      <c r="M622" s="143"/>
      <c r="N622" s="143"/>
      <c r="O622" s="143"/>
      <c r="P622" s="4"/>
      <c r="Q622" s="4"/>
      <c r="R622" s="4"/>
      <c r="S622" s="4"/>
      <c r="T622" s="4"/>
      <c r="U622" s="4"/>
      <c r="V622" s="4"/>
      <c r="W622" s="77"/>
    </row>
    <row r="623" spans="1:23" ht="20.100000000000001" customHeight="1" thickBot="1" x14ac:dyDescent="0.3">
      <c r="A623" s="405"/>
      <c r="B623" s="394"/>
      <c r="C623" s="395"/>
      <c r="D623" s="395"/>
      <c r="E623" s="395"/>
      <c r="F623" s="396"/>
      <c r="G623" s="1555" t="s">
        <v>1860</v>
      </c>
      <c r="H623" s="1555"/>
      <c r="I623" s="1556"/>
      <c r="J623" s="136">
        <f>SUM(J622:J622)</f>
        <v>0</v>
      </c>
      <c r="K623" s="183">
        <v>0.8</v>
      </c>
      <c r="L623" s="136">
        <f>J623/K623</f>
        <v>0</v>
      </c>
      <c r="M623" s="1574" t="s">
        <v>1861</v>
      </c>
      <c r="N623" s="1556"/>
      <c r="O623" s="136">
        <f>SUM(O622:O622)</f>
        <v>0</v>
      </c>
      <c r="P623" s="183">
        <v>0.8</v>
      </c>
      <c r="Q623" s="136">
        <f>O623/P623</f>
        <v>0</v>
      </c>
      <c r="R623" s="1574" t="s">
        <v>1860</v>
      </c>
      <c r="S623" s="1555"/>
      <c r="T623" s="1556"/>
      <c r="U623" s="136">
        <f>SUM(U622:U622)</f>
        <v>0</v>
      </c>
      <c r="V623" s="183">
        <v>0.8</v>
      </c>
      <c r="W623" s="136">
        <f>U623/V623</f>
        <v>0</v>
      </c>
    </row>
    <row r="624" spans="1:23" ht="28.5" customHeight="1" x14ac:dyDescent="0.25">
      <c r="A624" s="1683" t="s">
        <v>2538</v>
      </c>
      <c r="B624" s="1551">
        <f>'Расчет ЦП - общая форма'!D353</f>
        <v>20</v>
      </c>
      <c r="C624" s="1552" t="str">
        <f>'Расчет ЦП - общая форма'!E353</f>
        <v>+</v>
      </c>
      <c r="D624" s="1552">
        <f>'Расчет ЦП - общая форма'!F353</f>
        <v>20</v>
      </c>
      <c r="E624" s="1552"/>
      <c r="F624" s="400"/>
      <c r="G624" s="1663" t="s">
        <v>2061</v>
      </c>
      <c r="H624" s="1663"/>
      <c r="I624" s="1663"/>
      <c r="J624" s="1704"/>
      <c r="K624" s="1663"/>
      <c r="L624" s="1664"/>
      <c r="M624" s="143" t="s">
        <v>128</v>
      </c>
      <c r="N624" s="143" t="s">
        <v>129</v>
      </c>
      <c r="O624" s="143">
        <v>0.7</v>
      </c>
      <c r="P624" s="4"/>
      <c r="Q624" s="4"/>
      <c r="R624" s="143"/>
      <c r="S624" s="143"/>
      <c r="T624" s="143"/>
      <c r="U624" s="4"/>
      <c r="V624" s="4"/>
      <c r="W624" s="77"/>
    </row>
    <row r="625" spans="1:23" ht="30" customHeight="1" x14ac:dyDescent="0.25">
      <c r="A625" s="1540"/>
      <c r="B625" s="1501"/>
      <c r="C625" s="1553"/>
      <c r="D625" s="1553"/>
      <c r="E625" s="1553"/>
      <c r="F625" s="404"/>
      <c r="G625" s="184" t="s">
        <v>789</v>
      </c>
      <c r="H625" s="143" t="s">
        <v>790</v>
      </c>
      <c r="I625" s="143" t="s">
        <v>2406</v>
      </c>
      <c r="J625" s="143">
        <v>2</v>
      </c>
      <c r="K625" s="143"/>
      <c r="L625" s="142"/>
      <c r="M625" s="143" t="s">
        <v>132</v>
      </c>
      <c r="N625" s="156" t="s">
        <v>1687</v>
      </c>
      <c r="O625" s="53">
        <v>0.1</v>
      </c>
      <c r="P625" s="143"/>
      <c r="Q625" s="143"/>
      <c r="R625" s="2"/>
      <c r="S625" s="2"/>
      <c r="T625" s="2"/>
      <c r="U625" s="143"/>
      <c r="V625" s="143"/>
      <c r="W625" s="142"/>
    </row>
    <row r="626" spans="1:23" ht="20.100000000000001" customHeight="1" x14ac:dyDescent="0.25">
      <c r="A626" s="1540"/>
      <c r="B626" s="1501"/>
      <c r="C626" s="1553"/>
      <c r="D626" s="1553"/>
      <c r="E626" s="1553"/>
      <c r="F626" s="404"/>
      <c r="G626" s="184"/>
      <c r="H626" s="143"/>
      <c r="I626" s="143"/>
      <c r="J626" s="143"/>
      <c r="K626" s="143"/>
      <c r="L626" s="142"/>
      <c r="M626" s="143" t="s">
        <v>1688</v>
      </c>
      <c r="N626" s="143" t="s">
        <v>1689</v>
      </c>
      <c r="O626" s="53">
        <v>0.7</v>
      </c>
      <c r="P626" s="143"/>
      <c r="Q626" s="143"/>
      <c r="R626" s="143"/>
      <c r="S626" s="143"/>
      <c r="T626" s="143"/>
      <c r="U626" s="143"/>
      <c r="V626" s="143"/>
      <c r="W626" s="142"/>
    </row>
    <row r="627" spans="1:23" ht="20.100000000000001" customHeight="1" x14ac:dyDescent="0.25">
      <c r="A627" s="401"/>
      <c r="B627" s="1501"/>
      <c r="C627" s="1553"/>
      <c r="D627" s="1553"/>
      <c r="E627" s="1553"/>
      <c r="F627" s="404"/>
      <c r="G627" s="184"/>
      <c r="H627" s="143"/>
      <c r="I627" s="143"/>
      <c r="J627" s="143"/>
      <c r="K627" s="143"/>
      <c r="L627" s="142"/>
      <c r="M627" s="218" t="s">
        <v>1503</v>
      </c>
      <c r="N627" s="218" t="s">
        <v>1504</v>
      </c>
      <c r="O627" s="153">
        <v>2.7E-2</v>
      </c>
      <c r="P627" s="151"/>
      <c r="Q627" s="151"/>
      <c r="R627" s="143"/>
      <c r="S627" s="143"/>
      <c r="T627" s="143"/>
      <c r="U627" s="143"/>
      <c r="V627" s="143"/>
      <c r="W627" s="142"/>
    </row>
    <row r="628" spans="1:23" ht="20.100000000000001" customHeight="1" x14ac:dyDescent="0.25">
      <c r="A628" s="401"/>
      <c r="B628" s="1501"/>
      <c r="C628" s="1553"/>
      <c r="D628" s="1553"/>
      <c r="E628" s="1553"/>
      <c r="F628" s="404"/>
      <c r="G628" s="184"/>
      <c r="H628" s="143"/>
      <c r="I628" s="143"/>
      <c r="J628" s="143"/>
      <c r="K628" s="143"/>
      <c r="L628" s="142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2"/>
    </row>
    <row r="629" spans="1:23" ht="20.100000000000001" customHeight="1" thickBot="1" x14ac:dyDescent="0.3">
      <c r="A629" s="405"/>
      <c r="B629" s="394"/>
      <c r="C629" s="395"/>
      <c r="D629" s="395"/>
      <c r="E629" s="395"/>
      <c r="F629" s="396"/>
      <c r="G629" s="1530" t="s">
        <v>1860</v>
      </c>
      <c r="H629" s="1530"/>
      <c r="I629" s="1531"/>
      <c r="J629" s="181">
        <f>SUM(J628)</f>
        <v>0</v>
      </c>
      <c r="K629" s="151">
        <v>0.8</v>
      </c>
      <c r="L629" s="181">
        <f>J629/K629</f>
        <v>0</v>
      </c>
      <c r="M629" s="1529" t="s">
        <v>1861</v>
      </c>
      <c r="N629" s="1531"/>
      <c r="O629" s="181">
        <f>SUM(O624:O628)</f>
        <v>1.5269999999999999</v>
      </c>
      <c r="P629" s="151">
        <v>0.8</v>
      </c>
      <c r="Q629" s="181">
        <f>O629/P629</f>
        <v>1.9087499999999997</v>
      </c>
      <c r="R629" s="1529" t="s">
        <v>1860</v>
      </c>
      <c r="S629" s="1530"/>
      <c r="T629" s="1531"/>
      <c r="U629" s="181">
        <f>SUM(U624:U628)</f>
        <v>0</v>
      </c>
      <c r="V629" s="151">
        <v>0.8</v>
      </c>
      <c r="W629" s="181">
        <f>U629/V629</f>
        <v>0</v>
      </c>
    </row>
    <row r="630" spans="1:23" ht="20.100000000000001" customHeight="1" x14ac:dyDescent="0.25">
      <c r="A630" s="1540" t="s">
        <v>2539</v>
      </c>
      <c r="B630" s="1501">
        <f>'Расчет ЦП - общая форма'!D354</f>
        <v>20</v>
      </c>
      <c r="C630" s="1553" t="str">
        <f>'Расчет ЦП - общая форма'!E354</f>
        <v>+</v>
      </c>
      <c r="D630" s="1553">
        <f>'Расчет ЦП - общая форма'!F354</f>
        <v>20</v>
      </c>
      <c r="E630" s="403"/>
      <c r="F630" s="404"/>
      <c r="G630" s="1712" t="s">
        <v>1989</v>
      </c>
      <c r="H630" s="1712"/>
      <c r="I630" s="1712"/>
      <c r="J630" s="1712"/>
      <c r="K630" s="1712"/>
      <c r="L630" s="1702"/>
      <c r="M630" s="4" t="s">
        <v>1690</v>
      </c>
      <c r="N630" s="4" t="s">
        <v>1691</v>
      </c>
      <c r="O630" s="4">
        <v>2.7E-2</v>
      </c>
      <c r="P630" s="4"/>
      <c r="Q630" s="4"/>
      <c r="R630" s="1713"/>
      <c r="S630" s="1691"/>
      <c r="T630" s="1691"/>
      <c r="U630" s="1691"/>
      <c r="V630" s="1691"/>
      <c r="W630" s="1692"/>
    </row>
    <row r="631" spans="1:23" ht="20.100000000000001" customHeight="1" x14ac:dyDescent="0.25">
      <c r="A631" s="1540"/>
      <c r="B631" s="1501"/>
      <c r="C631" s="1553"/>
      <c r="D631" s="1553"/>
      <c r="E631" s="403"/>
      <c r="F631" s="404"/>
      <c r="G631" s="66" t="s">
        <v>1692</v>
      </c>
      <c r="H631" s="2" t="s">
        <v>1693</v>
      </c>
      <c r="I631" s="2" t="s">
        <v>1694</v>
      </c>
      <c r="J631" s="48">
        <v>0.11</v>
      </c>
      <c r="K631" s="2"/>
      <c r="L631" s="142"/>
      <c r="M631" s="142" t="s">
        <v>130</v>
      </c>
      <c r="N631" s="142" t="s">
        <v>131</v>
      </c>
      <c r="O631" s="143">
        <v>0.115</v>
      </c>
      <c r="P631" s="143"/>
      <c r="Q631" s="143"/>
      <c r="R631" s="265"/>
      <c r="S631" s="142"/>
      <c r="T631" s="142"/>
      <c r="U631" s="283"/>
      <c r="V631" s="142"/>
      <c r="W631" s="142"/>
    </row>
    <row r="632" spans="1:23" ht="20.100000000000001" customHeight="1" x14ac:dyDescent="0.25">
      <c r="A632" s="1540"/>
      <c r="B632" s="1501"/>
      <c r="C632" s="1553"/>
      <c r="D632" s="1553"/>
      <c r="E632" s="403"/>
      <c r="F632" s="404"/>
      <c r="G632" s="66" t="s">
        <v>1695</v>
      </c>
      <c r="H632" s="2" t="s">
        <v>1696</v>
      </c>
      <c r="I632" s="2" t="s">
        <v>1697</v>
      </c>
      <c r="J632" s="2">
        <v>0.11</v>
      </c>
      <c r="K632" s="2"/>
      <c r="L632" s="142"/>
      <c r="M632" s="143" t="s">
        <v>1698</v>
      </c>
      <c r="N632" s="143" t="s">
        <v>1699</v>
      </c>
      <c r="O632" s="143">
        <v>0.02</v>
      </c>
      <c r="P632" s="143"/>
      <c r="Q632" s="143"/>
      <c r="R632" s="265"/>
      <c r="S632" s="142"/>
      <c r="T632" s="142"/>
      <c r="U632" s="142"/>
      <c r="V632" s="142"/>
      <c r="W632" s="142"/>
    </row>
    <row r="633" spans="1:23" ht="20.100000000000001" customHeight="1" x14ac:dyDescent="0.25">
      <c r="A633" s="401"/>
      <c r="B633" s="402"/>
      <c r="C633" s="403"/>
      <c r="D633" s="403"/>
      <c r="E633" s="403"/>
      <c r="F633" s="404"/>
      <c r="G633" s="204"/>
      <c r="H633" s="204"/>
      <c r="I633" s="121"/>
      <c r="J633" s="70"/>
      <c r="K633" s="70"/>
      <c r="L633" s="149"/>
      <c r="M633" s="143"/>
      <c r="N633" s="143"/>
      <c r="O633" s="143"/>
      <c r="P633" s="143"/>
      <c r="Q633" s="143"/>
      <c r="R633" s="363"/>
      <c r="S633" s="363"/>
      <c r="T633" s="176"/>
      <c r="U633" s="149"/>
      <c r="V633" s="149"/>
      <c r="W633" s="149"/>
    </row>
    <row r="634" spans="1:23" ht="20.100000000000001" customHeight="1" thickBot="1" x14ac:dyDescent="0.3">
      <c r="A634" s="405"/>
      <c r="B634" s="394"/>
      <c r="C634" s="395"/>
      <c r="D634" s="395"/>
      <c r="E634" s="395"/>
      <c r="F634" s="396"/>
      <c r="G634" s="1555" t="s">
        <v>1860</v>
      </c>
      <c r="H634" s="1555"/>
      <c r="I634" s="1556"/>
      <c r="J634" s="181">
        <f>SUM(J633)</f>
        <v>0</v>
      </c>
      <c r="K634" s="183">
        <v>0.8</v>
      </c>
      <c r="L634" s="136">
        <f>J634/K634</f>
        <v>0</v>
      </c>
      <c r="M634" s="1574" t="s">
        <v>1861</v>
      </c>
      <c r="N634" s="1556"/>
      <c r="O634" s="136">
        <f>SUM(O630:O632)</f>
        <v>0.16200000000000001</v>
      </c>
      <c r="P634" s="183">
        <v>0.8</v>
      </c>
      <c r="Q634" s="136">
        <f>O634/P634</f>
        <v>0.20249999999999999</v>
      </c>
      <c r="R634" s="1574" t="s">
        <v>1860</v>
      </c>
      <c r="S634" s="1555"/>
      <c r="T634" s="1556"/>
      <c r="U634" s="181">
        <f>SUM(U633)</f>
        <v>0</v>
      </c>
      <c r="V634" s="183">
        <v>0.8</v>
      </c>
      <c r="W634" s="136">
        <f>U634/V634</f>
        <v>0</v>
      </c>
    </row>
    <row r="635" spans="1:23" ht="20.100000000000001" customHeight="1" x14ac:dyDescent="0.25">
      <c r="A635" s="1683" t="str">
        <f>'Расчет ЦП - общая форма'!C355</f>
        <v xml:space="preserve">ПС 110/35/10 кВ Южная </v>
      </c>
      <c r="B635" s="1551">
        <f>'Расчет ЦП - общая форма'!D355</f>
        <v>40</v>
      </c>
      <c r="C635" s="1552" t="str">
        <f>'Расчет ЦП - общая форма'!E355</f>
        <v>+</v>
      </c>
      <c r="D635" s="1552">
        <f>'Расчет ЦП - общая форма'!F355</f>
        <v>40</v>
      </c>
      <c r="E635" s="399"/>
      <c r="F635" s="400"/>
      <c r="G635" s="1712" t="s">
        <v>1991</v>
      </c>
      <c r="H635" s="1712"/>
      <c r="I635" s="1712"/>
      <c r="J635" s="1712"/>
      <c r="K635" s="1712"/>
      <c r="L635" s="1702"/>
      <c r="M635" s="133"/>
      <c r="N635" s="175"/>
      <c r="O635" s="77"/>
      <c r="P635" s="77"/>
      <c r="Q635" s="77"/>
      <c r="R635" s="1713"/>
      <c r="S635" s="1691"/>
      <c r="T635" s="1691"/>
      <c r="U635" s="1691"/>
      <c r="V635" s="1691"/>
      <c r="W635" s="1692"/>
    </row>
    <row r="636" spans="1:23" ht="83.25" customHeight="1" x14ac:dyDescent="0.25">
      <c r="A636" s="1540"/>
      <c r="B636" s="1501"/>
      <c r="C636" s="1553"/>
      <c r="D636" s="1553"/>
      <c r="E636" s="403"/>
      <c r="F636" s="404"/>
      <c r="G636" s="66" t="s">
        <v>1711</v>
      </c>
      <c r="H636" s="2" t="s">
        <v>1712</v>
      </c>
      <c r="I636" s="2" t="s">
        <v>1713</v>
      </c>
      <c r="J636" s="2">
        <v>0.4</v>
      </c>
      <c r="K636" s="2"/>
      <c r="L636" s="142"/>
      <c r="M636" s="45" t="s">
        <v>1682</v>
      </c>
      <c r="N636" s="45" t="s">
        <v>1700</v>
      </c>
      <c r="O636" s="45">
        <v>0.03</v>
      </c>
      <c r="P636" s="45"/>
      <c r="Q636" s="45"/>
      <c r="R636" s="66" t="s">
        <v>1737</v>
      </c>
      <c r="S636" s="2" t="s">
        <v>1738</v>
      </c>
      <c r="T636" s="2" t="s">
        <v>3328</v>
      </c>
      <c r="U636" s="2">
        <v>0.3952</v>
      </c>
      <c r="V636" s="142"/>
      <c r="W636" s="142"/>
    </row>
    <row r="637" spans="1:23" ht="20.100000000000001" customHeight="1" x14ac:dyDescent="0.25">
      <c r="A637" s="1540"/>
      <c r="B637" s="1501"/>
      <c r="C637" s="1553"/>
      <c r="D637" s="1553"/>
      <c r="E637" s="403"/>
      <c r="F637" s="404"/>
      <c r="G637" s="1663" t="s">
        <v>1989</v>
      </c>
      <c r="H637" s="1663"/>
      <c r="I637" s="1663"/>
      <c r="J637" s="1663"/>
      <c r="K637" s="1663"/>
      <c r="L637" s="1664"/>
      <c r="M637" s="2" t="s">
        <v>1707</v>
      </c>
      <c r="N637" s="2" t="s">
        <v>1708</v>
      </c>
      <c r="O637" s="2">
        <v>1.7999999999999999E-2</v>
      </c>
      <c r="P637" s="45"/>
      <c r="Q637" s="45"/>
      <c r="R637" s="1" t="s">
        <v>3059</v>
      </c>
      <c r="S637" s="1" t="s">
        <v>3060</v>
      </c>
      <c r="T637" s="2" t="s">
        <v>3329</v>
      </c>
      <c r="U637" s="8">
        <v>0.1</v>
      </c>
      <c r="V637" s="2"/>
      <c r="W637" s="142"/>
    </row>
    <row r="638" spans="1:23" ht="20.100000000000001" customHeight="1" x14ac:dyDescent="0.25">
      <c r="A638" s="410"/>
      <c r="B638" s="569"/>
      <c r="C638" s="571"/>
      <c r="D638" s="571"/>
      <c r="E638" s="571"/>
      <c r="F638" s="572"/>
      <c r="G638" s="281" t="s">
        <v>1701</v>
      </c>
      <c r="H638" s="45" t="s">
        <v>1702</v>
      </c>
      <c r="I638" s="45" t="s">
        <v>1703</v>
      </c>
      <c r="J638" s="45">
        <v>0.21</v>
      </c>
      <c r="K638" s="45"/>
      <c r="L638" s="72"/>
      <c r="M638" s="2"/>
      <c r="N638" s="2"/>
      <c r="O638" s="2"/>
      <c r="P638" s="2"/>
      <c r="Q638" s="2"/>
      <c r="R638" s="142"/>
      <c r="S638" s="142"/>
      <c r="T638" s="142"/>
      <c r="U638" s="142"/>
      <c r="V638" s="142"/>
      <c r="W638" s="142"/>
    </row>
    <row r="639" spans="1:23" ht="20.100000000000001" customHeight="1" x14ac:dyDescent="0.25">
      <c r="A639" s="410"/>
      <c r="B639" s="569"/>
      <c r="C639" s="571"/>
      <c r="D639" s="571"/>
      <c r="E639" s="571"/>
      <c r="F639" s="572"/>
      <c r="G639" s="1663" t="s">
        <v>1988</v>
      </c>
      <c r="H639" s="1663"/>
      <c r="I639" s="1663"/>
      <c r="J639" s="1663"/>
      <c r="K639" s="1663"/>
      <c r="L639" s="1664"/>
      <c r="M639" s="2" t="s">
        <v>1709</v>
      </c>
      <c r="N639" s="2" t="s">
        <v>1710</v>
      </c>
      <c r="O639" s="2">
        <v>0.19</v>
      </c>
      <c r="P639" s="2"/>
      <c r="Q639" s="2"/>
      <c r="R639" s="293"/>
      <c r="S639" s="293"/>
      <c r="T639" s="293"/>
      <c r="U639" s="293"/>
      <c r="V639" s="293"/>
      <c r="W639" s="293"/>
    </row>
    <row r="640" spans="1:23" ht="20.100000000000001" customHeight="1" x14ac:dyDescent="0.25">
      <c r="A640" s="410"/>
      <c r="B640" s="569"/>
      <c r="C640" s="571"/>
      <c r="D640" s="571"/>
      <c r="E640" s="571"/>
      <c r="F640" s="572"/>
      <c r="G640" s="66" t="s">
        <v>1716</v>
      </c>
      <c r="H640" s="2" t="s">
        <v>1717</v>
      </c>
      <c r="I640" s="2" t="s">
        <v>1145</v>
      </c>
      <c r="J640" s="2">
        <v>3.5000000000000003E-2</v>
      </c>
      <c r="K640" s="2"/>
      <c r="L640" s="142"/>
      <c r="M640" s="2" t="s">
        <v>1714</v>
      </c>
      <c r="N640" s="2" t="s">
        <v>1715</v>
      </c>
      <c r="O640" s="2">
        <v>3.3</v>
      </c>
      <c r="P640" s="2"/>
      <c r="Q640" s="2"/>
      <c r="R640" s="142"/>
      <c r="S640" s="142"/>
      <c r="T640" s="142"/>
      <c r="U640" s="142"/>
      <c r="V640" s="142"/>
      <c r="W640" s="142"/>
    </row>
    <row r="641" spans="1:23" ht="20.100000000000001" customHeight="1" x14ac:dyDescent="0.25">
      <c r="A641" s="410"/>
      <c r="B641" s="569"/>
      <c r="C641" s="571"/>
      <c r="D641" s="571"/>
      <c r="E641" s="571"/>
      <c r="F641" s="572"/>
      <c r="G641" s="66" t="s">
        <v>1725</v>
      </c>
      <c r="H641" s="2" t="s">
        <v>1726</v>
      </c>
      <c r="I641" s="2" t="s">
        <v>1727</v>
      </c>
      <c r="J641" s="2">
        <v>1.6E-2</v>
      </c>
      <c r="K641" s="2"/>
      <c r="L641" s="142"/>
      <c r="M641" s="2" t="s">
        <v>1718</v>
      </c>
      <c r="N641" s="2" t="s">
        <v>1719</v>
      </c>
      <c r="O641" s="2">
        <v>2.5</v>
      </c>
      <c r="P641" s="2"/>
      <c r="Q641" s="2"/>
      <c r="R641" s="142"/>
      <c r="S641" s="142"/>
      <c r="T641" s="142"/>
      <c r="U641" s="142"/>
      <c r="V641" s="142"/>
      <c r="W641" s="142"/>
    </row>
    <row r="642" spans="1:23" ht="20.100000000000001" customHeight="1" x14ac:dyDescent="0.25">
      <c r="A642" s="410"/>
      <c r="B642" s="569"/>
      <c r="C642" s="571"/>
      <c r="D642" s="571"/>
      <c r="E642" s="571"/>
      <c r="F642" s="572"/>
      <c r="G642" s="66" t="s">
        <v>1704</v>
      </c>
      <c r="H642" s="2" t="s">
        <v>1705</v>
      </c>
      <c r="I642" s="2" t="s">
        <v>1706</v>
      </c>
      <c r="J642" s="2">
        <v>0.1</v>
      </c>
      <c r="K642" s="2"/>
      <c r="L642" s="142"/>
      <c r="M642" s="2" t="s">
        <v>1723</v>
      </c>
      <c r="N642" s="2" t="s">
        <v>1724</v>
      </c>
      <c r="O642" s="2">
        <v>2.5000000000000001E-2</v>
      </c>
      <c r="P642" s="2"/>
      <c r="Q642" s="2"/>
      <c r="R642" s="142"/>
      <c r="S642" s="142"/>
      <c r="T642" s="142"/>
      <c r="U642" s="142"/>
      <c r="V642" s="142"/>
      <c r="W642" s="142"/>
    </row>
    <row r="643" spans="1:23" ht="20.100000000000001" customHeight="1" x14ac:dyDescent="0.25">
      <c r="A643" s="410"/>
      <c r="B643" s="569"/>
      <c r="C643" s="571"/>
      <c r="D643" s="571"/>
      <c r="E643" s="571"/>
      <c r="F643" s="572"/>
      <c r="G643" s="1663" t="s">
        <v>1987</v>
      </c>
      <c r="H643" s="1663"/>
      <c r="I643" s="1663"/>
      <c r="J643" s="1663"/>
      <c r="K643" s="1663"/>
      <c r="L643" s="1664"/>
      <c r="M643" s="2"/>
      <c r="N643" s="2"/>
      <c r="O643" s="2"/>
      <c r="P643" s="2"/>
      <c r="Q643" s="2"/>
      <c r="R643" s="1680"/>
      <c r="S643" s="1681"/>
      <c r="T643" s="1681"/>
      <c r="U643" s="1681"/>
      <c r="V643" s="1681"/>
      <c r="W643" s="1408"/>
    </row>
    <row r="644" spans="1:23" ht="36.75" customHeight="1" x14ac:dyDescent="0.25">
      <c r="A644" s="410"/>
      <c r="B644" s="569"/>
      <c r="C644" s="571"/>
      <c r="D644" s="571"/>
      <c r="E644" s="571"/>
      <c r="F644" s="572"/>
      <c r="G644" s="66"/>
      <c r="H644" s="2"/>
      <c r="I644" s="2"/>
      <c r="J644" s="2"/>
      <c r="K644" s="2"/>
      <c r="L644" s="142"/>
      <c r="M644" s="2" t="s">
        <v>1701</v>
      </c>
      <c r="N644" s="2" t="s">
        <v>1728</v>
      </c>
      <c r="O644" s="2">
        <v>4.2000000000000003E-2</v>
      </c>
      <c r="P644" s="2"/>
      <c r="Q644" s="2"/>
      <c r="R644" s="142"/>
      <c r="S644" s="142"/>
      <c r="T644" s="142"/>
      <c r="U644" s="142"/>
      <c r="V644" s="142"/>
      <c r="W644" s="142"/>
    </row>
    <row r="645" spans="1:23" ht="20.100000000000001" customHeight="1" x14ac:dyDescent="0.25">
      <c r="A645" s="410"/>
      <c r="B645" s="569"/>
      <c r="C645" s="571"/>
      <c r="D645" s="571"/>
      <c r="E645" s="571"/>
      <c r="F645" s="572"/>
      <c r="G645" s="184" t="s">
        <v>1720</v>
      </c>
      <c r="H645" s="143" t="s">
        <v>1721</v>
      </c>
      <c r="I645" s="2" t="s">
        <v>1722</v>
      </c>
      <c r="J645" s="2">
        <v>0.06</v>
      </c>
      <c r="K645" s="2"/>
      <c r="L645" s="142"/>
      <c r="M645" s="2" t="s">
        <v>1735</v>
      </c>
      <c r="N645" s="2" t="s">
        <v>1736</v>
      </c>
      <c r="O645" s="2">
        <v>0.39050000000000001</v>
      </c>
      <c r="P645" s="2"/>
      <c r="Q645" s="2"/>
      <c r="R645" s="142"/>
      <c r="S645" s="142"/>
      <c r="T645" s="142"/>
      <c r="U645" s="142"/>
      <c r="V645" s="142"/>
      <c r="W645" s="142"/>
    </row>
    <row r="646" spans="1:23" ht="20.100000000000001" customHeight="1" x14ac:dyDescent="0.25">
      <c r="A646" s="410"/>
      <c r="B646" s="569"/>
      <c r="C646" s="571"/>
      <c r="D646" s="571"/>
      <c r="E646" s="571"/>
      <c r="F646" s="572"/>
      <c r="G646" s="184" t="s">
        <v>1732</v>
      </c>
      <c r="H646" s="143" t="s">
        <v>1733</v>
      </c>
      <c r="I646" s="2" t="s">
        <v>1734</v>
      </c>
      <c r="J646" s="2">
        <v>0.16</v>
      </c>
      <c r="K646" s="2"/>
      <c r="L646" s="142"/>
      <c r="M646" s="2" t="s">
        <v>1739</v>
      </c>
      <c r="N646" s="2" t="s">
        <v>1740</v>
      </c>
      <c r="O646" s="2">
        <v>0.25</v>
      </c>
      <c r="P646" s="2"/>
      <c r="Q646" s="2"/>
      <c r="R646" s="142"/>
      <c r="S646" s="142"/>
      <c r="T646" s="142"/>
      <c r="U646" s="142"/>
      <c r="V646" s="142"/>
      <c r="W646" s="142"/>
    </row>
    <row r="647" spans="1:23" ht="20.100000000000001" customHeight="1" x14ac:dyDescent="0.25">
      <c r="A647" s="410"/>
      <c r="B647" s="569"/>
      <c r="C647" s="571"/>
      <c r="D647" s="571"/>
      <c r="E647" s="571"/>
      <c r="F647" s="572"/>
      <c r="G647" s="184" t="s">
        <v>1729</v>
      </c>
      <c r="H647" s="143" t="s">
        <v>1730</v>
      </c>
      <c r="I647" s="2" t="s">
        <v>1731</v>
      </c>
      <c r="J647" s="143">
        <v>6.5000000000000002E-2</v>
      </c>
      <c r="K647" s="2"/>
      <c r="L647" s="142"/>
      <c r="M647" s="143" t="s">
        <v>1891</v>
      </c>
      <c r="N647" s="143" t="s">
        <v>1741</v>
      </c>
      <c r="O647" s="2">
        <v>6.9000000000000006E-2</v>
      </c>
      <c r="P647" s="2"/>
      <c r="Q647" s="2"/>
      <c r="R647" s="142"/>
      <c r="S647" s="142"/>
      <c r="T647" s="142"/>
      <c r="U647" s="142"/>
      <c r="V647" s="142"/>
      <c r="W647" s="142"/>
    </row>
    <row r="648" spans="1:23" ht="20.100000000000001" customHeight="1" x14ac:dyDescent="0.25">
      <c r="A648" s="410"/>
      <c r="B648" s="569"/>
      <c r="C648" s="571"/>
      <c r="D648" s="571"/>
      <c r="E648" s="571"/>
      <c r="F648" s="572"/>
      <c r="G648" s="1663" t="s">
        <v>2061</v>
      </c>
      <c r="H648" s="1663"/>
      <c r="I648" s="1663"/>
      <c r="J648" s="1663"/>
      <c r="K648" s="1663"/>
      <c r="L648" s="1664"/>
      <c r="M648" s="143" t="s">
        <v>1742</v>
      </c>
      <c r="N648" s="143" t="s">
        <v>1743</v>
      </c>
      <c r="O648" s="2">
        <v>0.05</v>
      </c>
      <c r="P648" s="2"/>
      <c r="Q648" s="2"/>
      <c r="R648" s="1680"/>
      <c r="S648" s="1681"/>
      <c r="T648" s="1681"/>
      <c r="U648" s="1681"/>
      <c r="V648" s="1681"/>
      <c r="W648" s="1408"/>
    </row>
    <row r="649" spans="1:23" ht="85.5" customHeight="1" x14ac:dyDescent="0.25">
      <c r="A649" s="410"/>
      <c r="B649" s="569"/>
      <c r="C649" s="571"/>
      <c r="D649" s="571"/>
      <c r="E649" s="571"/>
      <c r="F649" s="572"/>
      <c r="G649" s="278" t="s">
        <v>91</v>
      </c>
      <c r="H649" s="154" t="s">
        <v>92</v>
      </c>
      <c r="I649" s="143" t="s">
        <v>2246</v>
      </c>
      <c r="J649" s="143">
        <v>2.5000000000000001E-2</v>
      </c>
      <c r="K649" s="143"/>
      <c r="L649" s="143"/>
      <c r="M649" s="143" t="s">
        <v>1744</v>
      </c>
      <c r="N649" s="143" t="s">
        <v>1745</v>
      </c>
      <c r="O649" s="2">
        <v>2.5000000000000001E-2</v>
      </c>
      <c r="P649" s="2"/>
      <c r="Q649" s="2"/>
      <c r="R649" s="81"/>
      <c r="S649" s="81"/>
      <c r="T649" s="142"/>
      <c r="U649" s="142"/>
      <c r="V649" s="142"/>
      <c r="W649" s="142"/>
    </row>
    <row r="650" spans="1:23" ht="66.75" customHeight="1" x14ac:dyDescent="0.25">
      <c r="A650" s="410"/>
      <c r="B650" s="569"/>
      <c r="C650" s="571"/>
      <c r="D650" s="571"/>
      <c r="E650" s="571"/>
      <c r="F650" s="572"/>
      <c r="G650" s="567" t="s">
        <v>816</v>
      </c>
      <c r="H650" s="218" t="s">
        <v>0</v>
      </c>
      <c r="I650" s="151" t="s">
        <v>2408</v>
      </c>
      <c r="J650" s="143">
        <v>0.55000000000000004</v>
      </c>
      <c r="K650" s="143"/>
      <c r="L650" s="143"/>
      <c r="M650" s="2" t="s">
        <v>1746</v>
      </c>
      <c r="N650" s="2" t="s">
        <v>1747</v>
      </c>
      <c r="O650" s="2">
        <v>9.5000000000000001E-2</v>
      </c>
      <c r="P650" s="2"/>
      <c r="Q650" s="2"/>
      <c r="R650" s="377"/>
      <c r="S650" s="377"/>
      <c r="T650" s="149"/>
      <c r="U650" s="142"/>
      <c r="V650" s="142"/>
      <c r="W650" s="142"/>
    </row>
    <row r="651" spans="1:23" ht="20.100000000000001" customHeight="1" x14ac:dyDescent="0.25">
      <c r="A651" s="410"/>
      <c r="B651" s="569"/>
      <c r="C651" s="571"/>
      <c r="D651" s="571"/>
      <c r="E651" s="571"/>
      <c r="F651" s="572"/>
      <c r="G651" s="1663" t="s">
        <v>2512</v>
      </c>
      <c r="H651" s="1663"/>
      <c r="I651" s="1663"/>
      <c r="J651" s="1663"/>
      <c r="K651" s="1663"/>
      <c r="L651" s="1664"/>
      <c r="M651" s="143" t="s">
        <v>1748</v>
      </c>
      <c r="N651" s="143" t="s">
        <v>1749</v>
      </c>
      <c r="O651" s="143">
        <v>0.6</v>
      </c>
      <c r="P651" s="2"/>
      <c r="Q651" s="2"/>
      <c r="R651" s="142"/>
      <c r="S651" s="142"/>
      <c r="T651" s="142"/>
      <c r="U651" s="142"/>
      <c r="V651" s="142"/>
      <c r="W651" s="142"/>
    </row>
    <row r="652" spans="1:23" ht="20.100000000000001" customHeight="1" x14ac:dyDescent="0.25">
      <c r="A652" s="410"/>
      <c r="B652" s="569"/>
      <c r="C652" s="571"/>
      <c r="D652" s="571"/>
      <c r="E652" s="571"/>
      <c r="F652" s="572"/>
      <c r="G652" s="2" t="s">
        <v>2609</v>
      </c>
      <c r="H652" s="2" t="s">
        <v>2610</v>
      </c>
      <c r="I652" s="143" t="s">
        <v>2673</v>
      </c>
      <c r="J652" s="2">
        <v>0.27654000000000001</v>
      </c>
      <c r="K652" s="2"/>
      <c r="L652" s="142"/>
      <c r="M652" s="154" t="s">
        <v>93</v>
      </c>
      <c r="N652" s="154" t="s">
        <v>94</v>
      </c>
      <c r="O652" s="143">
        <v>0.52700000000000002</v>
      </c>
      <c r="P652" s="2"/>
      <c r="Q652" s="2"/>
      <c r="R652" s="142"/>
      <c r="S652" s="142"/>
      <c r="T652" s="142"/>
      <c r="U652" s="142"/>
      <c r="V652" s="142"/>
      <c r="W652" s="142"/>
    </row>
    <row r="653" spans="1:23" ht="20.100000000000001" customHeight="1" x14ac:dyDescent="0.25">
      <c r="A653" s="410"/>
      <c r="B653" s="569"/>
      <c r="C653" s="571"/>
      <c r="D653" s="571"/>
      <c r="E653" s="571"/>
      <c r="F653" s="572"/>
      <c r="G653" s="2" t="s">
        <v>2611</v>
      </c>
      <c r="H653" s="2" t="s">
        <v>2612</v>
      </c>
      <c r="I653" s="143" t="s">
        <v>2674</v>
      </c>
      <c r="J653" s="143">
        <v>0.1</v>
      </c>
      <c r="K653" s="2"/>
      <c r="L653" s="142"/>
      <c r="M653" s="218" t="s">
        <v>2073</v>
      </c>
      <c r="N653" s="218" t="s">
        <v>2074</v>
      </c>
      <c r="O653" s="151">
        <v>0.14699999999999999</v>
      </c>
      <c r="P653" s="2"/>
      <c r="Q653" s="2"/>
      <c r="R653" s="142"/>
      <c r="S653" s="142"/>
      <c r="T653" s="142"/>
      <c r="U653" s="142"/>
      <c r="V653" s="142"/>
      <c r="W653" s="142"/>
    </row>
    <row r="654" spans="1:23" ht="20.100000000000001" customHeight="1" x14ac:dyDescent="0.25">
      <c r="A654" s="410"/>
      <c r="B654" s="569"/>
      <c r="C654" s="571"/>
      <c r="D654" s="571"/>
      <c r="E654" s="571"/>
      <c r="F654" s="572"/>
      <c r="G654" s="143" t="s">
        <v>2455</v>
      </c>
      <c r="H654" s="151" t="s">
        <v>2788</v>
      </c>
      <c r="I654" s="2" t="s">
        <v>2789</v>
      </c>
      <c r="J654" s="2">
        <v>0.7</v>
      </c>
      <c r="K654" s="2"/>
      <c r="L654" s="142"/>
      <c r="M654" s="218" t="s">
        <v>1748</v>
      </c>
      <c r="N654" s="218" t="s">
        <v>2203</v>
      </c>
      <c r="O654" s="151">
        <v>0.25</v>
      </c>
      <c r="P654" s="2"/>
      <c r="Q654" s="2"/>
      <c r="R654" s="142"/>
      <c r="S654" s="142"/>
      <c r="T654" s="142"/>
      <c r="U654" s="142"/>
      <c r="V654" s="142"/>
      <c r="W654" s="142"/>
    </row>
    <row r="655" spans="1:23" ht="36" customHeight="1" x14ac:dyDescent="0.25">
      <c r="A655" s="410"/>
      <c r="B655" s="569"/>
      <c r="C655" s="571"/>
      <c r="D655" s="571"/>
      <c r="E655" s="571"/>
      <c r="F655" s="572"/>
      <c r="G655" s="143" t="s">
        <v>2455</v>
      </c>
      <c r="H655" s="143" t="s">
        <v>2790</v>
      </c>
      <c r="I655" s="2" t="s">
        <v>2791</v>
      </c>
      <c r="J655" s="2">
        <v>0.7</v>
      </c>
      <c r="K655" s="2"/>
      <c r="L655" s="142"/>
      <c r="M655" s="218" t="s">
        <v>2557</v>
      </c>
      <c r="N655" s="218" t="s">
        <v>2558</v>
      </c>
      <c r="O655" s="151">
        <v>0.5</v>
      </c>
      <c r="P655" s="2"/>
      <c r="Q655" s="2"/>
      <c r="R655" s="142"/>
      <c r="S655" s="142"/>
      <c r="T655" s="142"/>
      <c r="U655" s="142"/>
      <c r="V655" s="142"/>
      <c r="W655" s="142"/>
    </row>
    <row r="656" spans="1:23" ht="20.100000000000001" customHeight="1" x14ac:dyDescent="0.25">
      <c r="A656" s="410"/>
      <c r="B656" s="569"/>
      <c r="C656" s="571"/>
      <c r="D656" s="571"/>
      <c r="E656" s="571"/>
      <c r="F656" s="572"/>
      <c r="G656" s="2" t="s">
        <v>2611</v>
      </c>
      <c r="H656" s="2" t="s">
        <v>2701</v>
      </c>
      <c r="I656" s="2" t="s">
        <v>2852</v>
      </c>
      <c r="J656" s="2">
        <v>0.55000000000000004</v>
      </c>
      <c r="K656" s="2"/>
      <c r="L656" s="142"/>
      <c r="M656" s="218" t="s">
        <v>1748</v>
      </c>
      <c r="N656" s="1" t="s">
        <v>2570</v>
      </c>
      <c r="O656" s="8">
        <v>2.7E-2</v>
      </c>
      <c r="P656" s="2"/>
      <c r="Q656" s="2"/>
      <c r="R656" s="142"/>
      <c r="S656" s="142"/>
      <c r="T656" s="142"/>
      <c r="U656" s="142"/>
      <c r="V656" s="142"/>
      <c r="W656" s="142"/>
    </row>
    <row r="657" spans="1:23" ht="20.100000000000001" customHeight="1" x14ac:dyDescent="0.25">
      <c r="A657" s="410"/>
      <c r="B657" s="569"/>
      <c r="C657" s="571"/>
      <c r="D657" s="571"/>
      <c r="E657" s="571"/>
      <c r="F657" s="572"/>
      <c r="G657" s="1" t="s">
        <v>2441</v>
      </c>
      <c r="H657" s="1" t="s">
        <v>2858</v>
      </c>
      <c r="I657" s="2" t="s">
        <v>2859</v>
      </c>
      <c r="J657" s="2">
        <v>0.65</v>
      </c>
      <c r="K657" s="2"/>
      <c r="L657" s="142"/>
      <c r="M657" s="218" t="s">
        <v>1748</v>
      </c>
      <c r="N657" s="1" t="s">
        <v>2572</v>
      </c>
      <c r="O657" s="8">
        <v>0.24</v>
      </c>
      <c r="P657" s="2"/>
      <c r="Q657" s="2"/>
      <c r="R657" s="142"/>
      <c r="S657" s="142"/>
      <c r="T657" s="142"/>
      <c r="U657" s="142"/>
      <c r="V657" s="142"/>
      <c r="W657" s="142"/>
    </row>
    <row r="658" spans="1:23" ht="20.100000000000001" customHeight="1" x14ac:dyDescent="0.25">
      <c r="A658" s="401"/>
      <c r="B658" s="402"/>
      <c r="C658" s="403"/>
      <c r="D658" s="403"/>
      <c r="E658" s="403"/>
      <c r="F658" s="404"/>
      <c r="G658" s="121" t="s">
        <v>2759</v>
      </c>
      <c r="H658" s="70" t="s">
        <v>2760</v>
      </c>
      <c r="I658" s="70" t="s">
        <v>2904</v>
      </c>
      <c r="J658" s="70">
        <v>2</v>
      </c>
      <c r="K658" s="70"/>
      <c r="L658" s="149"/>
      <c r="M658" s="70" t="s">
        <v>2655</v>
      </c>
      <c r="N658" s="70" t="s">
        <v>2658</v>
      </c>
      <c r="O658" s="70">
        <v>0.1</v>
      </c>
      <c r="P658" s="70"/>
      <c r="Q658" s="70"/>
      <c r="R658" s="149"/>
      <c r="S658" s="149"/>
      <c r="T658" s="149"/>
      <c r="U658" s="149"/>
      <c r="V658" s="149"/>
      <c r="W658" s="149"/>
    </row>
    <row r="659" spans="1:23" ht="20.100000000000001" customHeight="1" x14ac:dyDescent="0.25">
      <c r="A659" s="401"/>
      <c r="B659" s="402"/>
      <c r="C659" s="403"/>
      <c r="D659" s="403"/>
      <c r="E659" s="403"/>
      <c r="F659" s="404"/>
      <c r="G659" s="121" t="s">
        <v>2373</v>
      </c>
      <c r="H659" s="70" t="s">
        <v>2891</v>
      </c>
      <c r="I659" s="70" t="s">
        <v>2908</v>
      </c>
      <c r="J659" s="70">
        <v>0.12</v>
      </c>
      <c r="K659" s="70"/>
      <c r="L659" s="149"/>
      <c r="M659" s="1" t="s">
        <v>2441</v>
      </c>
      <c r="N659" s="1" t="s">
        <v>2827</v>
      </c>
      <c r="O659" s="8">
        <v>5</v>
      </c>
      <c r="P659" s="2"/>
      <c r="Q659" s="70"/>
      <c r="R659" s="149"/>
      <c r="S659" s="149"/>
      <c r="T659" s="149"/>
      <c r="U659" s="149"/>
      <c r="V659" s="149"/>
      <c r="W659" s="149"/>
    </row>
    <row r="660" spans="1:23" ht="20.100000000000001" customHeight="1" x14ac:dyDescent="0.25">
      <c r="A660" s="401"/>
      <c r="B660" s="402"/>
      <c r="C660" s="403"/>
      <c r="D660" s="403"/>
      <c r="E660" s="403"/>
      <c r="F660" s="404"/>
      <c r="G660" s="24" t="s">
        <v>2932</v>
      </c>
      <c r="H660" s="24" t="s">
        <v>2933</v>
      </c>
      <c r="I660" s="70" t="s">
        <v>2973</v>
      </c>
      <c r="J660" s="92">
        <v>7.4999999999999997E-2</v>
      </c>
      <c r="K660" s="70"/>
      <c r="L660" s="149"/>
      <c r="M660" s="1" t="s">
        <v>2869</v>
      </c>
      <c r="N660" s="1" t="s">
        <v>2872</v>
      </c>
      <c r="O660" s="8">
        <v>0.05</v>
      </c>
      <c r="P660" s="2"/>
      <c r="Q660" s="70"/>
      <c r="R660" s="149"/>
      <c r="S660" s="149"/>
      <c r="T660" s="149"/>
      <c r="U660" s="149"/>
      <c r="V660" s="149"/>
      <c r="W660" s="149"/>
    </row>
    <row r="661" spans="1:23" ht="20.100000000000001" customHeight="1" x14ac:dyDescent="0.25">
      <c r="A661" s="614"/>
      <c r="B661" s="615"/>
      <c r="C661" s="616"/>
      <c r="D661" s="616"/>
      <c r="E661" s="616"/>
      <c r="F661" s="613"/>
      <c r="G661" s="1663" t="s">
        <v>3069</v>
      </c>
      <c r="H661" s="1663"/>
      <c r="I661" s="1663"/>
      <c r="J661" s="1663"/>
      <c r="K661" s="1663"/>
      <c r="L661" s="1664"/>
      <c r="M661" s="24" t="s">
        <v>2986</v>
      </c>
      <c r="N661" s="24" t="s">
        <v>3004</v>
      </c>
      <c r="O661" s="92">
        <f>4-0.65</f>
        <v>3.35</v>
      </c>
      <c r="P661" s="70"/>
      <c r="Q661" s="70"/>
      <c r="R661" s="149"/>
      <c r="S661" s="149"/>
      <c r="T661" s="149"/>
      <c r="U661" s="149"/>
      <c r="V661" s="149"/>
      <c r="W661" s="149"/>
    </row>
    <row r="662" spans="1:23" ht="70.5" customHeight="1" x14ac:dyDescent="0.25">
      <c r="A662" s="614"/>
      <c r="B662" s="615"/>
      <c r="C662" s="616"/>
      <c r="D662" s="616"/>
      <c r="E662" s="616"/>
      <c r="F662" s="613"/>
      <c r="G662" s="24"/>
      <c r="H662" s="24"/>
      <c r="I662" s="70"/>
      <c r="J662" s="92"/>
      <c r="K662" s="70"/>
      <c r="L662" s="149"/>
      <c r="M662" s="1" t="s">
        <v>2950</v>
      </c>
      <c r="N662" s="24" t="s">
        <v>2951</v>
      </c>
      <c r="O662" s="92">
        <v>0.02</v>
      </c>
      <c r="P662" s="70"/>
      <c r="Q662" s="70"/>
      <c r="R662" s="149"/>
      <c r="S662" s="149"/>
      <c r="T662" s="149"/>
      <c r="U662" s="149"/>
      <c r="V662" s="149"/>
      <c r="W662" s="149"/>
    </row>
    <row r="663" spans="1:23" ht="27" customHeight="1" x14ac:dyDescent="0.25">
      <c r="A663" s="614"/>
      <c r="B663" s="615"/>
      <c r="C663" s="616"/>
      <c r="D663" s="616"/>
      <c r="E663" s="616"/>
      <c r="F663" s="613"/>
      <c r="G663" s="24" t="s">
        <v>3149</v>
      </c>
      <c r="H663" s="24" t="s">
        <v>3150</v>
      </c>
      <c r="I663" s="70" t="s">
        <v>3202</v>
      </c>
      <c r="J663" s="70">
        <v>0.11</v>
      </c>
      <c r="K663" s="70"/>
      <c r="L663" s="149"/>
      <c r="M663" s="24" t="s">
        <v>791</v>
      </c>
      <c r="N663" s="24" t="s">
        <v>3118</v>
      </c>
      <c r="O663" s="92">
        <v>0.6</v>
      </c>
      <c r="P663" s="70"/>
      <c r="Q663" s="70"/>
      <c r="R663" s="149"/>
      <c r="S663" s="149"/>
      <c r="T663" s="149"/>
      <c r="U663" s="149"/>
      <c r="V663" s="149"/>
      <c r="W663" s="149"/>
    </row>
    <row r="664" spans="1:23" ht="48.75" customHeight="1" x14ac:dyDescent="0.25">
      <c r="A664" s="401"/>
      <c r="B664" s="402"/>
      <c r="C664" s="403"/>
      <c r="D664" s="403"/>
      <c r="E664" s="403"/>
      <c r="F664" s="404"/>
      <c r="G664" s="143" t="s">
        <v>3282</v>
      </c>
      <c r="H664" s="143" t="s">
        <v>3283</v>
      </c>
      <c r="I664" s="70" t="s">
        <v>3321</v>
      </c>
      <c r="J664" s="143">
        <v>0.1</v>
      </c>
      <c r="K664" s="70"/>
      <c r="L664" s="149"/>
      <c r="M664" s="24" t="s">
        <v>3059</v>
      </c>
      <c r="N664" s="24" t="s">
        <v>3155</v>
      </c>
      <c r="O664" s="92">
        <f>4.38-0.1</f>
        <v>4.28</v>
      </c>
      <c r="P664" s="70"/>
      <c r="Q664" s="70"/>
      <c r="R664" s="149"/>
      <c r="S664" s="149"/>
      <c r="T664" s="149"/>
      <c r="U664" s="149"/>
      <c r="V664" s="149"/>
      <c r="W664" s="149"/>
    </row>
    <row r="665" spans="1:23" ht="66.75" customHeight="1" x14ac:dyDescent="0.25">
      <c r="A665" s="667"/>
      <c r="B665" s="668"/>
      <c r="C665" s="669"/>
      <c r="D665" s="669"/>
      <c r="E665" s="669"/>
      <c r="F665" s="666"/>
      <c r="G665" s="143" t="s">
        <v>3346</v>
      </c>
      <c r="H665" s="143" t="s">
        <v>3347</v>
      </c>
      <c r="I665" s="70" t="s">
        <v>3380</v>
      </c>
      <c r="J665" s="70">
        <v>8.4</v>
      </c>
      <c r="K665" s="70"/>
      <c r="L665" s="149"/>
      <c r="M665" s="24" t="s">
        <v>3059</v>
      </c>
      <c r="N665" s="24" t="s">
        <v>3425</v>
      </c>
      <c r="O665" s="92">
        <f>0.1</f>
        <v>0.1</v>
      </c>
      <c r="P665" s="70"/>
      <c r="Q665" s="70"/>
      <c r="R665" s="149"/>
      <c r="S665" s="149"/>
      <c r="T665" s="149"/>
      <c r="U665" s="149"/>
      <c r="V665" s="149"/>
      <c r="W665" s="149"/>
    </row>
    <row r="666" spans="1:23" ht="66.75" customHeight="1" x14ac:dyDescent="0.25">
      <c r="A666" s="805"/>
      <c r="B666" s="806"/>
      <c r="C666" s="808"/>
      <c r="D666" s="808"/>
      <c r="E666" s="808"/>
      <c r="F666" s="804"/>
      <c r="G666" s="143" t="s">
        <v>3214</v>
      </c>
      <c r="H666" s="143" t="s">
        <v>3356</v>
      </c>
      <c r="I666" s="70" t="s">
        <v>3384</v>
      </c>
      <c r="J666" s="70">
        <v>0.45</v>
      </c>
      <c r="K666" s="70"/>
      <c r="L666" s="149"/>
      <c r="M666" s="143" t="s">
        <v>3346</v>
      </c>
      <c r="N666" s="143" t="s">
        <v>3448</v>
      </c>
      <c r="O666" s="143">
        <v>8.4</v>
      </c>
      <c r="P666" s="70"/>
      <c r="Q666" s="70"/>
      <c r="R666" s="149"/>
      <c r="S666" s="149"/>
      <c r="T666" s="149"/>
      <c r="U666" s="149"/>
      <c r="V666" s="149"/>
      <c r="W666" s="149"/>
    </row>
    <row r="667" spans="1:23" ht="34.5" customHeight="1" x14ac:dyDescent="0.25">
      <c r="A667" s="815"/>
      <c r="B667" s="817"/>
      <c r="C667" s="818"/>
      <c r="D667" s="818"/>
      <c r="E667" s="818"/>
      <c r="F667" s="814"/>
      <c r="G667" s="1665" t="s">
        <v>3481</v>
      </c>
      <c r="H667" s="1666"/>
      <c r="I667" s="1667"/>
      <c r="J667" s="786">
        <v>1.0169999999999999</v>
      </c>
      <c r="K667" s="70"/>
      <c r="L667" s="149"/>
      <c r="M667" s="143" t="s">
        <v>3451</v>
      </c>
      <c r="N667" s="143" t="s">
        <v>3452</v>
      </c>
      <c r="O667" s="143">
        <v>1</v>
      </c>
      <c r="P667" s="70"/>
      <c r="Q667" s="70"/>
      <c r="R667" s="149"/>
      <c r="S667" s="149"/>
      <c r="T667" s="149"/>
      <c r="U667" s="149"/>
      <c r="V667" s="149"/>
      <c r="W667" s="149"/>
    </row>
    <row r="668" spans="1:23" ht="66.75" customHeight="1" x14ac:dyDescent="0.25">
      <c r="A668" s="855"/>
      <c r="B668" s="857"/>
      <c r="C668" s="858"/>
      <c r="D668" s="858"/>
      <c r="E668" s="858"/>
      <c r="F668" s="854"/>
      <c r="G668" s="121"/>
      <c r="H668" s="70"/>
      <c r="I668" s="70"/>
      <c r="J668" s="70"/>
      <c r="K668" s="70"/>
      <c r="L668" s="149"/>
      <c r="M668" s="143" t="s">
        <v>3466</v>
      </c>
      <c r="N668" s="143" t="s">
        <v>3467</v>
      </c>
      <c r="O668" s="143">
        <v>0.6</v>
      </c>
      <c r="P668" s="70"/>
      <c r="Q668" s="70"/>
      <c r="R668" s="149"/>
      <c r="S668" s="149"/>
      <c r="T668" s="149"/>
      <c r="U668" s="149"/>
      <c r="V668" s="149"/>
      <c r="W668" s="149"/>
    </row>
    <row r="669" spans="1:23" ht="66.75" customHeight="1" x14ac:dyDescent="0.25">
      <c r="A669" s="1034"/>
      <c r="B669" s="1032"/>
      <c r="C669" s="1036"/>
      <c r="D669" s="1036"/>
      <c r="E669" s="1036"/>
      <c r="F669" s="1033"/>
      <c r="G669" s="121"/>
      <c r="H669" s="70"/>
      <c r="I669" s="70"/>
      <c r="J669" s="70"/>
      <c r="K669" s="70"/>
      <c r="L669" s="149"/>
      <c r="M669" s="1265" t="s">
        <v>3510</v>
      </c>
      <c r="N669" s="1265" t="s">
        <v>3511</v>
      </c>
      <c r="O669" s="143">
        <v>3</v>
      </c>
      <c r="P669" s="70"/>
      <c r="Q669" s="70"/>
      <c r="R669" s="149"/>
      <c r="S669" s="149"/>
      <c r="T669" s="149"/>
      <c r="U669" s="149"/>
      <c r="V669" s="149"/>
      <c r="W669" s="149"/>
    </row>
    <row r="670" spans="1:23" ht="66.75" customHeight="1" x14ac:dyDescent="0.25">
      <c r="A670" s="1034"/>
      <c r="B670" s="1032"/>
      <c r="C670" s="1036"/>
      <c r="D670" s="1036"/>
      <c r="E670" s="1036"/>
      <c r="F670" s="1033"/>
      <c r="G670" s="121"/>
      <c r="H670" s="70"/>
      <c r="I670" s="70"/>
      <c r="J670" s="70"/>
      <c r="K670" s="70"/>
      <c r="L670" s="149"/>
      <c r="M670" s="143"/>
      <c r="N670" s="143"/>
      <c r="O670" s="143"/>
      <c r="P670" s="70"/>
      <c r="Q670" s="70"/>
      <c r="R670" s="149"/>
      <c r="S670" s="149"/>
      <c r="T670" s="149"/>
      <c r="U670" s="149"/>
      <c r="V670" s="149"/>
      <c r="W670" s="149"/>
    </row>
    <row r="671" spans="1:23" ht="20.100000000000001" customHeight="1" thickBot="1" x14ac:dyDescent="0.3">
      <c r="A671" s="405"/>
      <c r="B671" s="394"/>
      <c r="C671" s="395"/>
      <c r="D671" s="395"/>
      <c r="E671" s="395"/>
      <c r="F671" s="396"/>
      <c r="G671" s="1556" t="s">
        <v>1860</v>
      </c>
      <c r="H671" s="1711"/>
      <c r="I671" s="1711"/>
      <c r="J671" s="136">
        <f>SUM(J652:J670)</f>
        <v>15.248539999999998</v>
      </c>
      <c r="K671" s="183">
        <v>0.8</v>
      </c>
      <c r="L671" s="136">
        <f>J671/K671</f>
        <v>19.060674999999996</v>
      </c>
      <c r="M671" s="1711" t="s">
        <v>1861</v>
      </c>
      <c r="N671" s="1711"/>
      <c r="O671" s="136">
        <f>SUM(O636:O670)</f>
        <v>35.775500000000008</v>
      </c>
      <c r="P671" s="183">
        <v>0.8</v>
      </c>
      <c r="Q671" s="136">
        <f>O671/P671</f>
        <v>44.719375000000007</v>
      </c>
      <c r="R671" s="1711" t="s">
        <v>1860</v>
      </c>
      <c r="S671" s="1711"/>
      <c r="T671" s="1711"/>
      <c r="U671" s="136">
        <f>SUM(U636:U657)</f>
        <v>0.49519999999999997</v>
      </c>
      <c r="V671" s="183">
        <v>0.8</v>
      </c>
      <c r="W671" s="136">
        <f>U671/V671</f>
        <v>0.61899999999999988</v>
      </c>
    </row>
    <row r="672" spans="1:23" ht="20.100000000000001" customHeight="1" x14ac:dyDescent="0.25">
      <c r="A672" s="1683" t="str">
        <f>'Расчет ЦП - общая форма'!C358</f>
        <v xml:space="preserve">ПС 110/35/10 кВ Северная </v>
      </c>
      <c r="B672" s="1551">
        <f>'Расчет ЦП - общая форма'!D358</f>
        <v>40</v>
      </c>
      <c r="C672" s="1552" t="str">
        <f>'Расчет ЦП - общая форма'!E358</f>
        <v>+</v>
      </c>
      <c r="D672" s="1552">
        <f>'Расчет ЦП - общая форма'!F358</f>
        <v>40</v>
      </c>
      <c r="E672" s="399"/>
      <c r="F672" s="400"/>
      <c r="G672" s="1712" t="s">
        <v>1989</v>
      </c>
      <c r="H672" s="1712"/>
      <c r="I672" s="1712"/>
      <c r="J672" s="1712"/>
      <c r="K672" s="1712"/>
      <c r="L672" s="1702"/>
      <c r="M672" s="77"/>
      <c r="N672" s="77"/>
      <c r="O672" s="77"/>
      <c r="P672" s="77"/>
      <c r="Q672" s="77"/>
      <c r="R672" s="1713"/>
      <c r="S672" s="1691"/>
      <c r="T672" s="1691"/>
      <c r="U672" s="1691"/>
      <c r="V672" s="1691"/>
      <c r="W672" s="1692"/>
    </row>
    <row r="673" spans="1:23" ht="55.5" customHeight="1" x14ac:dyDescent="0.25">
      <c r="A673" s="1540"/>
      <c r="B673" s="1501"/>
      <c r="C673" s="1553"/>
      <c r="D673" s="1553"/>
      <c r="E673" s="403"/>
      <c r="F673" s="404"/>
      <c r="G673" s="281" t="s">
        <v>1750</v>
      </c>
      <c r="H673" s="45" t="s">
        <v>1751</v>
      </c>
      <c r="I673" s="45" t="s">
        <v>1752</v>
      </c>
      <c r="J673" s="45">
        <v>0.46</v>
      </c>
      <c r="K673" s="45"/>
      <c r="L673" s="72"/>
      <c r="M673" s="45" t="s">
        <v>1753</v>
      </c>
      <c r="N673" s="45" t="s">
        <v>1754</v>
      </c>
      <c r="O673" s="45">
        <v>0.13900000000000001</v>
      </c>
      <c r="P673" s="45"/>
      <c r="Q673" s="45"/>
      <c r="R673" s="72"/>
      <c r="S673" s="72"/>
      <c r="T673" s="72"/>
      <c r="U673" s="72"/>
      <c r="V673" s="72"/>
      <c r="W673" s="72"/>
    </row>
    <row r="674" spans="1:23" ht="20.100000000000001" customHeight="1" x14ac:dyDescent="0.25">
      <c r="A674" s="410"/>
      <c r="B674" s="569"/>
      <c r="C674" s="571"/>
      <c r="D674" s="571"/>
      <c r="E674" s="571"/>
      <c r="F674" s="572"/>
      <c r="G674" s="1663" t="s">
        <v>1988</v>
      </c>
      <c r="H674" s="1663"/>
      <c r="I674" s="1663"/>
      <c r="J674" s="1663"/>
      <c r="K674" s="1663"/>
      <c r="L674" s="1664"/>
      <c r="M674" s="45"/>
      <c r="N674" s="45"/>
      <c r="O674" s="45"/>
      <c r="P674" s="45"/>
      <c r="Q674" s="45"/>
      <c r="R674" s="1680"/>
      <c r="S674" s="1681"/>
      <c r="T674" s="1681"/>
      <c r="U674" s="1681"/>
      <c r="V674" s="1681"/>
      <c r="W674" s="1408"/>
    </row>
    <row r="675" spans="1:23" ht="20.100000000000001" customHeight="1" x14ac:dyDescent="0.25">
      <c r="A675" s="410"/>
      <c r="B675" s="569"/>
      <c r="C675" s="571"/>
      <c r="D675" s="571"/>
      <c r="E675" s="571"/>
      <c r="F675" s="572"/>
      <c r="G675" s="66" t="s">
        <v>1755</v>
      </c>
      <c r="H675" s="2" t="s">
        <v>1756</v>
      </c>
      <c r="I675" s="2" t="s">
        <v>1757</v>
      </c>
      <c r="J675" s="2">
        <v>0.128</v>
      </c>
      <c r="K675" s="2"/>
      <c r="L675" s="142"/>
      <c r="M675" s="2" t="s">
        <v>1332</v>
      </c>
      <c r="N675" s="2" t="s">
        <v>1333</v>
      </c>
      <c r="O675" s="2">
        <v>0.28299999999999997</v>
      </c>
      <c r="P675" s="2"/>
      <c r="Q675" s="2"/>
      <c r="R675" s="142"/>
      <c r="S675" s="142"/>
      <c r="T675" s="142"/>
      <c r="U675" s="142"/>
      <c r="V675" s="142"/>
      <c r="W675" s="142"/>
    </row>
    <row r="676" spans="1:23" ht="20.100000000000001" customHeight="1" x14ac:dyDescent="0.25">
      <c r="A676" s="410"/>
      <c r="B676" s="569"/>
      <c r="C676" s="571"/>
      <c r="D676" s="571"/>
      <c r="E676" s="571"/>
      <c r="F676" s="572"/>
      <c r="G676" s="66" t="s">
        <v>1335</v>
      </c>
      <c r="H676" s="2" t="s">
        <v>1336</v>
      </c>
      <c r="I676" s="2" t="s">
        <v>1337</v>
      </c>
      <c r="J676" s="2">
        <v>6</v>
      </c>
      <c r="K676" s="2"/>
      <c r="L676" s="142"/>
      <c r="M676" s="2" t="s">
        <v>1117</v>
      </c>
      <c r="N676" s="2" t="s">
        <v>1334</v>
      </c>
      <c r="O676" s="2">
        <v>8.8999999999999996E-2</v>
      </c>
      <c r="P676" s="2"/>
      <c r="Q676" s="2"/>
      <c r="R676" s="142"/>
      <c r="S676" s="142"/>
      <c r="T676" s="142"/>
      <c r="U676" s="142"/>
      <c r="V676" s="142"/>
      <c r="W676" s="142"/>
    </row>
    <row r="677" spans="1:23" ht="20.100000000000001" customHeight="1" x14ac:dyDescent="0.25">
      <c r="A677" s="410"/>
      <c r="B677" s="569"/>
      <c r="C677" s="571"/>
      <c r="D677" s="571"/>
      <c r="E677" s="571"/>
      <c r="F677" s="572"/>
      <c r="G677" s="66" t="s">
        <v>1340</v>
      </c>
      <c r="H677" s="2" t="s">
        <v>1341</v>
      </c>
      <c r="I677" s="2" t="s">
        <v>1342</v>
      </c>
      <c r="J677" s="2">
        <v>0.14000000000000001</v>
      </c>
      <c r="K677" s="2"/>
      <c r="L677" s="142"/>
      <c r="M677" s="2" t="s">
        <v>1338</v>
      </c>
      <c r="N677" s="2" t="s">
        <v>1339</v>
      </c>
      <c r="O677" s="2">
        <v>0.24</v>
      </c>
      <c r="P677" s="2"/>
      <c r="Q677" s="2"/>
      <c r="R677" s="142"/>
      <c r="S677" s="142"/>
      <c r="T677" s="142"/>
      <c r="U677" s="142"/>
      <c r="V677" s="142"/>
      <c r="W677" s="142"/>
    </row>
    <row r="678" spans="1:23" ht="20.100000000000001" customHeight="1" x14ac:dyDescent="0.25">
      <c r="A678" s="410"/>
      <c r="B678" s="569"/>
      <c r="C678" s="571"/>
      <c r="D678" s="571"/>
      <c r="E678" s="571"/>
      <c r="F678" s="572"/>
      <c r="G678" s="1663" t="s">
        <v>1987</v>
      </c>
      <c r="H678" s="1663"/>
      <c r="I678" s="1663"/>
      <c r="J678" s="1663"/>
      <c r="K678" s="1663"/>
      <c r="L678" s="1664"/>
      <c r="M678" s="2"/>
      <c r="N678" s="2"/>
      <c r="O678" s="2"/>
      <c r="P678" s="2"/>
      <c r="Q678" s="2"/>
      <c r="R678" s="1680"/>
      <c r="S678" s="1681"/>
      <c r="T678" s="1681"/>
      <c r="U678" s="1681"/>
      <c r="V678" s="1681"/>
      <c r="W678" s="1408"/>
    </row>
    <row r="679" spans="1:23" ht="44.25" customHeight="1" x14ac:dyDescent="0.25">
      <c r="A679" s="410"/>
      <c r="B679" s="569"/>
      <c r="C679" s="571"/>
      <c r="D679" s="571"/>
      <c r="E679" s="571"/>
      <c r="F679" s="572"/>
      <c r="G679" s="66" t="s">
        <v>1345</v>
      </c>
      <c r="H679" s="2" t="s">
        <v>1346</v>
      </c>
      <c r="I679" s="2" t="s">
        <v>1347</v>
      </c>
      <c r="J679" s="2">
        <v>2.5000000000000001E-2</v>
      </c>
      <c r="K679" s="2"/>
      <c r="L679" s="142"/>
      <c r="M679" s="2" t="s">
        <v>1343</v>
      </c>
      <c r="N679" s="2" t="s">
        <v>1344</v>
      </c>
      <c r="O679" s="2">
        <v>0.27800000000000002</v>
      </c>
      <c r="P679" s="2"/>
      <c r="Q679" s="2"/>
      <c r="R679" s="142"/>
      <c r="S679" s="142"/>
      <c r="T679" s="142"/>
      <c r="U679" s="142"/>
      <c r="V679" s="142"/>
      <c r="W679" s="142"/>
    </row>
    <row r="680" spans="1:23" ht="20.100000000000001" customHeight="1" x14ac:dyDescent="0.25">
      <c r="A680" s="410"/>
      <c r="B680" s="569"/>
      <c r="C680" s="571"/>
      <c r="D680" s="571"/>
      <c r="E680" s="571"/>
      <c r="F680" s="572"/>
      <c r="G680" s="66" t="s">
        <v>1350</v>
      </c>
      <c r="H680" s="2" t="s">
        <v>1351</v>
      </c>
      <c r="I680" s="2" t="s">
        <v>1352</v>
      </c>
      <c r="J680" s="2">
        <v>0.185</v>
      </c>
      <c r="K680" s="2"/>
      <c r="L680" s="142"/>
      <c r="M680" s="2" t="s">
        <v>1348</v>
      </c>
      <c r="N680" s="2" t="s">
        <v>1349</v>
      </c>
      <c r="O680" s="2">
        <v>0.02</v>
      </c>
      <c r="P680" s="2"/>
      <c r="Q680" s="2"/>
      <c r="R680" s="142"/>
      <c r="S680" s="142"/>
      <c r="T680" s="142"/>
      <c r="U680" s="142"/>
      <c r="V680" s="142"/>
      <c r="W680" s="142"/>
    </row>
    <row r="681" spans="1:23" ht="20.100000000000001" customHeight="1" x14ac:dyDescent="0.25">
      <c r="A681" s="410"/>
      <c r="B681" s="569"/>
      <c r="C681" s="571"/>
      <c r="D681" s="571"/>
      <c r="E681" s="571"/>
      <c r="F681" s="572"/>
      <c r="G681" s="1663" t="s">
        <v>2062</v>
      </c>
      <c r="H681" s="1663"/>
      <c r="I681" s="1663"/>
      <c r="J681" s="1663"/>
      <c r="K681" s="1663"/>
      <c r="L681" s="1664"/>
      <c r="M681" s="2" t="s">
        <v>1353</v>
      </c>
      <c r="N681" s="2" t="s">
        <v>1354</v>
      </c>
      <c r="O681" s="2">
        <v>0.24099999999999999</v>
      </c>
      <c r="P681" s="2"/>
      <c r="Q681" s="2"/>
      <c r="R681" s="1680"/>
      <c r="S681" s="1681"/>
      <c r="T681" s="1681"/>
      <c r="U681" s="1681"/>
      <c r="V681" s="1681"/>
      <c r="W681" s="1408"/>
    </row>
    <row r="682" spans="1:23" ht="48.75" customHeight="1" x14ac:dyDescent="0.25">
      <c r="A682" s="410"/>
      <c r="B682" s="569"/>
      <c r="C682" s="571"/>
      <c r="D682" s="571"/>
      <c r="E682" s="571"/>
      <c r="F682" s="572"/>
      <c r="G682" s="66" t="s">
        <v>2492</v>
      </c>
      <c r="H682" s="2" t="s">
        <v>2493</v>
      </c>
      <c r="I682" s="48" t="s">
        <v>2494</v>
      </c>
      <c r="J682" s="2">
        <v>0.3</v>
      </c>
      <c r="K682" s="2"/>
      <c r="L682" s="142"/>
      <c r="M682" s="2" t="s">
        <v>1355</v>
      </c>
      <c r="N682" s="2" t="s">
        <v>1356</v>
      </c>
      <c r="O682" s="2">
        <v>0.16039999999999999</v>
      </c>
      <c r="P682" s="2"/>
      <c r="Q682" s="2"/>
      <c r="R682" s="142"/>
      <c r="S682" s="142"/>
      <c r="T682" s="283"/>
      <c r="U682" s="142"/>
      <c r="V682" s="142"/>
      <c r="W682" s="142"/>
    </row>
    <row r="683" spans="1:23" ht="20.100000000000001" customHeight="1" x14ac:dyDescent="0.25">
      <c r="A683" s="410"/>
      <c r="B683" s="569"/>
      <c r="C683" s="571"/>
      <c r="D683" s="571"/>
      <c r="E683" s="571"/>
      <c r="F683" s="572"/>
      <c r="G683" s="1663" t="s">
        <v>2675</v>
      </c>
      <c r="H683" s="1663"/>
      <c r="I683" s="1663"/>
      <c r="J683" s="1663"/>
      <c r="K683" s="1663"/>
      <c r="L683" s="1664"/>
      <c r="M683" s="2"/>
      <c r="N683" s="2"/>
      <c r="O683" s="2"/>
      <c r="P683" s="2"/>
      <c r="Q683" s="2"/>
      <c r="R683" s="142"/>
      <c r="S683" s="142"/>
      <c r="T683" s="362"/>
      <c r="U683" s="142"/>
      <c r="V683" s="142"/>
      <c r="W683" s="142"/>
    </row>
    <row r="684" spans="1:23" ht="20.100000000000001" customHeight="1" x14ac:dyDescent="0.25">
      <c r="A684" s="410"/>
      <c r="B684" s="569"/>
      <c r="C684" s="571"/>
      <c r="D684" s="571"/>
      <c r="E684" s="571"/>
      <c r="F684" s="572"/>
      <c r="G684" s="66" t="s">
        <v>1332</v>
      </c>
      <c r="H684" s="2" t="s">
        <v>2634</v>
      </c>
      <c r="I684" s="48" t="s">
        <v>2903</v>
      </c>
      <c r="J684" s="2">
        <v>0</v>
      </c>
      <c r="K684" s="2"/>
      <c r="L684" s="142"/>
      <c r="M684" s="2" t="s">
        <v>1357</v>
      </c>
      <c r="N684" s="2" t="s">
        <v>1358</v>
      </c>
      <c r="O684" s="2">
        <v>0.1</v>
      </c>
      <c r="P684" s="2"/>
      <c r="Q684" s="2"/>
      <c r="R684" s="142"/>
      <c r="S684" s="142"/>
      <c r="T684" s="362"/>
      <c r="U684" s="142"/>
      <c r="V684" s="142"/>
      <c r="W684" s="142"/>
    </row>
    <row r="685" spans="1:23" ht="20.100000000000001" customHeight="1" x14ac:dyDescent="0.25">
      <c r="A685" s="410"/>
      <c r="B685" s="569"/>
      <c r="C685" s="571"/>
      <c r="D685" s="571"/>
      <c r="E685" s="571"/>
      <c r="F685" s="572"/>
      <c r="G685" s="66" t="s">
        <v>2787</v>
      </c>
      <c r="H685" s="2" t="s">
        <v>2842</v>
      </c>
      <c r="I685" s="48" t="s">
        <v>2915</v>
      </c>
      <c r="J685" s="2">
        <f>0.7-0.2</f>
        <v>0.49999999999999994</v>
      </c>
      <c r="K685" s="2"/>
      <c r="L685" s="142"/>
      <c r="M685" s="2" t="s">
        <v>1359</v>
      </c>
      <c r="N685" s="2" t="s">
        <v>1360</v>
      </c>
      <c r="O685" s="2">
        <v>0.03</v>
      </c>
      <c r="P685" s="2"/>
      <c r="Q685" s="2"/>
      <c r="R685" s="142"/>
      <c r="S685" s="142"/>
      <c r="T685" s="362"/>
      <c r="U685" s="142"/>
      <c r="V685" s="142"/>
      <c r="W685" s="142"/>
    </row>
    <row r="686" spans="1:23" ht="20.100000000000001" customHeight="1" x14ac:dyDescent="0.25">
      <c r="A686" s="410"/>
      <c r="B686" s="569"/>
      <c r="C686" s="571"/>
      <c r="D686" s="571"/>
      <c r="E686" s="571"/>
      <c r="F686" s="572"/>
      <c r="G686" s="66"/>
      <c r="H686" s="2"/>
      <c r="I686" s="201"/>
      <c r="J686" s="2"/>
      <c r="K686" s="2"/>
      <c r="L686" s="142"/>
      <c r="M686" s="2" t="s">
        <v>1361</v>
      </c>
      <c r="N686" s="2" t="s">
        <v>1362</v>
      </c>
      <c r="O686" s="2">
        <v>7.0000000000000007E-2</v>
      </c>
      <c r="P686" s="2"/>
      <c r="Q686" s="2"/>
      <c r="R686" s="142"/>
      <c r="S686" s="142"/>
      <c r="T686" s="362"/>
      <c r="U686" s="142"/>
      <c r="V686" s="142"/>
      <c r="W686" s="142"/>
    </row>
    <row r="687" spans="1:23" ht="20.100000000000001" customHeight="1" x14ac:dyDescent="0.25">
      <c r="A687" s="410"/>
      <c r="B687" s="569"/>
      <c r="C687" s="571"/>
      <c r="D687" s="571"/>
      <c r="E687" s="571"/>
      <c r="F687" s="572"/>
      <c r="G687" s="66"/>
      <c r="H687" s="2"/>
      <c r="I687" s="201"/>
      <c r="J687" s="2"/>
      <c r="K687" s="2"/>
      <c r="L687" s="142"/>
      <c r="M687" s="2" t="s">
        <v>1363</v>
      </c>
      <c r="N687" s="2" t="s">
        <v>1364</v>
      </c>
      <c r="O687" s="202">
        <v>0.1</v>
      </c>
      <c r="P687" s="2"/>
      <c r="Q687" s="2"/>
      <c r="R687" s="142"/>
      <c r="S687" s="142"/>
      <c r="T687" s="362"/>
      <c r="U687" s="142"/>
      <c r="V687" s="142"/>
      <c r="W687" s="142"/>
    </row>
    <row r="688" spans="1:23" ht="20.100000000000001" customHeight="1" x14ac:dyDescent="0.25">
      <c r="A688" s="410"/>
      <c r="B688" s="569"/>
      <c r="C688" s="571"/>
      <c r="D688" s="571"/>
      <c r="E688" s="571"/>
      <c r="F688" s="572"/>
      <c r="G688" s="66"/>
      <c r="H688" s="2"/>
      <c r="I688" s="201"/>
      <c r="J688" s="2"/>
      <c r="K688" s="2"/>
      <c r="L688" s="142"/>
      <c r="M688" s="2" t="s">
        <v>1365</v>
      </c>
      <c r="N688" s="2" t="s">
        <v>1366</v>
      </c>
      <c r="O688" s="2">
        <v>9.9000000000000005E-2</v>
      </c>
      <c r="P688" s="2"/>
      <c r="Q688" s="2"/>
      <c r="R688" s="142"/>
      <c r="S688" s="142"/>
      <c r="T688" s="362"/>
      <c r="U688" s="142"/>
      <c r="V688" s="142"/>
      <c r="W688" s="142"/>
    </row>
    <row r="689" spans="1:23" s="116" customFormat="1" ht="20.100000000000001" customHeight="1" x14ac:dyDescent="0.25">
      <c r="A689" s="410"/>
      <c r="B689" s="569"/>
      <c r="C689" s="571"/>
      <c r="D689" s="571"/>
      <c r="E689" s="571"/>
      <c r="F689" s="572"/>
      <c r="G689" s="66"/>
      <c r="H689" s="2"/>
      <c r="I689" s="201"/>
      <c r="J689" s="2"/>
      <c r="K689" s="2"/>
      <c r="L689" s="142"/>
      <c r="M689" s="2" t="s">
        <v>1367</v>
      </c>
      <c r="N689" s="2" t="s">
        <v>1368</v>
      </c>
      <c r="O689" s="2">
        <v>0.1</v>
      </c>
      <c r="P689" s="2"/>
      <c r="Q689" s="2"/>
      <c r="R689" s="142"/>
      <c r="S689" s="142"/>
      <c r="T689" s="362"/>
      <c r="U689" s="142"/>
      <c r="V689" s="142"/>
      <c r="W689" s="142"/>
    </row>
    <row r="690" spans="1:23" ht="20.100000000000001" customHeight="1" x14ac:dyDescent="0.25">
      <c r="A690" s="410"/>
      <c r="B690" s="569"/>
      <c r="C690" s="571"/>
      <c r="D690" s="571"/>
      <c r="E690" s="571"/>
      <c r="F690" s="572"/>
      <c r="G690" s="66"/>
      <c r="H690" s="2"/>
      <c r="I690" s="201"/>
      <c r="J690" s="2"/>
      <c r="K690" s="2"/>
      <c r="L690" s="142"/>
      <c r="M690" s="143" t="s">
        <v>1369</v>
      </c>
      <c r="N690" s="143" t="s">
        <v>1370</v>
      </c>
      <c r="O690" s="2">
        <v>0.125</v>
      </c>
      <c r="P690" s="2"/>
      <c r="Q690" s="2"/>
      <c r="R690" s="142"/>
      <c r="S690" s="142"/>
      <c r="T690" s="362"/>
      <c r="U690" s="142"/>
      <c r="V690" s="142"/>
      <c r="W690" s="142"/>
    </row>
    <row r="691" spans="1:23" ht="20.100000000000001" customHeight="1" x14ac:dyDescent="0.25">
      <c r="A691" s="410"/>
      <c r="B691" s="569"/>
      <c r="C691" s="571"/>
      <c r="D691" s="571"/>
      <c r="E691" s="571"/>
      <c r="F691" s="572"/>
      <c r="G691" s="66"/>
      <c r="H691" s="2"/>
      <c r="I691" s="201"/>
      <c r="J691" s="2"/>
      <c r="K691" s="2"/>
      <c r="L691" s="142"/>
      <c r="M691" s="143" t="s">
        <v>1371</v>
      </c>
      <c r="N691" s="143" t="s">
        <v>1372</v>
      </c>
      <c r="O691" s="2">
        <v>0.04</v>
      </c>
      <c r="P691" s="2"/>
      <c r="Q691" s="2"/>
      <c r="R691" s="142"/>
      <c r="S691" s="142"/>
      <c r="T691" s="362"/>
      <c r="U691" s="142"/>
      <c r="V691" s="142"/>
      <c r="W691" s="142"/>
    </row>
    <row r="692" spans="1:23" ht="20.100000000000001" customHeight="1" x14ac:dyDescent="0.25">
      <c r="A692" s="410"/>
      <c r="B692" s="569"/>
      <c r="C692" s="571"/>
      <c r="D692" s="571"/>
      <c r="E692" s="571"/>
      <c r="F692" s="572"/>
      <c r="G692" s="66"/>
      <c r="H692" s="2"/>
      <c r="I692" s="201"/>
      <c r="J692" s="2"/>
      <c r="K692" s="2"/>
      <c r="L692" s="142"/>
      <c r="M692" s="142" t="s">
        <v>1373</v>
      </c>
      <c r="N692" s="142" t="s">
        <v>1374</v>
      </c>
      <c r="O692" s="2">
        <v>8.5000000000000006E-2</v>
      </c>
      <c r="P692" s="2"/>
      <c r="Q692" s="2"/>
      <c r="R692" s="142"/>
      <c r="S692" s="142"/>
      <c r="T692" s="362"/>
      <c r="U692" s="142"/>
      <c r="V692" s="142"/>
      <c r="W692" s="142"/>
    </row>
    <row r="693" spans="1:23" ht="109.5" customHeight="1" x14ac:dyDescent="0.25">
      <c r="A693" s="410"/>
      <c r="B693" s="569"/>
      <c r="C693" s="571"/>
      <c r="D693" s="571"/>
      <c r="E693" s="571"/>
      <c r="F693" s="572"/>
      <c r="G693" s="66"/>
      <c r="H693" s="2"/>
      <c r="I693" s="201"/>
      <c r="J693" s="2"/>
      <c r="K693" s="2"/>
      <c r="L693" s="142"/>
      <c r="M693" s="143" t="s">
        <v>1723</v>
      </c>
      <c r="N693" s="143" t="s">
        <v>1375</v>
      </c>
      <c r="O693" s="2">
        <v>0.3</v>
      </c>
      <c r="P693" s="2"/>
      <c r="Q693" s="2"/>
      <c r="R693" s="142"/>
      <c r="S693" s="142"/>
      <c r="T693" s="362"/>
      <c r="U693" s="142"/>
      <c r="V693" s="142"/>
      <c r="W693" s="142"/>
    </row>
    <row r="694" spans="1:23" ht="20.100000000000001" customHeight="1" x14ac:dyDescent="0.25">
      <c r="A694" s="410"/>
      <c r="B694" s="569"/>
      <c r="C694" s="571"/>
      <c r="D694" s="571"/>
      <c r="E694" s="571"/>
      <c r="F694" s="572"/>
      <c r="G694" s="66"/>
      <c r="H694" s="2"/>
      <c r="I694" s="201"/>
      <c r="J694" s="2"/>
      <c r="K694" s="2"/>
      <c r="L694" s="142"/>
      <c r="M694" s="143" t="s">
        <v>1376</v>
      </c>
      <c r="N694" s="143" t="s">
        <v>1377</v>
      </c>
      <c r="O694" s="2">
        <v>0.92300000000000004</v>
      </c>
      <c r="P694" s="2"/>
      <c r="Q694" s="2"/>
      <c r="R694" s="142"/>
      <c r="S694" s="142"/>
      <c r="T694" s="362"/>
      <c r="U694" s="142"/>
      <c r="V694" s="142"/>
      <c r="W694" s="142"/>
    </row>
    <row r="695" spans="1:23" ht="20.100000000000001" customHeight="1" x14ac:dyDescent="0.25">
      <c r="A695" s="410"/>
      <c r="B695" s="569"/>
      <c r="C695" s="571"/>
      <c r="D695" s="571"/>
      <c r="E695" s="571"/>
      <c r="F695" s="572"/>
      <c r="G695" s="66"/>
      <c r="H695" s="2"/>
      <c r="I695" s="201"/>
      <c r="J695" s="2"/>
      <c r="K695" s="2"/>
      <c r="L695" s="142"/>
      <c r="M695" s="142" t="s">
        <v>1378</v>
      </c>
      <c r="N695" s="147" t="s">
        <v>1379</v>
      </c>
      <c r="O695" s="2">
        <v>0.11799999999999999</v>
      </c>
      <c r="P695" s="2"/>
      <c r="Q695" s="2"/>
      <c r="R695" s="142"/>
      <c r="S695" s="142"/>
      <c r="T695" s="362"/>
      <c r="U695" s="142"/>
      <c r="V695" s="142"/>
      <c r="W695" s="142"/>
    </row>
    <row r="696" spans="1:23" ht="20.100000000000001" customHeight="1" x14ac:dyDescent="0.25">
      <c r="A696" s="410"/>
      <c r="B696" s="569"/>
      <c r="C696" s="571"/>
      <c r="D696" s="571"/>
      <c r="E696" s="571"/>
      <c r="F696" s="572"/>
      <c r="G696" s="66"/>
      <c r="H696" s="2"/>
      <c r="I696" s="201"/>
      <c r="J696" s="2"/>
      <c r="K696" s="2"/>
      <c r="L696" s="142"/>
      <c r="M696" s="143" t="s">
        <v>2097</v>
      </c>
      <c r="N696" s="143" t="s">
        <v>1380</v>
      </c>
      <c r="O696" s="2">
        <v>0.5</v>
      </c>
      <c r="P696" s="2"/>
      <c r="Q696" s="2"/>
      <c r="R696" s="142"/>
      <c r="S696" s="142"/>
      <c r="T696" s="362"/>
      <c r="U696" s="142"/>
      <c r="V696" s="142"/>
      <c r="W696" s="142"/>
    </row>
    <row r="697" spans="1:23" ht="20.100000000000001" customHeight="1" x14ac:dyDescent="0.25">
      <c r="A697" s="410"/>
      <c r="B697" s="569"/>
      <c r="C697" s="571"/>
      <c r="D697" s="571"/>
      <c r="E697" s="571"/>
      <c r="F697" s="572"/>
      <c r="G697" s="66"/>
      <c r="H697" s="2"/>
      <c r="I697" s="201"/>
      <c r="J697" s="2"/>
      <c r="K697" s="2"/>
      <c r="L697" s="142"/>
      <c r="M697" s="143" t="s">
        <v>2097</v>
      </c>
      <c r="N697" s="153" t="s">
        <v>1381</v>
      </c>
      <c r="O697" s="2">
        <v>0.47</v>
      </c>
      <c r="P697" s="2"/>
      <c r="Q697" s="2"/>
      <c r="R697" s="142"/>
      <c r="S697" s="142"/>
      <c r="T697" s="362"/>
      <c r="U697" s="142"/>
      <c r="V697" s="142"/>
      <c r="W697" s="142"/>
    </row>
    <row r="698" spans="1:23" ht="20.100000000000001" customHeight="1" x14ac:dyDescent="0.25">
      <c r="A698" s="410"/>
      <c r="B698" s="569"/>
      <c r="C698" s="571"/>
      <c r="D698" s="571"/>
      <c r="E698" s="571"/>
      <c r="F698" s="572"/>
      <c r="G698" s="66"/>
      <c r="H698" s="2"/>
      <c r="I698" s="201"/>
      <c r="J698" s="2"/>
      <c r="K698" s="2"/>
      <c r="L698" s="142"/>
      <c r="M698" s="143" t="s">
        <v>1998</v>
      </c>
      <c r="N698" s="143" t="s">
        <v>1382</v>
      </c>
      <c r="O698" s="2">
        <v>3.5299999999999998E-2</v>
      </c>
      <c r="P698" s="2"/>
      <c r="Q698" s="2"/>
      <c r="R698" s="142"/>
      <c r="S698" s="142"/>
      <c r="T698" s="362"/>
      <c r="U698" s="142"/>
      <c r="V698" s="142"/>
      <c r="W698" s="142"/>
    </row>
    <row r="699" spans="1:23" ht="20.100000000000001" customHeight="1" x14ac:dyDescent="0.25">
      <c r="A699" s="401"/>
      <c r="B699" s="402"/>
      <c r="C699" s="403"/>
      <c r="D699" s="403"/>
      <c r="E699" s="403"/>
      <c r="F699" s="404"/>
      <c r="G699" s="204"/>
      <c r="H699" s="2"/>
      <c r="I699" s="201"/>
      <c r="J699" s="70"/>
      <c r="K699" s="70"/>
      <c r="L699" s="149"/>
      <c r="M699" s="143" t="s">
        <v>2201</v>
      </c>
      <c r="N699" s="143" t="s">
        <v>2202</v>
      </c>
      <c r="O699" s="2">
        <v>0.3</v>
      </c>
      <c r="P699" s="2"/>
      <c r="Q699" s="2"/>
      <c r="R699" s="142"/>
      <c r="S699" s="142"/>
      <c r="T699" s="362"/>
      <c r="U699" s="142"/>
      <c r="V699" s="142"/>
      <c r="W699" s="142"/>
    </row>
    <row r="700" spans="1:23" ht="20.100000000000001" customHeight="1" x14ac:dyDescent="0.25">
      <c r="A700" s="614"/>
      <c r="B700" s="615"/>
      <c r="C700" s="616"/>
      <c r="D700" s="616"/>
      <c r="E700" s="616"/>
      <c r="F700" s="613"/>
      <c r="G700" s="204"/>
      <c r="H700" s="2"/>
      <c r="I700" s="201"/>
      <c r="J700" s="70"/>
      <c r="K700" s="70"/>
      <c r="L700" s="149"/>
      <c r="M700" s="143" t="s">
        <v>2201</v>
      </c>
      <c r="N700" s="143" t="s">
        <v>2551</v>
      </c>
      <c r="O700" s="2">
        <v>0.39100000000000001</v>
      </c>
      <c r="P700" s="2"/>
      <c r="Q700" s="2"/>
      <c r="R700" s="142"/>
      <c r="S700" s="142"/>
      <c r="T700" s="362"/>
      <c r="U700" s="142"/>
      <c r="V700" s="142"/>
      <c r="W700" s="142"/>
    </row>
    <row r="701" spans="1:23" ht="20.100000000000001" customHeight="1" x14ac:dyDescent="0.25">
      <c r="A701" s="629"/>
      <c r="B701" s="631"/>
      <c r="C701" s="632"/>
      <c r="D701" s="632"/>
      <c r="E701" s="632"/>
      <c r="F701" s="628"/>
      <c r="G701" s="204"/>
      <c r="H701" s="2"/>
      <c r="I701" s="201"/>
      <c r="J701" s="70"/>
      <c r="K701" s="70"/>
      <c r="L701" s="149"/>
      <c r="M701" s="143" t="s">
        <v>2201</v>
      </c>
      <c r="N701" s="143" t="s">
        <v>2552</v>
      </c>
      <c r="O701" s="2">
        <v>0.08</v>
      </c>
      <c r="P701" s="2"/>
      <c r="Q701" s="2"/>
      <c r="R701" s="142"/>
      <c r="S701" s="142"/>
      <c r="T701" s="362"/>
      <c r="U701" s="142"/>
      <c r="V701" s="142"/>
      <c r="W701" s="142"/>
    </row>
    <row r="702" spans="1:23" ht="20.100000000000001" customHeight="1" x14ac:dyDescent="0.25">
      <c r="A702" s="765"/>
      <c r="B702" s="766"/>
      <c r="C702" s="767"/>
      <c r="D702" s="767"/>
      <c r="E702" s="767"/>
      <c r="F702" s="764"/>
      <c r="G702" s="2"/>
      <c r="H702" s="2"/>
      <c r="I702" s="201"/>
      <c r="J702" s="2"/>
      <c r="K702" s="2"/>
      <c r="L702" s="142"/>
      <c r="M702" s="2" t="s">
        <v>3045</v>
      </c>
      <c r="N702" s="2" t="s">
        <v>3046</v>
      </c>
      <c r="O702" s="2">
        <v>0.56720000000000004</v>
      </c>
      <c r="P702" s="2"/>
      <c r="Q702" s="2"/>
      <c r="R702" s="142"/>
      <c r="S702" s="142"/>
      <c r="T702" s="362"/>
      <c r="U702" s="142"/>
      <c r="V702" s="142"/>
      <c r="W702" s="142"/>
    </row>
    <row r="703" spans="1:23" ht="20.100000000000001" customHeight="1" thickBot="1" x14ac:dyDescent="0.3">
      <c r="A703" s="405"/>
      <c r="B703" s="394"/>
      <c r="C703" s="395"/>
      <c r="D703" s="395"/>
      <c r="E703" s="395"/>
      <c r="F703" s="396"/>
      <c r="G703" s="1555" t="s">
        <v>1860</v>
      </c>
      <c r="H703" s="1555"/>
      <c r="I703" s="1556"/>
      <c r="J703" s="136">
        <f>SUM(J684:J698)</f>
        <v>0.49999999999999994</v>
      </c>
      <c r="K703" s="183">
        <v>0.8</v>
      </c>
      <c r="L703" s="136">
        <f>J703/K703</f>
        <v>0.62499999999999989</v>
      </c>
      <c r="M703" s="1574" t="s">
        <v>1861</v>
      </c>
      <c r="N703" s="1556"/>
      <c r="O703" s="136">
        <f>SUM(O673:O702)</f>
        <v>5.8838999999999997</v>
      </c>
      <c r="P703" s="183">
        <v>0.8</v>
      </c>
      <c r="Q703" s="136">
        <f>O703/P703</f>
        <v>7.3548749999999989</v>
      </c>
      <c r="R703" s="1574" t="s">
        <v>1860</v>
      </c>
      <c r="S703" s="1555"/>
      <c r="T703" s="1556"/>
      <c r="U703" s="136">
        <f>SUM(U675:U698)</f>
        <v>0</v>
      </c>
      <c r="V703" s="183">
        <v>0.8</v>
      </c>
      <c r="W703" s="136">
        <f>U703/V703</f>
        <v>0</v>
      </c>
    </row>
    <row r="704" spans="1:23" s="67" customFormat="1" ht="20.100000000000001" customHeight="1" x14ac:dyDescent="0.25">
      <c r="A704" s="1683" t="str">
        <f>'Расчет ЦП - общая форма'!C361</f>
        <v xml:space="preserve">ПС 110/35/10 кВ Лазурная </v>
      </c>
      <c r="B704" s="1551">
        <f>'Расчет ЦП - общая форма'!D361</f>
        <v>40</v>
      </c>
      <c r="C704" s="1552" t="str">
        <f>'Расчет ЦП - общая форма'!E361</f>
        <v>+</v>
      </c>
      <c r="D704" s="1552">
        <f>'Расчет ЦП - общая форма'!F361</f>
        <v>40</v>
      </c>
      <c r="E704" s="399"/>
      <c r="F704" s="400"/>
      <c r="G704" s="1712" t="s">
        <v>1991</v>
      </c>
      <c r="H704" s="1712"/>
      <c r="I704" s="1712"/>
      <c r="J704" s="1712"/>
      <c r="K704" s="1712"/>
      <c r="L704" s="1702"/>
      <c r="M704" s="133"/>
      <c r="N704" s="175"/>
      <c r="O704" s="77"/>
      <c r="P704" s="77"/>
      <c r="Q704" s="279"/>
      <c r="R704" s="1713"/>
      <c r="S704" s="1691"/>
      <c r="T704" s="1691"/>
      <c r="U704" s="1691"/>
      <c r="V704" s="1691"/>
      <c r="W704" s="1692"/>
    </row>
    <row r="705" spans="1:23" ht="43.5" customHeight="1" x14ac:dyDescent="0.25">
      <c r="A705" s="1540"/>
      <c r="B705" s="1501"/>
      <c r="C705" s="1553"/>
      <c r="D705" s="1553"/>
      <c r="E705" s="403"/>
      <c r="F705" s="404"/>
      <c r="G705" s="262" t="s">
        <v>1383</v>
      </c>
      <c r="H705" s="42" t="s">
        <v>1384</v>
      </c>
      <c r="I705" s="42" t="s">
        <v>1385</v>
      </c>
      <c r="J705" s="42">
        <v>0.3</v>
      </c>
      <c r="K705" s="42"/>
      <c r="L705" s="72"/>
      <c r="M705" s="42"/>
      <c r="N705" s="42"/>
      <c r="O705" s="42"/>
      <c r="P705" s="42"/>
      <c r="Q705" s="284"/>
      <c r="R705" s="72"/>
      <c r="S705" s="72"/>
      <c r="T705" s="72"/>
      <c r="U705" s="72"/>
      <c r="V705" s="72"/>
      <c r="W705" s="72"/>
    </row>
    <row r="706" spans="1:23" ht="20.100000000000001" customHeight="1" x14ac:dyDescent="0.25">
      <c r="A706" s="1540"/>
      <c r="B706" s="1501"/>
      <c r="C706" s="1553"/>
      <c r="D706" s="1553"/>
      <c r="E706" s="403"/>
      <c r="F706" s="404"/>
      <c r="G706" s="1663" t="s">
        <v>1989</v>
      </c>
      <c r="H706" s="1663"/>
      <c r="I706" s="1663"/>
      <c r="J706" s="1663"/>
      <c r="K706" s="1663"/>
      <c r="L706" s="1664"/>
      <c r="M706" s="42"/>
      <c r="N706" s="42"/>
      <c r="O706" s="42"/>
      <c r="P706" s="42"/>
      <c r="Q706" s="284"/>
      <c r="R706" s="1680"/>
      <c r="S706" s="1681"/>
      <c r="T706" s="1681"/>
      <c r="U706" s="1681"/>
      <c r="V706" s="1681"/>
      <c r="W706" s="1408"/>
    </row>
    <row r="707" spans="1:23" ht="20.100000000000001" customHeight="1" x14ac:dyDescent="0.25">
      <c r="A707" s="1540"/>
      <c r="B707" s="1501"/>
      <c r="C707" s="1553"/>
      <c r="D707" s="1553"/>
      <c r="E707" s="403"/>
      <c r="F707" s="404"/>
      <c r="G707" s="184" t="s">
        <v>1386</v>
      </c>
      <c r="H707" s="143" t="s">
        <v>1387</v>
      </c>
      <c r="I707" s="143" t="s">
        <v>1388</v>
      </c>
      <c r="J707" s="143">
        <v>0.192</v>
      </c>
      <c r="K707" s="143"/>
      <c r="L707" s="142"/>
      <c r="M707" s="143" t="s">
        <v>1389</v>
      </c>
      <c r="N707" s="143" t="s">
        <v>1390</v>
      </c>
      <c r="O707" s="143">
        <v>3</v>
      </c>
      <c r="P707" s="143"/>
      <c r="Q707" s="282"/>
      <c r="R707" s="142"/>
      <c r="S707" s="142"/>
      <c r="T707" s="142"/>
      <c r="U707" s="142"/>
      <c r="V707" s="142"/>
      <c r="W707" s="142"/>
    </row>
    <row r="708" spans="1:23" ht="63.75" customHeight="1" x14ac:dyDescent="0.25">
      <c r="A708" s="1540"/>
      <c r="B708" s="1501"/>
      <c r="C708" s="1553"/>
      <c r="D708" s="1553"/>
      <c r="E708" s="403"/>
      <c r="F708" s="404"/>
      <c r="G708" s="184" t="s">
        <v>1389</v>
      </c>
      <c r="H708" s="143" t="s">
        <v>1391</v>
      </c>
      <c r="I708" s="143" t="s">
        <v>1392</v>
      </c>
      <c r="J708" s="143">
        <v>0.93</v>
      </c>
      <c r="K708" s="143"/>
      <c r="L708" s="142"/>
      <c r="M708" s="143" t="s">
        <v>1393</v>
      </c>
      <c r="N708" s="143" t="s">
        <v>1394</v>
      </c>
      <c r="O708" s="143">
        <v>0.747</v>
      </c>
      <c r="P708" s="143"/>
      <c r="Q708" s="282"/>
      <c r="R708" s="142"/>
      <c r="S708" s="142"/>
      <c r="T708" s="142"/>
      <c r="U708" s="142"/>
      <c r="V708" s="142"/>
      <c r="W708" s="142"/>
    </row>
    <row r="709" spans="1:23" ht="88.5" customHeight="1" x14ac:dyDescent="0.25">
      <c r="A709" s="410"/>
      <c r="B709" s="569"/>
      <c r="C709" s="571"/>
      <c r="D709" s="571"/>
      <c r="E709" s="571"/>
      <c r="F709" s="572"/>
      <c r="G709" s="184" t="s">
        <v>1395</v>
      </c>
      <c r="H709" s="143" t="s">
        <v>1396</v>
      </c>
      <c r="I709" s="143" t="s">
        <v>1397</v>
      </c>
      <c r="J709" s="143">
        <v>2.125</v>
      </c>
      <c r="K709" s="143"/>
      <c r="L709" s="142"/>
      <c r="M709" s="143" t="s">
        <v>1398</v>
      </c>
      <c r="N709" s="184" t="s">
        <v>1399</v>
      </c>
      <c r="O709" s="143">
        <v>2.9600000000000001E-2</v>
      </c>
      <c r="P709" s="143"/>
      <c r="Q709" s="282"/>
      <c r="R709" s="142"/>
      <c r="S709" s="142"/>
      <c r="T709" s="142"/>
      <c r="U709" s="142"/>
      <c r="V709" s="142"/>
      <c r="W709" s="142"/>
    </row>
    <row r="710" spans="1:23" ht="15.75" customHeight="1" x14ac:dyDescent="0.25">
      <c r="A710" s="410"/>
      <c r="B710" s="569"/>
      <c r="C710" s="571"/>
      <c r="D710" s="571"/>
      <c r="E710" s="571"/>
      <c r="F710" s="572"/>
      <c r="G710" s="1663" t="s">
        <v>1988</v>
      </c>
      <c r="H710" s="1663"/>
      <c r="I710" s="1663"/>
      <c r="J710" s="1663"/>
      <c r="K710" s="1663"/>
      <c r="L710" s="1664"/>
      <c r="M710" s="143"/>
      <c r="N710" s="143"/>
      <c r="O710" s="143"/>
      <c r="P710" s="143"/>
      <c r="Q710" s="285"/>
      <c r="R710" s="1680"/>
      <c r="S710" s="1681"/>
      <c r="T710" s="1681"/>
      <c r="U710" s="1681"/>
      <c r="V710" s="1681"/>
      <c r="W710" s="1408"/>
    </row>
    <row r="711" spans="1:23" ht="85.5" customHeight="1" x14ac:dyDescent="0.25">
      <c r="A711" s="410"/>
      <c r="B711" s="569"/>
      <c r="C711" s="571"/>
      <c r="D711" s="571"/>
      <c r="E711" s="571"/>
      <c r="F711" s="572"/>
      <c r="G711" s="184" t="s">
        <v>1400</v>
      </c>
      <c r="H711" s="143" t="s">
        <v>1401</v>
      </c>
      <c r="I711" s="143" t="s">
        <v>1402</v>
      </c>
      <c r="J711" s="143">
        <v>3</v>
      </c>
      <c r="K711" s="143"/>
      <c r="L711" s="142"/>
      <c r="M711" s="143" t="s">
        <v>1403</v>
      </c>
      <c r="N711" s="143" t="s">
        <v>1404</v>
      </c>
      <c r="O711" s="143">
        <v>0.05</v>
      </c>
      <c r="P711" s="143"/>
      <c r="Q711" s="285"/>
      <c r="R711" s="142"/>
      <c r="S711" s="142"/>
      <c r="T711" s="142"/>
      <c r="U711" s="142"/>
      <c r="V711" s="142"/>
      <c r="W711" s="142"/>
    </row>
    <row r="712" spans="1:23" ht="20.100000000000001" customHeight="1" x14ac:dyDescent="0.25">
      <c r="A712" s="410"/>
      <c r="B712" s="569"/>
      <c r="C712" s="571"/>
      <c r="D712" s="571"/>
      <c r="E712" s="571"/>
      <c r="F712" s="572"/>
      <c r="G712" s="1663" t="s">
        <v>1987</v>
      </c>
      <c r="H712" s="1663"/>
      <c r="I712" s="1663"/>
      <c r="J712" s="1663"/>
      <c r="K712" s="1663"/>
      <c r="L712" s="1664"/>
      <c r="M712" s="143"/>
      <c r="N712" s="143"/>
      <c r="O712" s="143"/>
      <c r="P712" s="143"/>
      <c r="Q712" s="285"/>
      <c r="R712" s="1680"/>
      <c r="S712" s="1681"/>
      <c r="T712" s="1681"/>
      <c r="U712" s="1681"/>
      <c r="V712" s="1681"/>
      <c r="W712" s="1408"/>
    </row>
    <row r="713" spans="1:23" ht="56.25" customHeight="1" x14ac:dyDescent="0.25">
      <c r="A713" s="410"/>
      <c r="B713" s="569"/>
      <c r="C713" s="571"/>
      <c r="D713" s="571"/>
      <c r="E713" s="571"/>
      <c r="F713" s="572"/>
      <c r="G713" s="184" t="s">
        <v>630</v>
      </c>
      <c r="H713" s="143" t="s">
        <v>1405</v>
      </c>
      <c r="I713" s="143" t="s">
        <v>1406</v>
      </c>
      <c r="J713" s="143">
        <v>0.17</v>
      </c>
      <c r="K713" s="143"/>
      <c r="L713" s="142"/>
      <c r="M713" s="143" t="s">
        <v>1409</v>
      </c>
      <c r="N713" s="143" t="s">
        <v>1410</v>
      </c>
      <c r="O713" s="143">
        <v>0.1</v>
      </c>
      <c r="P713" s="143"/>
      <c r="Q713" s="282"/>
      <c r="R713" s="142"/>
      <c r="S713" s="142"/>
      <c r="T713" s="142"/>
      <c r="U713" s="142"/>
      <c r="V713" s="142"/>
      <c r="W713" s="142"/>
    </row>
    <row r="714" spans="1:23" ht="38.25" customHeight="1" x14ac:dyDescent="0.25">
      <c r="A714" s="410"/>
      <c r="B714" s="569"/>
      <c r="C714" s="571"/>
      <c r="D714" s="571"/>
      <c r="E714" s="571"/>
      <c r="F714" s="572"/>
      <c r="G714" s="184" t="s">
        <v>2589</v>
      </c>
      <c r="H714" s="143" t="s">
        <v>1407</v>
      </c>
      <c r="I714" s="143" t="s">
        <v>1408</v>
      </c>
      <c r="J714" s="143">
        <v>0.1</v>
      </c>
      <c r="K714" s="143"/>
      <c r="L714" s="72"/>
      <c r="M714" s="143" t="s">
        <v>2214</v>
      </c>
      <c r="N714" s="143" t="s">
        <v>2215</v>
      </c>
      <c r="O714" s="143">
        <f>2.3-2</f>
        <v>0.29999999999999982</v>
      </c>
      <c r="P714" s="143"/>
      <c r="Q714" s="282"/>
      <c r="R714" s="142"/>
      <c r="S714" s="142"/>
      <c r="T714" s="142"/>
      <c r="U714" s="142"/>
      <c r="V714" s="142"/>
      <c r="W714" s="72"/>
    </row>
    <row r="715" spans="1:23" ht="37.5" customHeight="1" x14ac:dyDescent="0.25">
      <c r="A715" s="401"/>
      <c r="B715" s="402"/>
      <c r="C715" s="403"/>
      <c r="D715" s="403"/>
      <c r="E715" s="403"/>
      <c r="F715" s="404"/>
      <c r="G715" s="180" t="s">
        <v>2589</v>
      </c>
      <c r="H715" s="151" t="s">
        <v>2002</v>
      </c>
      <c r="I715" s="151" t="s">
        <v>2588</v>
      </c>
      <c r="J715" s="151">
        <v>0.1</v>
      </c>
      <c r="K715" s="151"/>
      <c r="L715" s="157"/>
      <c r="M715" s="142" t="s">
        <v>2063</v>
      </c>
      <c r="N715" s="142" t="s">
        <v>2064</v>
      </c>
      <c r="O715" s="142">
        <f>5.557-4.957</f>
        <v>0.60000000000000053</v>
      </c>
      <c r="P715" s="143"/>
      <c r="Q715" s="285"/>
      <c r="R715" s="149"/>
      <c r="S715" s="149"/>
      <c r="T715" s="149"/>
      <c r="U715" s="149"/>
      <c r="V715" s="149"/>
      <c r="W715" s="157"/>
    </row>
    <row r="716" spans="1:23" ht="20.100000000000001" customHeight="1" x14ac:dyDescent="0.25">
      <c r="A716" s="401"/>
      <c r="B716" s="402"/>
      <c r="C716" s="403"/>
      <c r="D716" s="403"/>
      <c r="E716" s="403"/>
      <c r="F716" s="404"/>
      <c r="G716" s="1663" t="s">
        <v>2061</v>
      </c>
      <c r="H716" s="1663"/>
      <c r="I716" s="1663"/>
      <c r="J716" s="1663"/>
      <c r="K716" s="1663"/>
      <c r="L716" s="1664"/>
      <c r="M716" s="149" t="s">
        <v>2198</v>
      </c>
      <c r="N716" s="149" t="s">
        <v>2199</v>
      </c>
      <c r="O716" s="149">
        <v>0.06</v>
      </c>
      <c r="P716" s="142"/>
      <c r="Q716" s="280"/>
      <c r="R716" s="1680"/>
      <c r="S716" s="1681"/>
      <c r="T716" s="1681"/>
      <c r="U716" s="1681"/>
      <c r="V716" s="1681"/>
      <c r="W716" s="1408"/>
    </row>
    <row r="717" spans="1:23" ht="86.25" customHeight="1" x14ac:dyDescent="0.25">
      <c r="A717" s="401"/>
      <c r="B717" s="402"/>
      <c r="C717" s="403"/>
      <c r="D717" s="403"/>
      <c r="E717" s="403"/>
      <c r="F717" s="404"/>
      <c r="G717" s="184" t="s">
        <v>813</v>
      </c>
      <c r="H717" s="143" t="s">
        <v>814</v>
      </c>
      <c r="I717" s="143" t="s">
        <v>2295</v>
      </c>
      <c r="J717" s="72">
        <v>0.05</v>
      </c>
      <c r="K717" s="72"/>
      <c r="L717" s="72"/>
      <c r="M717" s="149" t="s">
        <v>2602</v>
      </c>
      <c r="N717" s="149" t="s">
        <v>2603</v>
      </c>
      <c r="O717" s="149">
        <f>3.5-1.2</f>
        <v>2.2999999999999998</v>
      </c>
      <c r="P717" s="142"/>
      <c r="Q717" s="280"/>
      <c r="R717" s="142"/>
      <c r="S717" s="142"/>
      <c r="T717" s="142"/>
      <c r="U717" s="72"/>
      <c r="V717" s="72"/>
      <c r="W717" s="72"/>
    </row>
    <row r="718" spans="1:23" ht="86.25" customHeight="1" x14ac:dyDescent="0.25">
      <c r="A718" s="401"/>
      <c r="B718" s="402"/>
      <c r="C718" s="403"/>
      <c r="D718" s="403"/>
      <c r="E718" s="403"/>
      <c r="F718" s="404"/>
      <c r="G718" s="184" t="s">
        <v>2198</v>
      </c>
      <c r="H718" s="143" t="s">
        <v>2199</v>
      </c>
      <c r="I718" s="143" t="s">
        <v>2376</v>
      </c>
      <c r="J718" s="142">
        <v>0.06</v>
      </c>
      <c r="K718" s="142"/>
      <c r="L718" s="142"/>
      <c r="M718" s="149" t="s">
        <v>3151</v>
      </c>
      <c r="N718" s="149" t="s">
        <v>3152</v>
      </c>
      <c r="O718" s="149">
        <v>9.5000000000000001E-2</v>
      </c>
      <c r="P718" s="142"/>
      <c r="Q718" s="280"/>
      <c r="R718" s="142"/>
      <c r="S718" s="142"/>
      <c r="T718" s="142"/>
      <c r="U718" s="142"/>
      <c r="V718" s="142"/>
      <c r="W718" s="142"/>
    </row>
    <row r="719" spans="1:23" ht="33" customHeight="1" x14ac:dyDescent="0.25">
      <c r="A719" s="401"/>
      <c r="B719" s="402"/>
      <c r="C719" s="403"/>
      <c r="D719" s="403"/>
      <c r="E719" s="403"/>
      <c r="F719" s="404"/>
      <c r="G719" s="176" t="s">
        <v>2200</v>
      </c>
      <c r="H719" s="149" t="s">
        <v>2378</v>
      </c>
      <c r="I719" s="261" t="s">
        <v>2379</v>
      </c>
      <c r="J719" s="157">
        <v>0.1</v>
      </c>
      <c r="K719" s="157"/>
      <c r="L719" s="157"/>
      <c r="M719" s="142" t="s">
        <v>3242</v>
      </c>
      <c r="N719" s="142" t="s">
        <v>3365</v>
      </c>
      <c r="O719" s="142">
        <f>3.425-2.125</f>
        <v>1.2999999999999998</v>
      </c>
      <c r="P719" s="157"/>
      <c r="Q719" s="292"/>
      <c r="R719" s="149"/>
      <c r="S719" s="149"/>
      <c r="T719" s="200"/>
      <c r="U719" s="157"/>
      <c r="V719" s="157"/>
      <c r="W719" s="157"/>
    </row>
    <row r="720" spans="1:23" ht="42" customHeight="1" x14ac:dyDescent="0.25">
      <c r="A720" s="1020"/>
      <c r="B720" s="1021"/>
      <c r="C720" s="1023"/>
      <c r="D720" s="1023"/>
      <c r="E720" s="1023"/>
      <c r="F720" s="1022"/>
      <c r="G720" s="1663" t="s">
        <v>3069</v>
      </c>
      <c r="H720" s="1663"/>
      <c r="I720" s="1663"/>
      <c r="J720" s="1663"/>
      <c r="K720" s="1663"/>
      <c r="L720" s="1664"/>
      <c r="M720" s="149" t="s">
        <v>1389</v>
      </c>
      <c r="N720" s="149" t="s">
        <v>3253</v>
      </c>
      <c r="O720" s="149">
        <f>0.565-0.29</f>
        <v>0.27499999999999997</v>
      </c>
      <c r="P720" s="157"/>
      <c r="Q720" s="55"/>
      <c r="R720" s="149"/>
      <c r="S720" s="149"/>
      <c r="T720" s="200"/>
      <c r="U720" s="157"/>
      <c r="V720" s="157"/>
      <c r="W720" s="157"/>
    </row>
    <row r="721" spans="1:23" ht="33" customHeight="1" x14ac:dyDescent="0.25">
      <c r="A721" s="860"/>
      <c r="B721" s="862"/>
      <c r="C721" s="863"/>
      <c r="D721" s="863"/>
      <c r="E721" s="863"/>
      <c r="F721" s="859"/>
      <c r="G721" s="142" t="s">
        <v>1389</v>
      </c>
      <c r="H721" s="142" t="s">
        <v>3047</v>
      </c>
      <c r="I721" s="143" t="s">
        <v>3091</v>
      </c>
      <c r="J721" s="142">
        <f>0.29</f>
        <v>0.28999999999999998</v>
      </c>
      <c r="K721" s="142"/>
      <c r="L721" s="142"/>
      <c r="M721" s="142" t="s">
        <v>3430</v>
      </c>
      <c r="N721" s="1283" t="s">
        <v>3431</v>
      </c>
      <c r="O721" s="142">
        <v>0.25</v>
      </c>
      <c r="P721" s="142"/>
      <c r="Q721" s="142"/>
      <c r="R721" s="142"/>
      <c r="S721" s="142"/>
      <c r="T721" s="142"/>
      <c r="U721" s="142"/>
      <c r="V721" s="142"/>
      <c r="W721" s="142"/>
    </row>
    <row r="722" spans="1:23" ht="33" customHeight="1" x14ac:dyDescent="0.25">
      <c r="A722" s="1142"/>
      <c r="B722" s="1140"/>
      <c r="C722" s="1143"/>
      <c r="D722" s="1143"/>
      <c r="E722" s="1143"/>
      <c r="F722" s="1141"/>
      <c r="G722" s="142" t="s">
        <v>3305</v>
      </c>
      <c r="H722" s="142" t="s">
        <v>3306</v>
      </c>
      <c r="I722" s="151" t="s">
        <v>3383</v>
      </c>
      <c r="J722" s="149">
        <v>0.1</v>
      </c>
      <c r="K722" s="149"/>
      <c r="L722" s="149"/>
      <c r="M722" s="149" t="s">
        <v>1389</v>
      </c>
      <c r="N722" s="149" t="s">
        <v>3536</v>
      </c>
      <c r="O722" s="149">
        <f>0.389-0.29</f>
        <v>9.9000000000000032E-2</v>
      </c>
      <c r="P722" s="149"/>
      <c r="Q722" s="147"/>
      <c r="R722" s="149"/>
      <c r="S722" s="149"/>
      <c r="T722" s="149"/>
      <c r="U722" s="149"/>
      <c r="V722" s="149"/>
      <c r="W722" s="149"/>
    </row>
    <row r="723" spans="1:23" ht="20.100000000000001" customHeight="1" thickBot="1" x14ac:dyDescent="0.3">
      <c r="A723" s="405"/>
      <c r="B723" s="394"/>
      <c r="C723" s="395"/>
      <c r="D723" s="395"/>
      <c r="E723" s="395"/>
      <c r="F723" s="396"/>
      <c r="G723" s="1531" t="s">
        <v>1860</v>
      </c>
      <c r="H723" s="1526"/>
      <c r="I723" s="1526"/>
      <c r="J723" s="181">
        <f>SUM(J721:J722)</f>
        <v>0.39</v>
      </c>
      <c r="K723" s="151">
        <v>0.8</v>
      </c>
      <c r="L723" s="181">
        <f>J723/K723</f>
        <v>0.48749999999999999</v>
      </c>
      <c r="M723" s="1526" t="s">
        <v>1861</v>
      </c>
      <c r="N723" s="1526"/>
      <c r="O723" s="181">
        <f>SUM(O707:O722)</f>
        <v>9.2055999999999987</v>
      </c>
      <c r="P723" s="151">
        <v>0.8</v>
      </c>
      <c r="Q723" s="274">
        <f>O723/P723</f>
        <v>11.506999999999998</v>
      </c>
      <c r="R723" s="1526" t="s">
        <v>1860</v>
      </c>
      <c r="S723" s="1526"/>
      <c r="T723" s="1526"/>
      <c r="U723" s="181">
        <f>SUM(U711,U713:U715,U717:U719)</f>
        <v>0</v>
      </c>
      <c r="V723" s="151">
        <v>0.8</v>
      </c>
      <c r="W723" s="181">
        <f>U723/V723</f>
        <v>0</v>
      </c>
    </row>
    <row r="724" spans="1:23" ht="20.100000000000001" customHeight="1" x14ac:dyDescent="0.25">
      <c r="A724" s="1683" t="s">
        <v>2540</v>
      </c>
      <c r="B724" s="1551">
        <f>'Расчет ЦП - общая форма'!D365</f>
        <v>20</v>
      </c>
      <c r="C724" s="1552" t="str">
        <f>'Расчет ЦП - общая форма'!E365</f>
        <v>+</v>
      </c>
      <c r="D724" s="1552">
        <f>'Расчет ЦП - общая форма'!F365</f>
        <v>20</v>
      </c>
      <c r="E724" s="399"/>
      <c r="F724" s="400"/>
      <c r="G724" s="1712" t="s">
        <v>1989</v>
      </c>
      <c r="H724" s="1712"/>
      <c r="I724" s="1712"/>
      <c r="J724" s="1712"/>
      <c r="K724" s="1712"/>
      <c r="L724" s="1702"/>
      <c r="M724" s="133"/>
      <c r="N724" s="175"/>
      <c r="O724" s="77"/>
      <c r="P724" s="77"/>
      <c r="Q724" s="279"/>
      <c r="R724" s="1691"/>
      <c r="S724" s="1691"/>
      <c r="T724" s="1691"/>
      <c r="U724" s="1691"/>
      <c r="V724" s="1691"/>
      <c r="W724" s="1692"/>
    </row>
    <row r="725" spans="1:23" ht="56.25" customHeight="1" x14ac:dyDescent="0.25">
      <c r="A725" s="1540"/>
      <c r="B725" s="1501"/>
      <c r="C725" s="1553"/>
      <c r="D725" s="1553"/>
      <c r="E725" s="403"/>
      <c r="F725" s="404"/>
      <c r="G725" s="281" t="s">
        <v>1412</v>
      </c>
      <c r="H725" s="123" t="s">
        <v>1413</v>
      </c>
      <c r="I725" s="45" t="s">
        <v>1414</v>
      </c>
      <c r="J725" s="45">
        <v>0.13300000000000001</v>
      </c>
      <c r="K725" s="42"/>
      <c r="L725" s="72"/>
      <c r="M725" s="42" t="s">
        <v>1071</v>
      </c>
      <c r="N725" s="72" t="s">
        <v>1411</v>
      </c>
      <c r="O725" s="42">
        <v>0.6</v>
      </c>
      <c r="P725" s="42"/>
      <c r="Q725" s="284"/>
      <c r="R725" s="271"/>
      <c r="S725" s="378"/>
      <c r="T725" s="72"/>
      <c r="U725" s="72"/>
      <c r="V725" s="72"/>
      <c r="W725" s="72"/>
    </row>
    <row r="726" spans="1:23" ht="20.100000000000001" customHeight="1" x14ac:dyDescent="0.25">
      <c r="A726" s="578"/>
      <c r="B726" s="402"/>
      <c r="C726" s="403"/>
      <c r="D726" s="403"/>
      <c r="E726" s="403"/>
      <c r="F726" s="404"/>
      <c r="G726" s="1663" t="s">
        <v>1988</v>
      </c>
      <c r="H726" s="1663"/>
      <c r="I726" s="1663"/>
      <c r="J726" s="1663"/>
      <c r="K726" s="1663"/>
      <c r="L726" s="1664"/>
      <c r="M726" s="42"/>
      <c r="N726" s="72"/>
      <c r="O726" s="42"/>
      <c r="P726" s="42"/>
      <c r="Q726" s="284"/>
      <c r="R726" s="1681"/>
      <c r="S726" s="1681"/>
      <c r="T726" s="1681"/>
      <c r="U726" s="1681"/>
      <c r="V726" s="1681"/>
      <c r="W726" s="1408"/>
    </row>
    <row r="727" spans="1:23" s="18" customFormat="1" ht="20.100000000000001" customHeight="1" x14ac:dyDescent="0.25">
      <c r="A727" s="410"/>
      <c r="B727" s="402"/>
      <c r="C727" s="403"/>
      <c r="D727" s="403"/>
      <c r="E727" s="403"/>
      <c r="F727" s="404"/>
      <c r="G727" s="66" t="s">
        <v>1417</v>
      </c>
      <c r="H727" s="2" t="s">
        <v>1758</v>
      </c>
      <c r="I727" s="2" t="s">
        <v>1759</v>
      </c>
      <c r="J727" s="2">
        <v>1.95E-2</v>
      </c>
      <c r="K727" s="2"/>
      <c r="L727" s="142"/>
      <c r="M727" s="2" t="s">
        <v>1415</v>
      </c>
      <c r="N727" s="48" t="s">
        <v>1416</v>
      </c>
      <c r="O727" s="2">
        <v>0.1</v>
      </c>
      <c r="P727" s="2"/>
      <c r="Q727" s="294"/>
      <c r="R727" s="265"/>
      <c r="S727" s="142"/>
      <c r="T727" s="142"/>
      <c r="U727" s="142"/>
      <c r="V727" s="142"/>
      <c r="W727" s="142"/>
    </row>
    <row r="728" spans="1:23" ht="20.100000000000001" customHeight="1" x14ac:dyDescent="0.25">
      <c r="A728" s="410"/>
      <c r="B728" s="402"/>
      <c r="C728" s="403"/>
      <c r="D728" s="403"/>
      <c r="E728" s="403"/>
      <c r="F728" s="404"/>
      <c r="G728" s="66" t="s">
        <v>1760</v>
      </c>
      <c r="H728" s="2" t="s">
        <v>1761</v>
      </c>
      <c r="I728" s="2" t="s">
        <v>1762</v>
      </c>
      <c r="J728" s="2">
        <v>0.20499999999999999</v>
      </c>
      <c r="K728" s="2"/>
      <c r="L728" s="142"/>
      <c r="P728" s="2"/>
      <c r="Q728" s="294"/>
      <c r="R728" s="265"/>
      <c r="S728" s="142"/>
      <c r="T728" s="142"/>
      <c r="U728" s="142"/>
      <c r="V728" s="142"/>
      <c r="W728" s="142"/>
    </row>
    <row r="729" spans="1:23" s="18" customFormat="1" ht="29.25" customHeight="1" x14ac:dyDescent="0.25">
      <c r="A729" s="410"/>
      <c r="B729" s="402"/>
      <c r="C729" s="403"/>
      <c r="D729" s="403"/>
      <c r="E729" s="403"/>
      <c r="F729" s="404"/>
      <c r="G729" s="66" t="s">
        <v>1763</v>
      </c>
      <c r="H729" s="48" t="s">
        <v>1764</v>
      </c>
      <c r="I729" s="2" t="s">
        <v>1765</v>
      </c>
      <c r="J729" s="2">
        <v>0.03</v>
      </c>
      <c r="K729" s="2"/>
      <c r="L729" s="142"/>
      <c r="M729" s="143" t="s">
        <v>2201</v>
      </c>
      <c r="N729" s="143" t="s">
        <v>2448</v>
      </c>
      <c r="O729" s="143">
        <v>1.7999999999999999E-2</v>
      </c>
      <c r="P729" s="2"/>
      <c r="Q729" s="294"/>
      <c r="R729" s="265"/>
      <c r="S729" s="283"/>
      <c r="T729" s="142"/>
      <c r="U729" s="142"/>
      <c r="V729" s="142"/>
      <c r="W729" s="142"/>
    </row>
    <row r="730" spans="1:23" s="18" customFormat="1" ht="64.5" customHeight="1" x14ac:dyDescent="0.25">
      <c r="A730" s="410"/>
      <c r="B730" s="402"/>
      <c r="C730" s="403"/>
      <c r="D730" s="403"/>
      <c r="E730" s="403"/>
      <c r="F730" s="404"/>
      <c r="G730" s="66" t="s">
        <v>1766</v>
      </c>
      <c r="H730" s="2" t="s">
        <v>1767</v>
      </c>
      <c r="I730" s="2" t="s">
        <v>1768</v>
      </c>
      <c r="J730" s="2">
        <v>0.1</v>
      </c>
      <c r="K730" s="2"/>
      <c r="L730" s="142"/>
      <c r="M730" s="143"/>
      <c r="N730" s="143"/>
      <c r="O730" s="143"/>
      <c r="P730" s="2"/>
      <c r="Q730" s="294"/>
      <c r="R730" s="265"/>
      <c r="S730" s="142"/>
      <c r="T730" s="142"/>
      <c r="U730" s="142"/>
      <c r="V730" s="142"/>
      <c r="W730" s="142"/>
    </row>
    <row r="731" spans="1:23" s="18" customFormat="1" ht="20.100000000000001" customHeight="1" x14ac:dyDescent="0.25">
      <c r="A731" s="410"/>
      <c r="B731" s="402"/>
      <c r="C731" s="403"/>
      <c r="D731" s="403"/>
      <c r="E731" s="403"/>
      <c r="F731" s="404"/>
      <c r="G731" s="1663" t="s">
        <v>1987</v>
      </c>
      <c r="H731" s="1663"/>
      <c r="I731" s="1663"/>
      <c r="J731" s="1663"/>
      <c r="K731" s="1663"/>
      <c r="L731" s="1664"/>
      <c r="M731" s="293"/>
      <c r="N731" s="293"/>
      <c r="O731" s="293"/>
      <c r="P731" s="293"/>
      <c r="Q731" s="295"/>
      <c r="R731" s="1681"/>
      <c r="S731" s="1681"/>
      <c r="T731" s="1681"/>
      <c r="U731" s="1681"/>
      <c r="V731" s="1681"/>
      <c r="W731" s="1408"/>
    </row>
    <row r="732" spans="1:23" s="116" customFormat="1" ht="60.75" customHeight="1" x14ac:dyDescent="0.25">
      <c r="A732" s="410"/>
      <c r="B732" s="402"/>
      <c r="C732" s="403"/>
      <c r="D732" s="403"/>
      <c r="E732" s="403"/>
      <c r="F732" s="404"/>
      <c r="G732" s="184" t="s">
        <v>1769</v>
      </c>
      <c r="H732" s="143" t="s">
        <v>1770</v>
      </c>
      <c r="I732" s="2" t="s">
        <v>1771</v>
      </c>
      <c r="J732" s="2">
        <v>7.0000000000000007E-2</v>
      </c>
      <c r="K732" s="2"/>
      <c r="L732" s="142"/>
      <c r="M732" s="236"/>
      <c r="N732" s="236"/>
      <c r="O732" s="236"/>
      <c r="P732" s="2"/>
      <c r="Q732" s="294"/>
      <c r="R732" s="265"/>
      <c r="S732" s="142"/>
      <c r="T732" s="142"/>
      <c r="U732" s="142"/>
      <c r="V732" s="142"/>
      <c r="W732" s="142"/>
    </row>
    <row r="733" spans="1:23" s="116" customFormat="1" ht="20.25" customHeight="1" x14ac:dyDescent="0.25">
      <c r="A733" s="410"/>
      <c r="B733" s="402"/>
      <c r="C733" s="403"/>
      <c r="D733" s="403"/>
      <c r="E733" s="403"/>
      <c r="F733" s="404"/>
      <c r="G733" s="1663" t="s">
        <v>2061</v>
      </c>
      <c r="H733" s="1663"/>
      <c r="I733" s="1663"/>
      <c r="J733" s="1663"/>
      <c r="K733" s="1663"/>
      <c r="L733" s="1664"/>
      <c r="M733" s="143"/>
      <c r="N733" s="143"/>
      <c r="O733" s="143"/>
      <c r="P733" s="2"/>
      <c r="Q733" s="294"/>
      <c r="R733" s="1681"/>
      <c r="S733" s="1681"/>
      <c r="T733" s="1681"/>
      <c r="U733" s="1681"/>
      <c r="V733" s="1681"/>
      <c r="W733" s="1408"/>
    </row>
    <row r="734" spans="1:23" ht="75" customHeight="1" x14ac:dyDescent="0.25">
      <c r="A734" s="410"/>
      <c r="B734" s="402"/>
      <c r="C734" s="403"/>
      <c r="D734" s="403"/>
      <c r="E734" s="403"/>
      <c r="F734" s="404"/>
      <c r="G734" s="184" t="s">
        <v>2071</v>
      </c>
      <c r="H734" s="143" t="s">
        <v>2072</v>
      </c>
      <c r="I734" s="143" t="s">
        <v>2268</v>
      </c>
      <c r="J734" s="2">
        <v>9.5000000000000001E-2</v>
      </c>
      <c r="K734" s="2"/>
      <c r="L734" s="142"/>
      <c r="M734" s="143"/>
      <c r="N734" s="143"/>
      <c r="O734" s="143"/>
      <c r="P734" s="2"/>
      <c r="Q734" s="294"/>
      <c r="R734" s="265"/>
      <c r="S734" s="142"/>
      <c r="T734" s="142"/>
      <c r="U734" s="142"/>
      <c r="V734" s="142"/>
      <c r="W734" s="142"/>
    </row>
    <row r="735" spans="1:23" ht="20.100000000000001" customHeight="1" x14ac:dyDescent="0.25">
      <c r="A735" s="552"/>
      <c r="B735" s="431"/>
      <c r="C735" s="432"/>
      <c r="D735" s="432"/>
      <c r="E735" s="432"/>
      <c r="F735" s="433"/>
      <c r="G735" s="1577" t="s">
        <v>1860</v>
      </c>
      <c r="H735" s="1490"/>
      <c r="I735" s="1490"/>
      <c r="J735" s="275">
        <f>SUM(0)</f>
        <v>0</v>
      </c>
      <c r="K735" s="143">
        <v>0.8</v>
      </c>
      <c r="L735" s="275">
        <f>J735/K735</f>
        <v>0</v>
      </c>
      <c r="M735" s="1490" t="s">
        <v>1861</v>
      </c>
      <c r="N735" s="1490"/>
      <c r="O735" s="275">
        <f>SUM(O725:O734)</f>
        <v>0.71799999999999997</v>
      </c>
      <c r="P735" s="143">
        <v>0.8</v>
      </c>
      <c r="Q735" s="296">
        <f>O735/P735</f>
        <v>0.89749999999999996</v>
      </c>
      <c r="R735" s="1577" t="s">
        <v>1860</v>
      </c>
      <c r="S735" s="1490"/>
      <c r="T735" s="1490"/>
      <c r="U735" s="275">
        <f>SUM(U727:U734)</f>
        <v>0</v>
      </c>
      <c r="V735" s="143">
        <v>0.8</v>
      </c>
      <c r="W735" s="275">
        <f>U735/V735</f>
        <v>0</v>
      </c>
    </row>
    <row r="736" spans="1:23" ht="20.100000000000001" customHeight="1" x14ac:dyDescent="0.25">
      <c r="A736" s="1540" t="s">
        <v>2541</v>
      </c>
      <c r="B736" s="1501">
        <f>'Расчет ЦП - общая форма'!D366</f>
        <v>20</v>
      </c>
      <c r="C736" s="1553" t="str">
        <f>'Расчет ЦП - общая форма'!E366</f>
        <v>+</v>
      </c>
      <c r="D736" s="1553">
        <f>'Расчет ЦП - общая форма'!F366</f>
        <v>20</v>
      </c>
      <c r="E736" s="403"/>
      <c r="F736" s="404"/>
      <c r="G736" s="1720" t="s">
        <v>1988</v>
      </c>
      <c r="H736" s="1720"/>
      <c r="I736" s="1720"/>
      <c r="J736" s="1720"/>
      <c r="K736" s="1720"/>
      <c r="L736" s="1688"/>
      <c r="M736" s="72"/>
      <c r="N736" s="72"/>
      <c r="O736" s="72"/>
      <c r="P736" s="72"/>
      <c r="Q736" s="288"/>
      <c r="R736" s="1728"/>
      <c r="S736" s="1729"/>
      <c r="T736" s="1729"/>
      <c r="U736" s="1729"/>
      <c r="V736" s="1729"/>
      <c r="W736" s="1697"/>
    </row>
    <row r="737" spans="1:23" ht="20.100000000000001" customHeight="1" x14ac:dyDescent="0.25">
      <c r="A737" s="1540"/>
      <c r="B737" s="1501"/>
      <c r="C737" s="1553"/>
      <c r="D737" s="1553"/>
      <c r="E737" s="403"/>
      <c r="F737" s="404"/>
      <c r="G737" s="262" t="s">
        <v>1772</v>
      </c>
      <c r="H737" s="42" t="s">
        <v>1773</v>
      </c>
      <c r="I737" s="42" t="s">
        <v>1774</v>
      </c>
      <c r="J737" s="42">
        <v>0.245</v>
      </c>
      <c r="K737" s="42"/>
      <c r="L737" s="72"/>
      <c r="M737" s="45" t="s">
        <v>1775</v>
      </c>
      <c r="N737" s="45" t="s">
        <v>1776</v>
      </c>
      <c r="O737" s="45">
        <v>1.1000000000000001</v>
      </c>
      <c r="P737" s="42"/>
      <c r="Q737" s="284"/>
      <c r="R737" s="184" t="s">
        <v>1777</v>
      </c>
      <c r="S737" s="143" t="s">
        <v>1778</v>
      </c>
      <c r="T737" s="143" t="s">
        <v>2786</v>
      </c>
      <c r="U737" s="72">
        <v>0.2</v>
      </c>
      <c r="V737" s="72"/>
      <c r="W737" s="72"/>
    </row>
    <row r="738" spans="1:23" ht="20.100000000000001" customHeight="1" x14ac:dyDescent="0.25">
      <c r="A738" s="1540"/>
      <c r="B738" s="569"/>
      <c r="C738" s="571"/>
      <c r="D738" s="571"/>
      <c r="E738" s="571"/>
      <c r="F738" s="572"/>
      <c r="G738" s="184"/>
      <c r="H738" s="143"/>
      <c r="I738" s="143"/>
      <c r="J738" s="143"/>
      <c r="K738" s="143"/>
      <c r="L738" s="142"/>
      <c r="M738" s="2" t="s">
        <v>1779</v>
      </c>
      <c r="N738" s="2" t="s">
        <v>1780</v>
      </c>
      <c r="O738" s="2">
        <v>4</v>
      </c>
      <c r="P738" s="143"/>
      <c r="Q738" s="282"/>
      <c r="R738" s="142"/>
      <c r="S738" s="142"/>
      <c r="T738" s="142"/>
      <c r="U738" s="142"/>
      <c r="V738" s="142"/>
      <c r="W738" s="142"/>
    </row>
    <row r="739" spans="1:23" ht="20.100000000000001" customHeight="1" x14ac:dyDescent="0.25">
      <c r="A739" s="410"/>
      <c r="B739" s="569"/>
      <c r="C739" s="571"/>
      <c r="D739" s="571"/>
      <c r="E739" s="571"/>
      <c r="F739" s="572"/>
      <c r="G739" s="184" t="s">
        <v>855</v>
      </c>
      <c r="H739" s="143" t="s">
        <v>1781</v>
      </c>
      <c r="I739" s="143" t="s">
        <v>1782</v>
      </c>
      <c r="J739" s="143">
        <v>0.745</v>
      </c>
      <c r="K739" s="143"/>
      <c r="L739" s="142"/>
      <c r="M739" s="2"/>
      <c r="N739" s="2"/>
      <c r="O739" s="2"/>
      <c r="P739" s="143"/>
      <c r="Q739" s="282"/>
      <c r="R739" s="142"/>
      <c r="S739" s="142"/>
      <c r="T739" s="142"/>
      <c r="U739" s="142"/>
      <c r="V739" s="142"/>
      <c r="W739" s="142"/>
    </row>
    <row r="740" spans="1:23" s="18" customFormat="1" ht="20.100000000000001" customHeight="1" x14ac:dyDescent="0.25">
      <c r="A740" s="410"/>
      <c r="B740" s="569"/>
      <c r="C740" s="571"/>
      <c r="D740" s="571"/>
      <c r="E740" s="571"/>
      <c r="F740" s="572"/>
      <c r="G740" s="265" t="s">
        <v>1784</v>
      </c>
      <c r="H740" s="142" t="s">
        <v>284</v>
      </c>
      <c r="I740" s="143" t="s">
        <v>285</v>
      </c>
      <c r="J740" s="142">
        <v>0.55000000000000004</v>
      </c>
      <c r="K740" s="143"/>
      <c r="L740" s="142"/>
      <c r="M740" s="2" t="s">
        <v>286</v>
      </c>
      <c r="N740" s="2" t="s">
        <v>287</v>
      </c>
      <c r="O740" s="2">
        <v>0.18</v>
      </c>
      <c r="P740" s="143"/>
      <c r="Q740" s="282"/>
      <c r="R740" s="142"/>
      <c r="S740" s="142"/>
      <c r="T740" s="142"/>
      <c r="U740" s="142"/>
      <c r="V740" s="142"/>
      <c r="W740" s="142"/>
    </row>
    <row r="741" spans="1:23" s="18" customFormat="1" ht="20.100000000000001" customHeight="1" x14ac:dyDescent="0.25">
      <c r="A741" s="410"/>
      <c r="B741" s="569"/>
      <c r="C741" s="571"/>
      <c r="D741" s="571"/>
      <c r="E741" s="571"/>
      <c r="F741" s="572"/>
      <c r="G741" s="184" t="s">
        <v>1074</v>
      </c>
      <c r="H741" s="143" t="s">
        <v>288</v>
      </c>
      <c r="I741" s="143" t="s">
        <v>289</v>
      </c>
      <c r="J741" s="143">
        <v>6.9000000000000006E-2</v>
      </c>
      <c r="K741" s="143"/>
      <c r="L741" s="142"/>
      <c r="M741" s="2" t="s">
        <v>290</v>
      </c>
      <c r="N741" s="48" t="s">
        <v>291</v>
      </c>
      <c r="O741" s="2">
        <v>0.08</v>
      </c>
      <c r="P741" s="143"/>
      <c r="Q741" s="282"/>
      <c r="R741" s="142"/>
      <c r="S741" s="142"/>
      <c r="T741" s="142"/>
      <c r="U741" s="142"/>
      <c r="V741" s="142"/>
      <c r="W741" s="142"/>
    </row>
    <row r="742" spans="1:23" ht="20.100000000000001" customHeight="1" x14ac:dyDescent="0.25">
      <c r="A742" s="410"/>
      <c r="B742" s="569"/>
      <c r="C742" s="571"/>
      <c r="D742" s="571"/>
      <c r="E742" s="571"/>
      <c r="F742" s="572"/>
      <c r="G742" s="184" t="s">
        <v>292</v>
      </c>
      <c r="H742" s="143" t="s">
        <v>293</v>
      </c>
      <c r="I742" s="143" t="s">
        <v>294</v>
      </c>
      <c r="J742" s="143">
        <v>0.16</v>
      </c>
      <c r="K742" s="143"/>
      <c r="L742" s="142"/>
      <c r="M742" s="2" t="s">
        <v>295</v>
      </c>
      <c r="N742" s="2" t="s">
        <v>296</v>
      </c>
      <c r="O742" s="2">
        <v>0.64500000000000002</v>
      </c>
      <c r="P742" s="143"/>
      <c r="Q742" s="282"/>
      <c r="R742" s="142"/>
      <c r="S742" s="142"/>
      <c r="T742" s="142"/>
      <c r="U742" s="142"/>
      <c r="V742" s="142"/>
      <c r="W742" s="142"/>
    </row>
    <row r="743" spans="1:23" ht="20.100000000000001" customHeight="1" x14ac:dyDescent="0.25">
      <c r="A743" s="410"/>
      <c r="B743" s="569"/>
      <c r="C743" s="571"/>
      <c r="D743" s="571"/>
      <c r="E743" s="571"/>
      <c r="F743" s="572"/>
      <c r="G743" s="1663" t="s">
        <v>1987</v>
      </c>
      <c r="H743" s="1663"/>
      <c r="I743" s="1663"/>
      <c r="J743" s="1663"/>
      <c r="K743" s="1663"/>
      <c r="L743" s="1664"/>
      <c r="M743" s="2"/>
      <c r="N743" s="2"/>
      <c r="O743" s="2"/>
      <c r="P743" s="143"/>
      <c r="Q743" s="282"/>
      <c r="R743" s="1680"/>
      <c r="S743" s="1681"/>
      <c r="T743" s="1681"/>
      <c r="U743" s="1681"/>
      <c r="V743" s="1681"/>
      <c r="W743" s="1408"/>
    </row>
    <row r="744" spans="1:23" ht="20.100000000000001" customHeight="1" x14ac:dyDescent="0.25">
      <c r="A744" s="410"/>
      <c r="B744" s="569"/>
      <c r="C744" s="571"/>
      <c r="D744" s="571"/>
      <c r="E744" s="571"/>
      <c r="F744" s="572"/>
      <c r="G744" s="184" t="s">
        <v>297</v>
      </c>
      <c r="H744" s="143" t="s">
        <v>298</v>
      </c>
      <c r="I744" s="143" t="s">
        <v>299</v>
      </c>
      <c r="J744" s="143">
        <v>0.4</v>
      </c>
      <c r="K744" s="143"/>
      <c r="L744" s="142"/>
      <c r="M744" s="2" t="s">
        <v>300</v>
      </c>
      <c r="N744" s="2" t="s">
        <v>301</v>
      </c>
      <c r="O744" s="2">
        <v>1.304</v>
      </c>
      <c r="P744" s="143"/>
      <c r="Q744" s="282"/>
      <c r="R744" s="142"/>
      <c r="S744" s="142"/>
      <c r="T744" s="142"/>
      <c r="U744" s="142"/>
      <c r="V744" s="142"/>
      <c r="W744" s="142"/>
    </row>
    <row r="745" spans="1:23" s="18" customFormat="1" ht="20.100000000000001" customHeight="1" x14ac:dyDescent="0.25">
      <c r="A745" s="410"/>
      <c r="B745" s="569"/>
      <c r="C745" s="571"/>
      <c r="D745" s="571"/>
      <c r="E745" s="571"/>
      <c r="F745" s="572"/>
      <c r="G745" s="1663" t="s">
        <v>2061</v>
      </c>
      <c r="H745" s="1663"/>
      <c r="I745" s="1663"/>
      <c r="J745" s="1663"/>
      <c r="K745" s="1663"/>
      <c r="L745" s="1664"/>
      <c r="M745" s="2" t="s">
        <v>302</v>
      </c>
      <c r="N745" s="48" t="s">
        <v>303</v>
      </c>
      <c r="O745" s="2">
        <v>0.6</v>
      </c>
      <c r="P745" s="143"/>
      <c r="Q745" s="282"/>
      <c r="R745" s="142"/>
      <c r="S745" s="142"/>
      <c r="T745" s="142"/>
      <c r="U745" s="142"/>
      <c r="V745" s="142"/>
      <c r="W745" s="142"/>
    </row>
    <row r="746" spans="1:23" ht="20.100000000000001" customHeight="1" x14ac:dyDescent="0.25">
      <c r="A746" s="410"/>
      <c r="B746" s="569"/>
      <c r="C746" s="571"/>
      <c r="D746" s="571"/>
      <c r="E746" s="571"/>
      <c r="F746" s="572"/>
      <c r="G746" s="184" t="s">
        <v>895</v>
      </c>
      <c r="H746" s="143" t="s">
        <v>896</v>
      </c>
      <c r="I746" s="143" t="s">
        <v>2377</v>
      </c>
      <c r="J746" s="143">
        <v>0.504</v>
      </c>
      <c r="K746" s="143"/>
      <c r="L746" s="142"/>
      <c r="M746" s="143" t="s">
        <v>304</v>
      </c>
      <c r="N746" s="143" t="s">
        <v>305</v>
      </c>
      <c r="O746" s="143">
        <v>7.1999999999999995E-2</v>
      </c>
      <c r="P746" s="143"/>
      <c r="Q746" s="282"/>
      <c r="R746" s="142"/>
      <c r="S746" s="142"/>
      <c r="T746" s="142"/>
      <c r="U746" s="142"/>
      <c r="V746" s="142"/>
      <c r="W746" s="142"/>
    </row>
    <row r="747" spans="1:23" ht="27" customHeight="1" x14ac:dyDescent="0.25">
      <c r="A747" s="410"/>
      <c r="B747" s="569"/>
      <c r="C747" s="571"/>
      <c r="D747" s="571"/>
      <c r="E747" s="571"/>
      <c r="F747" s="572"/>
      <c r="G747" s="1663" t="s">
        <v>2512</v>
      </c>
      <c r="H747" s="1663"/>
      <c r="I747" s="1663"/>
      <c r="J747" s="1663"/>
      <c r="K747" s="1663"/>
      <c r="L747" s="1664"/>
      <c r="M747" s="143" t="s">
        <v>1748</v>
      </c>
      <c r="N747" s="143" t="s">
        <v>2574</v>
      </c>
      <c r="O747" s="143">
        <v>1.1000000000000001</v>
      </c>
      <c r="P747" s="143"/>
      <c r="Q747" s="282"/>
      <c r="R747" s="142"/>
      <c r="S747" s="142"/>
      <c r="T747" s="142"/>
      <c r="U747" s="142"/>
      <c r="V747" s="142"/>
      <c r="W747" s="142"/>
    </row>
    <row r="748" spans="1:23" ht="48.75" customHeight="1" x14ac:dyDescent="0.25">
      <c r="A748" s="410"/>
      <c r="B748" s="569"/>
      <c r="C748" s="571"/>
      <c r="D748" s="571"/>
      <c r="E748" s="571"/>
      <c r="F748" s="572"/>
      <c r="G748" s="2" t="s">
        <v>1783</v>
      </c>
      <c r="H748" s="2" t="s">
        <v>1328</v>
      </c>
      <c r="I748" s="151" t="s">
        <v>2774</v>
      </c>
      <c r="J748" s="2">
        <v>0.3</v>
      </c>
      <c r="K748" s="151"/>
      <c r="L748" s="149"/>
      <c r="M748" s="143"/>
      <c r="N748" s="143"/>
      <c r="O748" s="143"/>
      <c r="P748" s="151"/>
      <c r="Q748" s="285"/>
      <c r="R748" s="149"/>
      <c r="S748" s="149"/>
      <c r="T748" s="149"/>
      <c r="U748" s="149"/>
      <c r="V748" s="149"/>
      <c r="W748" s="149"/>
    </row>
    <row r="749" spans="1:23" ht="48.75" customHeight="1" x14ac:dyDescent="0.25">
      <c r="A749" s="410"/>
      <c r="B749" s="569"/>
      <c r="C749" s="571"/>
      <c r="D749" s="571"/>
      <c r="E749" s="571"/>
      <c r="F749" s="572"/>
      <c r="G749" s="151" t="s">
        <v>2649</v>
      </c>
      <c r="H749" s="151" t="s">
        <v>2758</v>
      </c>
      <c r="I749" s="151" t="s">
        <v>2795</v>
      </c>
      <c r="J749" s="151">
        <v>2.5</v>
      </c>
      <c r="K749" s="151"/>
      <c r="L749" s="149"/>
      <c r="M749" s="2"/>
      <c r="N749" s="2"/>
      <c r="O749" s="2"/>
      <c r="P749" s="151"/>
      <c r="Q749" s="285"/>
      <c r="R749" s="149"/>
      <c r="S749" s="149"/>
      <c r="T749" s="149"/>
      <c r="U749" s="149"/>
      <c r="V749" s="149"/>
      <c r="W749" s="149"/>
    </row>
    <row r="750" spans="1:23" ht="23.25" customHeight="1" x14ac:dyDescent="0.25">
      <c r="A750" s="410"/>
      <c r="B750" s="569"/>
      <c r="C750" s="571"/>
      <c r="D750" s="571"/>
      <c r="E750" s="571"/>
      <c r="F750" s="572"/>
      <c r="G750" s="1663" t="s">
        <v>3069</v>
      </c>
      <c r="H750" s="1663"/>
      <c r="I750" s="1663"/>
      <c r="J750" s="1663"/>
      <c r="K750" s="1663"/>
      <c r="L750" s="1664"/>
      <c r="M750" s="70"/>
      <c r="N750" s="70"/>
      <c r="O750" s="70"/>
      <c r="P750" s="151"/>
      <c r="Q750" s="285"/>
      <c r="R750" s="149"/>
      <c r="S750" s="149"/>
      <c r="T750" s="149"/>
      <c r="U750" s="149"/>
      <c r="V750" s="149"/>
      <c r="W750" s="149"/>
    </row>
    <row r="751" spans="1:23" ht="48.75" customHeight="1" x14ac:dyDescent="0.25">
      <c r="A751" s="410"/>
      <c r="B751" s="569"/>
      <c r="C751" s="571"/>
      <c r="D751" s="571"/>
      <c r="E751" s="571"/>
      <c r="F751" s="572"/>
      <c r="G751" s="2" t="s">
        <v>2035</v>
      </c>
      <c r="H751" s="2" t="s">
        <v>2698</v>
      </c>
      <c r="I751" s="151" t="s">
        <v>3276</v>
      </c>
      <c r="J751" s="151">
        <v>3</v>
      </c>
      <c r="K751" s="151"/>
      <c r="L751" s="149"/>
      <c r="M751" s="149"/>
      <c r="N751" s="149"/>
      <c r="O751" s="149"/>
      <c r="P751" s="151"/>
      <c r="Q751" s="285"/>
      <c r="R751" s="149"/>
      <c r="S751" s="149"/>
      <c r="T751" s="149"/>
      <c r="U751" s="149"/>
      <c r="V751" s="149"/>
      <c r="W751" s="149"/>
    </row>
    <row r="752" spans="1:23" ht="48.75" customHeight="1" x14ac:dyDescent="0.25">
      <c r="A752" s="410"/>
      <c r="B752" s="569"/>
      <c r="C752" s="571"/>
      <c r="D752" s="571"/>
      <c r="E752" s="571"/>
      <c r="F752" s="572"/>
      <c r="G752" s="149" t="s">
        <v>2373</v>
      </c>
      <c r="H752" s="149" t="s">
        <v>3153</v>
      </c>
      <c r="I752" s="151" t="s">
        <v>3379</v>
      </c>
      <c r="J752" s="151" t="s">
        <v>3378</v>
      </c>
      <c r="K752" s="151"/>
      <c r="L752" s="149"/>
      <c r="M752" s="149"/>
      <c r="N752" s="149"/>
      <c r="O752" s="149"/>
      <c r="P752" s="151"/>
      <c r="Q752" s="285"/>
      <c r="R752" s="149"/>
      <c r="S752" s="149"/>
      <c r="T752" s="149"/>
      <c r="U752" s="149"/>
      <c r="V752" s="149"/>
      <c r="W752" s="149"/>
    </row>
    <row r="753" spans="1:23" ht="20.100000000000001" customHeight="1" thickBot="1" x14ac:dyDescent="0.3">
      <c r="A753" s="405"/>
      <c r="B753" s="394"/>
      <c r="C753" s="395"/>
      <c r="D753" s="395"/>
      <c r="E753" s="395"/>
      <c r="F753" s="396"/>
      <c r="G753" s="1556" t="s">
        <v>1860</v>
      </c>
      <c r="H753" s="1711"/>
      <c r="I753" s="1711"/>
      <c r="J753" s="136">
        <f>SUM(J748:J752)</f>
        <v>5.8</v>
      </c>
      <c r="K753" s="183">
        <v>0.8</v>
      </c>
      <c r="L753" s="136">
        <f>J753/K753</f>
        <v>7.2499999999999991</v>
      </c>
      <c r="M753" s="1711" t="s">
        <v>1861</v>
      </c>
      <c r="N753" s="1711"/>
      <c r="O753" s="136">
        <f>SUM(O737:O751)</f>
        <v>9.0809999999999995</v>
      </c>
      <c r="P753" s="183">
        <v>0.8</v>
      </c>
      <c r="Q753" s="273">
        <f>O753/P753</f>
        <v>11.351249999999999</v>
      </c>
      <c r="R753" s="1711" t="s">
        <v>1860</v>
      </c>
      <c r="S753" s="1711"/>
      <c r="T753" s="1711"/>
      <c r="U753" s="136">
        <f>SUM(U737:U747)</f>
        <v>0.2</v>
      </c>
      <c r="V753" s="183">
        <v>0.8</v>
      </c>
      <c r="W753" s="136">
        <f>U753/V753</f>
        <v>0.25</v>
      </c>
    </row>
    <row r="754" spans="1:23" ht="36" customHeight="1" x14ac:dyDescent="0.25">
      <c r="A754" s="579" t="str">
        <f>'Расчет ЦП - общая форма'!C367</f>
        <v xml:space="preserve">ПС 110/35/10 кВ Медновский в-ор </v>
      </c>
      <c r="B754" s="398">
        <f>'Расчет ЦП - общая форма'!D367</f>
        <v>10</v>
      </c>
      <c r="C754" s="399" t="str">
        <f>'Расчет ЦП - общая форма'!E367</f>
        <v>+</v>
      </c>
      <c r="D754" s="399">
        <f>'Расчет ЦП - общая форма'!F367</f>
        <v>10</v>
      </c>
      <c r="E754" s="399"/>
      <c r="F754" s="400"/>
      <c r="G754" s="1663">
        <v>2012</v>
      </c>
      <c r="H754" s="1663"/>
      <c r="I754" s="1663"/>
      <c r="J754" s="1663"/>
      <c r="K754" s="1663"/>
      <c r="L754" s="1664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72"/>
    </row>
    <row r="755" spans="1:23" ht="36" customHeight="1" x14ac:dyDescent="0.25">
      <c r="A755" s="1209"/>
      <c r="B755" s="1210"/>
      <c r="C755" s="1214"/>
      <c r="D755" s="1214"/>
      <c r="E755" s="1214"/>
      <c r="F755" s="1211"/>
      <c r="G755" s="1665" t="s">
        <v>3481</v>
      </c>
      <c r="H755" s="1666"/>
      <c r="I755" s="1667"/>
      <c r="J755" s="1224">
        <v>0.185</v>
      </c>
      <c r="K755" s="159"/>
      <c r="L755" s="157"/>
      <c r="M755" s="156"/>
      <c r="N755" s="261"/>
      <c r="O755" s="159"/>
      <c r="P755" s="159"/>
      <c r="Q755" s="159"/>
      <c r="R755" s="156"/>
      <c r="S755" s="153"/>
      <c r="T755" s="261"/>
      <c r="U755" s="159"/>
      <c r="V755" s="159"/>
      <c r="W755" s="157"/>
    </row>
    <row r="756" spans="1:23" ht="20.100000000000001" customHeight="1" thickBot="1" x14ac:dyDescent="0.3">
      <c r="A756" s="405"/>
      <c r="B756" s="394"/>
      <c r="C756" s="395"/>
      <c r="D756" s="395"/>
      <c r="E756" s="395"/>
      <c r="F756" s="396"/>
      <c r="G756" s="1555"/>
      <c r="H756" s="1555"/>
      <c r="I756" s="1556"/>
      <c r="J756" s="136">
        <f>SUM(J754:J755)</f>
        <v>0.185</v>
      </c>
      <c r="K756" s="183">
        <v>0.8</v>
      </c>
      <c r="L756" s="136">
        <f>J756/K756</f>
        <v>0.23124999999999998</v>
      </c>
      <c r="M756" s="1574" t="s">
        <v>1861</v>
      </c>
      <c r="N756" s="1556"/>
      <c r="O756" s="136">
        <f>SUM(O754:O754)</f>
        <v>0</v>
      </c>
      <c r="P756" s="183">
        <v>0.8</v>
      </c>
      <c r="Q756" s="136">
        <f>O756/P756</f>
        <v>0</v>
      </c>
      <c r="R756" s="1574" t="s">
        <v>1860</v>
      </c>
      <c r="S756" s="1555"/>
      <c r="T756" s="1556"/>
      <c r="U756" s="136">
        <f>SUM(U754:U754)</f>
        <v>0</v>
      </c>
      <c r="V756" s="183">
        <v>0.8</v>
      </c>
      <c r="W756" s="136">
        <f>U756/V756</f>
        <v>0</v>
      </c>
    </row>
    <row r="757" spans="1:23" s="67" customFormat="1" ht="20.100000000000001" customHeight="1" x14ac:dyDescent="0.25">
      <c r="A757" s="1683" t="str">
        <f>'Расчет ЦП - общая форма'!C370</f>
        <v xml:space="preserve">ПС 110/35/10 кВ Лихославль </v>
      </c>
      <c r="B757" s="1551">
        <f>'Расчет ЦП - общая форма'!D370</f>
        <v>25</v>
      </c>
      <c r="C757" s="1552" t="str">
        <f>'Расчет ЦП - общая форма'!E370</f>
        <v>+</v>
      </c>
      <c r="D757" s="1552">
        <f>'Расчет ЦП - общая форма'!F370</f>
        <v>25</v>
      </c>
      <c r="E757" s="399"/>
      <c r="F757" s="400"/>
      <c r="G757" s="1712" t="s">
        <v>1989</v>
      </c>
      <c r="H757" s="1712"/>
      <c r="I757" s="1712"/>
      <c r="J757" s="1712"/>
      <c r="K757" s="1712"/>
      <c r="L757" s="1702"/>
      <c r="M757" s="147"/>
      <c r="N757" s="176"/>
      <c r="O757" s="149"/>
      <c r="P757" s="149"/>
      <c r="Q757" s="149"/>
      <c r="R757" s="1713"/>
      <c r="S757" s="1691"/>
      <c r="T757" s="1691"/>
      <c r="U757" s="1691"/>
      <c r="V757" s="1691"/>
      <c r="W757" s="1692"/>
    </row>
    <row r="758" spans="1:23" ht="57.75" customHeight="1" x14ac:dyDescent="0.25">
      <c r="A758" s="1540"/>
      <c r="B758" s="1501"/>
      <c r="C758" s="1553"/>
      <c r="D758" s="1553"/>
      <c r="E758" s="403"/>
      <c r="F758" s="404"/>
      <c r="G758" s="217" t="s">
        <v>514</v>
      </c>
      <c r="H758" s="143" t="s">
        <v>515</v>
      </c>
      <c r="I758" s="143" t="s">
        <v>516</v>
      </c>
      <c r="J758" s="53">
        <v>0.105</v>
      </c>
      <c r="K758" s="143"/>
      <c r="L758" s="142"/>
      <c r="M758" s="143" t="s">
        <v>517</v>
      </c>
      <c r="N758" s="143" t="s">
        <v>518</v>
      </c>
      <c r="O758" s="53">
        <v>0.3</v>
      </c>
      <c r="P758" s="143"/>
      <c r="Q758" s="143"/>
      <c r="R758" s="184" t="s">
        <v>2502</v>
      </c>
      <c r="S758" s="143" t="s">
        <v>2503</v>
      </c>
      <c r="T758" s="143" t="s">
        <v>2504</v>
      </c>
      <c r="U758" s="143">
        <v>3.5000000000000003E-2</v>
      </c>
      <c r="V758" s="142"/>
      <c r="W758" s="142"/>
    </row>
    <row r="759" spans="1:23" ht="29.25" customHeight="1" x14ac:dyDescent="0.25">
      <c r="A759" s="401"/>
      <c r="B759" s="402"/>
      <c r="C759" s="403"/>
      <c r="D759" s="403"/>
      <c r="E759" s="403"/>
      <c r="F759" s="404"/>
      <c r="G759" s="1700" t="s">
        <v>1987</v>
      </c>
      <c r="H759" s="1700"/>
      <c r="I759" s="1700"/>
      <c r="J759" s="1700"/>
      <c r="K759" s="1700"/>
      <c r="L759" s="1701"/>
      <c r="M759" s="143" t="s">
        <v>2184</v>
      </c>
      <c r="N759" s="143" t="s">
        <v>2185</v>
      </c>
      <c r="O759" s="53">
        <v>1.2</v>
      </c>
      <c r="P759" s="143"/>
      <c r="Q759" s="143"/>
      <c r="R759" s="1725"/>
      <c r="S759" s="1726"/>
      <c r="T759" s="1726"/>
      <c r="U759" s="1726"/>
      <c r="V759" s="1726"/>
      <c r="W759" s="1727"/>
    </row>
    <row r="760" spans="1:23" s="18" customFormat="1" ht="43.5" customHeight="1" x14ac:dyDescent="0.25">
      <c r="A760" s="401"/>
      <c r="B760" s="402"/>
      <c r="C760" s="403"/>
      <c r="D760" s="403"/>
      <c r="E760" s="403"/>
      <c r="F760" s="404"/>
      <c r="G760" s="184" t="s">
        <v>519</v>
      </c>
      <c r="H760" s="143" t="s">
        <v>520</v>
      </c>
      <c r="I760" s="143" t="s">
        <v>521</v>
      </c>
      <c r="J760" s="143">
        <v>0.23100000000000001</v>
      </c>
      <c r="K760" s="143"/>
      <c r="L760" s="142"/>
      <c r="M760" s="184"/>
      <c r="N760" s="143"/>
      <c r="O760" s="143"/>
      <c r="P760" s="143"/>
      <c r="Q760" s="143"/>
      <c r="R760" s="142"/>
      <c r="S760" s="142"/>
      <c r="T760" s="142"/>
      <c r="U760" s="142"/>
      <c r="V760" s="142"/>
      <c r="W760" s="142"/>
    </row>
    <row r="761" spans="1:23" s="18" customFormat="1" ht="28.5" customHeight="1" x14ac:dyDescent="0.25">
      <c r="A761" s="401"/>
      <c r="B761" s="402"/>
      <c r="C761" s="403"/>
      <c r="D761" s="403"/>
      <c r="E761" s="403"/>
      <c r="F761" s="404"/>
      <c r="G761" s="1700" t="s">
        <v>2062</v>
      </c>
      <c r="H761" s="1700"/>
      <c r="I761" s="1700"/>
      <c r="J761" s="1700"/>
      <c r="K761" s="1700"/>
      <c r="L761" s="1701"/>
      <c r="M761" s="1"/>
      <c r="N761" s="1"/>
      <c r="O761" s="143"/>
      <c r="P761" s="143"/>
      <c r="Q761" s="143"/>
      <c r="R761" s="1725"/>
      <c r="S761" s="1726"/>
      <c r="T761" s="1726"/>
      <c r="U761" s="1726"/>
      <c r="V761" s="1726"/>
      <c r="W761" s="1727"/>
    </row>
    <row r="762" spans="1:23" s="18" customFormat="1" ht="42.75" customHeight="1" x14ac:dyDescent="0.25">
      <c r="A762" s="401"/>
      <c r="B762" s="402"/>
      <c r="C762" s="403"/>
      <c r="D762" s="403"/>
      <c r="E762" s="403"/>
      <c r="F762" s="404"/>
      <c r="G762" s="184" t="s">
        <v>2190</v>
      </c>
      <c r="H762" s="143" t="s">
        <v>2191</v>
      </c>
      <c r="I762" s="143" t="s">
        <v>2542</v>
      </c>
      <c r="J762" s="143">
        <v>0.15</v>
      </c>
      <c r="K762" s="143"/>
      <c r="L762" s="142"/>
      <c r="M762" s="143" t="s">
        <v>2889</v>
      </c>
      <c r="N762" s="143" t="s">
        <v>2890</v>
      </c>
      <c r="O762" s="143">
        <v>9.9000000000000005E-2</v>
      </c>
      <c r="P762" s="143"/>
      <c r="Q762" s="143"/>
      <c r="R762" s="142"/>
      <c r="S762" s="142"/>
      <c r="T762" s="142"/>
      <c r="U762" s="142"/>
      <c r="V762" s="142"/>
      <c r="W762" s="142"/>
    </row>
    <row r="763" spans="1:23" s="18" customFormat="1" ht="22.5" customHeight="1" x14ac:dyDescent="0.25">
      <c r="A763" s="716"/>
      <c r="B763" s="717"/>
      <c r="C763" s="718"/>
      <c r="D763" s="718"/>
      <c r="E763" s="718"/>
      <c r="F763" s="715"/>
      <c r="G763" s="1700" t="s">
        <v>2675</v>
      </c>
      <c r="H763" s="1700"/>
      <c r="I763" s="1700"/>
      <c r="J763" s="1700"/>
      <c r="K763" s="1700"/>
      <c r="L763" s="1701"/>
      <c r="M763" s="143"/>
      <c r="N763" s="143"/>
      <c r="O763" s="143"/>
      <c r="P763" s="143"/>
      <c r="Q763" s="143"/>
      <c r="R763" s="142"/>
      <c r="S763" s="142"/>
      <c r="T763" s="142"/>
      <c r="U763" s="142"/>
      <c r="V763" s="142"/>
      <c r="W763" s="142"/>
    </row>
    <row r="764" spans="1:23" s="18" customFormat="1" ht="61.5" customHeight="1" x14ac:dyDescent="0.25">
      <c r="A764" s="401"/>
      <c r="B764" s="402"/>
      <c r="C764" s="403"/>
      <c r="D764" s="403"/>
      <c r="E764" s="403"/>
      <c r="F764" s="404"/>
      <c r="G764" s="184" t="s">
        <v>2663</v>
      </c>
      <c r="H764" s="143" t="s">
        <v>2664</v>
      </c>
      <c r="I764" s="143" t="s">
        <v>2738</v>
      </c>
      <c r="J764" s="143">
        <f>0.88-0.3028</f>
        <v>0.57719999999999994</v>
      </c>
      <c r="K764" s="143"/>
      <c r="L764" s="142"/>
      <c r="M764" s="143"/>
      <c r="N764" s="143"/>
      <c r="O764" s="143"/>
      <c r="P764" s="143"/>
      <c r="Q764" s="143"/>
      <c r="R764" s="142"/>
      <c r="S764" s="142"/>
      <c r="T764" s="142"/>
      <c r="U764" s="142"/>
      <c r="V764" s="142"/>
      <c r="W764" s="142"/>
    </row>
    <row r="765" spans="1:23" s="18" customFormat="1" ht="61.5" customHeight="1" x14ac:dyDescent="0.25">
      <c r="A765" s="834"/>
      <c r="B765" s="835"/>
      <c r="C765" s="836"/>
      <c r="D765" s="836"/>
      <c r="E765" s="836"/>
      <c r="F765" s="833"/>
      <c r="G765" s="1" t="s">
        <v>2877</v>
      </c>
      <c r="H765" s="1" t="s">
        <v>2878</v>
      </c>
      <c r="I765" s="180" t="s">
        <v>2966</v>
      </c>
      <c r="J765" s="151">
        <v>0.03</v>
      </c>
      <c r="K765" s="151"/>
      <c r="L765" s="149"/>
      <c r="M765" s="143"/>
      <c r="N765" s="143"/>
      <c r="O765" s="151"/>
      <c r="P765" s="151"/>
      <c r="Q765" s="151"/>
      <c r="R765" s="147"/>
      <c r="S765" s="363"/>
      <c r="T765" s="176"/>
      <c r="U765" s="149"/>
      <c r="V765" s="149"/>
      <c r="W765" s="149"/>
    </row>
    <row r="766" spans="1:23" s="18" customFormat="1" ht="61.5" customHeight="1" x14ac:dyDescent="0.25">
      <c r="A766" s="855"/>
      <c r="B766" s="857"/>
      <c r="C766" s="858"/>
      <c r="D766" s="858"/>
      <c r="E766" s="858"/>
      <c r="F766" s="854"/>
      <c r="G766" s="143" t="s">
        <v>2889</v>
      </c>
      <c r="H766" s="143" t="s">
        <v>2956</v>
      </c>
      <c r="I766" s="180" t="s">
        <v>3031</v>
      </c>
      <c r="J766" s="151">
        <v>0.25230000000000002</v>
      </c>
      <c r="K766" s="151"/>
      <c r="L766" s="149"/>
      <c r="M766" s="143"/>
      <c r="N766" s="143"/>
      <c r="O766" s="151"/>
      <c r="P766" s="151"/>
      <c r="Q766" s="151"/>
      <c r="R766" s="147"/>
      <c r="S766" s="363"/>
      <c r="T766" s="176"/>
      <c r="U766" s="149"/>
      <c r="V766" s="149"/>
      <c r="W766" s="149"/>
    </row>
    <row r="767" spans="1:23" s="18" customFormat="1" ht="29.25" customHeight="1" x14ac:dyDescent="0.25">
      <c r="A767" s="1212"/>
      <c r="B767" s="1210"/>
      <c r="C767" s="1214"/>
      <c r="D767" s="1214"/>
      <c r="E767" s="1214"/>
      <c r="F767" s="1211"/>
      <c r="G767" s="1700" t="s">
        <v>3068</v>
      </c>
      <c r="H767" s="1700"/>
      <c r="I767" s="1700"/>
      <c r="J767" s="1700"/>
      <c r="K767" s="1700"/>
      <c r="L767" s="1701"/>
      <c r="M767" s="146"/>
      <c r="N767" s="180"/>
      <c r="O767" s="151"/>
      <c r="P767" s="151"/>
      <c r="Q767" s="151"/>
      <c r="R767" s="147"/>
      <c r="S767" s="363"/>
      <c r="T767" s="176"/>
      <c r="U767" s="149"/>
      <c r="V767" s="149"/>
      <c r="W767" s="149"/>
    </row>
    <row r="768" spans="1:23" s="18" customFormat="1" ht="29.25" customHeight="1" x14ac:dyDescent="0.25">
      <c r="A768" s="1212"/>
      <c r="B768" s="1210"/>
      <c r="C768" s="1214"/>
      <c r="D768" s="1214"/>
      <c r="E768" s="1214"/>
      <c r="F768" s="1211"/>
      <c r="G768" s="1665" t="s">
        <v>3481</v>
      </c>
      <c r="H768" s="1666"/>
      <c r="I768" s="1667"/>
      <c r="J768" s="786">
        <v>0.317</v>
      </c>
      <c r="K768" s="151"/>
      <c r="L768" s="149"/>
      <c r="M768" s="146"/>
      <c r="N768" s="180"/>
      <c r="O768" s="151"/>
      <c r="P768" s="151"/>
      <c r="Q768" s="151"/>
      <c r="R768" s="147"/>
      <c r="S768" s="363"/>
      <c r="T768" s="176"/>
      <c r="U768" s="149"/>
      <c r="V768" s="149"/>
      <c r="W768" s="149"/>
    </row>
    <row r="769" spans="1:23" s="18" customFormat="1" ht="29.25" customHeight="1" x14ac:dyDescent="0.25">
      <c r="A769" s="1272"/>
      <c r="B769" s="1266"/>
      <c r="C769" s="1274"/>
      <c r="D769" s="1274"/>
      <c r="E769" s="1274"/>
      <c r="F769" s="1267"/>
      <c r="G769" s="1700" t="s">
        <v>3068</v>
      </c>
      <c r="H769" s="1700"/>
      <c r="I769" s="1700"/>
      <c r="J769" s="1700"/>
      <c r="K769" s="1700"/>
      <c r="L769" s="1701"/>
      <c r="M769" s="1269"/>
      <c r="N769" s="1271"/>
      <c r="O769" s="1268"/>
      <c r="P769" s="1268"/>
      <c r="Q769" s="1268"/>
      <c r="R769" s="1286"/>
      <c r="S769" s="1284"/>
      <c r="T769" s="1285"/>
      <c r="U769" s="149"/>
      <c r="V769" s="149"/>
      <c r="W769" s="149"/>
    </row>
    <row r="770" spans="1:23" s="18" customFormat="1" ht="29.25" customHeight="1" x14ac:dyDescent="0.25">
      <c r="A770" s="1272"/>
      <c r="B770" s="1266"/>
      <c r="C770" s="1274"/>
      <c r="D770" s="1274"/>
      <c r="E770" s="1274"/>
      <c r="F770" s="1267"/>
      <c r="G770" s="1276" t="s">
        <v>2502</v>
      </c>
      <c r="H770" s="1265" t="s">
        <v>3410</v>
      </c>
      <c r="I770" s="283" t="s">
        <v>3540</v>
      </c>
      <c r="J770" s="283">
        <v>2.3E-2</v>
      </c>
      <c r="K770" s="283"/>
      <c r="L770" s="283"/>
      <c r="M770" s="1269"/>
      <c r="N770" s="1271"/>
      <c r="O770" s="1268"/>
      <c r="P770" s="1268"/>
      <c r="Q770" s="1268"/>
      <c r="R770" s="1286"/>
      <c r="S770" s="1284"/>
      <c r="T770" s="1285"/>
      <c r="U770" s="149"/>
      <c r="V770" s="149"/>
      <c r="W770" s="149"/>
    </row>
    <row r="771" spans="1:23" ht="20.100000000000001" customHeight="1" thickBot="1" x14ac:dyDescent="0.3">
      <c r="A771" s="405"/>
      <c r="B771" s="394"/>
      <c r="C771" s="395"/>
      <c r="D771" s="395"/>
      <c r="E771" s="395"/>
      <c r="F771" s="396"/>
      <c r="G771" s="1555" t="s">
        <v>1860</v>
      </c>
      <c r="H771" s="1555"/>
      <c r="I771" s="1556"/>
      <c r="J771" s="136">
        <f>SUM(J764:J770)</f>
        <v>1.1994999999999998</v>
      </c>
      <c r="K771" s="183">
        <v>0.8</v>
      </c>
      <c r="L771" s="136">
        <f>J771/K771</f>
        <v>1.4993749999999997</v>
      </c>
      <c r="M771" s="1574" t="s">
        <v>1861</v>
      </c>
      <c r="N771" s="1556"/>
      <c r="O771" s="136">
        <f>SUM(O758:O764)</f>
        <v>1.599</v>
      </c>
      <c r="P771" s="183">
        <v>0.8</v>
      </c>
      <c r="Q771" s="136">
        <f>O771/P771</f>
        <v>1.9987499999999998</v>
      </c>
      <c r="R771" s="1574" t="s">
        <v>1860</v>
      </c>
      <c r="S771" s="1555"/>
      <c r="T771" s="1556"/>
      <c r="U771" s="136">
        <f>SUM(U758:U764)</f>
        <v>3.5000000000000003E-2</v>
      </c>
      <c r="V771" s="183">
        <v>0.8</v>
      </c>
      <c r="W771" s="136">
        <f>U771/V771</f>
        <v>4.3750000000000004E-2</v>
      </c>
    </row>
    <row r="772" spans="1:23" ht="20.100000000000001" customHeight="1" x14ac:dyDescent="0.25">
      <c r="A772" s="406" t="str">
        <f>'Расчет ЦП - общая форма'!C373</f>
        <v xml:space="preserve">ПС 110/35/6 кВ Безбородово </v>
      </c>
      <c r="B772" s="398">
        <f>'Расчет ЦП - общая форма'!D373</f>
        <v>16</v>
      </c>
      <c r="C772" s="399" t="str">
        <f>'Расчет ЦП - общая форма'!E373</f>
        <v>+</v>
      </c>
      <c r="D772" s="399">
        <f>'Расчет ЦП - общая форма'!F373</f>
        <v>16</v>
      </c>
      <c r="E772" s="399"/>
      <c r="F772" s="400"/>
      <c r="G772" s="271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</row>
    <row r="773" spans="1:23" ht="20.100000000000001" customHeight="1" thickBot="1" x14ac:dyDescent="0.3">
      <c r="A773" s="405"/>
      <c r="B773" s="394"/>
      <c r="C773" s="395"/>
      <c r="D773" s="395"/>
      <c r="E773" s="395"/>
      <c r="F773" s="396"/>
      <c r="G773" s="1555" t="s">
        <v>1860</v>
      </c>
      <c r="H773" s="1555"/>
      <c r="I773" s="1556"/>
      <c r="J773" s="136">
        <f>SUM(0)</f>
        <v>0</v>
      </c>
      <c r="K773" s="183">
        <v>0.8</v>
      </c>
      <c r="L773" s="136">
        <f>J773/K773</f>
        <v>0</v>
      </c>
      <c r="M773" s="1574" t="s">
        <v>1861</v>
      </c>
      <c r="N773" s="1556"/>
      <c r="O773" s="136">
        <f>SUM(0)</f>
        <v>0</v>
      </c>
      <c r="P773" s="183">
        <v>0.8</v>
      </c>
      <c r="Q773" s="136">
        <f>O773/P773</f>
        <v>0</v>
      </c>
      <c r="R773" s="1574" t="s">
        <v>1860</v>
      </c>
      <c r="S773" s="1555"/>
      <c r="T773" s="1556"/>
      <c r="U773" s="136">
        <f>SUM(U762:U772)</f>
        <v>3.5000000000000003E-2</v>
      </c>
      <c r="V773" s="183">
        <v>0.8</v>
      </c>
      <c r="W773" s="136">
        <f>U773/V773</f>
        <v>4.3750000000000004E-2</v>
      </c>
    </row>
    <row r="774" spans="1:23" s="67" customFormat="1" ht="20.100000000000001" customHeight="1" x14ac:dyDescent="0.25">
      <c r="A774" s="1683" t="str">
        <f>'Расчет ЦП - общая форма'!C376</f>
        <v xml:space="preserve">ПС 110/35/6 кВ Редкино  </v>
      </c>
      <c r="B774" s="1551">
        <f>'Расчет ЦП - общая форма'!D376</f>
        <v>40</v>
      </c>
      <c r="C774" s="1552" t="str">
        <f>'Расчет ЦП - общая форма'!E376</f>
        <v>+</v>
      </c>
      <c r="D774" s="1552">
        <f>'Расчет ЦП - общая форма'!F376</f>
        <v>40.5</v>
      </c>
      <c r="E774" s="399"/>
      <c r="F774" s="400"/>
      <c r="G774" s="1712" t="s">
        <v>1989</v>
      </c>
      <c r="H774" s="1712"/>
      <c r="I774" s="1712"/>
      <c r="J774" s="1712"/>
      <c r="K774" s="1712"/>
      <c r="L774" s="1702"/>
      <c r="M774" s="147"/>
      <c r="N774" s="176"/>
      <c r="O774" s="149"/>
      <c r="P774" s="149"/>
      <c r="Q774" s="149"/>
      <c r="R774" s="1713"/>
      <c r="S774" s="1691"/>
      <c r="T774" s="1691"/>
      <c r="U774" s="1691"/>
      <c r="V774" s="1691"/>
      <c r="W774" s="1692"/>
    </row>
    <row r="775" spans="1:23" ht="20.100000000000001" customHeight="1" x14ac:dyDescent="0.25">
      <c r="A775" s="1540"/>
      <c r="B775" s="1501"/>
      <c r="C775" s="1553"/>
      <c r="D775" s="1553"/>
      <c r="E775" s="403"/>
      <c r="F775" s="404"/>
      <c r="G775" s="66" t="s">
        <v>726</v>
      </c>
      <c r="H775" s="2" t="s">
        <v>727</v>
      </c>
      <c r="I775" s="143" t="s">
        <v>728</v>
      </c>
      <c r="J775" s="63">
        <v>1.5</v>
      </c>
      <c r="K775" s="143"/>
      <c r="L775" s="142"/>
      <c r="M775" s="26" t="s">
        <v>729</v>
      </c>
      <c r="N775" s="26" t="s">
        <v>730</v>
      </c>
      <c r="O775" s="59">
        <v>0.17199999999999999</v>
      </c>
      <c r="P775" s="143"/>
      <c r="Q775" s="143"/>
      <c r="R775" s="142"/>
      <c r="S775" s="142"/>
      <c r="T775" s="142"/>
      <c r="U775" s="379"/>
      <c r="V775" s="142"/>
      <c r="W775" s="142"/>
    </row>
    <row r="776" spans="1:23" ht="20.100000000000001" customHeight="1" x14ac:dyDescent="0.25">
      <c r="A776" s="401"/>
      <c r="B776" s="402"/>
      <c r="C776" s="403"/>
      <c r="D776" s="403"/>
      <c r="E776" s="403"/>
      <c r="F776" s="404"/>
      <c r="G776" s="1663" t="s">
        <v>1988</v>
      </c>
      <c r="H776" s="1663"/>
      <c r="I776" s="1663"/>
      <c r="J776" s="1663"/>
      <c r="K776" s="1663"/>
      <c r="L776" s="1664"/>
      <c r="M776" s="26"/>
      <c r="N776" s="26"/>
      <c r="O776" s="59"/>
      <c r="P776" s="143"/>
      <c r="Q776" s="143"/>
      <c r="R776" s="1680"/>
      <c r="S776" s="1681"/>
      <c r="T776" s="1681"/>
      <c r="U776" s="1681"/>
      <c r="V776" s="1681"/>
      <c r="W776" s="1408"/>
    </row>
    <row r="777" spans="1:23" ht="20.100000000000001" customHeight="1" x14ac:dyDescent="0.25">
      <c r="A777" s="401"/>
      <c r="B777" s="402"/>
      <c r="C777" s="403"/>
      <c r="D777" s="403"/>
      <c r="E777" s="403"/>
      <c r="F777" s="404"/>
      <c r="G777" s="184" t="s">
        <v>731</v>
      </c>
      <c r="H777" s="143" t="s">
        <v>732</v>
      </c>
      <c r="I777" s="143" t="s">
        <v>733</v>
      </c>
      <c r="J777" s="64">
        <v>1.5</v>
      </c>
      <c r="K777" s="143"/>
      <c r="L777" s="142"/>
      <c r="M777" s="142" t="s">
        <v>734</v>
      </c>
      <c r="N777" s="142" t="s">
        <v>735</v>
      </c>
      <c r="O777" s="6">
        <v>2</v>
      </c>
      <c r="P777" s="143"/>
      <c r="Q777" s="143"/>
      <c r="R777" s="142"/>
      <c r="S777" s="142"/>
      <c r="T777" s="142"/>
      <c r="U777" s="379"/>
      <c r="V777" s="142"/>
      <c r="W777" s="142"/>
    </row>
    <row r="778" spans="1:23" ht="20.100000000000001" customHeight="1" x14ac:dyDescent="0.25">
      <c r="A778" s="401"/>
      <c r="B778" s="402"/>
      <c r="C778" s="403"/>
      <c r="D778" s="403"/>
      <c r="E778" s="403"/>
      <c r="F778" s="404"/>
      <c r="G778" s="184"/>
      <c r="H778" s="143"/>
      <c r="I778" s="198"/>
      <c r="J778" s="64"/>
      <c r="K778" s="143"/>
      <c r="L778" s="142"/>
      <c r="M778" s="142" t="s">
        <v>736</v>
      </c>
      <c r="N778" s="142" t="s">
        <v>737</v>
      </c>
      <c r="O778" s="6">
        <v>0.245</v>
      </c>
      <c r="P778" s="143"/>
      <c r="Q778" s="143"/>
      <c r="R778" s="142"/>
      <c r="S778" s="142"/>
      <c r="T778" s="362"/>
      <c r="U778" s="379"/>
      <c r="V778" s="142"/>
      <c r="W778" s="142"/>
    </row>
    <row r="779" spans="1:23" ht="20.100000000000001" customHeight="1" x14ac:dyDescent="0.25">
      <c r="A779" s="401"/>
      <c r="B779" s="402"/>
      <c r="C779" s="403"/>
      <c r="D779" s="403"/>
      <c r="E779" s="403"/>
      <c r="F779" s="404"/>
      <c r="G779" s="184"/>
      <c r="H779" s="143"/>
      <c r="I779" s="198"/>
      <c r="J779" s="64"/>
      <c r="K779" s="143"/>
      <c r="L779" s="142"/>
      <c r="M779" s="142" t="s">
        <v>738</v>
      </c>
      <c r="N779" s="142" t="s">
        <v>739</v>
      </c>
      <c r="O779" s="6">
        <v>2.63</v>
      </c>
      <c r="P779" s="143"/>
      <c r="Q779" s="143"/>
      <c r="R779" s="142"/>
      <c r="S779" s="142"/>
      <c r="T779" s="362"/>
      <c r="U779" s="379"/>
      <c r="V779" s="142"/>
      <c r="W779" s="142"/>
    </row>
    <row r="780" spans="1:23" ht="20.100000000000001" customHeight="1" x14ac:dyDescent="0.25">
      <c r="A780" s="401"/>
      <c r="B780" s="402"/>
      <c r="C780" s="403"/>
      <c r="D780" s="403"/>
      <c r="E780" s="403"/>
      <c r="F780" s="404"/>
      <c r="G780" s="184"/>
      <c r="H780" s="143"/>
      <c r="I780" s="143"/>
      <c r="J780" s="143"/>
      <c r="K780" s="143"/>
      <c r="L780" s="142"/>
      <c r="M780" s="1281" t="s">
        <v>1519</v>
      </c>
      <c r="N780" s="154" t="s">
        <v>1520</v>
      </c>
      <c r="O780" s="143">
        <v>6.25E-2</v>
      </c>
      <c r="P780" s="143"/>
      <c r="Q780" s="143"/>
      <c r="R780" s="142"/>
      <c r="S780" s="142"/>
      <c r="T780" s="142"/>
      <c r="U780" s="142"/>
      <c r="V780" s="142"/>
      <c r="W780" s="142"/>
    </row>
    <row r="781" spans="1:23" ht="20.100000000000001" customHeight="1" x14ac:dyDescent="0.25">
      <c r="A781" s="1272"/>
      <c r="B781" s="1266"/>
      <c r="C781" s="1274"/>
      <c r="D781" s="1274"/>
      <c r="E781" s="1274"/>
      <c r="F781" s="1267"/>
      <c r="G781" s="1270"/>
      <c r="H781" s="1270"/>
      <c r="I781" s="1271"/>
      <c r="J781" s="1268"/>
      <c r="K781" s="1268"/>
      <c r="L781" s="149"/>
      <c r="M781" s="1283" t="s">
        <v>738</v>
      </c>
      <c r="N781" s="567" t="s">
        <v>3535</v>
      </c>
      <c r="O781" s="1268">
        <v>0.05</v>
      </c>
      <c r="P781" s="1268"/>
      <c r="Q781" s="1268"/>
      <c r="R781" s="1286"/>
      <c r="S781" s="1284"/>
      <c r="T781" s="1285"/>
      <c r="U781" s="149"/>
      <c r="V781" s="149"/>
      <c r="W781" s="149"/>
    </row>
    <row r="782" spans="1:23" ht="20.100000000000001" customHeight="1" thickBot="1" x14ac:dyDescent="0.3">
      <c r="A782" s="405"/>
      <c r="B782" s="394"/>
      <c r="C782" s="395"/>
      <c r="D782" s="395"/>
      <c r="E782" s="395"/>
      <c r="F782" s="396"/>
      <c r="G782" s="1555" t="s">
        <v>1860</v>
      </c>
      <c r="H782" s="1555"/>
      <c r="I782" s="1556"/>
      <c r="J782" s="203">
        <f>SUM(0)</f>
        <v>0</v>
      </c>
      <c r="K782" s="183">
        <v>0.8</v>
      </c>
      <c r="L782" s="136">
        <f>J782/K782</f>
        <v>0</v>
      </c>
      <c r="M782" s="1574" t="s">
        <v>1861</v>
      </c>
      <c r="N782" s="1556"/>
      <c r="O782" s="219">
        <f>SUM(O775:O781)</f>
        <v>5.1595000000000004</v>
      </c>
      <c r="P782" s="183">
        <v>0.8</v>
      </c>
      <c r="Q782" s="136">
        <f>O782/P782</f>
        <v>6.4493749999999999</v>
      </c>
      <c r="R782" s="1574" t="s">
        <v>1860</v>
      </c>
      <c r="S782" s="1555"/>
      <c r="T782" s="1556"/>
      <c r="U782" s="203">
        <f>SUM(U777:U780)</f>
        <v>0</v>
      </c>
      <c r="V782" s="183">
        <v>0.8</v>
      </c>
      <c r="W782" s="136">
        <f>U782/V782</f>
        <v>0</v>
      </c>
    </row>
    <row r="783" spans="1:23" s="67" customFormat="1" ht="20.100000000000001" customHeight="1" x14ac:dyDescent="0.25">
      <c r="A783" s="1683" t="str">
        <f>'Расчет ЦП - общая форма'!C379</f>
        <v xml:space="preserve">ПС 110/35/10 кВ Рамешки </v>
      </c>
      <c r="B783" s="1551">
        <f>'Расчет ЦП - общая форма'!D379</f>
        <v>25</v>
      </c>
      <c r="C783" s="1552" t="str">
        <f>'Расчет ЦП - общая форма'!E379</f>
        <v>+</v>
      </c>
      <c r="D783" s="1552">
        <f>'Расчет ЦП - общая форма'!F379</f>
        <v>10</v>
      </c>
      <c r="E783" s="399"/>
      <c r="F783" s="400"/>
      <c r="G783" s="1712" t="s">
        <v>1989</v>
      </c>
      <c r="H783" s="1712"/>
      <c r="I783" s="1712"/>
      <c r="J783" s="1712"/>
      <c r="K783" s="1712"/>
      <c r="L783" s="1702"/>
      <c r="M783" s="133"/>
      <c r="N783" s="175"/>
      <c r="O783" s="77"/>
      <c r="P783" s="77"/>
      <c r="Q783" s="77"/>
      <c r="R783" s="1713"/>
      <c r="S783" s="1691"/>
      <c r="T783" s="1691"/>
      <c r="U783" s="1691"/>
      <c r="V783" s="1691"/>
      <c r="W783" s="1692"/>
    </row>
    <row r="784" spans="1:23" s="18" customFormat="1" ht="47.25" customHeight="1" x14ac:dyDescent="0.25">
      <c r="A784" s="1540"/>
      <c r="B784" s="1501"/>
      <c r="C784" s="1553"/>
      <c r="D784" s="1553"/>
      <c r="E784" s="403"/>
      <c r="F784" s="404"/>
      <c r="G784" s="281" t="s">
        <v>1891</v>
      </c>
      <c r="H784" s="45" t="s">
        <v>743</v>
      </c>
      <c r="I784" s="45" t="s">
        <v>744</v>
      </c>
      <c r="J784" s="45">
        <v>3.5000000000000003E-2</v>
      </c>
      <c r="K784" s="45"/>
      <c r="L784" s="72"/>
      <c r="M784" s="65"/>
      <c r="N784" s="65"/>
      <c r="O784" s="65"/>
      <c r="P784" s="45"/>
      <c r="Q784" s="45"/>
      <c r="R784" s="72"/>
      <c r="S784" s="72"/>
      <c r="T784" s="72"/>
      <c r="U784" s="72"/>
      <c r="V784" s="72"/>
      <c r="W784" s="72"/>
    </row>
    <row r="785" spans="1:23" s="18" customFormat="1" ht="20.100000000000001" customHeight="1" x14ac:dyDescent="0.25">
      <c r="A785" s="401"/>
      <c r="B785" s="402"/>
      <c r="C785" s="403"/>
      <c r="D785" s="403"/>
      <c r="E785" s="403"/>
      <c r="F785" s="404"/>
      <c r="G785" s="1663" t="s">
        <v>1988</v>
      </c>
      <c r="H785" s="1663"/>
      <c r="I785" s="1663"/>
      <c r="J785" s="1663"/>
      <c r="K785" s="1663"/>
      <c r="L785" s="1664"/>
      <c r="M785" s="2" t="s">
        <v>750</v>
      </c>
      <c r="N785" s="2" t="s">
        <v>751</v>
      </c>
      <c r="O785" s="2">
        <v>2.8000000000000001E-2</v>
      </c>
      <c r="P785" s="45"/>
      <c r="Q785" s="45"/>
      <c r="R785" s="1680"/>
      <c r="S785" s="1681"/>
      <c r="T785" s="1681"/>
      <c r="U785" s="1681"/>
      <c r="V785" s="1681"/>
      <c r="W785" s="1408"/>
    </row>
    <row r="786" spans="1:23" s="18" customFormat="1" ht="57.75" customHeight="1" x14ac:dyDescent="0.25">
      <c r="A786" s="401"/>
      <c r="B786" s="402"/>
      <c r="C786" s="403"/>
      <c r="D786" s="403"/>
      <c r="E786" s="403"/>
      <c r="F786" s="404"/>
      <c r="G786" s="66" t="s">
        <v>748</v>
      </c>
      <c r="H786" s="2" t="s">
        <v>1518</v>
      </c>
      <c r="I786" s="2" t="s">
        <v>749</v>
      </c>
      <c r="J786" s="48">
        <v>2.5000000000000001E-2</v>
      </c>
      <c r="K786" s="2"/>
      <c r="L786" s="142"/>
      <c r="M786" s="2"/>
      <c r="N786" s="2"/>
      <c r="O786" s="2"/>
      <c r="P786" s="45"/>
      <c r="Q786" s="45"/>
      <c r="R786" s="142"/>
      <c r="S786" s="142"/>
      <c r="T786" s="142"/>
      <c r="U786" s="283"/>
      <c r="V786" s="142"/>
      <c r="W786" s="142"/>
    </row>
    <row r="787" spans="1:23" s="18" customFormat="1" ht="20.25" customHeight="1" x14ac:dyDescent="0.25">
      <c r="A787" s="581"/>
      <c r="B787" s="582"/>
      <c r="C787" s="584"/>
      <c r="D787" s="584"/>
      <c r="E787" s="584"/>
      <c r="F787" s="580"/>
      <c r="G787" s="1700" t="s">
        <v>2062</v>
      </c>
      <c r="H787" s="1700"/>
      <c r="I787" s="1700"/>
      <c r="J787" s="1700"/>
      <c r="K787" s="1700"/>
      <c r="L787" s="1701"/>
      <c r="M787" s="1"/>
      <c r="N787" s="1"/>
      <c r="O787" s="2"/>
      <c r="P787" s="45"/>
      <c r="Q787" s="45"/>
      <c r="R787" s="142"/>
      <c r="S787" s="142"/>
      <c r="T787" s="142"/>
      <c r="U787" s="283"/>
      <c r="V787" s="142"/>
      <c r="W787" s="142"/>
    </row>
    <row r="788" spans="1:23" ht="59.25" customHeight="1" x14ac:dyDescent="0.25">
      <c r="A788" s="401"/>
      <c r="B788" s="402"/>
      <c r="C788" s="403"/>
      <c r="D788" s="403"/>
      <c r="E788" s="403"/>
      <c r="F788" s="404"/>
      <c r="G788" s="66" t="s">
        <v>746</v>
      </c>
      <c r="H788" s="2" t="s">
        <v>747</v>
      </c>
      <c r="I788" s="48" t="s">
        <v>2409</v>
      </c>
      <c r="J788" s="143">
        <v>2.8000000000000001E-2</v>
      </c>
      <c r="K788" s="2"/>
      <c r="L788" s="142"/>
      <c r="M788" s="65" t="s">
        <v>2957</v>
      </c>
      <c r="N788" s="2" t="s">
        <v>2958</v>
      </c>
      <c r="O788" s="2">
        <v>0.1</v>
      </c>
      <c r="P788" s="45"/>
      <c r="Q788" s="45"/>
      <c r="R788" s="142"/>
      <c r="S788" s="142"/>
      <c r="T788" s="283"/>
      <c r="U788" s="142"/>
      <c r="V788" s="142"/>
      <c r="W788" s="142"/>
    </row>
    <row r="789" spans="1:23" ht="17.25" customHeight="1" x14ac:dyDescent="0.25">
      <c r="A789" s="680"/>
      <c r="B789" s="681"/>
      <c r="C789" s="682"/>
      <c r="D789" s="682"/>
      <c r="E789" s="682"/>
      <c r="F789" s="679"/>
      <c r="G789" s="1700" t="s">
        <v>2675</v>
      </c>
      <c r="H789" s="1700"/>
      <c r="I789" s="1700"/>
      <c r="J789" s="1700"/>
      <c r="K789" s="1700"/>
      <c r="L789" s="1701"/>
      <c r="M789" s="48"/>
      <c r="N789" s="2"/>
      <c r="O789" s="2"/>
      <c r="P789" s="2"/>
      <c r="Q789" s="2"/>
      <c r="R789" s="142"/>
      <c r="S789" s="142"/>
      <c r="T789" s="283"/>
      <c r="U789" s="142"/>
      <c r="V789" s="142"/>
      <c r="W789" s="142"/>
    </row>
    <row r="790" spans="1:23" ht="59.25" customHeight="1" x14ac:dyDescent="0.25">
      <c r="A790" s="680"/>
      <c r="B790" s="681"/>
      <c r="C790" s="682"/>
      <c r="D790" s="682"/>
      <c r="E790" s="682"/>
      <c r="F790" s="679"/>
      <c r="G790" s="2" t="s">
        <v>2596</v>
      </c>
      <c r="H790" s="2" t="s">
        <v>2597</v>
      </c>
      <c r="I790" s="687" t="s">
        <v>2676</v>
      </c>
      <c r="J790" s="2">
        <f>0.042-0.012</f>
        <v>3.0000000000000002E-2</v>
      </c>
      <c r="K790" s="70"/>
      <c r="L790" s="149"/>
      <c r="M790" s="48"/>
      <c r="N790" s="2"/>
      <c r="O790" s="2"/>
      <c r="P790" s="2"/>
      <c r="Q790" s="2"/>
      <c r="R790" s="142"/>
      <c r="S790" s="142"/>
      <c r="T790" s="283"/>
      <c r="U790" s="142"/>
      <c r="V790" s="142"/>
      <c r="W790" s="142"/>
    </row>
    <row r="791" spans="1:23" ht="28.5" customHeight="1" x14ac:dyDescent="0.25">
      <c r="A791" s="805"/>
      <c r="B791" s="806"/>
      <c r="C791" s="808"/>
      <c r="D791" s="808"/>
      <c r="E791" s="808"/>
      <c r="F791" s="804"/>
      <c r="G791" s="2" t="s">
        <v>745</v>
      </c>
      <c r="H791" s="2" t="s">
        <v>2652</v>
      </c>
      <c r="I791" s="48" t="s">
        <v>2914</v>
      </c>
      <c r="J791" s="2">
        <v>0.06</v>
      </c>
      <c r="K791" s="2"/>
      <c r="L791" s="142"/>
      <c r="M791" s="826"/>
      <c r="N791" s="121"/>
      <c r="O791" s="70"/>
      <c r="P791" s="70"/>
      <c r="Q791" s="70"/>
      <c r="R791" s="147"/>
      <c r="S791" s="363"/>
      <c r="T791" s="827"/>
      <c r="U791" s="149"/>
      <c r="V791" s="149"/>
      <c r="W791" s="149"/>
    </row>
    <row r="792" spans="1:23" ht="28.5" customHeight="1" x14ac:dyDescent="0.25">
      <c r="A792" s="834"/>
      <c r="B792" s="835"/>
      <c r="C792" s="836"/>
      <c r="D792" s="836"/>
      <c r="E792" s="836"/>
      <c r="F792" s="833"/>
      <c r="G792" s="1" t="s">
        <v>2546</v>
      </c>
      <c r="H792" s="1" t="s">
        <v>2936</v>
      </c>
      <c r="I792" s="687" t="s">
        <v>2968</v>
      </c>
      <c r="J792" s="70">
        <v>2.3E-2</v>
      </c>
      <c r="K792" s="70"/>
      <c r="L792" s="149"/>
      <c r="M792" s="826"/>
      <c r="N792" s="121"/>
      <c r="O792" s="70"/>
      <c r="P792" s="70"/>
      <c r="Q792" s="70"/>
      <c r="R792" s="147"/>
      <c r="S792" s="363"/>
      <c r="T792" s="827"/>
      <c r="U792" s="149"/>
      <c r="V792" s="149"/>
      <c r="W792" s="149"/>
    </row>
    <row r="793" spans="1:23" ht="14.25" customHeight="1" x14ac:dyDescent="0.25">
      <c r="A793" s="1212"/>
      <c r="B793" s="1210"/>
      <c r="C793" s="1214"/>
      <c r="D793" s="1214"/>
      <c r="E793" s="1214"/>
      <c r="F793" s="1211"/>
      <c r="G793" s="1700" t="s">
        <v>3068</v>
      </c>
      <c r="H793" s="1700"/>
      <c r="I793" s="1700"/>
      <c r="J793" s="1700"/>
      <c r="K793" s="1700"/>
      <c r="L793" s="1701"/>
      <c r="M793" s="826"/>
      <c r="N793" s="121"/>
      <c r="O793" s="70"/>
      <c r="P793" s="70"/>
      <c r="Q793" s="70"/>
      <c r="R793" s="147"/>
      <c r="S793" s="363"/>
      <c r="T793" s="827"/>
      <c r="U793" s="149"/>
      <c r="V793" s="149"/>
      <c r="W793" s="149"/>
    </row>
    <row r="794" spans="1:23" ht="28.5" customHeight="1" x14ac:dyDescent="0.25">
      <c r="A794" s="1212"/>
      <c r="B794" s="1210"/>
      <c r="C794" s="1214"/>
      <c r="D794" s="1214"/>
      <c r="E794" s="1214"/>
      <c r="F794" s="1211"/>
      <c r="G794" s="1537" t="s">
        <v>3481</v>
      </c>
      <c r="H794" s="1538"/>
      <c r="I794" s="1539"/>
      <c r="J794" s="70">
        <v>0.61850000000000005</v>
      </c>
      <c r="K794" s="70"/>
      <c r="L794" s="149"/>
      <c r="M794" s="826"/>
      <c r="N794" s="121"/>
      <c r="O794" s="70"/>
      <c r="P794" s="70"/>
      <c r="Q794" s="70"/>
      <c r="R794" s="147"/>
      <c r="S794" s="363"/>
      <c r="T794" s="827"/>
      <c r="U794" s="149"/>
      <c r="V794" s="149"/>
      <c r="W794" s="149"/>
    </row>
    <row r="795" spans="1:23" ht="20.100000000000001" customHeight="1" thickBot="1" x14ac:dyDescent="0.3">
      <c r="A795" s="405"/>
      <c r="B795" s="394"/>
      <c r="C795" s="395"/>
      <c r="D795" s="395"/>
      <c r="E795" s="395"/>
      <c r="F795" s="396"/>
      <c r="G795" s="1555" t="s">
        <v>1860</v>
      </c>
      <c r="H795" s="1555"/>
      <c r="I795" s="1556"/>
      <c r="J795" s="136">
        <f>SUM(J790:J794)</f>
        <v>0.73150000000000004</v>
      </c>
      <c r="K795" s="183">
        <v>0.8</v>
      </c>
      <c r="L795" s="136">
        <f>J795/K795</f>
        <v>0.91437500000000005</v>
      </c>
      <c r="M795" s="1574" t="s">
        <v>1861</v>
      </c>
      <c r="N795" s="1556"/>
      <c r="O795" s="136">
        <f>SUM(O784:O788)</f>
        <v>0.128</v>
      </c>
      <c r="P795" s="183">
        <v>0.8</v>
      </c>
      <c r="Q795" s="136">
        <f>O795/P795</f>
        <v>0.16</v>
      </c>
      <c r="R795" s="1574" t="s">
        <v>1860</v>
      </c>
      <c r="S795" s="1555"/>
      <c r="T795" s="1556"/>
      <c r="U795" s="136">
        <f>SUM(U786:U788)</f>
        <v>0</v>
      </c>
      <c r="V795" s="183">
        <v>0.8</v>
      </c>
      <c r="W795" s="136">
        <f>U795/V795</f>
        <v>0</v>
      </c>
    </row>
    <row r="796" spans="1:23" ht="20.100000000000001" customHeight="1" x14ac:dyDescent="0.25">
      <c r="A796" s="406" t="str">
        <f>'Расчет ЦП - общая форма'!C382</f>
        <v xml:space="preserve">ПС 110/35/10 кВ Тучево </v>
      </c>
      <c r="B796" s="398">
        <f>'Расчет ЦП - общая форма'!D382</f>
        <v>25</v>
      </c>
      <c r="C796" s="399" t="str">
        <f>'Расчет ЦП - общая форма'!E382</f>
        <v>+</v>
      </c>
      <c r="D796" s="399">
        <f>'Расчет ЦП - общая форма'!F382</f>
        <v>25</v>
      </c>
      <c r="E796" s="399"/>
      <c r="F796" s="400"/>
      <c r="G796" s="184"/>
      <c r="H796" s="143"/>
      <c r="I796" s="143"/>
      <c r="J796" s="143"/>
      <c r="K796" s="143"/>
      <c r="L796" s="142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2"/>
    </row>
    <row r="797" spans="1:23" ht="20.100000000000001" customHeight="1" thickBot="1" x14ac:dyDescent="0.3">
      <c r="A797" s="405"/>
      <c r="B797" s="394"/>
      <c r="C797" s="395"/>
      <c r="D797" s="395"/>
      <c r="E797" s="395"/>
      <c r="F797" s="396"/>
      <c r="G797" s="1530" t="s">
        <v>1860</v>
      </c>
      <c r="H797" s="1530"/>
      <c r="I797" s="1531"/>
      <c r="J797" s="181">
        <f>SUM(J796:J796)</f>
        <v>0</v>
      </c>
      <c r="K797" s="151">
        <v>0.8</v>
      </c>
      <c r="L797" s="181">
        <f>J797/K797</f>
        <v>0</v>
      </c>
      <c r="M797" s="1529" t="s">
        <v>1861</v>
      </c>
      <c r="N797" s="1531"/>
      <c r="O797" s="181">
        <f>SUM(O796:O796)</f>
        <v>0</v>
      </c>
      <c r="P797" s="151">
        <v>0.8</v>
      </c>
      <c r="Q797" s="181">
        <f>O797/P797</f>
        <v>0</v>
      </c>
      <c r="R797" s="1529" t="s">
        <v>1860</v>
      </c>
      <c r="S797" s="1530"/>
      <c r="T797" s="1531"/>
      <c r="U797" s="181">
        <f>SUM(U796:U796)</f>
        <v>0</v>
      </c>
      <c r="V797" s="151">
        <v>0.8</v>
      </c>
      <c r="W797" s="181">
        <f>U797/V797</f>
        <v>0</v>
      </c>
    </row>
    <row r="798" spans="1:23" ht="20.100000000000001" customHeight="1" thickBot="1" x14ac:dyDescent="0.3">
      <c r="A798" s="1661" t="s">
        <v>1990</v>
      </c>
      <c r="B798" s="1662"/>
      <c r="C798" s="501"/>
      <c r="D798" s="501"/>
      <c r="E798" s="501"/>
      <c r="F798" s="501"/>
      <c r="G798" s="190"/>
      <c r="H798" s="191"/>
      <c r="I798" s="191"/>
      <c r="J798" s="210">
        <f>J15+J22+J31+J117+J33+J39+J53+J56+J58+J60+J62+J67+J70+J73+J83+J88+J95+J97+J99+J102+J128+J137+J142+J149+J170+J174+J191+J202+J205+J220+J256+J268+J279+J292+J310+J320+J331+J336+J350+J353+J358+J365+J400+J402+J410+J421+J431+J447+J455+J470+J478+J497+J506+J509+J519+J534+J544+J562+J567+J578+J595+J602+J621+J623+J634+J671+J703+J723+J735+J771+J797</f>
        <v>64.237170000000006</v>
      </c>
      <c r="K798" s="191"/>
      <c r="L798" s="210">
        <f>L15+L22+L31+L117+L33+L39+L53+L56+L58+L60+L62+L67+L70+L73+L83+L88+L95+L97+L99+L102+L128+L137+L142+L149+L170+L174+L191+L202+L205+L220+L256+L268+L279+L292+L310+L320+L331+L336+L350+L353+L358+L365+L400+L402+L410+L421+L431+L447+L455+L470+L478+L497+L506+L509+L519+L534+L544+L562+L567+L578+L595+L602+L621+L623+L634+L671+L703+L723+L735+L771+L797</f>
        <v>80.29646249999999</v>
      </c>
      <c r="M798" s="191"/>
      <c r="N798" s="191"/>
      <c r="O798" s="191"/>
      <c r="P798" s="190"/>
      <c r="Q798" s="190"/>
      <c r="R798" s="380"/>
      <c r="S798" s="361"/>
      <c r="T798" s="361"/>
      <c r="U798" s="361"/>
      <c r="V798" s="361"/>
      <c r="W798" s="381"/>
    </row>
    <row r="799" spans="1:23" ht="64.5" customHeight="1" x14ac:dyDescent="0.25">
      <c r="L799" s="135"/>
    </row>
    <row r="800" spans="1:23" x14ac:dyDescent="0.25">
      <c r="L800" s="135"/>
    </row>
    <row r="801" spans="1:18" ht="33.75" customHeight="1" x14ac:dyDescent="0.25">
      <c r="L801" s="135"/>
    </row>
    <row r="802" spans="1:18" ht="30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35"/>
      <c r="M802" s="3"/>
      <c r="N802" s="3"/>
      <c r="O802" s="3"/>
      <c r="P802" s="3"/>
      <c r="Q802" s="3"/>
      <c r="R802" s="3"/>
    </row>
    <row r="803" spans="1:18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35"/>
      <c r="M803" s="3"/>
      <c r="N803" s="3"/>
      <c r="O803" s="3"/>
      <c r="P803" s="3"/>
      <c r="Q803" s="3"/>
      <c r="R803" s="3"/>
    </row>
    <row r="804" spans="1:18" ht="4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35"/>
      <c r="M804" s="3"/>
      <c r="N804" s="3"/>
      <c r="O804" s="3"/>
      <c r="P804" s="3"/>
      <c r="Q804" s="3"/>
      <c r="R804" s="3"/>
    </row>
    <row r="805" spans="1:18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35"/>
      <c r="M805" s="3"/>
      <c r="N805" s="3"/>
      <c r="O805" s="3"/>
      <c r="P805" s="3"/>
      <c r="Q805" s="3"/>
      <c r="R805" s="3"/>
    </row>
    <row r="806" spans="1:18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35"/>
      <c r="M806" s="3"/>
      <c r="N806" s="3"/>
      <c r="O806" s="3"/>
      <c r="P806" s="3"/>
      <c r="Q806" s="3"/>
      <c r="R806" s="3"/>
    </row>
    <row r="807" spans="1:18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35"/>
      <c r="M807" s="3"/>
      <c r="N807" s="3"/>
      <c r="O807" s="3"/>
      <c r="P807" s="3"/>
      <c r="Q807" s="3"/>
      <c r="R807" s="3"/>
    </row>
    <row r="808" spans="1:18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35"/>
      <c r="M808" s="3"/>
      <c r="N808" s="3"/>
      <c r="O808" s="3"/>
      <c r="P808" s="3"/>
      <c r="Q808" s="3"/>
      <c r="R808" s="3"/>
    </row>
    <row r="809" spans="1:18" ht="51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35"/>
      <c r="M809" s="3"/>
      <c r="N809" s="3"/>
      <c r="O809" s="3"/>
      <c r="P809" s="3"/>
      <c r="Q809" s="3"/>
      <c r="R809" s="3"/>
    </row>
    <row r="810" spans="1:18" ht="4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35"/>
      <c r="M810" s="3"/>
      <c r="N810" s="3"/>
      <c r="O810" s="3"/>
      <c r="P810" s="3"/>
      <c r="Q810" s="3"/>
      <c r="R810" s="3"/>
    </row>
    <row r="811" spans="1:18" ht="39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35"/>
      <c r="M811" s="3"/>
      <c r="N811" s="3"/>
      <c r="O811" s="3"/>
      <c r="P811" s="3"/>
      <c r="Q811" s="3"/>
      <c r="R811" s="3"/>
    </row>
    <row r="812" spans="1:18" ht="42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35"/>
      <c r="M812" s="3"/>
      <c r="N812" s="3"/>
      <c r="O812" s="3"/>
      <c r="P812" s="3"/>
      <c r="Q812" s="3"/>
      <c r="R812" s="3"/>
    </row>
    <row r="813" spans="1:18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35"/>
      <c r="M813" s="3"/>
      <c r="N813" s="3"/>
      <c r="O813" s="3"/>
      <c r="P813" s="3"/>
      <c r="Q813" s="3"/>
      <c r="R813" s="3"/>
    </row>
    <row r="814" spans="1:18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35"/>
      <c r="M814" s="3"/>
      <c r="N814" s="3"/>
      <c r="O814" s="3"/>
      <c r="P814" s="3"/>
      <c r="Q814" s="3"/>
      <c r="R814" s="3"/>
    </row>
    <row r="815" spans="1:18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35"/>
      <c r="M815" s="3"/>
      <c r="N815" s="3"/>
      <c r="O815" s="3"/>
      <c r="P815" s="3"/>
      <c r="Q815" s="3"/>
      <c r="R815" s="3"/>
    </row>
    <row r="816" spans="1:18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35"/>
      <c r="M816" s="3"/>
      <c r="N816" s="3"/>
      <c r="O816" s="3"/>
      <c r="P816" s="3"/>
      <c r="Q816" s="3"/>
      <c r="R816" s="3"/>
    </row>
    <row r="817" spans="1:23" ht="58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35"/>
      <c r="M817" s="3"/>
      <c r="N817" s="3"/>
      <c r="O817" s="3"/>
      <c r="P817" s="3"/>
      <c r="Q817" s="3"/>
      <c r="R817" s="3"/>
    </row>
    <row r="818" spans="1:23" ht="49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35"/>
    </row>
    <row r="819" spans="1:2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35"/>
    </row>
    <row r="820" spans="1:23" ht="78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35"/>
    </row>
    <row r="821" spans="1:2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35"/>
    </row>
    <row r="822" spans="1:23" ht="57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35"/>
    </row>
    <row r="823" spans="1:23" ht="63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35"/>
    </row>
    <row r="824" spans="1:23" ht="51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35"/>
    </row>
    <row r="825" spans="1:23" ht="60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35"/>
      <c r="S825" s="67"/>
      <c r="T825" s="67"/>
      <c r="U825" s="67"/>
      <c r="V825" s="67"/>
      <c r="W825" s="67"/>
    </row>
    <row r="826" spans="1:23" ht="4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35"/>
      <c r="S826" s="67"/>
      <c r="T826" s="67"/>
      <c r="U826" s="67"/>
      <c r="V826" s="67"/>
      <c r="W826" s="67"/>
    </row>
    <row r="827" spans="1:23" ht="76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35"/>
      <c r="S827" s="67"/>
      <c r="T827" s="67"/>
      <c r="U827" s="67"/>
      <c r="V827" s="67"/>
      <c r="W827" s="67"/>
    </row>
    <row r="828" spans="1:2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35"/>
      <c r="S828" s="67"/>
      <c r="T828" s="67"/>
      <c r="U828" s="67"/>
      <c r="V828" s="67"/>
      <c r="W828" s="67"/>
    </row>
    <row r="829" spans="1:23" ht="50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35"/>
      <c r="S829" s="67"/>
      <c r="T829" s="67"/>
      <c r="U829" s="67"/>
      <c r="V829" s="67"/>
      <c r="W829" s="67"/>
    </row>
    <row r="830" spans="1:2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35"/>
      <c r="S830" s="67"/>
      <c r="T830" s="67"/>
      <c r="U830" s="67"/>
      <c r="V830" s="67"/>
      <c r="W830" s="67"/>
    </row>
    <row r="831" spans="1:2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35"/>
      <c r="S831" s="67"/>
      <c r="T831" s="67"/>
      <c r="U831" s="67"/>
      <c r="V831" s="67"/>
      <c r="W831" s="67"/>
    </row>
    <row r="832" spans="1:2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35"/>
      <c r="S832" s="67"/>
      <c r="T832" s="67"/>
      <c r="U832" s="67"/>
      <c r="V832" s="67"/>
      <c r="W832" s="67"/>
    </row>
    <row r="833" spans="1:18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35"/>
    </row>
    <row r="834" spans="1:18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35"/>
      <c r="M834" s="3"/>
      <c r="N834" s="3"/>
      <c r="O834" s="3"/>
      <c r="P834" s="3"/>
      <c r="Q834" s="3"/>
      <c r="R834" s="3"/>
    </row>
    <row r="835" spans="1:18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35"/>
      <c r="M835" s="3"/>
      <c r="N835" s="3"/>
      <c r="O835" s="3"/>
      <c r="P835" s="3"/>
      <c r="Q835" s="3"/>
      <c r="R835" s="3"/>
    </row>
    <row r="836" spans="1:18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35"/>
      <c r="M836" s="3"/>
      <c r="N836" s="3"/>
      <c r="O836" s="3"/>
      <c r="P836" s="3"/>
      <c r="Q836" s="3"/>
      <c r="R836" s="3"/>
    </row>
    <row r="837" spans="1:18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35"/>
      <c r="M837" s="3"/>
      <c r="N837" s="3"/>
      <c r="O837" s="3"/>
      <c r="P837" s="3"/>
      <c r="Q837" s="3"/>
      <c r="R837" s="3"/>
    </row>
    <row r="838" spans="1:18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35"/>
      <c r="M838" s="3"/>
      <c r="N838" s="3"/>
      <c r="O838" s="3"/>
      <c r="P838" s="3"/>
      <c r="Q838" s="3"/>
      <c r="R838" s="3"/>
    </row>
    <row r="839" spans="1:18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35"/>
      <c r="M839" s="3"/>
      <c r="N839" s="3"/>
      <c r="O839" s="3"/>
      <c r="P839" s="3"/>
      <c r="Q839" s="3"/>
      <c r="R839" s="3"/>
    </row>
    <row r="840" spans="1:18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35"/>
      <c r="M840" s="3"/>
      <c r="N840" s="3"/>
      <c r="O840" s="3"/>
      <c r="P840" s="3"/>
      <c r="Q840" s="3"/>
      <c r="R840" s="3"/>
    </row>
    <row r="841" spans="1:18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35"/>
      <c r="M841" s="3"/>
      <c r="N841" s="3"/>
      <c r="O841" s="3"/>
      <c r="P841" s="3"/>
      <c r="Q841" s="3"/>
      <c r="R841" s="3"/>
    </row>
    <row r="842" spans="1:18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35"/>
      <c r="M842" s="3"/>
      <c r="N842" s="3"/>
      <c r="O842" s="3"/>
      <c r="P842" s="3"/>
      <c r="Q842" s="3"/>
      <c r="R842" s="3"/>
    </row>
    <row r="843" spans="1:18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35"/>
      <c r="M843" s="3"/>
      <c r="N843" s="3"/>
      <c r="O843" s="3"/>
      <c r="P843" s="3"/>
      <c r="Q843" s="3"/>
      <c r="R843" s="3"/>
    </row>
    <row r="844" spans="1:18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35"/>
      <c r="M844" s="3"/>
      <c r="N844" s="3"/>
      <c r="O844" s="3"/>
      <c r="P844" s="3"/>
      <c r="Q844" s="3"/>
      <c r="R844" s="3"/>
    </row>
    <row r="868" spans="1:18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35"/>
      <c r="M868" s="3"/>
      <c r="N868" s="3"/>
      <c r="O868" s="3"/>
      <c r="P868" s="3"/>
      <c r="Q868" s="3"/>
      <c r="R868" s="3"/>
    </row>
    <row r="869" spans="1:18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35"/>
      <c r="M869" s="3"/>
      <c r="N869" s="3"/>
      <c r="O869" s="3"/>
      <c r="P869" s="3"/>
      <c r="Q869" s="3"/>
      <c r="R869" s="3"/>
    </row>
    <row r="870" spans="1:18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35"/>
      <c r="M870" s="3"/>
      <c r="N870" s="3"/>
      <c r="O870" s="3"/>
      <c r="P870" s="3"/>
      <c r="Q870" s="3"/>
      <c r="R870" s="3"/>
    </row>
    <row r="871" spans="1:18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35"/>
      <c r="M871" s="3"/>
      <c r="N871" s="3"/>
      <c r="O871" s="3"/>
      <c r="P871" s="3"/>
      <c r="Q871" s="3"/>
      <c r="R871" s="3"/>
    </row>
    <row r="872" spans="1:18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35"/>
      <c r="M872" s="3"/>
      <c r="N872" s="3"/>
      <c r="O872" s="3"/>
      <c r="P872" s="3"/>
      <c r="Q872" s="3"/>
      <c r="R872" s="3"/>
    </row>
    <row r="873" spans="1:18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35"/>
      <c r="M873" s="3"/>
      <c r="N873" s="3"/>
      <c r="O873" s="3"/>
      <c r="P873" s="3"/>
      <c r="Q873" s="3"/>
      <c r="R873" s="3"/>
    </row>
    <row r="874" spans="1:18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35"/>
      <c r="M874" s="3"/>
      <c r="N874" s="3"/>
      <c r="O874" s="3"/>
      <c r="P874" s="3"/>
      <c r="Q874" s="3"/>
      <c r="R874" s="3"/>
    </row>
    <row r="875" spans="1:18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35"/>
      <c r="M875" s="3"/>
      <c r="N875" s="3"/>
      <c r="O875" s="3"/>
      <c r="P875" s="3"/>
      <c r="Q875" s="3"/>
      <c r="R875" s="3"/>
    </row>
    <row r="876" spans="1:18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35"/>
      <c r="M876" s="3"/>
      <c r="N876" s="3"/>
      <c r="O876" s="3"/>
      <c r="P876" s="3"/>
      <c r="Q876" s="3"/>
      <c r="R876" s="3"/>
    </row>
    <row r="877" spans="1:18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35"/>
      <c r="M877" s="3"/>
      <c r="N877" s="3"/>
      <c r="O877" s="3"/>
      <c r="P877" s="3"/>
      <c r="Q877" s="3"/>
      <c r="R877" s="3"/>
    </row>
    <row r="878" spans="1:18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35"/>
      <c r="M878" s="3"/>
      <c r="N878" s="3"/>
      <c r="O878" s="3"/>
      <c r="P878" s="3"/>
      <c r="Q878" s="3"/>
      <c r="R878" s="3"/>
    </row>
    <row r="879" spans="1:18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35"/>
      <c r="M879" s="3"/>
      <c r="N879" s="3"/>
      <c r="O879" s="3"/>
      <c r="P879" s="3"/>
      <c r="Q879" s="3"/>
      <c r="R879" s="3"/>
    </row>
    <row r="880" spans="1:18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35"/>
      <c r="M880" s="3"/>
      <c r="N880" s="3"/>
      <c r="O880" s="3"/>
      <c r="P880" s="3"/>
      <c r="Q880" s="3"/>
      <c r="R880" s="3"/>
    </row>
    <row r="881" spans="1:18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35"/>
      <c r="M881" s="3"/>
      <c r="N881" s="3"/>
      <c r="O881" s="3"/>
      <c r="P881" s="3"/>
      <c r="Q881" s="3"/>
      <c r="R881" s="3"/>
    </row>
    <row r="882" spans="1:18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35"/>
      <c r="M882" s="3"/>
      <c r="N882" s="3"/>
      <c r="O882" s="3"/>
      <c r="P882" s="3"/>
      <c r="Q882" s="3"/>
      <c r="R882" s="3"/>
    </row>
    <row r="883" spans="1:18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35"/>
      <c r="M883" s="3"/>
      <c r="N883" s="3"/>
      <c r="O883" s="3"/>
      <c r="P883" s="3"/>
      <c r="Q883" s="3"/>
      <c r="R883" s="3"/>
    </row>
    <row r="884" spans="1:18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35"/>
      <c r="M884" s="3"/>
      <c r="N884" s="3"/>
      <c r="O884" s="3"/>
      <c r="P884" s="3"/>
      <c r="Q884" s="3"/>
      <c r="R884" s="3"/>
    </row>
    <row r="885" spans="1:18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35"/>
      <c r="M885" s="3"/>
      <c r="N885" s="3"/>
      <c r="O885" s="3"/>
      <c r="P885" s="3"/>
      <c r="Q885" s="3"/>
      <c r="R885" s="3"/>
    </row>
    <row r="886" spans="1:18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35"/>
      <c r="M886" s="3"/>
      <c r="N886" s="3"/>
      <c r="O886" s="3"/>
      <c r="P886" s="3"/>
      <c r="Q886" s="3"/>
      <c r="R886" s="3"/>
    </row>
    <row r="887" spans="1:18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35"/>
      <c r="M887" s="3"/>
      <c r="N887" s="3"/>
      <c r="O887" s="3"/>
      <c r="P887" s="3"/>
      <c r="Q887" s="3"/>
      <c r="R887" s="3"/>
    </row>
    <row r="888" spans="1:18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35"/>
      <c r="M888" s="3"/>
      <c r="N888" s="3"/>
      <c r="O888" s="3"/>
      <c r="P888" s="3"/>
      <c r="Q888" s="3"/>
      <c r="R888" s="3"/>
    </row>
    <row r="889" spans="1:18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35"/>
      <c r="M889" s="3"/>
      <c r="N889" s="3"/>
      <c r="O889" s="3"/>
      <c r="P889" s="3"/>
      <c r="Q889" s="3"/>
      <c r="R889" s="3"/>
    </row>
    <row r="890" spans="1:18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35"/>
      <c r="M890" s="3"/>
      <c r="N890" s="3"/>
      <c r="O890" s="3"/>
      <c r="P890" s="3"/>
      <c r="Q890" s="3"/>
      <c r="R890" s="3"/>
    </row>
    <row r="891" spans="1:18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35"/>
      <c r="M891" s="3"/>
      <c r="N891" s="3"/>
      <c r="O891" s="3"/>
      <c r="P891" s="3"/>
      <c r="Q891" s="3"/>
      <c r="R891" s="3"/>
    </row>
    <row r="892" spans="1:18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35"/>
      <c r="M892" s="3"/>
      <c r="N892" s="3"/>
      <c r="O892" s="3"/>
      <c r="P892" s="3"/>
      <c r="Q892" s="3"/>
      <c r="R892" s="3"/>
    </row>
    <row r="893" spans="1:18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35"/>
      <c r="M893" s="3"/>
      <c r="N893" s="3"/>
      <c r="O893" s="3"/>
      <c r="P893" s="3"/>
      <c r="Q893" s="3"/>
      <c r="R893" s="3"/>
    </row>
    <row r="894" spans="1:18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35"/>
      <c r="M894" s="3"/>
      <c r="N894" s="3"/>
      <c r="O894" s="3"/>
      <c r="P894" s="3"/>
      <c r="Q894" s="3"/>
      <c r="R894" s="3"/>
    </row>
    <row r="895" spans="1:18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35"/>
      <c r="M895" s="3"/>
      <c r="N895" s="3"/>
      <c r="O895" s="3"/>
      <c r="P895" s="3"/>
      <c r="Q895" s="3"/>
      <c r="R895" s="3"/>
    </row>
    <row r="896" spans="1:18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35"/>
      <c r="M896" s="3"/>
      <c r="N896" s="3"/>
      <c r="O896" s="3"/>
      <c r="P896" s="3"/>
      <c r="Q896" s="3"/>
      <c r="R896" s="3"/>
    </row>
    <row r="897" spans="1:18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35"/>
      <c r="M897" s="3"/>
      <c r="N897" s="3"/>
      <c r="O897" s="3"/>
      <c r="P897" s="3"/>
      <c r="Q897" s="3"/>
      <c r="R897" s="3"/>
    </row>
    <row r="898" spans="1:18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35"/>
      <c r="M898" s="3"/>
      <c r="N898" s="3"/>
      <c r="O898" s="3"/>
      <c r="P898" s="3"/>
      <c r="Q898" s="3"/>
      <c r="R898" s="3"/>
    </row>
    <row r="899" spans="1:18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35"/>
      <c r="M899" s="3"/>
      <c r="N899" s="3"/>
      <c r="O899" s="3"/>
      <c r="P899" s="3"/>
      <c r="Q899" s="3"/>
      <c r="R899" s="3"/>
    </row>
    <row r="900" spans="1:18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35"/>
      <c r="M900" s="3"/>
      <c r="N900" s="3"/>
      <c r="O900" s="3"/>
      <c r="P900" s="3"/>
      <c r="Q900" s="3"/>
      <c r="R900" s="3"/>
    </row>
    <row r="901" spans="1:18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35"/>
      <c r="M901" s="3"/>
      <c r="N901" s="3"/>
      <c r="O901" s="3"/>
      <c r="P901" s="3"/>
      <c r="Q901" s="3"/>
      <c r="R901" s="3"/>
    </row>
    <row r="902" spans="1:18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35"/>
      <c r="M902" s="3"/>
      <c r="N902" s="3"/>
      <c r="O902" s="3"/>
      <c r="P902" s="3"/>
      <c r="Q902" s="3"/>
      <c r="R902" s="3"/>
    </row>
    <row r="903" spans="1:18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35"/>
      <c r="M903" s="3"/>
      <c r="N903" s="3"/>
      <c r="O903" s="3"/>
      <c r="P903" s="3"/>
      <c r="Q903" s="3"/>
      <c r="R903" s="3"/>
    </row>
    <row r="904" spans="1:18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35"/>
      <c r="M904" s="3"/>
      <c r="N904" s="3"/>
      <c r="O904" s="3"/>
      <c r="P904" s="3"/>
      <c r="Q904" s="3"/>
      <c r="R904" s="3"/>
    </row>
    <row r="905" spans="1:18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35"/>
      <c r="M905" s="3"/>
      <c r="N905" s="3"/>
      <c r="O905" s="3"/>
      <c r="P905" s="3"/>
      <c r="Q905" s="3"/>
      <c r="R905" s="3"/>
    </row>
    <row r="906" spans="1:18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35"/>
      <c r="M906" s="3"/>
      <c r="N906" s="3"/>
      <c r="O906" s="3"/>
      <c r="P906" s="3"/>
      <c r="Q906" s="3"/>
      <c r="R906" s="3"/>
    </row>
    <row r="907" spans="1:18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35"/>
      <c r="M907" s="3"/>
      <c r="N907" s="3"/>
      <c r="O907" s="3"/>
      <c r="P907" s="3"/>
      <c r="Q907" s="3"/>
      <c r="R907" s="3"/>
    </row>
    <row r="908" spans="1:18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35"/>
      <c r="M908" s="3"/>
      <c r="N908" s="3"/>
      <c r="O908" s="3"/>
      <c r="P908" s="3"/>
      <c r="Q908" s="3"/>
      <c r="R908" s="3"/>
    </row>
    <row r="909" spans="1:18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35"/>
      <c r="M909" s="3"/>
      <c r="N909" s="3"/>
      <c r="O909" s="3"/>
      <c r="P909" s="3"/>
      <c r="Q909" s="3"/>
      <c r="R909" s="3"/>
    </row>
    <row r="910" spans="1:18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35"/>
      <c r="M910" s="3"/>
      <c r="N910" s="3"/>
      <c r="O910" s="3"/>
      <c r="P910" s="3"/>
      <c r="Q910" s="3"/>
      <c r="R910" s="3"/>
    </row>
    <row r="911" spans="1:18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35"/>
      <c r="M911" s="3"/>
      <c r="N911" s="3"/>
      <c r="O911" s="3"/>
      <c r="P911" s="3"/>
      <c r="Q911" s="3"/>
      <c r="R911" s="3"/>
    </row>
    <row r="912" spans="1:18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35"/>
      <c r="M912" s="3"/>
      <c r="N912" s="3"/>
      <c r="O912" s="3"/>
      <c r="P912" s="3"/>
      <c r="Q912" s="3"/>
      <c r="R912" s="3"/>
    </row>
    <row r="913" spans="1:18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35"/>
      <c r="M913" s="3"/>
      <c r="N913" s="3"/>
      <c r="O913" s="3"/>
      <c r="P913" s="3"/>
      <c r="Q913" s="3"/>
      <c r="R913" s="3"/>
    </row>
    <row r="914" spans="1:18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35"/>
      <c r="M914" s="3"/>
      <c r="N914" s="3"/>
      <c r="O914" s="3"/>
      <c r="P914" s="3"/>
      <c r="Q914" s="3"/>
      <c r="R914" s="3"/>
    </row>
    <row r="915" spans="1:18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35"/>
      <c r="M915" s="3"/>
      <c r="N915" s="3"/>
      <c r="O915" s="3"/>
      <c r="P915" s="3"/>
      <c r="Q915" s="3"/>
      <c r="R915" s="3"/>
    </row>
    <row r="916" spans="1:18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35"/>
      <c r="M916" s="3"/>
      <c r="N916" s="3"/>
      <c r="O916" s="3"/>
      <c r="P916" s="3"/>
      <c r="Q916" s="3"/>
      <c r="R916" s="3"/>
    </row>
    <row r="917" spans="1:18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35"/>
      <c r="M917" s="3"/>
      <c r="N917" s="3"/>
      <c r="O917" s="3"/>
      <c r="P917" s="3"/>
      <c r="Q917" s="3"/>
      <c r="R917" s="3"/>
    </row>
    <row r="918" spans="1:18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35"/>
      <c r="M918" s="3"/>
      <c r="N918" s="3"/>
      <c r="O918" s="3"/>
      <c r="P918" s="3"/>
      <c r="Q918" s="3"/>
      <c r="R918" s="3"/>
    </row>
    <row r="919" spans="1:18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35"/>
      <c r="M919" s="3"/>
      <c r="N919" s="3"/>
      <c r="O919" s="3"/>
      <c r="P919" s="3"/>
      <c r="Q919" s="3"/>
      <c r="R919" s="3"/>
    </row>
    <row r="920" spans="1:18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35"/>
      <c r="M920" s="3"/>
      <c r="N920" s="3"/>
      <c r="O920" s="3"/>
      <c r="P920" s="3"/>
      <c r="Q920" s="3"/>
      <c r="R920" s="3"/>
    </row>
    <row r="921" spans="1:18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35"/>
      <c r="M921" s="3"/>
      <c r="N921" s="3"/>
      <c r="O921" s="3"/>
      <c r="P921" s="3"/>
      <c r="Q921" s="3"/>
      <c r="R921" s="3"/>
    </row>
    <row r="922" spans="1:18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35"/>
      <c r="M922" s="3"/>
      <c r="N922" s="3"/>
      <c r="O922" s="3"/>
      <c r="P922" s="3"/>
      <c r="Q922" s="3"/>
      <c r="R922" s="3"/>
    </row>
    <row r="923" spans="1:18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35"/>
      <c r="M923" s="3"/>
      <c r="N923" s="3"/>
      <c r="O923" s="3"/>
      <c r="P923" s="3"/>
      <c r="Q923" s="3"/>
      <c r="R923" s="3"/>
    </row>
    <row r="924" spans="1:18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35"/>
      <c r="M924" s="3"/>
      <c r="N924" s="3"/>
      <c r="O924" s="3"/>
      <c r="P924" s="3"/>
      <c r="Q924" s="3"/>
      <c r="R924" s="3"/>
    </row>
    <row r="925" spans="1:18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35"/>
      <c r="M925" s="3"/>
      <c r="N925" s="3"/>
      <c r="O925" s="3"/>
      <c r="P925" s="3"/>
      <c r="Q925" s="3"/>
      <c r="R925" s="3"/>
    </row>
    <row r="926" spans="1:18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35"/>
      <c r="M926" s="3"/>
      <c r="N926" s="3"/>
      <c r="O926" s="3"/>
      <c r="P926" s="3"/>
      <c r="Q926" s="3"/>
      <c r="R926" s="3"/>
    </row>
    <row r="927" spans="1:18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35"/>
      <c r="M927" s="3"/>
      <c r="N927" s="3"/>
      <c r="O927" s="3"/>
      <c r="P927" s="3"/>
      <c r="Q927" s="3"/>
      <c r="R927" s="3"/>
    </row>
    <row r="928" spans="1:18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35"/>
      <c r="M928" s="3"/>
      <c r="N928" s="3"/>
      <c r="O928" s="3"/>
      <c r="P928" s="3"/>
      <c r="Q928" s="3"/>
      <c r="R928" s="3"/>
    </row>
    <row r="929" spans="1:18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35"/>
      <c r="M929" s="3"/>
      <c r="N929" s="3"/>
      <c r="O929" s="3"/>
      <c r="P929" s="3"/>
      <c r="Q929" s="3"/>
      <c r="R929" s="3"/>
    </row>
    <row r="930" spans="1:18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35"/>
      <c r="M930" s="3"/>
      <c r="N930" s="3"/>
      <c r="O930" s="3"/>
      <c r="P930" s="3"/>
      <c r="Q930" s="3"/>
      <c r="R930" s="3"/>
    </row>
    <row r="931" spans="1:18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35"/>
      <c r="M931" s="3"/>
      <c r="N931" s="3"/>
      <c r="O931" s="3"/>
      <c r="P931" s="3"/>
      <c r="Q931" s="3"/>
      <c r="R931" s="3"/>
    </row>
    <row r="932" spans="1:18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35"/>
      <c r="M932" s="3"/>
      <c r="N932" s="3"/>
      <c r="O932" s="3"/>
      <c r="P932" s="3"/>
      <c r="Q932" s="3"/>
      <c r="R932" s="3"/>
    </row>
    <row r="933" spans="1:18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35"/>
      <c r="M933" s="3"/>
      <c r="N933" s="3"/>
      <c r="O933" s="3"/>
      <c r="P933" s="3"/>
      <c r="Q933" s="3"/>
      <c r="R933" s="3"/>
    </row>
    <row r="934" spans="1:18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35"/>
      <c r="M934" s="3"/>
      <c r="N934" s="3"/>
      <c r="O934" s="3"/>
      <c r="P934" s="3"/>
      <c r="Q934" s="3"/>
      <c r="R934" s="3"/>
    </row>
    <row r="935" spans="1:18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35"/>
      <c r="M935" s="3"/>
      <c r="N935" s="3"/>
      <c r="O935" s="3"/>
      <c r="P935" s="3"/>
      <c r="Q935" s="3"/>
      <c r="R935" s="3"/>
    </row>
    <row r="936" spans="1:18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35"/>
      <c r="M936" s="3"/>
      <c r="N936" s="3"/>
      <c r="O936" s="3"/>
      <c r="P936" s="3"/>
      <c r="Q936" s="3"/>
      <c r="R936" s="3"/>
    </row>
    <row r="937" spans="1:18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35"/>
      <c r="M937" s="3"/>
      <c r="N937" s="3"/>
      <c r="O937" s="3"/>
      <c r="P937" s="3"/>
      <c r="Q937" s="3"/>
      <c r="R937" s="3"/>
    </row>
    <row r="938" spans="1:18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35"/>
      <c r="M938" s="3"/>
      <c r="N938" s="3"/>
      <c r="O938" s="3"/>
      <c r="P938" s="3"/>
      <c r="Q938" s="3"/>
      <c r="R938" s="3"/>
    </row>
    <row r="939" spans="1:18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35"/>
      <c r="M939" s="3"/>
      <c r="N939" s="3"/>
      <c r="O939" s="3"/>
      <c r="P939" s="3"/>
      <c r="Q939" s="3"/>
      <c r="R939" s="3"/>
    </row>
    <row r="940" spans="1:18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35"/>
      <c r="M940" s="3"/>
      <c r="N940" s="3"/>
      <c r="O940" s="3"/>
      <c r="P940" s="3"/>
      <c r="Q940" s="3"/>
      <c r="R940" s="3"/>
    </row>
    <row r="941" spans="1:18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35"/>
      <c r="M941" s="3"/>
      <c r="N941" s="3"/>
      <c r="O941" s="3"/>
      <c r="P941" s="3"/>
      <c r="Q941" s="3"/>
      <c r="R941" s="3"/>
    </row>
    <row r="942" spans="1:18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35"/>
      <c r="M942" s="3"/>
      <c r="N942" s="3"/>
      <c r="O942" s="3"/>
      <c r="P942" s="3"/>
      <c r="Q942" s="3"/>
      <c r="R942" s="3"/>
    </row>
    <row r="943" spans="1:18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35"/>
      <c r="M943" s="3"/>
      <c r="N943" s="3"/>
      <c r="O943" s="3"/>
      <c r="P943" s="3"/>
      <c r="Q943" s="3"/>
      <c r="R943" s="3"/>
    </row>
    <row r="944" spans="1:18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35"/>
      <c r="M944" s="3"/>
      <c r="N944" s="3"/>
      <c r="O944" s="3"/>
      <c r="P944" s="3"/>
      <c r="Q944" s="3"/>
      <c r="R944" s="3"/>
    </row>
    <row r="945" spans="1:18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35"/>
      <c r="M945" s="3"/>
      <c r="N945" s="3"/>
      <c r="O945" s="3"/>
      <c r="P945" s="3"/>
      <c r="Q945" s="3"/>
      <c r="R945" s="3"/>
    </row>
    <row r="946" spans="1:18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35"/>
      <c r="M946" s="3"/>
      <c r="N946" s="3"/>
      <c r="O946" s="3"/>
      <c r="P946" s="3"/>
      <c r="Q946" s="3"/>
      <c r="R946" s="3"/>
    </row>
    <row r="947" spans="1:18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35"/>
      <c r="M947" s="3"/>
      <c r="N947" s="3"/>
      <c r="O947" s="3"/>
      <c r="P947" s="3"/>
      <c r="Q947" s="3"/>
      <c r="R947" s="3"/>
    </row>
    <row r="948" spans="1:18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35"/>
      <c r="M948" s="3"/>
      <c r="N948" s="3"/>
      <c r="O948" s="3"/>
      <c r="P948" s="3"/>
      <c r="Q948" s="3"/>
      <c r="R948" s="3"/>
    </row>
    <row r="949" spans="1:18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35"/>
      <c r="M949" s="3"/>
      <c r="N949" s="3"/>
      <c r="O949" s="3"/>
      <c r="P949" s="3"/>
      <c r="Q949" s="3"/>
      <c r="R949" s="3"/>
    </row>
    <row r="950" spans="1:18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35"/>
      <c r="M950" s="3"/>
      <c r="N950" s="3"/>
      <c r="O950" s="3"/>
      <c r="P950" s="3"/>
      <c r="Q950" s="3"/>
      <c r="R950" s="3"/>
    </row>
    <row r="951" spans="1:18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35"/>
      <c r="M951" s="3"/>
      <c r="N951" s="3"/>
      <c r="O951" s="3"/>
      <c r="P951" s="3"/>
      <c r="Q951" s="3"/>
      <c r="R951" s="3"/>
    </row>
    <row r="952" spans="1:18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35"/>
      <c r="M952" s="3"/>
      <c r="N952" s="3"/>
      <c r="O952" s="3"/>
      <c r="P952" s="3"/>
      <c r="Q952" s="3"/>
      <c r="R952" s="3"/>
    </row>
    <row r="953" spans="1:18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35"/>
      <c r="M953" s="3"/>
      <c r="N953" s="3"/>
      <c r="O953" s="3"/>
      <c r="P953" s="3"/>
      <c r="Q953" s="3"/>
      <c r="R953" s="3"/>
    </row>
    <row r="954" spans="1:18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35"/>
      <c r="M954" s="3"/>
      <c r="N954" s="3"/>
      <c r="O954" s="3"/>
      <c r="P954" s="3"/>
      <c r="Q954" s="3"/>
      <c r="R954" s="3"/>
    </row>
    <row r="955" spans="1:18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35"/>
      <c r="M955" s="3"/>
      <c r="N955" s="3"/>
      <c r="O955" s="3"/>
      <c r="P955" s="3"/>
      <c r="Q955" s="3"/>
      <c r="R955" s="3"/>
    </row>
    <row r="956" spans="1:18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35"/>
      <c r="M956" s="3"/>
      <c r="N956" s="3"/>
      <c r="O956" s="3"/>
      <c r="P956" s="3"/>
      <c r="Q956" s="3"/>
      <c r="R956" s="3"/>
    </row>
    <row r="957" spans="1:18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35"/>
      <c r="M957" s="3"/>
      <c r="N957" s="3"/>
      <c r="O957" s="3"/>
      <c r="P957" s="3"/>
      <c r="Q957" s="3"/>
      <c r="R957" s="3"/>
    </row>
    <row r="958" spans="1:18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35"/>
      <c r="M958" s="3"/>
      <c r="N958" s="3"/>
      <c r="O958" s="3"/>
      <c r="P958" s="3"/>
      <c r="Q958" s="3"/>
      <c r="R958" s="3"/>
    </row>
    <row r="959" spans="1:18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35"/>
      <c r="M959" s="3"/>
      <c r="N959" s="3"/>
      <c r="O959" s="3"/>
      <c r="P959" s="3"/>
      <c r="Q959" s="3"/>
      <c r="R959" s="3"/>
    </row>
    <row r="960" spans="1:18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35"/>
      <c r="M960" s="3"/>
      <c r="N960" s="3"/>
      <c r="O960" s="3"/>
      <c r="P960" s="3"/>
      <c r="Q960" s="3"/>
      <c r="R960" s="3"/>
    </row>
    <row r="961" spans="1:18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35"/>
      <c r="M961" s="3"/>
      <c r="N961" s="3"/>
      <c r="O961" s="3"/>
      <c r="P961" s="3"/>
      <c r="Q961" s="3"/>
      <c r="R961" s="3"/>
    </row>
    <row r="962" spans="1:18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35"/>
      <c r="M962" s="3"/>
      <c r="N962" s="3"/>
      <c r="O962" s="3"/>
      <c r="P962" s="3"/>
      <c r="Q962" s="3"/>
      <c r="R962" s="3"/>
    </row>
    <row r="963" spans="1:18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35"/>
      <c r="M963" s="3"/>
      <c r="N963" s="3"/>
      <c r="O963" s="3"/>
      <c r="P963" s="3"/>
      <c r="Q963" s="3"/>
      <c r="R963" s="3"/>
    </row>
    <row r="964" spans="1:18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35"/>
      <c r="M964" s="3"/>
      <c r="N964" s="3"/>
      <c r="O964" s="3"/>
      <c r="P964" s="3"/>
      <c r="Q964" s="3"/>
      <c r="R964" s="3"/>
    </row>
    <row r="965" spans="1:18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35"/>
      <c r="M965" s="3"/>
      <c r="N965" s="3"/>
      <c r="O965" s="3"/>
      <c r="P965" s="3"/>
      <c r="Q965" s="3"/>
      <c r="R965" s="3"/>
    </row>
    <row r="966" spans="1:18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35"/>
      <c r="M966" s="3"/>
      <c r="N966" s="3"/>
      <c r="O966" s="3"/>
      <c r="P966" s="3"/>
      <c r="Q966" s="3"/>
      <c r="R966" s="3"/>
    </row>
    <row r="967" spans="1:18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35"/>
      <c r="M967" s="3"/>
      <c r="N967" s="3"/>
      <c r="O967" s="3"/>
      <c r="P967" s="3"/>
      <c r="Q967" s="3"/>
      <c r="R967" s="3"/>
    </row>
    <row r="968" spans="1:18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35"/>
      <c r="M968" s="3"/>
      <c r="N968" s="3"/>
      <c r="O968" s="3"/>
      <c r="P968" s="3"/>
      <c r="Q968" s="3"/>
      <c r="R968" s="3"/>
    </row>
    <row r="969" spans="1:18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35"/>
      <c r="M969" s="3"/>
      <c r="N969" s="3"/>
      <c r="O969" s="3"/>
      <c r="P969" s="3"/>
      <c r="Q969" s="3"/>
      <c r="R969" s="3"/>
    </row>
    <row r="970" spans="1:18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35"/>
      <c r="M970" s="3"/>
      <c r="N970" s="3"/>
      <c r="O970" s="3"/>
      <c r="P970" s="3"/>
      <c r="Q970" s="3"/>
      <c r="R970" s="3"/>
    </row>
    <row r="971" spans="1:18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35"/>
      <c r="M971" s="3"/>
      <c r="N971" s="3"/>
      <c r="O971" s="3"/>
      <c r="P971" s="3"/>
      <c r="Q971" s="3"/>
      <c r="R971" s="3"/>
    </row>
    <row r="972" spans="1:18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35"/>
      <c r="M972" s="3"/>
      <c r="N972" s="3"/>
      <c r="O972" s="3"/>
      <c r="P972" s="3"/>
      <c r="Q972" s="3"/>
      <c r="R972" s="3"/>
    </row>
    <row r="973" spans="1:18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135"/>
      <c r="M973" s="3"/>
      <c r="N973" s="3"/>
      <c r="O973" s="3"/>
      <c r="P973" s="3"/>
      <c r="Q973" s="3"/>
      <c r="R973" s="3"/>
    </row>
    <row r="974" spans="1:18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135"/>
      <c r="M974" s="3"/>
      <c r="N974" s="3"/>
      <c r="O974" s="3"/>
      <c r="P974" s="3"/>
      <c r="Q974" s="3"/>
      <c r="R974" s="3"/>
    </row>
    <row r="975" spans="1:18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135"/>
      <c r="M975" s="3"/>
      <c r="N975" s="3"/>
      <c r="O975" s="3"/>
      <c r="P975" s="3"/>
      <c r="Q975" s="3"/>
      <c r="R975" s="3"/>
    </row>
    <row r="976" spans="1:18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135"/>
      <c r="M976" s="3"/>
      <c r="N976" s="3"/>
      <c r="O976" s="3"/>
      <c r="P976" s="3"/>
      <c r="Q976" s="3"/>
      <c r="R976" s="3"/>
    </row>
    <row r="977" spans="1:18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135"/>
      <c r="M977" s="3"/>
      <c r="N977" s="3"/>
      <c r="O977" s="3"/>
      <c r="P977" s="3"/>
      <c r="Q977" s="3"/>
      <c r="R977" s="3"/>
    </row>
    <row r="978" spans="1:18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135"/>
      <c r="M978" s="3"/>
      <c r="N978" s="3"/>
      <c r="O978" s="3"/>
      <c r="P978" s="3"/>
      <c r="Q978" s="3"/>
      <c r="R978" s="3"/>
    </row>
    <row r="979" spans="1:18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135"/>
      <c r="M979" s="3"/>
      <c r="N979" s="3"/>
      <c r="O979" s="3"/>
      <c r="P979" s="3"/>
      <c r="Q979" s="3"/>
      <c r="R979" s="3"/>
    </row>
    <row r="980" spans="1:18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135"/>
      <c r="M980" s="3"/>
      <c r="N980" s="3"/>
      <c r="O980" s="3"/>
      <c r="P980" s="3"/>
      <c r="Q980" s="3"/>
      <c r="R980" s="3"/>
    </row>
    <row r="981" spans="1:18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135"/>
      <c r="M981" s="3"/>
      <c r="N981" s="3"/>
      <c r="O981" s="3"/>
      <c r="P981" s="3"/>
      <c r="Q981" s="3"/>
      <c r="R981" s="3"/>
    </row>
    <row r="982" spans="1:18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135"/>
      <c r="M982" s="3"/>
      <c r="N982" s="3"/>
      <c r="O982" s="3"/>
      <c r="P982" s="3"/>
      <c r="Q982" s="3"/>
      <c r="R982" s="3"/>
    </row>
    <row r="983" spans="1:18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135"/>
      <c r="M983" s="3"/>
      <c r="N983" s="3"/>
      <c r="O983" s="3"/>
      <c r="P983" s="3"/>
      <c r="Q983" s="3"/>
      <c r="R983" s="3"/>
    </row>
    <row r="984" spans="1:18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135"/>
      <c r="M984" s="3"/>
      <c r="N984" s="3"/>
      <c r="O984" s="3"/>
      <c r="P984" s="3"/>
      <c r="Q984" s="3"/>
      <c r="R984" s="3"/>
    </row>
    <row r="985" spans="1:18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135"/>
      <c r="M985" s="3"/>
      <c r="N985" s="3"/>
      <c r="O985" s="3"/>
      <c r="P985" s="3"/>
      <c r="Q985" s="3"/>
      <c r="R985" s="3"/>
    </row>
    <row r="986" spans="1:18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135"/>
      <c r="M986" s="3"/>
      <c r="N986" s="3"/>
      <c r="O986" s="3"/>
      <c r="P986" s="3"/>
      <c r="Q986" s="3"/>
      <c r="R986" s="3"/>
    </row>
    <row r="987" spans="1:18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135"/>
      <c r="M987" s="3"/>
      <c r="N987" s="3"/>
      <c r="O987" s="3"/>
      <c r="P987" s="3"/>
      <c r="Q987" s="3"/>
      <c r="R987" s="3"/>
    </row>
    <row r="988" spans="1:18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135"/>
      <c r="M988" s="3"/>
      <c r="N988" s="3"/>
      <c r="O988" s="3"/>
      <c r="P988" s="3"/>
      <c r="Q988" s="3"/>
      <c r="R988" s="3"/>
    </row>
    <row r="989" spans="1:18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135"/>
      <c r="M989" s="3"/>
      <c r="N989" s="3"/>
      <c r="O989" s="3"/>
      <c r="P989" s="3"/>
      <c r="Q989" s="3"/>
      <c r="R989" s="3"/>
    </row>
    <row r="990" spans="1:18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135"/>
      <c r="M990" s="3"/>
      <c r="N990" s="3"/>
      <c r="O990" s="3"/>
      <c r="P990" s="3"/>
      <c r="Q990" s="3"/>
      <c r="R990" s="3"/>
    </row>
    <row r="991" spans="1:18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135"/>
      <c r="M991" s="3"/>
      <c r="N991" s="3"/>
      <c r="O991" s="3"/>
      <c r="P991" s="3"/>
      <c r="Q991" s="3"/>
      <c r="R991" s="3"/>
    </row>
    <row r="992" spans="1:18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135"/>
      <c r="M992" s="3"/>
      <c r="N992" s="3"/>
      <c r="O992" s="3"/>
      <c r="P992" s="3"/>
      <c r="Q992" s="3"/>
      <c r="R992" s="3"/>
    </row>
    <row r="993" spans="1:18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135"/>
      <c r="M993" s="3"/>
      <c r="N993" s="3"/>
      <c r="O993" s="3"/>
      <c r="P993" s="3"/>
      <c r="Q993" s="3"/>
      <c r="R993" s="3"/>
    </row>
    <row r="994" spans="1:18" x14ac:dyDescent="0.2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7"/>
    </row>
    <row r="995" spans="1:18" x14ac:dyDescent="0.2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7"/>
    </row>
    <row r="996" spans="1:18" x14ac:dyDescent="0.2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7"/>
    </row>
    <row r="997" spans="1:18" x14ac:dyDescent="0.2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7"/>
    </row>
    <row r="998" spans="1:18" x14ac:dyDescent="0.2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7"/>
    </row>
    <row r="999" spans="1:18" x14ac:dyDescent="0.2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7"/>
    </row>
    <row r="1000" spans="1:18" x14ac:dyDescent="0.2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7"/>
    </row>
    <row r="1001" spans="1:18" x14ac:dyDescent="0.2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7"/>
    </row>
    <row r="1002" spans="1:18" x14ac:dyDescent="0.2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7"/>
    </row>
    <row r="1003" spans="1:18" x14ac:dyDescent="0.2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7"/>
    </row>
    <row r="1004" spans="1:18" x14ac:dyDescent="0.2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7"/>
    </row>
    <row r="1005" spans="1:18" x14ac:dyDescent="0.2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7"/>
    </row>
    <row r="1006" spans="1:18" x14ac:dyDescent="0.2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7"/>
    </row>
    <row r="1007" spans="1:18" x14ac:dyDescent="0.2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7"/>
    </row>
    <row r="1008" spans="1:18" x14ac:dyDescent="0.2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7"/>
    </row>
    <row r="1009" spans="1:18" x14ac:dyDescent="0.2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7"/>
    </row>
    <row r="1010" spans="1:18" x14ac:dyDescent="0.2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7"/>
    </row>
    <row r="1011" spans="1:18" x14ac:dyDescent="0.2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7"/>
    </row>
    <row r="1012" spans="1:18" x14ac:dyDescent="0.2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7"/>
    </row>
    <row r="1013" spans="1:18" x14ac:dyDescent="0.2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7"/>
    </row>
    <row r="1014" spans="1:18" x14ac:dyDescent="0.2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7"/>
    </row>
    <row r="1015" spans="1:18" x14ac:dyDescent="0.2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7"/>
    </row>
    <row r="1016" spans="1:18" x14ac:dyDescent="0.2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7"/>
    </row>
    <row r="1017" spans="1:18" x14ac:dyDescent="0.2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7"/>
    </row>
    <row r="1018" spans="1:18" x14ac:dyDescent="0.2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7"/>
    </row>
    <row r="1019" spans="1:18" x14ac:dyDescent="0.2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7"/>
    </row>
    <row r="1020" spans="1:18" x14ac:dyDescent="0.2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7"/>
    </row>
    <row r="1021" spans="1:18" ht="15" customHeight="1" x14ac:dyDescent="0.25">
      <c r="A1021" s="1744"/>
      <c r="B1021" s="1744"/>
      <c r="C1021" s="1744"/>
      <c r="D1021" s="1744"/>
      <c r="E1021" s="1744"/>
      <c r="F1021" s="1744"/>
      <c r="G1021" s="1744"/>
      <c r="H1021" s="1744"/>
      <c r="I1021" s="1744"/>
      <c r="J1021" s="1744"/>
      <c r="K1021" s="1744"/>
      <c r="L1021" s="1744"/>
      <c r="M1021" s="1744"/>
      <c r="N1021" s="1744"/>
      <c r="O1021" s="1744"/>
      <c r="P1021" s="1744"/>
      <c r="Q1021" s="1744"/>
      <c r="R1021" s="87"/>
    </row>
    <row r="1022" spans="1:18" ht="15" customHeight="1" x14ac:dyDescent="0.25">
      <c r="A1022" s="1755"/>
      <c r="B1022" s="1755"/>
      <c r="C1022" s="1755"/>
      <c r="D1022" s="1755"/>
      <c r="E1022" s="1755"/>
      <c r="F1022" s="1755"/>
      <c r="G1022" s="1755"/>
      <c r="H1022" s="1755"/>
      <c r="I1022" s="1755"/>
      <c r="J1022" s="1755"/>
      <c r="K1022" s="1755"/>
      <c r="L1022" s="1755"/>
      <c r="M1022" s="1755"/>
      <c r="N1022" s="1755"/>
      <c r="O1022" s="1755"/>
      <c r="P1022" s="1755"/>
      <c r="Q1022" s="1755"/>
      <c r="R1022" s="87"/>
    </row>
    <row r="1023" spans="1:18" x14ac:dyDescent="0.2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7"/>
    </row>
    <row r="1024" spans="1:18" x14ac:dyDescent="0.2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7"/>
    </row>
    <row r="1025" spans="1:18" x14ac:dyDescent="0.2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7"/>
    </row>
    <row r="1026" spans="1:18" x14ac:dyDescent="0.2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7"/>
    </row>
    <row r="1027" spans="1:18" x14ac:dyDescent="0.2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7"/>
    </row>
    <row r="1028" spans="1:18" x14ac:dyDescent="0.2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7"/>
    </row>
    <row r="1029" spans="1:18" x14ac:dyDescent="0.25">
      <c r="L1029" s="135"/>
    </row>
    <row r="1030" spans="1:18" x14ac:dyDescent="0.25">
      <c r="L1030" s="135"/>
    </row>
    <row r="1031" spans="1:18" x14ac:dyDescent="0.25">
      <c r="L1031" s="135"/>
    </row>
    <row r="1032" spans="1:18" x14ac:dyDescent="0.25">
      <c r="L1032" s="135"/>
    </row>
    <row r="1033" spans="1:18" x14ac:dyDescent="0.25">
      <c r="L1033" s="135"/>
    </row>
    <row r="1034" spans="1:18" x14ac:dyDescent="0.25">
      <c r="L1034" s="135"/>
    </row>
    <row r="1035" spans="1:18" x14ac:dyDescent="0.25">
      <c r="L1035" s="135"/>
    </row>
    <row r="1036" spans="1:18" x14ac:dyDescent="0.25">
      <c r="L1036" s="135"/>
    </row>
    <row r="1037" spans="1:18" x14ac:dyDescent="0.25">
      <c r="L1037" s="135"/>
    </row>
    <row r="1038" spans="1:18" x14ac:dyDescent="0.25">
      <c r="L1038" s="135"/>
    </row>
    <row r="1039" spans="1:18" x14ac:dyDescent="0.25">
      <c r="L1039" s="135"/>
    </row>
    <row r="1040" spans="1:18" x14ac:dyDescent="0.25">
      <c r="L1040" s="135"/>
    </row>
    <row r="1041" spans="1:18" x14ac:dyDescent="0.25">
      <c r="L1041" s="135"/>
    </row>
    <row r="1042" spans="1:18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135"/>
      <c r="M1042" s="3"/>
      <c r="N1042" s="3"/>
      <c r="O1042" s="3"/>
      <c r="P1042" s="3"/>
      <c r="Q1042" s="3"/>
      <c r="R1042" s="3"/>
    </row>
    <row r="1043" spans="1:18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135"/>
      <c r="M1043" s="3"/>
      <c r="N1043" s="3"/>
      <c r="O1043" s="3"/>
      <c r="P1043" s="3"/>
      <c r="Q1043" s="3"/>
      <c r="R1043" s="3"/>
    </row>
    <row r="1044" spans="1:18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135"/>
      <c r="M1044" s="3"/>
      <c r="N1044" s="3"/>
      <c r="O1044" s="3"/>
      <c r="P1044" s="3"/>
      <c r="Q1044" s="3"/>
      <c r="R1044" s="3"/>
    </row>
    <row r="1045" spans="1:18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135"/>
      <c r="M1045" s="3"/>
      <c r="N1045" s="3"/>
      <c r="O1045" s="3"/>
      <c r="P1045" s="3"/>
      <c r="Q1045" s="3"/>
      <c r="R1045" s="3"/>
    </row>
    <row r="1046" spans="1:18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135"/>
      <c r="M1046" s="3"/>
      <c r="N1046" s="3"/>
      <c r="O1046" s="3"/>
      <c r="P1046" s="3"/>
      <c r="Q1046" s="3"/>
      <c r="R1046" s="3"/>
    </row>
    <row r="1047" spans="1:18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135"/>
      <c r="M1047" s="3"/>
      <c r="N1047" s="3"/>
      <c r="O1047" s="3"/>
      <c r="P1047" s="3"/>
      <c r="Q1047" s="3"/>
      <c r="R1047" s="3"/>
    </row>
    <row r="1048" spans="1:18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135"/>
      <c r="M1048" s="3"/>
      <c r="N1048" s="3"/>
      <c r="O1048" s="3"/>
      <c r="P1048" s="3"/>
      <c r="Q1048" s="3"/>
      <c r="R1048" s="3"/>
    </row>
    <row r="1049" spans="1:18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135"/>
      <c r="M1049" s="3"/>
      <c r="N1049" s="3"/>
      <c r="O1049" s="3"/>
      <c r="P1049" s="3"/>
      <c r="Q1049" s="3"/>
      <c r="R1049" s="3"/>
    </row>
    <row r="1050" spans="1:18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135"/>
      <c r="M1050" s="3"/>
      <c r="N1050" s="3"/>
      <c r="O1050" s="3"/>
      <c r="P1050" s="3"/>
      <c r="Q1050" s="3"/>
      <c r="R1050" s="3"/>
    </row>
    <row r="1051" spans="1:18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135"/>
      <c r="M1051" s="3"/>
      <c r="N1051" s="3"/>
      <c r="O1051" s="3"/>
      <c r="P1051" s="3"/>
      <c r="Q1051" s="3"/>
      <c r="R1051" s="3"/>
    </row>
    <row r="1052" spans="1:18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135"/>
      <c r="M1052" s="3"/>
      <c r="N1052" s="3"/>
      <c r="O1052" s="3"/>
      <c r="P1052" s="3"/>
      <c r="Q1052" s="3"/>
      <c r="R1052" s="3"/>
    </row>
    <row r="1053" spans="1:18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135"/>
      <c r="M1053" s="3"/>
      <c r="N1053" s="3"/>
      <c r="O1053" s="3"/>
      <c r="P1053" s="3"/>
      <c r="Q1053" s="3"/>
      <c r="R1053" s="3"/>
    </row>
    <row r="1054" spans="1:18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135"/>
      <c r="M1054" s="3"/>
      <c r="N1054" s="3"/>
      <c r="O1054" s="3"/>
      <c r="P1054" s="3"/>
      <c r="Q1054" s="3"/>
      <c r="R1054" s="3"/>
    </row>
    <row r="1055" spans="1:18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135"/>
      <c r="M1055" s="3"/>
      <c r="N1055" s="3"/>
      <c r="O1055" s="3"/>
      <c r="P1055" s="3"/>
      <c r="Q1055" s="3"/>
      <c r="R1055" s="3"/>
    </row>
    <row r="1056" spans="1:18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135"/>
      <c r="M1056" s="3"/>
      <c r="N1056" s="3"/>
      <c r="O1056" s="3"/>
      <c r="P1056" s="3"/>
      <c r="Q1056" s="3"/>
      <c r="R1056" s="3"/>
    </row>
    <row r="1057" spans="1:18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135"/>
      <c r="M1057" s="3"/>
      <c r="N1057" s="3"/>
      <c r="O1057" s="3"/>
      <c r="P1057" s="3"/>
      <c r="Q1057" s="3"/>
      <c r="R1057" s="3"/>
    </row>
    <row r="1058" spans="1:18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135"/>
      <c r="M1058" s="3"/>
      <c r="N1058" s="3"/>
      <c r="O1058" s="3"/>
      <c r="P1058" s="3"/>
      <c r="Q1058" s="3"/>
      <c r="R1058" s="3"/>
    </row>
    <row r="1059" spans="1:18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135"/>
      <c r="M1059" s="3"/>
      <c r="N1059" s="3"/>
      <c r="O1059" s="3"/>
      <c r="P1059" s="3"/>
      <c r="Q1059" s="3"/>
      <c r="R1059" s="3"/>
    </row>
    <row r="1060" spans="1:18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135"/>
      <c r="M1060" s="3"/>
      <c r="N1060" s="3"/>
      <c r="O1060" s="3"/>
      <c r="P1060" s="3"/>
      <c r="Q1060" s="3"/>
      <c r="R1060" s="3"/>
    </row>
    <row r="1061" spans="1:18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135"/>
      <c r="M1061" s="3"/>
      <c r="N1061" s="3"/>
      <c r="O1061" s="3"/>
      <c r="P1061" s="3"/>
      <c r="Q1061" s="3"/>
      <c r="R1061" s="3"/>
    </row>
    <row r="1062" spans="1:18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135"/>
      <c r="M1062" s="3"/>
      <c r="N1062" s="3"/>
      <c r="O1062" s="3"/>
      <c r="P1062" s="3"/>
      <c r="Q1062" s="3"/>
      <c r="R1062" s="3"/>
    </row>
    <row r="1063" spans="1:18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135"/>
      <c r="M1063" s="3"/>
      <c r="N1063" s="3"/>
      <c r="O1063" s="3"/>
      <c r="P1063" s="3"/>
      <c r="Q1063" s="3"/>
      <c r="R1063" s="3"/>
    </row>
    <row r="1064" spans="1:18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135"/>
      <c r="M1064" s="3"/>
      <c r="N1064" s="3"/>
      <c r="O1064" s="3"/>
      <c r="P1064" s="3"/>
      <c r="Q1064" s="3"/>
      <c r="R1064" s="3"/>
    </row>
    <row r="1065" spans="1:18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135"/>
      <c r="M1065" s="3"/>
      <c r="N1065" s="3"/>
      <c r="O1065" s="3"/>
      <c r="P1065" s="3"/>
      <c r="Q1065" s="3"/>
      <c r="R1065" s="3"/>
    </row>
    <row r="1066" spans="1:18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135"/>
      <c r="M1066" s="3"/>
      <c r="N1066" s="3"/>
      <c r="O1066" s="3"/>
      <c r="P1066" s="3"/>
      <c r="Q1066" s="3"/>
      <c r="R1066" s="3"/>
    </row>
    <row r="1067" spans="1:18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135"/>
      <c r="M1067" s="3"/>
      <c r="N1067" s="3"/>
      <c r="O1067" s="3"/>
      <c r="P1067" s="3"/>
      <c r="Q1067" s="3"/>
      <c r="R1067" s="3"/>
    </row>
    <row r="1068" spans="1:18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135"/>
      <c r="M1068" s="3"/>
      <c r="N1068" s="3"/>
      <c r="O1068" s="3"/>
      <c r="P1068" s="3"/>
      <c r="Q1068" s="3"/>
      <c r="R1068" s="3"/>
    </row>
    <row r="1069" spans="1:18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135"/>
      <c r="M1069" s="3"/>
      <c r="N1069" s="3"/>
      <c r="O1069" s="3"/>
      <c r="P1069" s="3"/>
      <c r="Q1069" s="3"/>
      <c r="R1069" s="3"/>
    </row>
    <row r="1070" spans="1:18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135"/>
      <c r="M1070" s="3"/>
      <c r="N1070" s="3"/>
      <c r="O1070" s="3"/>
      <c r="P1070" s="3"/>
      <c r="Q1070" s="3"/>
      <c r="R1070" s="3"/>
    </row>
    <row r="1071" spans="1:18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135"/>
      <c r="M1071" s="3"/>
      <c r="N1071" s="3"/>
      <c r="O1071" s="3"/>
      <c r="P1071" s="3"/>
      <c r="Q1071" s="3"/>
      <c r="R1071" s="3"/>
    </row>
    <row r="1072" spans="1:18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135"/>
      <c r="M1072" s="3"/>
      <c r="N1072" s="3"/>
      <c r="O1072" s="3"/>
      <c r="P1072" s="3"/>
      <c r="Q1072" s="3"/>
      <c r="R1072" s="3"/>
    </row>
    <row r="1073" spans="1:18" ht="15.75" thickBot="1" x14ac:dyDescent="0.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135"/>
      <c r="M1073" s="3"/>
      <c r="N1073" s="3"/>
      <c r="O1073" s="3"/>
      <c r="P1073" s="3"/>
      <c r="Q1073" s="3"/>
      <c r="R1073" s="3"/>
    </row>
    <row r="1074" spans="1:18" ht="15" customHeight="1" x14ac:dyDescent="0.25">
      <c r="A1074" s="1751" t="s">
        <v>1869</v>
      </c>
      <c r="B1074" s="1752"/>
      <c r="C1074" s="1752"/>
      <c r="D1074" s="1752"/>
      <c r="E1074" s="1752"/>
      <c r="F1074" s="1752"/>
      <c r="G1074" s="1752"/>
      <c r="H1074" s="1752"/>
      <c r="I1074" s="1752"/>
      <c r="J1074" s="1752"/>
      <c r="K1074" s="1752"/>
      <c r="L1074" s="1752"/>
      <c r="M1074" s="1752"/>
      <c r="N1074" s="1752"/>
      <c r="O1074" s="1752"/>
      <c r="P1074" s="1752"/>
      <c r="Q1074" s="1752"/>
      <c r="R1074" s="3"/>
    </row>
    <row r="1075" spans="1:18" x14ac:dyDescent="0.25">
      <c r="L1075" s="135"/>
      <c r="R1075" s="3"/>
    </row>
    <row r="1076" spans="1:18" ht="15" customHeight="1" x14ac:dyDescent="0.25">
      <c r="L1076" s="135"/>
      <c r="R1076" s="3"/>
    </row>
    <row r="1077" spans="1:18" x14ac:dyDescent="0.25">
      <c r="L1077" s="135"/>
      <c r="R1077" s="3"/>
    </row>
    <row r="1078" spans="1:18" x14ac:dyDescent="0.25">
      <c r="L1078" s="135"/>
      <c r="R1078" s="3"/>
    </row>
    <row r="1079" spans="1:18" x14ac:dyDescent="0.25">
      <c r="L1079" s="135"/>
      <c r="R1079" s="3"/>
    </row>
    <row r="1080" spans="1:18" x14ac:dyDescent="0.25">
      <c r="L1080" s="135"/>
      <c r="R1080" s="3"/>
    </row>
    <row r="1081" spans="1:18" x14ac:dyDescent="0.25">
      <c r="L1081" s="135"/>
      <c r="R1081" s="3"/>
    </row>
    <row r="1082" spans="1:18" x14ac:dyDescent="0.25">
      <c r="L1082" s="135"/>
      <c r="R1082" s="3"/>
    </row>
    <row r="1083" spans="1:18" x14ac:dyDescent="0.25">
      <c r="L1083" s="135"/>
      <c r="R1083" s="3"/>
    </row>
    <row r="1084" spans="1:18" x14ac:dyDescent="0.25">
      <c r="L1084" s="135"/>
      <c r="R1084" s="3"/>
    </row>
    <row r="1085" spans="1:18" x14ac:dyDescent="0.25">
      <c r="L1085" s="135"/>
      <c r="R1085" s="3"/>
    </row>
    <row r="1086" spans="1:18" x14ac:dyDescent="0.25">
      <c r="L1086" s="135"/>
      <c r="R1086" s="3"/>
    </row>
    <row r="1087" spans="1:18" x14ac:dyDescent="0.25">
      <c r="L1087" s="135"/>
      <c r="R1087" s="3"/>
    </row>
    <row r="1088" spans="1:18" x14ac:dyDescent="0.25">
      <c r="L1088" s="135"/>
      <c r="R1088" s="3"/>
    </row>
    <row r="1089" spans="1:18" x14ac:dyDescent="0.25">
      <c r="L1089" s="135"/>
      <c r="R1089" s="3"/>
    </row>
    <row r="1090" spans="1:18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135"/>
      <c r="M1090" s="3"/>
      <c r="N1090" s="3"/>
      <c r="O1090" s="3"/>
      <c r="P1090" s="3"/>
      <c r="Q1090" s="3"/>
      <c r="R1090" s="3"/>
    </row>
    <row r="1091" spans="1:18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135"/>
      <c r="M1091" s="3"/>
      <c r="N1091" s="3"/>
      <c r="O1091" s="3"/>
      <c r="P1091" s="3"/>
      <c r="Q1091" s="3"/>
      <c r="R1091" s="3"/>
    </row>
    <row r="1092" spans="1:18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135"/>
      <c r="M1092" s="3"/>
      <c r="N1092" s="3"/>
      <c r="O1092" s="3"/>
      <c r="P1092" s="3"/>
      <c r="Q1092" s="3"/>
      <c r="R1092" s="3"/>
    </row>
    <row r="1093" spans="1:18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135"/>
      <c r="M1093" s="3"/>
      <c r="N1093" s="3"/>
      <c r="O1093" s="3"/>
      <c r="P1093" s="3"/>
      <c r="Q1093" s="3"/>
      <c r="R1093" s="3"/>
    </row>
    <row r="1094" spans="1:18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135"/>
      <c r="M1094" s="3"/>
      <c r="N1094" s="3"/>
      <c r="O1094" s="3"/>
      <c r="P1094" s="3"/>
      <c r="Q1094" s="3"/>
      <c r="R1094" s="3"/>
    </row>
    <row r="1095" spans="1:18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135"/>
      <c r="M1095" s="3"/>
      <c r="N1095" s="3"/>
      <c r="O1095" s="3"/>
      <c r="P1095" s="3"/>
      <c r="Q1095" s="3"/>
      <c r="R1095" s="3"/>
    </row>
    <row r="1096" spans="1:18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135"/>
      <c r="M1096" s="3"/>
      <c r="N1096" s="3"/>
      <c r="O1096" s="3"/>
      <c r="P1096" s="3"/>
      <c r="Q1096" s="3"/>
      <c r="R1096" s="3"/>
    </row>
    <row r="1097" spans="1:18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135"/>
      <c r="M1097" s="3"/>
      <c r="N1097" s="3"/>
      <c r="O1097" s="3"/>
      <c r="P1097" s="3"/>
      <c r="Q1097" s="3"/>
      <c r="R1097" s="3"/>
    </row>
    <row r="1098" spans="1:18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135"/>
      <c r="M1098" s="3"/>
      <c r="N1098" s="3"/>
      <c r="O1098" s="3"/>
      <c r="P1098" s="3"/>
      <c r="Q1098" s="3"/>
      <c r="R1098" s="3"/>
    </row>
    <row r="1099" spans="1:18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135"/>
      <c r="M1099" s="3"/>
      <c r="N1099" s="3"/>
      <c r="O1099" s="3"/>
      <c r="P1099" s="3"/>
      <c r="Q1099" s="3"/>
      <c r="R1099" s="3"/>
    </row>
    <row r="1100" spans="1:18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135"/>
      <c r="M1100" s="3"/>
      <c r="N1100" s="3"/>
      <c r="O1100" s="3"/>
      <c r="P1100" s="3"/>
      <c r="Q1100" s="3"/>
      <c r="R1100" s="3"/>
    </row>
    <row r="1101" spans="1:18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135"/>
      <c r="M1101" s="3"/>
      <c r="N1101" s="3"/>
      <c r="O1101" s="3"/>
      <c r="P1101" s="3"/>
      <c r="Q1101" s="3"/>
      <c r="R1101" s="3"/>
    </row>
    <row r="1102" spans="1:18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135"/>
      <c r="M1102" s="3"/>
      <c r="N1102" s="3"/>
      <c r="O1102" s="3"/>
      <c r="P1102" s="3"/>
      <c r="Q1102" s="3"/>
      <c r="R1102" s="3"/>
    </row>
    <row r="1103" spans="1:18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135"/>
      <c r="M1103" s="3"/>
      <c r="N1103" s="3"/>
      <c r="O1103" s="3"/>
      <c r="P1103" s="3"/>
      <c r="Q1103" s="3"/>
      <c r="R1103" s="3"/>
    </row>
    <row r="1104" spans="1:18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135"/>
      <c r="M1104" s="3"/>
      <c r="N1104" s="3"/>
      <c r="O1104" s="3"/>
      <c r="P1104" s="3"/>
      <c r="Q1104" s="3"/>
      <c r="R1104" s="3"/>
    </row>
    <row r="1105" spans="1:18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135"/>
      <c r="M1105" s="3"/>
      <c r="N1105" s="3"/>
      <c r="O1105" s="3"/>
      <c r="P1105" s="3"/>
      <c r="Q1105" s="3"/>
      <c r="R1105" s="3"/>
    </row>
    <row r="1106" spans="1:18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135"/>
      <c r="M1106" s="3"/>
      <c r="N1106" s="3"/>
      <c r="O1106" s="3"/>
      <c r="P1106" s="3"/>
      <c r="Q1106" s="3"/>
      <c r="R1106" s="3"/>
    </row>
    <row r="1107" spans="1:18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135"/>
      <c r="M1107" s="3"/>
      <c r="N1107" s="3"/>
      <c r="O1107" s="3"/>
      <c r="P1107" s="3"/>
      <c r="Q1107" s="3"/>
      <c r="R1107" s="3"/>
    </row>
    <row r="1108" spans="1:18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135"/>
      <c r="M1108" s="3"/>
      <c r="N1108" s="3"/>
      <c r="O1108" s="3"/>
      <c r="P1108" s="3"/>
      <c r="Q1108" s="3"/>
      <c r="R1108" s="3"/>
    </row>
    <row r="1109" spans="1:18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135"/>
      <c r="M1109" s="3"/>
      <c r="N1109" s="3"/>
      <c r="O1109" s="3"/>
      <c r="P1109" s="3"/>
      <c r="Q1109" s="3"/>
      <c r="R1109" s="3"/>
    </row>
    <row r="1110" spans="1:18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135"/>
      <c r="M1110" s="3"/>
      <c r="N1110" s="3"/>
      <c r="O1110" s="3"/>
      <c r="P1110" s="3"/>
      <c r="Q1110" s="3"/>
      <c r="R1110" s="3"/>
    </row>
    <row r="1111" spans="1:18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135"/>
      <c r="M1111" s="3"/>
      <c r="N1111" s="3"/>
      <c r="O1111" s="3"/>
      <c r="P1111" s="3"/>
      <c r="Q1111" s="3"/>
      <c r="R1111" s="3"/>
    </row>
    <row r="1112" spans="1:18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135"/>
      <c r="M1112" s="3"/>
      <c r="N1112" s="3"/>
      <c r="O1112" s="3"/>
      <c r="P1112" s="3"/>
      <c r="Q1112" s="3"/>
      <c r="R1112" s="3"/>
    </row>
    <row r="1113" spans="1:18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135"/>
      <c r="M1113" s="3"/>
      <c r="N1113" s="3"/>
      <c r="O1113" s="3"/>
      <c r="P1113" s="3"/>
      <c r="Q1113" s="3"/>
      <c r="R1113" s="3"/>
    </row>
    <row r="1114" spans="1:18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135"/>
      <c r="M1114" s="3"/>
      <c r="N1114" s="3"/>
      <c r="O1114" s="3"/>
      <c r="P1114" s="3"/>
      <c r="Q1114" s="3"/>
      <c r="R1114" s="3"/>
    </row>
    <row r="1115" spans="1:18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135"/>
      <c r="M1115" s="3"/>
      <c r="N1115" s="3"/>
      <c r="O1115" s="3"/>
      <c r="P1115" s="3"/>
      <c r="Q1115" s="3"/>
      <c r="R1115" s="3"/>
    </row>
    <row r="1116" spans="1:18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135"/>
      <c r="M1116" s="3"/>
      <c r="N1116" s="3"/>
      <c r="O1116" s="3"/>
      <c r="P1116" s="3"/>
      <c r="Q1116" s="3"/>
      <c r="R1116" s="3"/>
    </row>
    <row r="1117" spans="1:18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135"/>
      <c r="M1117" s="3"/>
      <c r="N1117" s="3"/>
      <c r="O1117" s="3"/>
      <c r="P1117" s="3"/>
      <c r="Q1117" s="3"/>
      <c r="R1117" s="3"/>
    </row>
    <row r="1118" spans="1:18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135"/>
      <c r="M1118" s="3"/>
      <c r="N1118" s="3"/>
      <c r="O1118" s="3"/>
      <c r="P1118" s="3"/>
      <c r="Q1118" s="3"/>
      <c r="R1118" s="3"/>
    </row>
    <row r="1119" spans="1:18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135"/>
      <c r="M1119" s="3"/>
      <c r="N1119" s="3"/>
      <c r="O1119" s="3"/>
      <c r="P1119" s="3"/>
      <c r="Q1119" s="3"/>
      <c r="R1119" s="3"/>
    </row>
    <row r="1120" spans="1:18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135"/>
      <c r="M1120" s="3"/>
      <c r="N1120" s="3"/>
      <c r="O1120" s="3"/>
      <c r="P1120" s="3"/>
      <c r="Q1120" s="3"/>
      <c r="R1120" s="3"/>
    </row>
    <row r="1121" spans="1:18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135"/>
      <c r="M1121" s="3"/>
      <c r="N1121" s="3"/>
      <c r="O1121" s="3"/>
      <c r="P1121" s="3"/>
      <c r="Q1121" s="3"/>
      <c r="R1121" s="3"/>
    </row>
    <row r="1122" spans="1:18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135"/>
      <c r="M1122" s="3"/>
      <c r="N1122" s="3"/>
      <c r="O1122" s="3"/>
      <c r="P1122" s="3"/>
      <c r="Q1122" s="3"/>
      <c r="R1122" s="3"/>
    </row>
    <row r="1123" spans="1:18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135"/>
      <c r="M1123" s="3"/>
      <c r="N1123" s="3"/>
      <c r="O1123" s="3"/>
      <c r="P1123" s="3"/>
      <c r="Q1123" s="3"/>
      <c r="R1123" s="3"/>
    </row>
    <row r="1124" spans="1:18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135"/>
      <c r="M1124" s="3"/>
      <c r="N1124" s="3"/>
      <c r="O1124" s="3"/>
      <c r="P1124" s="3"/>
      <c r="Q1124" s="3"/>
      <c r="R1124" s="3"/>
    </row>
    <row r="1125" spans="1:18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135"/>
      <c r="M1125" s="3"/>
      <c r="N1125" s="3"/>
      <c r="O1125" s="3"/>
      <c r="P1125" s="3"/>
      <c r="Q1125" s="3"/>
      <c r="R1125" s="3"/>
    </row>
    <row r="1126" spans="1:18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135"/>
      <c r="M1126" s="3"/>
      <c r="N1126" s="3"/>
      <c r="O1126" s="3"/>
      <c r="P1126" s="3"/>
      <c r="Q1126" s="3"/>
      <c r="R1126" s="3"/>
    </row>
    <row r="1127" spans="1:18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135"/>
      <c r="M1127" s="3"/>
      <c r="N1127" s="3"/>
      <c r="O1127" s="3"/>
      <c r="P1127" s="3"/>
      <c r="Q1127" s="3"/>
      <c r="R1127" s="3"/>
    </row>
    <row r="1128" spans="1:18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135"/>
      <c r="M1128" s="3"/>
      <c r="N1128" s="3"/>
      <c r="O1128" s="3"/>
      <c r="P1128" s="3"/>
      <c r="Q1128" s="3"/>
      <c r="R1128" s="3"/>
    </row>
    <row r="1129" spans="1:18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135"/>
      <c r="M1129" s="3"/>
      <c r="N1129" s="3"/>
      <c r="O1129" s="3"/>
      <c r="P1129" s="3"/>
      <c r="Q1129" s="3"/>
      <c r="R1129" s="3"/>
    </row>
    <row r="1130" spans="1:18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135"/>
      <c r="M1130" s="3"/>
      <c r="N1130" s="3"/>
      <c r="O1130" s="3"/>
      <c r="P1130" s="3"/>
      <c r="Q1130" s="3"/>
      <c r="R1130" s="3"/>
    </row>
    <row r="1131" spans="1:18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135"/>
      <c r="M1131" s="3"/>
      <c r="N1131" s="3"/>
      <c r="O1131" s="3"/>
      <c r="P1131" s="3"/>
      <c r="Q1131" s="3"/>
      <c r="R1131" s="3"/>
    </row>
    <row r="1132" spans="1:18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135"/>
      <c r="M1132" s="3"/>
      <c r="N1132" s="3"/>
      <c r="O1132" s="3"/>
      <c r="P1132" s="3"/>
      <c r="Q1132" s="3"/>
      <c r="R1132" s="3"/>
    </row>
    <row r="1133" spans="1:18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135"/>
      <c r="M1133" s="3"/>
      <c r="N1133" s="3"/>
      <c r="O1133" s="3"/>
      <c r="P1133" s="3"/>
      <c r="Q1133" s="3"/>
      <c r="R1133" s="3"/>
    </row>
    <row r="1134" spans="1:18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135"/>
      <c r="M1134" s="3"/>
      <c r="N1134" s="3"/>
      <c r="O1134" s="3"/>
      <c r="P1134" s="3"/>
      <c r="Q1134" s="3"/>
      <c r="R1134" s="3"/>
    </row>
    <row r="1135" spans="1:18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135"/>
      <c r="M1135" s="3"/>
      <c r="N1135" s="3"/>
      <c r="O1135" s="3"/>
      <c r="P1135" s="3"/>
      <c r="Q1135" s="3"/>
      <c r="R1135" s="3"/>
    </row>
    <row r="1136" spans="1:18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135"/>
      <c r="M1136" s="3"/>
      <c r="N1136" s="3"/>
      <c r="O1136" s="3"/>
      <c r="P1136" s="3"/>
      <c r="Q1136" s="3"/>
      <c r="R1136" s="3"/>
    </row>
    <row r="1137" spans="1:18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135"/>
      <c r="M1137" s="3"/>
      <c r="N1137" s="3"/>
      <c r="O1137" s="3"/>
      <c r="P1137" s="3"/>
      <c r="Q1137" s="3"/>
      <c r="R1137" s="3"/>
    </row>
    <row r="1138" spans="1:18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135"/>
      <c r="M1138" s="3"/>
      <c r="N1138" s="3"/>
      <c r="O1138" s="3"/>
      <c r="P1138" s="3"/>
      <c r="Q1138" s="3"/>
      <c r="R1138" s="3"/>
    </row>
    <row r="1139" spans="1:18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135"/>
      <c r="M1139" s="3"/>
      <c r="N1139" s="3"/>
      <c r="O1139" s="3"/>
      <c r="P1139" s="3"/>
      <c r="Q1139" s="3"/>
      <c r="R1139" s="3"/>
    </row>
    <row r="1140" spans="1:18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135"/>
      <c r="M1140" s="3"/>
      <c r="N1140" s="3"/>
      <c r="O1140" s="3"/>
      <c r="P1140" s="3"/>
      <c r="Q1140" s="3"/>
      <c r="R1140" s="3"/>
    </row>
    <row r="1141" spans="1:18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135"/>
      <c r="M1141" s="3"/>
      <c r="N1141" s="3"/>
      <c r="O1141" s="3"/>
      <c r="P1141" s="3"/>
      <c r="Q1141" s="3"/>
      <c r="R1141" s="3"/>
    </row>
    <row r="1142" spans="1:18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135"/>
      <c r="M1142" s="3"/>
      <c r="N1142" s="3"/>
      <c r="O1142" s="3"/>
      <c r="P1142" s="3"/>
      <c r="Q1142" s="3"/>
      <c r="R1142" s="3"/>
    </row>
    <row r="1143" spans="1:18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135"/>
      <c r="M1143" s="3"/>
      <c r="N1143" s="3"/>
      <c r="O1143" s="3"/>
      <c r="P1143" s="3"/>
      <c r="Q1143" s="3"/>
      <c r="R1143" s="3"/>
    </row>
    <row r="1144" spans="1:18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135"/>
      <c r="M1144" s="3"/>
      <c r="N1144" s="3"/>
      <c r="O1144" s="3"/>
      <c r="P1144" s="3"/>
      <c r="Q1144" s="3"/>
      <c r="R1144" s="3"/>
    </row>
    <row r="1145" spans="1:18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135"/>
      <c r="M1145" s="3"/>
      <c r="N1145" s="3"/>
      <c r="O1145" s="3"/>
      <c r="P1145" s="3"/>
      <c r="Q1145" s="3"/>
      <c r="R1145" s="3"/>
    </row>
    <row r="1146" spans="1:18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135"/>
      <c r="M1146" s="3"/>
      <c r="N1146" s="3"/>
      <c r="O1146" s="3"/>
      <c r="P1146" s="3"/>
      <c r="Q1146" s="3"/>
      <c r="R1146" s="3"/>
    </row>
    <row r="1147" spans="1:18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135"/>
      <c r="M1147" s="3"/>
      <c r="N1147" s="3"/>
      <c r="O1147" s="3"/>
      <c r="P1147" s="3"/>
      <c r="Q1147" s="3"/>
      <c r="R1147" s="3"/>
    </row>
    <row r="1148" spans="1:18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135"/>
      <c r="M1148" s="3"/>
      <c r="N1148" s="3"/>
      <c r="O1148" s="3"/>
      <c r="P1148" s="3"/>
      <c r="Q1148" s="3"/>
      <c r="R1148" s="3"/>
    </row>
    <row r="1149" spans="1:18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135"/>
      <c r="M1149" s="3"/>
      <c r="N1149" s="3"/>
      <c r="O1149" s="3"/>
      <c r="P1149" s="3"/>
      <c r="Q1149" s="3"/>
      <c r="R1149" s="3"/>
    </row>
    <row r="1150" spans="1:18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135"/>
      <c r="M1150" s="3"/>
      <c r="N1150" s="3"/>
      <c r="O1150" s="3"/>
      <c r="P1150" s="3"/>
      <c r="Q1150" s="3"/>
      <c r="R1150" s="3"/>
    </row>
    <row r="1151" spans="1:18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135"/>
      <c r="M1151" s="3"/>
      <c r="N1151" s="3"/>
      <c r="O1151" s="3"/>
      <c r="P1151" s="3"/>
      <c r="Q1151" s="3"/>
      <c r="R1151" s="3"/>
    </row>
    <row r="1152" spans="1:18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135"/>
      <c r="M1152" s="3"/>
      <c r="N1152" s="3"/>
      <c r="O1152" s="3"/>
      <c r="P1152" s="3"/>
      <c r="Q1152" s="3"/>
      <c r="R1152" s="3"/>
    </row>
    <row r="1153" spans="1:18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135"/>
      <c r="M1153" s="3"/>
      <c r="N1153" s="3"/>
      <c r="O1153" s="3"/>
      <c r="P1153" s="3"/>
      <c r="Q1153" s="3"/>
      <c r="R1153" s="3"/>
    </row>
    <row r="1154" spans="1:18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135"/>
      <c r="M1154" s="3"/>
      <c r="N1154" s="3"/>
      <c r="O1154" s="3"/>
      <c r="P1154" s="3"/>
      <c r="Q1154" s="3"/>
      <c r="R1154" s="3"/>
    </row>
    <row r="1155" spans="1:18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135"/>
      <c r="M1155" s="3"/>
      <c r="N1155" s="3"/>
      <c r="O1155" s="3"/>
      <c r="P1155" s="3"/>
      <c r="Q1155" s="3"/>
      <c r="R1155" s="3"/>
    </row>
    <row r="1156" spans="1:18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135"/>
      <c r="M1156" s="3"/>
      <c r="N1156" s="3"/>
      <c r="O1156" s="3"/>
      <c r="P1156" s="3"/>
      <c r="Q1156" s="3"/>
      <c r="R1156" s="3"/>
    </row>
    <row r="1157" spans="1:18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135"/>
      <c r="M1157" s="3"/>
      <c r="N1157" s="3"/>
      <c r="O1157" s="3"/>
      <c r="P1157" s="3"/>
      <c r="Q1157" s="3"/>
      <c r="R1157" s="3"/>
    </row>
    <row r="1158" spans="1:18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135"/>
      <c r="M1158" s="3"/>
      <c r="N1158" s="3"/>
      <c r="O1158" s="3"/>
      <c r="P1158" s="3"/>
      <c r="Q1158" s="3"/>
      <c r="R1158" s="3"/>
    </row>
    <row r="1159" spans="1:18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135"/>
      <c r="M1159" s="3"/>
      <c r="N1159" s="3"/>
      <c r="O1159" s="3"/>
      <c r="P1159" s="3"/>
      <c r="Q1159" s="3"/>
      <c r="R1159" s="3"/>
    </row>
    <row r="1160" spans="1:18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135"/>
      <c r="M1160" s="3"/>
      <c r="N1160" s="3"/>
      <c r="O1160" s="3"/>
      <c r="P1160" s="3"/>
      <c r="Q1160" s="3"/>
      <c r="R1160" s="3"/>
    </row>
    <row r="1161" spans="1:18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135"/>
      <c r="M1161" s="3"/>
      <c r="N1161" s="3"/>
      <c r="O1161" s="3"/>
      <c r="P1161" s="3"/>
      <c r="Q1161" s="3"/>
      <c r="R1161" s="3"/>
    </row>
    <row r="1162" spans="1:18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135"/>
      <c r="M1162" s="3"/>
      <c r="N1162" s="3"/>
      <c r="O1162" s="3"/>
      <c r="P1162" s="3"/>
      <c r="Q1162" s="3"/>
      <c r="R1162" s="3"/>
    </row>
    <row r="1163" spans="1:18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135"/>
      <c r="M1163" s="3"/>
      <c r="N1163" s="3"/>
      <c r="O1163" s="3"/>
      <c r="P1163" s="3"/>
      <c r="Q1163" s="3"/>
      <c r="R1163" s="3"/>
    </row>
    <row r="1164" spans="1:18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135"/>
      <c r="M1164" s="3"/>
      <c r="N1164" s="3"/>
      <c r="O1164" s="3"/>
      <c r="P1164" s="3"/>
      <c r="Q1164" s="3"/>
      <c r="R1164" s="3"/>
    </row>
    <row r="1165" spans="1:18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135"/>
      <c r="M1165" s="3"/>
      <c r="N1165" s="3"/>
      <c r="O1165" s="3"/>
      <c r="P1165" s="3"/>
      <c r="Q1165" s="3"/>
      <c r="R1165" s="3"/>
    </row>
    <row r="1166" spans="1:18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135"/>
      <c r="M1166" s="3"/>
      <c r="N1166" s="3"/>
      <c r="O1166" s="3"/>
      <c r="P1166" s="3"/>
      <c r="Q1166" s="3"/>
      <c r="R1166" s="3"/>
    </row>
    <row r="1167" spans="1:18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135"/>
      <c r="M1167" s="3"/>
      <c r="N1167" s="3"/>
      <c r="O1167" s="3"/>
      <c r="P1167" s="3"/>
      <c r="Q1167" s="3"/>
      <c r="R1167" s="3"/>
    </row>
    <row r="1168" spans="1:18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135"/>
      <c r="M1168" s="3"/>
      <c r="N1168" s="3"/>
      <c r="O1168" s="3"/>
      <c r="P1168" s="3"/>
      <c r="Q1168" s="3"/>
      <c r="R1168" s="3"/>
    </row>
    <row r="1169" spans="1:18" ht="15.75" thickBot="1" x14ac:dyDescent="0.3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135"/>
      <c r="M1169" s="3"/>
      <c r="N1169" s="3"/>
      <c r="O1169" s="3"/>
      <c r="P1169" s="3"/>
      <c r="Q1169" s="3"/>
      <c r="R1169" s="3"/>
    </row>
    <row r="1170" spans="1:18" ht="15" customHeight="1" x14ac:dyDescent="0.25">
      <c r="A1170" s="1749" t="s">
        <v>502</v>
      </c>
      <c r="B1170" s="1750"/>
      <c r="C1170" s="1750"/>
      <c r="D1170" s="1750"/>
      <c r="E1170" s="1750"/>
      <c r="F1170" s="1750"/>
      <c r="G1170" s="1750"/>
      <c r="H1170" s="1750"/>
      <c r="I1170" s="1750"/>
      <c r="J1170" s="1750"/>
      <c r="K1170" s="1750"/>
      <c r="L1170" s="1750"/>
      <c r="M1170" s="1750"/>
      <c r="N1170" s="1750"/>
      <c r="O1170" s="1750"/>
      <c r="P1170" s="1750"/>
      <c r="Q1170" s="1750"/>
      <c r="R1170" s="3"/>
    </row>
    <row r="1171" spans="1:18" ht="15.75" customHeight="1" thickBot="1" x14ac:dyDescent="0.3">
      <c r="A1171" s="1747" t="s">
        <v>1856</v>
      </c>
      <c r="B1171" s="1748"/>
      <c r="C1171" s="1748"/>
      <c r="D1171" s="1748"/>
      <c r="E1171" s="1748"/>
      <c r="F1171" s="1748"/>
      <c r="G1171" s="1748"/>
      <c r="H1171" s="1748"/>
      <c r="I1171" s="1748"/>
      <c r="J1171" s="1748"/>
      <c r="K1171" s="1748"/>
      <c r="L1171" s="1748"/>
      <c r="M1171" s="1748"/>
      <c r="N1171" s="1748"/>
      <c r="O1171" s="1748"/>
      <c r="P1171" s="1748"/>
      <c r="Q1171" s="1748"/>
      <c r="R1171" s="3"/>
    </row>
    <row r="1172" spans="1:18" x14ac:dyDescent="0.25">
      <c r="L1172" s="135"/>
      <c r="R1172" s="3"/>
    </row>
    <row r="1173" spans="1:18" x14ac:dyDescent="0.25">
      <c r="L1173" s="135"/>
      <c r="R1173" s="3"/>
    </row>
    <row r="1174" spans="1:18" x14ac:dyDescent="0.25">
      <c r="L1174" s="135"/>
      <c r="R1174" s="3"/>
    </row>
    <row r="1175" spans="1:18" x14ac:dyDescent="0.25">
      <c r="L1175" s="135"/>
      <c r="R1175" s="3"/>
    </row>
    <row r="1176" spans="1:18" x14ac:dyDescent="0.25">
      <c r="L1176" s="135"/>
      <c r="R1176" s="3"/>
    </row>
    <row r="1177" spans="1:18" x14ac:dyDescent="0.25">
      <c r="L1177" s="135"/>
      <c r="R1177" s="3"/>
    </row>
    <row r="1178" spans="1:18" x14ac:dyDescent="0.25">
      <c r="L1178" s="135"/>
      <c r="R1178" s="3"/>
    </row>
    <row r="1179" spans="1:18" x14ac:dyDescent="0.25">
      <c r="L1179" s="135"/>
      <c r="R1179" s="3"/>
    </row>
    <row r="1180" spans="1:18" x14ac:dyDescent="0.25">
      <c r="L1180" s="135"/>
      <c r="R1180" s="3"/>
    </row>
    <row r="1181" spans="1:18" x14ac:dyDescent="0.25">
      <c r="L1181" s="135"/>
      <c r="R1181" s="3"/>
    </row>
    <row r="1182" spans="1:18" x14ac:dyDescent="0.25">
      <c r="L1182" s="135"/>
      <c r="R1182" s="3"/>
    </row>
    <row r="1183" spans="1:18" ht="15.75" thickBot="1" x14ac:dyDescent="0.3">
      <c r="L1183" s="135"/>
      <c r="R1183" s="3"/>
    </row>
    <row r="1184" spans="1:18" ht="15.75" customHeight="1" thickBot="1" x14ac:dyDescent="0.3">
      <c r="A1184" s="1745" t="s">
        <v>1869</v>
      </c>
      <c r="B1184" s="1746"/>
      <c r="C1184" s="1746"/>
      <c r="D1184" s="1746"/>
      <c r="E1184" s="1746"/>
      <c r="F1184" s="1746"/>
      <c r="G1184" s="1746"/>
      <c r="H1184" s="1746"/>
      <c r="I1184" s="1746"/>
      <c r="J1184" s="1746"/>
      <c r="K1184" s="1746"/>
      <c r="L1184" s="1746"/>
      <c r="M1184" s="1746"/>
      <c r="N1184" s="1746"/>
      <c r="O1184" s="1746"/>
      <c r="P1184" s="1746"/>
      <c r="Q1184" s="1746"/>
      <c r="R1184" s="3"/>
    </row>
    <row r="1185" spans="1:18" x14ac:dyDescent="0.25">
      <c r="L1185" s="135"/>
      <c r="R1185" s="3"/>
    </row>
    <row r="1186" spans="1:18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135"/>
      <c r="M1186" s="3"/>
      <c r="N1186" s="3"/>
      <c r="O1186" s="3"/>
      <c r="P1186" s="3"/>
      <c r="Q1186" s="3"/>
      <c r="R1186" s="3"/>
    </row>
    <row r="1187" spans="1:18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135"/>
      <c r="M1187" s="3"/>
      <c r="N1187" s="3"/>
      <c r="O1187" s="3"/>
      <c r="P1187" s="3"/>
      <c r="Q1187" s="3"/>
      <c r="R1187" s="3"/>
    </row>
    <row r="1188" spans="1:18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135"/>
      <c r="M1188" s="3"/>
      <c r="N1188" s="3"/>
      <c r="O1188" s="3"/>
      <c r="P1188" s="3"/>
      <c r="Q1188" s="3"/>
      <c r="R1188" s="3"/>
    </row>
    <row r="1189" spans="1:18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135"/>
      <c r="M1189" s="3"/>
      <c r="N1189" s="3"/>
      <c r="O1189" s="3"/>
      <c r="P1189" s="3"/>
      <c r="Q1189" s="3"/>
      <c r="R1189" s="3"/>
    </row>
    <row r="1190" spans="1:18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135"/>
      <c r="M1190" s="3"/>
      <c r="N1190" s="3"/>
      <c r="O1190" s="3"/>
      <c r="P1190" s="3"/>
      <c r="Q1190" s="3"/>
      <c r="R1190" s="3"/>
    </row>
    <row r="1191" spans="1:18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135"/>
      <c r="M1191" s="3"/>
      <c r="N1191" s="3"/>
      <c r="O1191" s="3"/>
      <c r="P1191" s="3"/>
      <c r="Q1191" s="3"/>
      <c r="R1191" s="3"/>
    </row>
    <row r="1192" spans="1:18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135"/>
      <c r="M1192" s="3"/>
      <c r="N1192" s="3"/>
      <c r="O1192" s="3"/>
      <c r="P1192" s="3"/>
      <c r="Q1192" s="3"/>
      <c r="R1192" s="3"/>
    </row>
    <row r="1193" spans="1:18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135"/>
      <c r="M1193" s="3"/>
      <c r="N1193" s="3"/>
      <c r="O1193" s="3"/>
      <c r="P1193" s="3"/>
      <c r="Q1193" s="3"/>
      <c r="R1193" s="3"/>
    </row>
    <row r="1194" spans="1:18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135"/>
      <c r="M1194" s="3"/>
      <c r="N1194" s="3"/>
      <c r="O1194" s="3"/>
      <c r="P1194" s="3"/>
      <c r="Q1194" s="3"/>
      <c r="R1194" s="3"/>
    </row>
    <row r="1195" spans="1:18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135"/>
      <c r="M1195" s="3"/>
      <c r="N1195" s="3"/>
      <c r="O1195" s="3"/>
      <c r="P1195" s="3"/>
      <c r="Q1195" s="3"/>
      <c r="R1195" s="3"/>
    </row>
    <row r="1196" spans="1:18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135"/>
      <c r="M1196" s="3"/>
      <c r="N1196" s="3"/>
      <c r="O1196" s="3"/>
      <c r="P1196" s="3"/>
      <c r="Q1196" s="3"/>
      <c r="R1196" s="3"/>
    </row>
    <row r="1197" spans="1:18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135"/>
      <c r="M1197" s="3"/>
      <c r="N1197" s="3"/>
      <c r="O1197" s="3"/>
      <c r="P1197" s="3"/>
      <c r="Q1197" s="3"/>
      <c r="R1197" s="3"/>
    </row>
    <row r="1198" spans="1:18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135"/>
      <c r="M1198" s="3"/>
      <c r="N1198" s="3"/>
      <c r="O1198" s="3"/>
      <c r="P1198" s="3"/>
      <c r="Q1198" s="3"/>
      <c r="R1198" s="3"/>
    </row>
    <row r="1199" spans="1:18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135"/>
      <c r="M1199" s="3"/>
      <c r="N1199" s="3"/>
      <c r="O1199" s="3"/>
      <c r="P1199" s="3"/>
      <c r="Q1199" s="3"/>
      <c r="R1199" s="3"/>
    </row>
    <row r="1200" spans="1:18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135"/>
      <c r="M1200" s="3"/>
      <c r="N1200" s="3"/>
      <c r="O1200" s="3"/>
      <c r="P1200" s="3"/>
      <c r="Q1200" s="3"/>
      <c r="R1200" s="3"/>
    </row>
    <row r="1201" spans="1:18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135"/>
      <c r="M1201" s="3"/>
      <c r="N1201" s="3"/>
      <c r="O1201" s="3"/>
      <c r="P1201" s="3"/>
      <c r="Q1201" s="3"/>
      <c r="R1201" s="3"/>
    </row>
    <row r="1202" spans="1:18" x14ac:dyDescent="0.25">
      <c r="L1202" s="135"/>
      <c r="R1202" s="3"/>
    </row>
    <row r="1203" spans="1:18" x14ac:dyDescent="0.25">
      <c r="L1203" s="135"/>
      <c r="R1203" s="3"/>
    </row>
    <row r="1204" spans="1:18" x14ac:dyDescent="0.25">
      <c r="L1204" s="135"/>
      <c r="R1204" s="3"/>
    </row>
    <row r="1205" spans="1:18" x14ac:dyDescent="0.25">
      <c r="L1205" s="135"/>
      <c r="R1205" s="3"/>
    </row>
    <row r="1206" spans="1:18" x14ac:dyDescent="0.25">
      <c r="L1206" s="135"/>
      <c r="R1206" s="3"/>
    </row>
    <row r="1207" spans="1:18" ht="15.75" thickBot="1" x14ac:dyDescent="0.3">
      <c r="L1207" s="135"/>
      <c r="R1207" s="3"/>
    </row>
    <row r="1208" spans="1:18" ht="15" customHeight="1" x14ac:dyDescent="0.25">
      <c r="A1208" s="1749" t="s">
        <v>522</v>
      </c>
      <c r="B1208" s="1750"/>
      <c r="C1208" s="1750"/>
      <c r="D1208" s="1750"/>
      <c r="E1208" s="1750"/>
      <c r="F1208" s="1750"/>
      <c r="G1208" s="1750"/>
      <c r="H1208" s="1750"/>
      <c r="I1208" s="1750"/>
      <c r="J1208" s="1750"/>
      <c r="K1208" s="1750"/>
      <c r="L1208" s="1750"/>
      <c r="M1208" s="1750"/>
      <c r="N1208" s="1750"/>
      <c r="O1208" s="1750"/>
      <c r="P1208" s="1750"/>
      <c r="Q1208" s="1750"/>
      <c r="R1208" s="3"/>
    </row>
    <row r="1209" spans="1:18" ht="15" customHeight="1" x14ac:dyDescent="0.25">
      <c r="A1209" s="1753" t="s">
        <v>1856</v>
      </c>
      <c r="B1209" s="1754"/>
      <c r="C1209" s="1754"/>
      <c r="D1209" s="1754"/>
      <c r="E1209" s="1754"/>
      <c r="F1209" s="1754"/>
      <c r="G1209" s="1754"/>
      <c r="H1209" s="1754"/>
      <c r="I1209" s="1754"/>
      <c r="J1209" s="1754"/>
      <c r="K1209" s="1754"/>
      <c r="L1209" s="1754"/>
      <c r="M1209" s="1754"/>
      <c r="N1209" s="1754"/>
      <c r="O1209" s="1754"/>
      <c r="P1209" s="1754"/>
      <c r="Q1209" s="1754"/>
      <c r="R1209" s="3"/>
    </row>
    <row r="1210" spans="1:18" x14ac:dyDescent="0.25">
      <c r="L1210" s="135"/>
      <c r="R1210" s="3"/>
    </row>
    <row r="1211" spans="1:18" x14ac:dyDescent="0.25">
      <c r="L1211" s="135"/>
      <c r="R1211" s="3"/>
    </row>
    <row r="1212" spans="1:18" x14ac:dyDescent="0.25">
      <c r="L1212" s="135"/>
      <c r="R1212" s="3"/>
    </row>
    <row r="1213" spans="1:18" x14ac:dyDescent="0.25">
      <c r="L1213" s="135"/>
      <c r="R1213" s="3"/>
    </row>
    <row r="1214" spans="1:18" x14ac:dyDescent="0.25">
      <c r="L1214" s="135"/>
      <c r="R1214" s="3"/>
    </row>
    <row r="1215" spans="1:18" x14ac:dyDescent="0.25">
      <c r="L1215" s="135"/>
      <c r="R1215" s="3"/>
    </row>
    <row r="1216" spans="1:18" x14ac:dyDescent="0.25">
      <c r="L1216" s="135"/>
      <c r="R1216" s="3"/>
    </row>
    <row r="1217" spans="1:18" x14ac:dyDescent="0.25">
      <c r="L1217" s="135"/>
      <c r="R1217" s="3"/>
    </row>
    <row r="1218" spans="1:18" x14ac:dyDescent="0.25">
      <c r="L1218" s="135"/>
      <c r="R1218" s="3"/>
    </row>
    <row r="1219" spans="1:18" x14ac:dyDescent="0.25">
      <c r="L1219" s="135"/>
      <c r="R1219" s="3"/>
    </row>
    <row r="1220" spans="1:18" x14ac:dyDescent="0.25">
      <c r="L1220" s="135"/>
      <c r="R1220" s="3"/>
    </row>
    <row r="1221" spans="1:18" x14ac:dyDescent="0.25">
      <c r="L1221" s="135"/>
      <c r="R1221" s="3"/>
    </row>
    <row r="1222" spans="1:18" ht="15.75" thickBot="1" x14ac:dyDescent="0.3">
      <c r="L1222" s="135"/>
      <c r="R1222" s="3"/>
    </row>
    <row r="1223" spans="1:18" ht="15" customHeight="1" x14ac:dyDescent="0.25">
      <c r="A1223" s="1751" t="s">
        <v>1869</v>
      </c>
      <c r="B1223" s="1752"/>
      <c r="C1223" s="1752"/>
      <c r="D1223" s="1752"/>
      <c r="E1223" s="1752"/>
      <c r="F1223" s="1752"/>
      <c r="G1223" s="1752"/>
      <c r="H1223" s="1752"/>
      <c r="I1223" s="1752"/>
      <c r="J1223" s="1752"/>
      <c r="K1223" s="1752"/>
      <c r="L1223" s="1752"/>
      <c r="M1223" s="1752"/>
      <c r="N1223" s="1752"/>
      <c r="O1223" s="1752"/>
      <c r="P1223" s="1752"/>
      <c r="Q1223" s="1752"/>
      <c r="R1223" s="3"/>
    </row>
    <row r="1224" spans="1:18" x14ac:dyDescent="0.25">
      <c r="L1224" s="135"/>
      <c r="R1224" s="3"/>
    </row>
    <row r="1225" spans="1:18" x14ac:dyDescent="0.25">
      <c r="L1225" s="135"/>
      <c r="R1225" s="3"/>
    </row>
    <row r="1226" spans="1:18" x14ac:dyDescent="0.25">
      <c r="L1226" s="135"/>
      <c r="R1226" s="3"/>
    </row>
    <row r="1227" spans="1:18" x14ac:dyDescent="0.25">
      <c r="L1227" s="135"/>
      <c r="R1227" s="3"/>
    </row>
    <row r="1228" spans="1:18" x14ac:dyDescent="0.25">
      <c r="L1228" s="135"/>
      <c r="R1228" s="3"/>
    </row>
    <row r="1229" spans="1:18" x14ac:dyDescent="0.25">
      <c r="L1229" s="135"/>
      <c r="R1229" s="3"/>
    </row>
    <row r="1230" spans="1:18" x14ac:dyDescent="0.25">
      <c r="L1230" s="135"/>
      <c r="R1230" s="3"/>
    </row>
    <row r="1231" spans="1:18" x14ac:dyDescent="0.25">
      <c r="L1231" s="135"/>
      <c r="R1231" s="3"/>
    </row>
    <row r="1232" spans="1:18" x14ac:dyDescent="0.25">
      <c r="L1232" s="135"/>
      <c r="R1232" s="3"/>
    </row>
    <row r="1233" spans="1:18" x14ac:dyDescent="0.25">
      <c r="L1233" s="135"/>
      <c r="R1233" s="3"/>
    </row>
    <row r="1234" spans="1:18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135"/>
      <c r="M1234" s="3"/>
      <c r="N1234" s="3"/>
      <c r="O1234" s="3"/>
      <c r="P1234" s="3"/>
      <c r="Q1234" s="3"/>
      <c r="R1234" s="3"/>
    </row>
    <row r="1235" spans="1:18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135"/>
      <c r="M1235" s="3"/>
      <c r="N1235" s="3"/>
      <c r="O1235" s="3"/>
      <c r="P1235" s="3"/>
      <c r="Q1235" s="3"/>
      <c r="R1235" s="3"/>
    </row>
    <row r="1236" spans="1:18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135"/>
      <c r="M1236" s="3"/>
      <c r="N1236" s="3"/>
      <c r="O1236" s="3"/>
      <c r="P1236" s="3"/>
      <c r="Q1236" s="3"/>
      <c r="R1236" s="3"/>
    </row>
    <row r="1237" spans="1:18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135"/>
      <c r="M1237" s="3"/>
      <c r="N1237" s="3"/>
      <c r="O1237" s="3"/>
      <c r="P1237" s="3"/>
      <c r="Q1237" s="3"/>
      <c r="R1237" s="3"/>
    </row>
    <row r="1238" spans="1:18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135"/>
      <c r="M1238" s="3"/>
      <c r="N1238" s="3"/>
      <c r="O1238" s="3"/>
      <c r="P1238" s="3"/>
      <c r="Q1238" s="3"/>
      <c r="R1238" s="3"/>
    </row>
    <row r="1239" spans="1:18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135"/>
      <c r="M1239" s="3"/>
      <c r="N1239" s="3"/>
      <c r="O1239" s="3"/>
      <c r="P1239" s="3"/>
      <c r="Q1239" s="3"/>
      <c r="R1239" s="3"/>
    </row>
    <row r="1240" spans="1:18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135"/>
      <c r="M1240" s="3"/>
      <c r="N1240" s="3"/>
      <c r="O1240" s="3"/>
      <c r="P1240" s="3"/>
      <c r="Q1240" s="3"/>
      <c r="R1240" s="3"/>
    </row>
    <row r="1241" spans="1:18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135"/>
      <c r="M1241" s="3"/>
      <c r="N1241" s="3"/>
      <c r="O1241" s="3"/>
      <c r="P1241" s="3"/>
      <c r="Q1241" s="3"/>
      <c r="R1241" s="3"/>
    </row>
    <row r="1242" spans="1:18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135"/>
      <c r="M1242" s="3"/>
      <c r="N1242" s="3"/>
      <c r="O1242" s="3"/>
      <c r="P1242" s="3"/>
      <c r="Q1242" s="3"/>
      <c r="R1242" s="3"/>
    </row>
    <row r="1243" spans="1:18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135"/>
      <c r="M1243" s="3"/>
      <c r="N1243" s="3"/>
      <c r="O1243" s="3"/>
      <c r="P1243" s="3"/>
      <c r="Q1243" s="3"/>
      <c r="R1243" s="3"/>
    </row>
    <row r="1244" spans="1:18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135"/>
      <c r="M1244" s="3"/>
      <c r="N1244" s="3"/>
      <c r="O1244" s="3"/>
      <c r="P1244" s="3"/>
      <c r="Q1244" s="3"/>
      <c r="R1244" s="3"/>
    </row>
    <row r="1245" spans="1:18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135"/>
      <c r="M1245" s="3"/>
      <c r="N1245" s="3"/>
      <c r="O1245" s="3"/>
      <c r="P1245" s="3"/>
      <c r="Q1245" s="3"/>
      <c r="R1245" s="3"/>
    </row>
    <row r="1246" spans="1:18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135"/>
      <c r="M1246" s="3"/>
      <c r="N1246" s="3"/>
      <c r="O1246" s="3"/>
      <c r="P1246" s="3"/>
      <c r="Q1246" s="3"/>
      <c r="R1246" s="3"/>
    </row>
    <row r="1247" spans="1:18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135"/>
      <c r="M1247" s="3"/>
      <c r="N1247" s="3"/>
      <c r="O1247" s="3"/>
      <c r="P1247" s="3"/>
      <c r="Q1247" s="3"/>
      <c r="R1247" s="3"/>
    </row>
    <row r="1248" spans="1:18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135"/>
      <c r="M1248" s="3"/>
      <c r="N1248" s="3"/>
      <c r="O1248" s="3"/>
      <c r="P1248" s="3"/>
      <c r="Q1248" s="3"/>
      <c r="R1248" s="3"/>
    </row>
    <row r="1249" spans="1:18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135"/>
      <c r="M1249" s="3"/>
      <c r="N1249" s="3"/>
      <c r="O1249" s="3"/>
      <c r="P1249" s="3"/>
      <c r="Q1249" s="3"/>
      <c r="R1249" s="3"/>
    </row>
    <row r="1250" spans="1:18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135"/>
      <c r="M1250" s="3"/>
      <c r="N1250" s="3"/>
      <c r="O1250" s="3"/>
      <c r="P1250" s="3"/>
      <c r="Q1250" s="3"/>
      <c r="R1250" s="3"/>
    </row>
    <row r="1251" spans="1:18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135"/>
      <c r="M1251" s="3"/>
      <c r="N1251" s="3"/>
      <c r="O1251" s="3"/>
      <c r="P1251" s="3"/>
      <c r="Q1251" s="3"/>
      <c r="R1251" s="3"/>
    </row>
    <row r="1252" spans="1:18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135"/>
      <c r="M1252" s="3"/>
      <c r="N1252" s="3"/>
      <c r="O1252" s="3"/>
      <c r="P1252" s="3"/>
      <c r="Q1252" s="3"/>
      <c r="R1252" s="3"/>
    </row>
    <row r="1253" spans="1:18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135"/>
      <c r="M1253" s="3"/>
      <c r="N1253" s="3"/>
      <c r="O1253" s="3"/>
      <c r="P1253" s="3"/>
      <c r="Q1253" s="3"/>
      <c r="R1253" s="3"/>
    </row>
    <row r="1254" spans="1:18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135"/>
      <c r="M1254" s="3"/>
      <c r="N1254" s="3"/>
      <c r="O1254" s="3"/>
      <c r="P1254" s="3"/>
      <c r="Q1254" s="3"/>
      <c r="R1254" s="3"/>
    </row>
    <row r="1255" spans="1:18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135"/>
      <c r="M1255" s="3"/>
      <c r="N1255" s="3"/>
      <c r="O1255" s="3"/>
      <c r="P1255" s="3"/>
      <c r="Q1255" s="3"/>
      <c r="R1255" s="3"/>
    </row>
    <row r="1256" spans="1:18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135"/>
      <c r="M1256" s="3"/>
      <c r="N1256" s="3"/>
      <c r="O1256" s="3"/>
      <c r="P1256" s="3"/>
      <c r="Q1256" s="3"/>
      <c r="R1256" s="3"/>
    </row>
    <row r="1257" spans="1:18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135"/>
      <c r="M1257" s="3"/>
      <c r="N1257" s="3"/>
      <c r="O1257" s="3"/>
      <c r="P1257" s="3"/>
      <c r="Q1257" s="3"/>
      <c r="R1257" s="3"/>
    </row>
    <row r="1258" spans="1:18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135"/>
      <c r="M1258" s="3"/>
      <c r="N1258" s="3"/>
      <c r="O1258" s="3"/>
      <c r="P1258" s="3"/>
      <c r="Q1258" s="3"/>
      <c r="R1258" s="3"/>
    </row>
    <row r="1259" spans="1:18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135"/>
      <c r="M1259" s="3"/>
      <c r="N1259" s="3"/>
      <c r="O1259" s="3"/>
      <c r="P1259" s="3"/>
      <c r="Q1259" s="3"/>
      <c r="R1259" s="3"/>
    </row>
    <row r="1260" spans="1:18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135"/>
      <c r="M1260" s="3"/>
      <c r="N1260" s="3"/>
      <c r="O1260" s="3"/>
      <c r="P1260" s="3"/>
      <c r="Q1260" s="3"/>
      <c r="R1260" s="3"/>
    </row>
    <row r="1261" spans="1:18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135"/>
      <c r="M1261" s="3"/>
      <c r="N1261" s="3"/>
      <c r="O1261" s="3"/>
      <c r="P1261" s="3"/>
      <c r="Q1261" s="3"/>
      <c r="R1261" s="3"/>
    </row>
    <row r="1262" spans="1:18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135"/>
      <c r="M1262" s="3"/>
      <c r="N1262" s="3"/>
      <c r="O1262" s="3"/>
      <c r="P1262" s="3"/>
      <c r="Q1262" s="3"/>
      <c r="R1262" s="3"/>
    </row>
    <row r="1263" spans="1:18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135"/>
      <c r="M1263" s="3"/>
      <c r="N1263" s="3"/>
      <c r="O1263" s="3"/>
      <c r="P1263" s="3"/>
      <c r="Q1263" s="3"/>
      <c r="R1263" s="3"/>
    </row>
    <row r="1264" spans="1:18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135"/>
      <c r="M1264" s="3"/>
      <c r="N1264" s="3"/>
      <c r="O1264" s="3"/>
      <c r="P1264" s="3"/>
      <c r="Q1264" s="3"/>
      <c r="R1264" s="3"/>
    </row>
    <row r="1265" spans="1:18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135"/>
      <c r="M1265" s="3"/>
      <c r="N1265" s="3"/>
      <c r="O1265" s="3"/>
      <c r="P1265" s="3"/>
      <c r="Q1265" s="3"/>
      <c r="R1265" s="3"/>
    </row>
    <row r="1266" spans="1:18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135"/>
      <c r="M1266" s="3"/>
      <c r="N1266" s="3"/>
      <c r="O1266" s="3"/>
      <c r="P1266" s="3"/>
      <c r="Q1266" s="3"/>
      <c r="R1266" s="3"/>
    </row>
    <row r="1267" spans="1:18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135"/>
      <c r="M1267" s="3"/>
      <c r="N1267" s="3"/>
      <c r="O1267" s="3"/>
      <c r="P1267" s="3"/>
      <c r="Q1267" s="3"/>
      <c r="R1267" s="3"/>
    </row>
    <row r="1268" spans="1:18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135"/>
      <c r="M1268" s="3"/>
      <c r="N1268" s="3"/>
      <c r="O1268" s="3"/>
      <c r="P1268" s="3"/>
      <c r="Q1268" s="3"/>
      <c r="R1268" s="3"/>
    </row>
    <row r="1269" spans="1:18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135"/>
      <c r="M1269" s="3"/>
      <c r="N1269" s="3"/>
      <c r="O1269" s="3"/>
      <c r="P1269" s="3"/>
      <c r="Q1269" s="3"/>
      <c r="R1269" s="3"/>
    </row>
    <row r="1270" spans="1:18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135"/>
      <c r="M1270" s="3"/>
      <c r="N1270" s="3"/>
      <c r="O1270" s="3"/>
      <c r="P1270" s="3"/>
      <c r="Q1270" s="3"/>
      <c r="R1270" s="3"/>
    </row>
    <row r="1271" spans="1:18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135"/>
      <c r="M1271" s="3"/>
      <c r="N1271" s="3"/>
      <c r="O1271" s="3"/>
      <c r="P1271" s="3"/>
      <c r="Q1271" s="3"/>
      <c r="R1271" s="3"/>
    </row>
    <row r="1272" spans="1:18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135"/>
      <c r="M1272" s="3"/>
      <c r="N1272" s="3"/>
      <c r="O1272" s="3"/>
      <c r="P1272" s="3"/>
      <c r="Q1272" s="3"/>
      <c r="R1272" s="3"/>
    </row>
    <row r="1273" spans="1:18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135"/>
      <c r="M1273" s="3"/>
      <c r="N1273" s="3"/>
      <c r="O1273" s="3"/>
      <c r="P1273" s="3"/>
      <c r="Q1273" s="3"/>
      <c r="R1273" s="3"/>
    </row>
    <row r="1274" spans="1:18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135"/>
      <c r="M1274" s="3"/>
      <c r="N1274" s="3"/>
      <c r="O1274" s="3"/>
      <c r="P1274" s="3"/>
      <c r="Q1274" s="3"/>
      <c r="R1274" s="3"/>
    </row>
    <row r="1275" spans="1:18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135"/>
      <c r="M1275" s="3"/>
      <c r="N1275" s="3"/>
      <c r="O1275" s="3"/>
      <c r="P1275" s="3"/>
      <c r="Q1275" s="3"/>
      <c r="R1275" s="3"/>
    </row>
    <row r="1276" spans="1:18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135"/>
      <c r="M1276" s="3"/>
      <c r="N1276" s="3"/>
      <c r="O1276" s="3"/>
      <c r="P1276" s="3"/>
      <c r="Q1276" s="3"/>
      <c r="R1276" s="3"/>
    </row>
    <row r="1277" spans="1:18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135"/>
      <c r="M1277" s="3"/>
      <c r="N1277" s="3"/>
      <c r="O1277" s="3"/>
      <c r="P1277" s="3"/>
      <c r="Q1277" s="3"/>
      <c r="R1277" s="3"/>
    </row>
    <row r="1278" spans="1:18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135"/>
      <c r="M1278" s="3"/>
      <c r="N1278" s="3"/>
      <c r="O1278" s="3"/>
      <c r="P1278" s="3"/>
      <c r="Q1278" s="3"/>
      <c r="R1278" s="3"/>
    </row>
    <row r="1279" spans="1:18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135"/>
      <c r="M1279" s="3"/>
      <c r="N1279" s="3"/>
      <c r="O1279" s="3"/>
      <c r="P1279" s="3"/>
      <c r="Q1279" s="3"/>
      <c r="R1279" s="3"/>
    </row>
    <row r="1280" spans="1:18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135"/>
      <c r="M1280" s="3"/>
      <c r="N1280" s="3"/>
      <c r="O1280" s="3"/>
      <c r="P1280" s="3"/>
      <c r="Q1280" s="3"/>
      <c r="R1280" s="3"/>
    </row>
    <row r="1281" spans="1:18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135"/>
      <c r="M1281" s="3"/>
      <c r="N1281" s="3"/>
      <c r="O1281" s="3"/>
      <c r="P1281" s="3"/>
      <c r="Q1281" s="3"/>
      <c r="R1281" s="3"/>
    </row>
    <row r="1282" spans="1:18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135"/>
      <c r="M1282" s="3"/>
      <c r="N1282" s="3"/>
      <c r="O1282" s="3"/>
      <c r="P1282" s="3"/>
      <c r="Q1282" s="3"/>
      <c r="R1282" s="3"/>
    </row>
    <row r="1283" spans="1:18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135"/>
      <c r="M1283" s="3"/>
      <c r="N1283" s="3"/>
      <c r="O1283" s="3"/>
      <c r="P1283" s="3"/>
      <c r="Q1283" s="3"/>
      <c r="R1283" s="3"/>
    </row>
    <row r="1284" spans="1:18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135"/>
      <c r="M1284" s="3"/>
      <c r="N1284" s="3"/>
      <c r="O1284" s="3"/>
      <c r="P1284" s="3"/>
      <c r="Q1284" s="3"/>
      <c r="R1284" s="3"/>
    </row>
    <row r="1285" spans="1:18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135"/>
      <c r="M1285" s="3"/>
      <c r="N1285" s="3"/>
      <c r="O1285" s="3"/>
      <c r="P1285" s="3"/>
      <c r="Q1285" s="3"/>
      <c r="R1285" s="3"/>
    </row>
    <row r="1286" spans="1:18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135"/>
      <c r="M1286" s="3"/>
      <c r="N1286" s="3"/>
      <c r="O1286" s="3"/>
      <c r="P1286" s="3"/>
      <c r="Q1286" s="3"/>
      <c r="R1286" s="3"/>
    </row>
    <row r="1287" spans="1:18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135"/>
      <c r="M1287" s="3"/>
      <c r="N1287" s="3"/>
      <c r="O1287" s="3"/>
      <c r="P1287" s="3"/>
      <c r="Q1287" s="3"/>
      <c r="R1287" s="3"/>
    </row>
    <row r="1288" spans="1:18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135"/>
      <c r="M1288" s="3"/>
      <c r="N1288" s="3"/>
      <c r="O1288" s="3"/>
      <c r="P1288" s="3"/>
      <c r="Q1288" s="3"/>
      <c r="R1288" s="3"/>
    </row>
    <row r="1289" spans="1:18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135"/>
      <c r="M1289" s="3"/>
      <c r="N1289" s="3"/>
      <c r="O1289" s="3"/>
      <c r="P1289" s="3"/>
      <c r="Q1289" s="3"/>
      <c r="R1289" s="3"/>
    </row>
    <row r="1290" spans="1:18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135"/>
      <c r="M1290" s="3"/>
      <c r="N1290" s="3"/>
      <c r="O1290" s="3"/>
      <c r="P1290" s="3"/>
      <c r="Q1290" s="3"/>
      <c r="R1290" s="3"/>
    </row>
    <row r="1291" spans="1:18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135"/>
      <c r="M1291" s="3"/>
      <c r="N1291" s="3"/>
      <c r="O1291" s="3"/>
      <c r="P1291" s="3"/>
      <c r="Q1291" s="3"/>
      <c r="R1291" s="3"/>
    </row>
    <row r="1292" spans="1:18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135"/>
      <c r="M1292" s="3"/>
      <c r="N1292" s="3"/>
      <c r="O1292" s="3"/>
      <c r="P1292" s="3"/>
      <c r="Q1292" s="3"/>
      <c r="R1292" s="3"/>
    </row>
    <row r="1293" spans="1:18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135"/>
      <c r="M1293" s="3"/>
      <c r="N1293" s="3"/>
      <c r="O1293" s="3"/>
      <c r="P1293" s="3"/>
      <c r="Q1293" s="3"/>
      <c r="R1293" s="3"/>
    </row>
    <row r="1294" spans="1:18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135"/>
      <c r="M1294" s="3"/>
      <c r="N1294" s="3"/>
      <c r="O1294" s="3"/>
      <c r="P1294" s="3"/>
      <c r="Q1294" s="3"/>
      <c r="R1294" s="3"/>
    </row>
    <row r="1295" spans="1:18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135"/>
      <c r="M1295" s="3"/>
      <c r="N1295" s="3"/>
      <c r="O1295" s="3"/>
      <c r="P1295" s="3"/>
      <c r="Q1295" s="3"/>
      <c r="R1295" s="3"/>
    </row>
    <row r="1296" spans="1:18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135"/>
      <c r="M1296" s="3"/>
      <c r="N1296" s="3"/>
      <c r="O1296" s="3"/>
      <c r="P1296" s="3"/>
      <c r="Q1296" s="3"/>
      <c r="R1296" s="3"/>
    </row>
    <row r="1297" spans="1:18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135"/>
      <c r="M1297" s="3"/>
      <c r="N1297" s="3"/>
      <c r="O1297" s="3"/>
      <c r="P1297" s="3"/>
      <c r="Q1297" s="3"/>
      <c r="R1297" s="3"/>
    </row>
    <row r="1298" spans="1:18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135"/>
      <c r="M1298" s="3"/>
      <c r="N1298" s="3"/>
      <c r="O1298" s="3"/>
      <c r="P1298" s="3"/>
      <c r="Q1298" s="3"/>
      <c r="R1298" s="3"/>
    </row>
    <row r="1299" spans="1:18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135"/>
      <c r="M1299" s="3"/>
      <c r="N1299" s="3"/>
      <c r="O1299" s="3"/>
      <c r="P1299" s="3"/>
      <c r="Q1299" s="3"/>
      <c r="R1299" s="3"/>
    </row>
    <row r="1300" spans="1:18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135"/>
      <c r="M1300" s="3"/>
      <c r="N1300" s="3"/>
      <c r="O1300" s="3"/>
      <c r="P1300" s="3"/>
      <c r="Q1300" s="3"/>
      <c r="R1300" s="3"/>
    </row>
    <row r="1301" spans="1:18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135"/>
      <c r="M1301" s="3"/>
      <c r="N1301" s="3"/>
      <c r="O1301" s="3"/>
      <c r="P1301" s="3"/>
      <c r="Q1301" s="3"/>
      <c r="R1301" s="3"/>
    </row>
    <row r="1302" spans="1:18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135"/>
      <c r="M1302" s="3"/>
      <c r="N1302" s="3"/>
      <c r="O1302" s="3"/>
      <c r="P1302" s="3"/>
      <c r="Q1302" s="3"/>
      <c r="R1302" s="3"/>
    </row>
    <row r="1303" spans="1:18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135"/>
      <c r="M1303" s="3"/>
      <c r="N1303" s="3"/>
      <c r="O1303" s="3"/>
      <c r="P1303" s="3"/>
      <c r="Q1303" s="3"/>
      <c r="R1303" s="3"/>
    </row>
    <row r="1304" spans="1:18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135"/>
      <c r="M1304" s="3"/>
      <c r="N1304" s="3"/>
      <c r="O1304" s="3"/>
      <c r="P1304" s="3"/>
      <c r="Q1304" s="3"/>
      <c r="R1304" s="3"/>
    </row>
    <row r="1305" spans="1:18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135"/>
      <c r="M1305" s="3"/>
      <c r="N1305" s="3"/>
      <c r="O1305" s="3"/>
      <c r="P1305" s="3"/>
      <c r="Q1305" s="3"/>
      <c r="R1305" s="3"/>
    </row>
    <row r="1306" spans="1:18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135"/>
      <c r="M1306" s="3"/>
      <c r="N1306" s="3"/>
      <c r="O1306" s="3"/>
      <c r="P1306" s="3"/>
      <c r="Q1306" s="3"/>
      <c r="R1306" s="3"/>
    </row>
    <row r="1307" spans="1:18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135"/>
      <c r="M1307" s="3"/>
      <c r="N1307" s="3"/>
      <c r="O1307" s="3"/>
      <c r="P1307" s="3"/>
      <c r="Q1307" s="3"/>
      <c r="R1307" s="3"/>
    </row>
    <row r="1308" spans="1:18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135"/>
      <c r="M1308" s="3"/>
      <c r="N1308" s="3"/>
      <c r="O1308" s="3"/>
      <c r="P1308" s="3"/>
      <c r="Q1308" s="3"/>
      <c r="R1308" s="3"/>
    </row>
    <row r="1309" spans="1:18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135"/>
      <c r="M1309" s="3"/>
      <c r="N1309" s="3"/>
      <c r="O1309" s="3"/>
      <c r="P1309" s="3"/>
      <c r="Q1309" s="3"/>
      <c r="R1309" s="3"/>
    </row>
    <row r="1310" spans="1:18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135"/>
      <c r="M1310" s="3"/>
      <c r="N1310" s="3"/>
      <c r="O1310" s="3"/>
      <c r="P1310" s="3"/>
      <c r="Q1310" s="3"/>
      <c r="R1310" s="3"/>
    </row>
    <row r="1311" spans="1:18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135"/>
      <c r="M1311" s="3"/>
      <c r="N1311" s="3"/>
      <c r="O1311" s="3"/>
      <c r="P1311" s="3"/>
      <c r="Q1311" s="3"/>
      <c r="R1311" s="3"/>
    </row>
    <row r="1312" spans="1:18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135"/>
      <c r="M1312" s="3"/>
      <c r="N1312" s="3"/>
      <c r="O1312" s="3"/>
      <c r="P1312" s="3"/>
      <c r="Q1312" s="3"/>
      <c r="R1312" s="3"/>
    </row>
    <row r="1313" spans="1:18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135"/>
      <c r="M1313" s="3"/>
      <c r="N1313" s="3"/>
      <c r="O1313" s="3"/>
      <c r="P1313" s="3"/>
      <c r="Q1313" s="3"/>
      <c r="R1313" s="3"/>
    </row>
    <row r="1314" spans="1:18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135"/>
      <c r="M1314" s="3"/>
      <c r="N1314" s="3"/>
      <c r="O1314" s="3"/>
      <c r="P1314" s="3"/>
      <c r="Q1314" s="3"/>
      <c r="R1314" s="3"/>
    </row>
    <row r="1315" spans="1:18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135"/>
      <c r="M1315" s="3"/>
      <c r="N1315" s="3"/>
      <c r="O1315" s="3"/>
      <c r="P1315" s="3"/>
      <c r="Q1315" s="3"/>
      <c r="R1315" s="3"/>
    </row>
    <row r="1316" spans="1:18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135"/>
      <c r="M1316" s="3"/>
      <c r="N1316" s="3"/>
      <c r="O1316" s="3"/>
      <c r="P1316" s="3"/>
      <c r="Q1316" s="3"/>
      <c r="R1316" s="3"/>
    </row>
    <row r="1317" spans="1:18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135"/>
      <c r="M1317" s="3"/>
      <c r="N1317" s="3"/>
      <c r="O1317" s="3"/>
      <c r="P1317" s="3"/>
      <c r="Q1317" s="3"/>
      <c r="R1317" s="3"/>
    </row>
    <row r="1318" spans="1:18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135"/>
      <c r="M1318" s="3"/>
      <c r="N1318" s="3"/>
      <c r="O1318" s="3"/>
      <c r="P1318" s="3"/>
      <c r="Q1318" s="3"/>
      <c r="R1318" s="3"/>
    </row>
    <row r="1319" spans="1:18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135"/>
      <c r="M1319" s="3"/>
      <c r="N1319" s="3"/>
      <c r="O1319" s="3"/>
      <c r="P1319" s="3"/>
      <c r="Q1319" s="3"/>
      <c r="R1319" s="3"/>
    </row>
    <row r="1320" spans="1:18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135"/>
      <c r="M1320" s="3"/>
      <c r="N1320" s="3"/>
      <c r="O1320" s="3"/>
      <c r="P1320" s="3"/>
      <c r="Q1320" s="3"/>
      <c r="R1320" s="3"/>
    </row>
    <row r="1321" spans="1:18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135"/>
      <c r="M1321" s="3"/>
      <c r="N1321" s="3"/>
      <c r="O1321" s="3"/>
      <c r="P1321" s="3"/>
      <c r="Q1321" s="3"/>
      <c r="R1321" s="3"/>
    </row>
    <row r="1322" spans="1:18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135"/>
      <c r="M1322" s="3"/>
      <c r="N1322" s="3"/>
      <c r="O1322" s="3"/>
      <c r="P1322" s="3"/>
      <c r="Q1322" s="3"/>
      <c r="R1322" s="3"/>
    </row>
    <row r="1323" spans="1:18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135"/>
      <c r="M1323" s="3"/>
      <c r="N1323" s="3"/>
      <c r="O1323" s="3"/>
      <c r="P1323" s="3"/>
      <c r="Q1323" s="3"/>
      <c r="R1323" s="3"/>
    </row>
    <row r="1324" spans="1:18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135"/>
      <c r="M1324" s="3"/>
      <c r="N1324" s="3"/>
      <c r="O1324" s="3"/>
      <c r="P1324" s="3"/>
      <c r="Q1324" s="3"/>
      <c r="R1324" s="3"/>
    </row>
    <row r="1325" spans="1:18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135"/>
      <c r="M1325" s="3"/>
      <c r="N1325" s="3"/>
      <c r="O1325" s="3"/>
      <c r="P1325" s="3"/>
      <c r="Q1325" s="3"/>
      <c r="R1325" s="3"/>
    </row>
    <row r="1326" spans="1:18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135"/>
      <c r="M1326" s="3"/>
      <c r="N1326" s="3"/>
      <c r="O1326" s="3"/>
      <c r="P1326" s="3"/>
      <c r="Q1326" s="3"/>
      <c r="R1326" s="3"/>
    </row>
    <row r="1327" spans="1:18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135"/>
      <c r="M1327" s="3"/>
      <c r="N1327" s="3"/>
      <c r="O1327" s="3"/>
      <c r="P1327" s="3"/>
      <c r="Q1327" s="3"/>
      <c r="R1327" s="3"/>
    </row>
    <row r="1333" spans="1:18" ht="15.75" thickBot="1" x14ac:dyDescent="0.3">
      <c r="R1333" s="3"/>
    </row>
    <row r="1334" spans="1:18" ht="15" customHeight="1" x14ac:dyDescent="0.25">
      <c r="A1334" s="1749" t="s">
        <v>740</v>
      </c>
      <c r="B1334" s="1750"/>
      <c r="C1334" s="1750"/>
      <c r="D1334" s="1750"/>
      <c r="E1334" s="1750"/>
      <c r="F1334" s="1750"/>
      <c r="G1334" s="1750"/>
      <c r="H1334" s="1750"/>
      <c r="I1334" s="1750"/>
      <c r="J1334" s="1750"/>
      <c r="K1334" s="1750"/>
      <c r="L1334" s="1750"/>
      <c r="M1334" s="1750"/>
      <c r="N1334" s="1750"/>
      <c r="O1334" s="1750"/>
      <c r="P1334" s="1750"/>
      <c r="Q1334" s="1750"/>
      <c r="R1334" s="3"/>
    </row>
    <row r="1335" spans="1:18" ht="15.75" customHeight="1" thickBot="1" x14ac:dyDescent="0.3">
      <c r="A1335" s="1747" t="s">
        <v>1856</v>
      </c>
      <c r="B1335" s="1748"/>
      <c r="C1335" s="1748"/>
      <c r="D1335" s="1748"/>
      <c r="E1335" s="1748"/>
      <c r="F1335" s="1748"/>
      <c r="G1335" s="1748"/>
      <c r="H1335" s="1748"/>
      <c r="I1335" s="1748"/>
      <c r="J1335" s="1748"/>
      <c r="K1335" s="1748"/>
      <c r="L1335" s="1748"/>
      <c r="M1335" s="1748"/>
      <c r="N1335" s="1748"/>
      <c r="O1335" s="1748"/>
      <c r="P1335" s="1748"/>
      <c r="Q1335" s="1748"/>
      <c r="R1335" s="3"/>
    </row>
    <row r="1336" spans="1:18" x14ac:dyDescent="0.25">
      <c r="L1336" s="135"/>
      <c r="R1336" s="3"/>
    </row>
    <row r="1337" spans="1:18" x14ac:dyDescent="0.25">
      <c r="L1337" s="135"/>
      <c r="R1337" s="3"/>
    </row>
    <row r="1338" spans="1:18" x14ac:dyDescent="0.25">
      <c r="L1338" s="135"/>
      <c r="R1338" s="3"/>
    </row>
    <row r="1339" spans="1:18" x14ac:dyDescent="0.25">
      <c r="L1339" s="135"/>
      <c r="R1339" s="3"/>
    </row>
    <row r="1340" spans="1:18" x14ac:dyDescent="0.25">
      <c r="L1340" s="135"/>
      <c r="R1340" s="3"/>
    </row>
    <row r="1341" spans="1:18" x14ac:dyDescent="0.25">
      <c r="L1341" s="135"/>
      <c r="R1341" s="3"/>
    </row>
    <row r="1342" spans="1:18" x14ac:dyDescent="0.25">
      <c r="L1342" s="135"/>
      <c r="R1342" s="3"/>
    </row>
    <row r="1343" spans="1:18" x14ac:dyDescent="0.25">
      <c r="L1343" s="135"/>
      <c r="R1343" s="3"/>
    </row>
    <row r="1344" spans="1:18" ht="15.75" thickBot="1" x14ac:dyDescent="0.3">
      <c r="L1344" s="135"/>
      <c r="R1344" s="3"/>
    </row>
    <row r="1345" spans="1:18" ht="15.75" customHeight="1" thickBot="1" x14ac:dyDescent="0.3">
      <c r="A1345" s="1745" t="s">
        <v>1869</v>
      </c>
      <c r="B1345" s="1746"/>
      <c r="C1345" s="1746"/>
      <c r="D1345" s="1746"/>
      <c r="E1345" s="1746"/>
      <c r="F1345" s="1746"/>
      <c r="G1345" s="1746"/>
      <c r="H1345" s="1746"/>
      <c r="I1345" s="1746"/>
      <c r="J1345" s="1746"/>
      <c r="K1345" s="1746"/>
      <c r="L1345" s="1746"/>
      <c r="M1345" s="1746"/>
      <c r="N1345" s="1746"/>
      <c r="O1345" s="1746"/>
      <c r="P1345" s="1746"/>
      <c r="Q1345" s="1746"/>
      <c r="R1345" s="3"/>
    </row>
    <row r="1350" spans="1:18" ht="1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M1350" s="3"/>
      <c r="N1350" s="3"/>
      <c r="O1350" s="3"/>
      <c r="P1350" s="3"/>
      <c r="Q1350" s="3"/>
      <c r="R1350" s="3"/>
    </row>
    <row r="1358" spans="1:18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135"/>
      <c r="M1358" s="3"/>
      <c r="N1358" s="3"/>
      <c r="O1358" s="3"/>
      <c r="P1358" s="3"/>
      <c r="Q1358" s="3"/>
      <c r="R1358" s="3"/>
    </row>
    <row r="1359" spans="1:18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135"/>
      <c r="M1359" s="3"/>
      <c r="N1359" s="3"/>
      <c r="O1359" s="3"/>
      <c r="P1359" s="3"/>
      <c r="Q1359" s="3"/>
      <c r="R1359" s="3"/>
    </row>
    <row r="1360" spans="1:18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135"/>
      <c r="M1360" s="3"/>
      <c r="N1360" s="3"/>
      <c r="O1360" s="3"/>
      <c r="P1360" s="3"/>
      <c r="Q1360" s="3"/>
      <c r="R1360" s="3"/>
    </row>
    <row r="1361" spans="1:18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135"/>
      <c r="M1361" s="3"/>
      <c r="N1361" s="3"/>
      <c r="O1361" s="3"/>
      <c r="P1361" s="3"/>
      <c r="Q1361" s="3"/>
      <c r="R1361" s="3"/>
    </row>
    <row r="1362" spans="1:18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135"/>
      <c r="M1362" s="3"/>
      <c r="N1362" s="3"/>
      <c r="O1362" s="3"/>
      <c r="P1362" s="3"/>
      <c r="Q1362" s="3"/>
      <c r="R1362" s="3"/>
    </row>
    <row r="1363" spans="1:18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135"/>
      <c r="M1363" s="3"/>
      <c r="N1363" s="3"/>
      <c r="O1363" s="3"/>
      <c r="P1363" s="3"/>
      <c r="Q1363" s="3"/>
      <c r="R1363" s="3"/>
    </row>
    <row r="1364" spans="1:18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135"/>
      <c r="M1364" s="3"/>
      <c r="N1364" s="3"/>
      <c r="O1364" s="3"/>
      <c r="P1364" s="3"/>
      <c r="Q1364" s="3"/>
      <c r="R1364" s="3"/>
    </row>
  </sheetData>
  <mergeCells count="803">
    <mergeCell ref="M544:N544"/>
    <mergeCell ref="G462:L462"/>
    <mergeCell ref="G579:L579"/>
    <mergeCell ref="G503:L503"/>
    <mergeCell ref="G534:I534"/>
    <mergeCell ref="M509:N509"/>
    <mergeCell ref="M595:N595"/>
    <mergeCell ref="M497:N497"/>
    <mergeCell ref="M567:N567"/>
    <mergeCell ref="M562:N562"/>
    <mergeCell ref="G526:L526"/>
    <mergeCell ref="G477:I477"/>
    <mergeCell ref="G487:L487"/>
    <mergeCell ref="G488:I488"/>
    <mergeCell ref="G469:I469"/>
    <mergeCell ref="M534:N534"/>
    <mergeCell ref="G509:I509"/>
    <mergeCell ref="G518:I518"/>
    <mergeCell ref="G562:I562"/>
    <mergeCell ref="G537:L537"/>
    <mergeCell ref="G530:L530"/>
    <mergeCell ref="G531:I531"/>
    <mergeCell ref="G497:I497"/>
    <mergeCell ref="G506:I506"/>
    <mergeCell ref="G615:L615"/>
    <mergeCell ref="G763:L763"/>
    <mergeCell ref="M723:N723"/>
    <mergeCell ref="G624:L624"/>
    <mergeCell ref="G553:L553"/>
    <mergeCell ref="G571:L571"/>
    <mergeCell ref="M310:N310"/>
    <mergeCell ref="M331:N331"/>
    <mergeCell ref="M539:N539"/>
    <mergeCell ref="G456:L456"/>
    <mergeCell ref="G471:L471"/>
    <mergeCell ref="M350:N350"/>
    <mergeCell ref="M410:N410"/>
    <mergeCell ref="G325:L325"/>
    <mergeCell ref="G354:L354"/>
    <mergeCell ref="M365:N365"/>
    <mergeCell ref="G431:I431"/>
    <mergeCell ref="G424:L424"/>
    <mergeCell ref="G323:L323"/>
    <mergeCell ref="G366:L366"/>
    <mergeCell ref="G341:L341"/>
    <mergeCell ref="M423:N423"/>
    <mergeCell ref="G403:L403"/>
    <mergeCell ref="G339:L339"/>
    <mergeCell ref="M256:N256"/>
    <mergeCell ref="G235:L235"/>
    <mergeCell ref="M220:N220"/>
    <mergeCell ref="M191:N191"/>
    <mergeCell ref="G248:L248"/>
    <mergeCell ref="G256:I256"/>
    <mergeCell ref="M174:N174"/>
    <mergeCell ref="G520:L520"/>
    <mergeCell ref="M578:N578"/>
    <mergeCell ref="G470:I470"/>
    <mergeCell ref="M506:N506"/>
    <mergeCell ref="G545:L545"/>
    <mergeCell ref="G574:L574"/>
    <mergeCell ref="G529:I529"/>
    <mergeCell ref="M320:N320"/>
    <mergeCell ref="M470:N470"/>
    <mergeCell ref="M455:N455"/>
    <mergeCell ref="M336:N336"/>
    <mergeCell ref="M400:N400"/>
    <mergeCell ref="M426:N426"/>
    <mergeCell ref="M519:N519"/>
    <mergeCell ref="M478:N478"/>
    <mergeCell ref="G510:L510"/>
    <mergeCell ref="M421:N421"/>
    <mergeCell ref="M292:N292"/>
    <mergeCell ref="M279:N279"/>
    <mergeCell ref="G73:I73"/>
    <mergeCell ref="M170:N170"/>
    <mergeCell ref="G128:I128"/>
    <mergeCell ref="M117:N117"/>
    <mergeCell ref="G100:L100"/>
    <mergeCell ref="M73:N73"/>
    <mergeCell ref="G74:L74"/>
    <mergeCell ref="M128:N128"/>
    <mergeCell ref="G175:L175"/>
    <mergeCell ref="G172:L172"/>
    <mergeCell ref="G211:L211"/>
    <mergeCell ref="G206:L206"/>
    <mergeCell ref="G83:I83"/>
    <mergeCell ref="G93:L93"/>
    <mergeCell ref="G94:I94"/>
    <mergeCell ref="G127:I127"/>
    <mergeCell ref="M137:N137"/>
    <mergeCell ref="M142:N142"/>
    <mergeCell ref="M149:N149"/>
    <mergeCell ref="M268:N268"/>
    <mergeCell ref="M202:N202"/>
    <mergeCell ref="M205:N205"/>
    <mergeCell ref="G358:I358"/>
    <mergeCell ref="G362:I362"/>
    <mergeCell ref="G361:L361"/>
    <mergeCell ref="G455:I455"/>
    <mergeCell ref="M431:N431"/>
    <mergeCell ref="M447:N447"/>
    <mergeCell ref="G415:L415"/>
    <mergeCell ref="G390:I390"/>
    <mergeCell ref="G417:L417"/>
    <mergeCell ref="G427:L427"/>
    <mergeCell ref="G426:I426"/>
    <mergeCell ref="G429:L429"/>
    <mergeCell ref="G409:I409"/>
    <mergeCell ref="G394:I394"/>
    <mergeCell ref="G400:I400"/>
    <mergeCell ref="G405:L405"/>
    <mergeCell ref="G448:L448"/>
    <mergeCell ref="G371:L371"/>
    <mergeCell ref="G411:L411"/>
    <mergeCell ref="A1345:Q1345"/>
    <mergeCell ref="A1335:Q1335"/>
    <mergeCell ref="A1334:Q1334"/>
    <mergeCell ref="A1223:Q1223"/>
    <mergeCell ref="A1170:Q1170"/>
    <mergeCell ref="M756:N756"/>
    <mergeCell ref="A1184:Q1184"/>
    <mergeCell ref="A1209:Q1209"/>
    <mergeCell ref="A1074:Q1074"/>
    <mergeCell ref="A1171:Q1171"/>
    <mergeCell ref="A1208:Q1208"/>
    <mergeCell ref="B783:B784"/>
    <mergeCell ref="A1022:Q1022"/>
    <mergeCell ref="G782:I782"/>
    <mergeCell ref="M782:N782"/>
    <mergeCell ref="A798:B798"/>
    <mergeCell ref="M771:N771"/>
    <mergeCell ref="G774:L774"/>
    <mergeCell ref="M795:N795"/>
    <mergeCell ref="A757:A758"/>
    <mergeCell ref="B757:B758"/>
    <mergeCell ref="C757:C758"/>
    <mergeCell ref="G785:L785"/>
    <mergeCell ref="D757:D758"/>
    <mergeCell ref="A783:A784"/>
    <mergeCell ref="G797:I797"/>
    <mergeCell ref="A1021:Q1021"/>
    <mergeCell ref="M797:N797"/>
    <mergeCell ref="G795:I795"/>
    <mergeCell ref="A471:A472"/>
    <mergeCell ref="A520:A521"/>
    <mergeCell ref="B520:B521"/>
    <mergeCell ref="B510:B511"/>
    <mergeCell ref="C568:C570"/>
    <mergeCell ref="B545:B546"/>
    <mergeCell ref="C596:C599"/>
    <mergeCell ref="A603:A605"/>
    <mergeCell ref="D568:D570"/>
    <mergeCell ref="B672:B673"/>
    <mergeCell ref="B624:B628"/>
    <mergeCell ref="G581:L581"/>
    <mergeCell ref="G568:L568"/>
    <mergeCell ref="G602:I602"/>
    <mergeCell ref="G591:L591"/>
    <mergeCell ref="G586:L586"/>
    <mergeCell ref="G517:L517"/>
    <mergeCell ref="A774:A775"/>
    <mergeCell ref="G736:L736"/>
    <mergeCell ref="G58:I58"/>
    <mergeCell ref="G99:I99"/>
    <mergeCell ref="G88:I88"/>
    <mergeCell ref="G95:I95"/>
    <mergeCell ref="M83:N83"/>
    <mergeCell ref="M97:N97"/>
    <mergeCell ref="G91:L91"/>
    <mergeCell ref="D456:D457"/>
    <mergeCell ref="C471:C472"/>
    <mergeCell ref="D471:D472"/>
    <mergeCell ref="G391:L391"/>
    <mergeCell ref="G423:I423"/>
    <mergeCell ref="G458:L458"/>
    <mergeCell ref="G460:L460"/>
    <mergeCell ref="G436:L436"/>
    <mergeCell ref="G432:L432"/>
    <mergeCell ref="G447:I447"/>
    <mergeCell ref="G421:I421"/>
    <mergeCell ref="M353:N353"/>
    <mergeCell ref="G311:L311"/>
    <mergeCell ref="G402:I402"/>
    <mergeCell ref="M358:N358"/>
    <mergeCell ref="M363:N363"/>
    <mergeCell ref="M402:N402"/>
    <mergeCell ref="M62:N62"/>
    <mergeCell ref="G142:I142"/>
    <mergeCell ref="G150:L150"/>
    <mergeCell ref="G102:I102"/>
    <mergeCell ref="G79:L79"/>
    <mergeCell ref="G86:L86"/>
    <mergeCell ref="G121:L121"/>
    <mergeCell ref="G112:L112"/>
    <mergeCell ref="G71:L71"/>
    <mergeCell ref="G72:I72"/>
    <mergeCell ref="G114:I114"/>
    <mergeCell ref="M102:N102"/>
    <mergeCell ref="B176:B179"/>
    <mergeCell ref="A34:A35"/>
    <mergeCell ref="M2:Q2"/>
    <mergeCell ref="A16:A18"/>
    <mergeCell ref="A23:A24"/>
    <mergeCell ref="B23:B24"/>
    <mergeCell ref="M3:Q4"/>
    <mergeCell ref="G42:L42"/>
    <mergeCell ref="M15:N15"/>
    <mergeCell ref="A7:A8"/>
    <mergeCell ref="B9:B11"/>
    <mergeCell ref="G33:I33"/>
    <mergeCell ref="M39:N39"/>
    <mergeCell ref="M22:N22"/>
    <mergeCell ref="G25:L25"/>
    <mergeCell ref="M31:N31"/>
    <mergeCell ref="M33:N33"/>
    <mergeCell ref="G31:I31"/>
    <mergeCell ref="G16:L16"/>
    <mergeCell ref="G3:L4"/>
    <mergeCell ref="A40:A41"/>
    <mergeCell ref="B40:B41"/>
    <mergeCell ref="G11:L11"/>
    <mergeCell ref="G34:L34"/>
    <mergeCell ref="B192:B198"/>
    <mergeCell ref="G15:I15"/>
    <mergeCell ref="G119:L119"/>
    <mergeCell ref="A2:A5"/>
    <mergeCell ref="G2:L2"/>
    <mergeCell ref="G7:L7"/>
    <mergeCell ref="G9:L9"/>
    <mergeCell ref="G23:L23"/>
    <mergeCell ref="G97:I97"/>
    <mergeCell ref="G67:I67"/>
    <mergeCell ref="A84:A85"/>
    <mergeCell ref="B84:B85"/>
    <mergeCell ref="G89:L89"/>
    <mergeCell ref="A89:A95"/>
    <mergeCell ref="G22:I22"/>
    <mergeCell ref="G44:L44"/>
    <mergeCell ref="G56:I56"/>
    <mergeCell ref="G20:L20"/>
    <mergeCell ref="G21:I21"/>
    <mergeCell ref="G60:I60"/>
    <mergeCell ref="G37:L37"/>
    <mergeCell ref="G50:L50"/>
    <mergeCell ref="G53:I53"/>
    <mergeCell ref="G84:L84"/>
    <mergeCell ref="C171:C173"/>
    <mergeCell ref="A176:A179"/>
    <mergeCell ref="B332:B333"/>
    <mergeCell ref="A311:A312"/>
    <mergeCell ref="G269:L269"/>
    <mergeCell ref="G54:L54"/>
    <mergeCell ref="G47:L47"/>
    <mergeCell ref="G337:L337"/>
    <mergeCell ref="G321:L321"/>
    <mergeCell ref="G320:I320"/>
    <mergeCell ref="G232:L232"/>
    <mergeCell ref="G202:I202"/>
    <mergeCell ref="B321:B322"/>
    <mergeCell ref="B311:B312"/>
    <mergeCell ref="A257:A263"/>
    <mergeCell ref="B257:B263"/>
    <mergeCell ref="C206:C219"/>
    <mergeCell ref="B270:B276"/>
    <mergeCell ref="C311:C312"/>
    <mergeCell ref="A321:A322"/>
    <mergeCell ref="C221:C222"/>
    <mergeCell ref="A270:A276"/>
    <mergeCell ref="G77:L77"/>
    <mergeCell ref="A192:A198"/>
    <mergeCell ref="B171:B173"/>
    <mergeCell ref="B221:B222"/>
    <mergeCell ref="G178:L178"/>
    <mergeCell ref="A103:A104"/>
    <mergeCell ref="G39:I39"/>
    <mergeCell ref="A74:A75"/>
    <mergeCell ref="A206:A219"/>
    <mergeCell ref="B206:B219"/>
    <mergeCell ref="G40:L40"/>
    <mergeCell ref="A171:A173"/>
    <mergeCell ref="G215:L215"/>
    <mergeCell ref="G174:I174"/>
    <mergeCell ref="G191:I191"/>
    <mergeCell ref="G180:L180"/>
    <mergeCell ref="C192:C198"/>
    <mergeCell ref="D192:D198"/>
    <mergeCell ref="G192:L192"/>
    <mergeCell ref="C176:C179"/>
    <mergeCell ref="G188:L188"/>
    <mergeCell ref="D176:D179"/>
    <mergeCell ref="D206:D219"/>
    <mergeCell ref="D221:D222"/>
    <mergeCell ref="A129:A131"/>
    <mergeCell ref="B129:B131"/>
    <mergeCell ref="C129:C131"/>
    <mergeCell ref="D129:D131"/>
    <mergeCell ref="D143:D145"/>
    <mergeCell ref="C150:C156"/>
    <mergeCell ref="C138:C141"/>
    <mergeCell ref="A143:A145"/>
    <mergeCell ref="D138:D141"/>
    <mergeCell ref="A138:A141"/>
    <mergeCell ref="B138:B141"/>
    <mergeCell ref="G298:L298"/>
    <mergeCell ref="B143:B145"/>
    <mergeCell ref="G143:L143"/>
    <mergeCell ref="D150:D156"/>
    <mergeCell ref="A150:A156"/>
    <mergeCell ref="B150:B156"/>
    <mergeCell ref="G170:I170"/>
    <mergeCell ref="G152:L152"/>
    <mergeCell ref="G154:L154"/>
    <mergeCell ref="C143:C145"/>
    <mergeCell ref="G149:I149"/>
    <mergeCell ref="A221:A222"/>
    <mergeCell ref="G223:L223"/>
    <mergeCell ref="G280:L280"/>
    <mergeCell ref="G292:I292"/>
    <mergeCell ref="G279:I279"/>
    <mergeCell ref="G257:L257"/>
    <mergeCell ref="G293:L293"/>
    <mergeCell ref="G283:L283"/>
    <mergeCell ref="G245:L245"/>
    <mergeCell ref="G221:L221"/>
    <mergeCell ref="G262:I262"/>
    <mergeCell ref="G205:I205"/>
    <mergeCell ref="D171:D173"/>
    <mergeCell ref="A332:A333"/>
    <mergeCell ref="B366:B367"/>
    <mergeCell ref="A366:A367"/>
    <mergeCell ref="A427:A428"/>
    <mergeCell ref="C337:C338"/>
    <mergeCell ref="D337:D338"/>
    <mergeCell ref="C366:C367"/>
    <mergeCell ref="B427:B428"/>
    <mergeCell ref="D427:D428"/>
    <mergeCell ref="C332:C333"/>
    <mergeCell ref="D332:D333"/>
    <mergeCell ref="C411:C412"/>
    <mergeCell ref="D366:D367"/>
    <mergeCell ref="D411:D412"/>
    <mergeCell ref="A337:A338"/>
    <mergeCell ref="B337:B338"/>
    <mergeCell ref="A411:A412"/>
    <mergeCell ref="B411:B412"/>
    <mergeCell ref="A456:A457"/>
    <mergeCell ref="B456:B457"/>
    <mergeCell ref="A432:A433"/>
    <mergeCell ref="C427:C428"/>
    <mergeCell ref="C432:C433"/>
    <mergeCell ref="A568:A570"/>
    <mergeCell ref="A479:A480"/>
    <mergeCell ref="B479:B480"/>
    <mergeCell ref="A498:A499"/>
    <mergeCell ref="B498:B499"/>
    <mergeCell ref="A510:A511"/>
    <mergeCell ref="A540:A541"/>
    <mergeCell ref="B540:B541"/>
    <mergeCell ref="B568:B570"/>
    <mergeCell ref="A545:A546"/>
    <mergeCell ref="C479:C480"/>
    <mergeCell ref="C545:C546"/>
    <mergeCell ref="C456:C457"/>
    <mergeCell ref="G106:L106"/>
    <mergeCell ref="G109:L109"/>
    <mergeCell ref="M53:N53"/>
    <mergeCell ref="M58:N58"/>
    <mergeCell ref="G260:L260"/>
    <mergeCell ref="G228:L228"/>
    <mergeCell ref="G268:I268"/>
    <mergeCell ref="G296:L296"/>
    <mergeCell ref="G129:L129"/>
    <mergeCell ref="G138:L138"/>
    <mergeCell ref="G137:I137"/>
    <mergeCell ref="G133:L133"/>
    <mergeCell ref="G123:L123"/>
    <mergeCell ref="G131:L131"/>
    <mergeCell ref="M88:N88"/>
    <mergeCell ref="M99:N99"/>
    <mergeCell ref="M70:N70"/>
    <mergeCell ref="M95:N95"/>
    <mergeCell ref="G70:I70"/>
    <mergeCell ref="M56:N56"/>
    <mergeCell ref="M67:N67"/>
    <mergeCell ref="M60:N60"/>
    <mergeCell ref="G103:L103"/>
    <mergeCell ref="G62:I62"/>
    <mergeCell ref="B774:B775"/>
    <mergeCell ref="G731:L731"/>
    <mergeCell ref="G724:L724"/>
    <mergeCell ref="G759:L759"/>
    <mergeCell ref="G753:I753"/>
    <mergeCell ref="G743:L743"/>
    <mergeCell ref="D724:D725"/>
    <mergeCell ref="G756:I756"/>
    <mergeCell ref="C736:C737"/>
    <mergeCell ref="D736:D737"/>
    <mergeCell ref="G757:L757"/>
    <mergeCell ref="C724:C725"/>
    <mergeCell ref="G750:L750"/>
    <mergeCell ref="A736:A738"/>
    <mergeCell ref="B736:B737"/>
    <mergeCell ref="G735:I735"/>
    <mergeCell ref="A724:A725"/>
    <mergeCell ref="B724:B725"/>
    <mergeCell ref="G771:I771"/>
    <mergeCell ref="R23:W23"/>
    <mergeCell ref="R33:T33"/>
    <mergeCell ref="R34:W34"/>
    <mergeCell ref="R39:T39"/>
    <mergeCell ref="R40:W40"/>
    <mergeCell ref="R42:W42"/>
    <mergeCell ref="R25:W25"/>
    <mergeCell ref="R31:T31"/>
    <mergeCell ref="R88:T88"/>
    <mergeCell ref="R89:W89"/>
    <mergeCell ref="R128:T128"/>
    <mergeCell ref="R129:W129"/>
    <mergeCell ref="R131:W131"/>
    <mergeCell ref="R137:T137"/>
    <mergeCell ref="R142:T142"/>
    <mergeCell ref="R143:W143"/>
    <mergeCell ref="R95:T95"/>
    <mergeCell ref="R97:T97"/>
    <mergeCell ref="R2:W2"/>
    <mergeCell ref="R3:W4"/>
    <mergeCell ref="R7:W7"/>
    <mergeCell ref="R15:T15"/>
    <mergeCell ref="R22:T22"/>
    <mergeCell ref="R74:W74"/>
    <mergeCell ref="R77:W77"/>
    <mergeCell ref="R83:T83"/>
    <mergeCell ref="R84:W84"/>
    <mergeCell ref="R58:T58"/>
    <mergeCell ref="R60:T60"/>
    <mergeCell ref="R62:T62"/>
    <mergeCell ref="R67:T67"/>
    <mergeCell ref="R70:T70"/>
    <mergeCell ref="R73:T73"/>
    <mergeCell ref="R47:W47"/>
    <mergeCell ref="R53:T53"/>
    <mergeCell ref="R44:W44"/>
    <mergeCell ref="R56:T56"/>
    <mergeCell ref="R99:T99"/>
    <mergeCell ref="R102:T102"/>
    <mergeCell ref="R119:W119"/>
    <mergeCell ref="R103:W103"/>
    <mergeCell ref="R106:W106"/>
    <mergeCell ref="R174:T174"/>
    <mergeCell ref="R175:W175"/>
    <mergeCell ref="R178:W178"/>
    <mergeCell ref="R180:W180"/>
    <mergeCell ref="R191:T191"/>
    <mergeCell ref="R192:W192"/>
    <mergeCell ref="R149:T149"/>
    <mergeCell ref="R150:W150"/>
    <mergeCell ref="R152:W152"/>
    <mergeCell ref="R154:W154"/>
    <mergeCell ref="R170:T170"/>
    <mergeCell ref="R172:W172"/>
    <mergeCell ref="R221:W221"/>
    <mergeCell ref="R223:W223"/>
    <mergeCell ref="R228:W228"/>
    <mergeCell ref="R232:W232"/>
    <mergeCell ref="R235:W235"/>
    <mergeCell ref="R256:T256"/>
    <mergeCell ref="R239:W239"/>
    <mergeCell ref="R202:T202"/>
    <mergeCell ref="R205:T205"/>
    <mergeCell ref="R206:W206"/>
    <mergeCell ref="R211:W211"/>
    <mergeCell ref="R215:W215"/>
    <mergeCell ref="R220:T220"/>
    <mergeCell ref="R257:W257"/>
    <mergeCell ref="R268:T268"/>
    <mergeCell ref="R269:W269"/>
    <mergeCell ref="R331:T331"/>
    <mergeCell ref="R279:T279"/>
    <mergeCell ref="R280:W280"/>
    <mergeCell ref="R292:T292"/>
    <mergeCell ref="R293:W293"/>
    <mergeCell ref="R296:W296"/>
    <mergeCell ref="R298:W298"/>
    <mergeCell ref="R332:W332"/>
    <mergeCell ref="R336:T336"/>
    <mergeCell ref="R337:W337"/>
    <mergeCell ref="R339:W339"/>
    <mergeCell ref="R350:T350"/>
    <mergeCell ref="R310:T310"/>
    <mergeCell ref="R311:W311"/>
    <mergeCell ref="R320:T320"/>
    <mergeCell ref="R321:W321"/>
    <mergeCell ref="R323:W323"/>
    <mergeCell ref="R379:W379"/>
    <mergeCell ref="R385:W385"/>
    <mergeCell ref="R400:T400"/>
    <mergeCell ref="R402:T402"/>
    <mergeCell ref="R410:T410"/>
    <mergeCell ref="R411:W411"/>
    <mergeCell ref="R353:T353"/>
    <mergeCell ref="R358:T358"/>
    <mergeCell ref="R363:T363"/>
    <mergeCell ref="R365:T365"/>
    <mergeCell ref="R366:W366"/>
    <mergeCell ref="R371:W371"/>
    <mergeCell ref="R432:W432"/>
    <mergeCell ref="R447:T447"/>
    <mergeCell ref="R448:W448"/>
    <mergeCell ref="R455:T455"/>
    <mergeCell ref="R456:W456"/>
    <mergeCell ref="R458:W458"/>
    <mergeCell ref="R415:W415"/>
    <mergeCell ref="R421:T421"/>
    <mergeCell ref="R423:T423"/>
    <mergeCell ref="R426:T426"/>
    <mergeCell ref="R427:W427"/>
    <mergeCell ref="R431:T431"/>
    <mergeCell ref="R501:W501"/>
    <mergeCell ref="R503:W503"/>
    <mergeCell ref="R506:T506"/>
    <mergeCell ref="R509:T509"/>
    <mergeCell ref="R510:W510"/>
    <mergeCell ref="R512:W512"/>
    <mergeCell ref="R460:W460"/>
    <mergeCell ref="R470:T470"/>
    <mergeCell ref="R471:W471"/>
    <mergeCell ref="R479:W479"/>
    <mergeCell ref="R497:T497"/>
    <mergeCell ref="R498:W498"/>
    <mergeCell ref="R540:W540"/>
    <mergeCell ref="R544:T544"/>
    <mergeCell ref="R545:W545"/>
    <mergeCell ref="R548:W548"/>
    <mergeCell ref="R562:T562"/>
    <mergeCell ref="R567:T567"/>
    <mergeCell ref="R519:T519"/>
    <mergeCell ref="R520:W520"/>
    <mergeCell ref="R522:W522"/>
    <mergeCell ref="R524:W524"/>
    <mergeCell ref="R534:T534"/>
    <mergeCell ref="R539:T539"/>
    <mergeCell ref="R588:W588"/>
    <mergeCell ref="R591:W591"/>
    <mergeCell ref="R595:T595"/>
    <mergeCell ref="R596:W596"/>
    <mergeCell ref="R602:T602"/>
    <mergeCell ref="R603:W603"/>
    <mergeCell ref="R568:W568"/>
    <mergeCell ref="R571:W571"/>
    <mergeCell ref="R578:T578"/>
    <mergeCell ref="R579:W579"/>
    <mergeCell ref="R581:W581"/>
    <mergeCell ref="R586:W586"/>
    <mergeCell ref="R785:W785"/>
    <mergeCell ref="R795:T795"/>
    <mergeCell ref="R797:T797"/>
    <mergeCell ref="A1:W1"/>
    <mergeCell ref="R759:W759"/>
    <mergeCell ref="R761:W761"/>
    <mergeCell ref="R771:T771"/>
    <mergeCell ref="R774:W774"/>
    <mergeCell ref="B2:F5"/>
    <mergeCell ref="R776:W776"/>
    <mergeCell ref="R782:T782"/>
    <mergeCell ref="R735:T735"/>
    <mergeCell ref="R736:W736"/>
    <mergeCell ref="R743:W743"/>
    <mergeCell ref="R753:T753"/>
    <mergeCell ref="R756:T756"/>
    <mergeCell ref="R757:W757"/>
    <mergeCell ref="R635:W635"/>
    <mergeCell ref="R643:W643"/>
    <mergeCell ref="R608:W608"/>
    <mergeCell ref="R610:W610"/>
    <mergeCell ref="R613:W613"/>
    <mergeCell ref="R621:T621"/>
    <mergeCell ref="R623:T623"/>
    <mergeCell ref="B471:B472"/>
    <mergeCell ref="C321:C322"/>
    <mergeCell ref="D432:D433"/>
    <mergeCell ref="D321:D322"/>
    <mergeCell ref="C257:C263"/>
    <mergeCell ref="D270:D276"/>
    <mergeCell ref="D311:D312"/>
    <mergeCell ref="C270:C276"/>
    <mergeCell ref="C498:C499"/>
    <mergeCell ref="D498:D499"/>
    <mergeCell ref="B432:B433"/>
    <mergeCell ref="D257:D263"/>
    <mergeCell ref="B6:F6"/>
    <mergeCell ref="B7:B8"/>
    <mergeCell ref="B74:B75"/>
    <mergeCell ref="C103:C104"/>
    <mergeCell ref="D103:D104"/>
    <mergeCell ref="B16:B18"/>
    <mergeCell ref="B103:B104"/>
    <mergeCell ref="B89:B95"/>
    <mergeCell ref="B34:B35"/>
    <mergeCell ref="A630:A632"/>
    <mergeCell ref="E596:E599"/>
    <mergeCell ref="B596:B599"/>
    <mergeCell ref="A596:A599"/>
    <mergeCell ref="A624:A626"/>
    <mergeCell ref="B630:B632"/>
    <mergeCell ref="D596:D599"/>
    <mergeCell ref="C630:C632"/>
    <mergeCell ref="D479:D480"/>
    <mergeCell ref="C540:C541"/>
    <mergeCell ref="C510:C511"/>
    <mergeCell ref="D510:D511"/>
    <mergeCell ref="M634:N634"/>
    <mergeCell ref="G661:L661"/>
    <mergeCell ref="G712:L712"/>
    <mergeCell ref="G716:L716"/>
    <mergeCell ref="G704:L704"/>
    <mergeCell ref="D545:D546"/>
    <mergeCell ref="D540:D541"/>
    <mergeCell ref="B603:B605"/>
    <mergeCell ref="C520:C521"/>
    <mergeCell ref="D520:D521"/>
    <mergeCell ref="C603:C605"/>
    <mergeCell ref="D603:D605"/>
    <mergeCell ref="E603:E605"/>
    <mergeCell ref="G681:L681"/>
    <mergeCell ref="G639:L639"/>
    <mergeCell ref="M602:N602"/>
    <mergeCell ref="G630:L630"/>
    <mergeCell ref="G608:L608"/>
    <mergeCell ref="B635:B637"/>
    <mergeCell ref="M621:N621"/>
    <mergeCell ref="G610:L610"/>
    <mergeCell ref="M671:N671"/>
    <mergeCell ref="M629:N629"/>
    <mergeCell ref="G643:L643"/>
    <mergeCell ref="A704:A708"/>
    <mergeCell ref="B704:B708"/>
    <mergeCell ref="C624:C628"/>
    <mergeCell ref="D630:D632"/>
    <mergeCell ref="R706:W706"/>
    <mergeCell ref="R710:W710"/>
    <mergeCell ref="G683:L683"/>
    <mergeCell ref="D624:D628"/>
    <mergeCell ref="E624:E628"/>
    <mergeCell ref="C635:C637"/>
    <mergeCell ref="D635:D637"/>
    <mergeCell ref="G634:I634"/>
    <mergeCell ref="R629:T629"/>
    <mergeCell ref="G635:L635"/>
    <mergeCell ref="D704:D708"/>
    <mergeCell ref="A635:A637"/>
    <mergeCell ref="D672:D673"/>
    <mergeCell ref="A672:A673"/>
    <mergeCell ref="R703:T703"/>
    <mergeCell ref="R704:W704"/>
    <mergeCell ref="G671:I671"/>
    <mergeCell ref="G651:L651"/>
    <mergeCell ref="R630:W630"/>
    <mergeCell ref="R634:T634"/>
    <mergeCell ref="M623:N623"/>
    <mergeCell ref="G618:L618"/>
    <mergeCell ref="G648:L648"/>
    <mergeCell ref="F596:F599"/>
    <mergeCell ref="G747:L747"/>
    <mergeCell ref="G524:L524"/>
    <mergeCell ref="G522:L522"/>
    <mergeCell ref="G539:I539"/>
    <mergeCell ref="G723:I723"/>
    <mergeCell ref="G710:L710"/>
    <mergeCell ref="G629:I629"/>
    <mergeCell ref="G703:I703"/>
    <mergeCell ref="G536:I536"/>
    <mergeCell ref="G556:I556"/>
    <mergeCell ref="G548:L548"/>
    <mergeCell ref="G535:L535"/>
    <mergeCell ref="G588:L588"/>
    <mergeCell ref="G538:I538"/>
    <mergeCell ref="G561:I561"/>
    <mergeCell ref="G623:I623"/>
    <mergeCell ref="G603:L603"/>
    <mergeCell ref="G595:I595"/>
    <mergeCell ref="G596:L596"/>
    <mergeCell ref="G613:L613"/>
    <mergeCell ref="R648:W648"/>
    <mergeCell ref="R671:T671"/>
    <mergeCell ref="R672:W672"/>
    <mergeCell ref="R674:W674"/>
    <mergeCell ref="R678:W678"/>
    <mergeCell ref="R681:W681"/>
    <mergeCell ref="R712:W712"/>
    <mergeCell ref="G720:L720"/>
    <mergeCell ref="M753:N753"/>
    <mergeCell ref="M735:N735"/>
    <mergeCell ref="R726:W726"/>
    <mergeCell ref="R723:T723"/>
    <mergeCell ref="R724:W724"/>
    <mergeCell ref="G706:L706"/>
    <mergeCell ref="M703:N703"/>
    <mergeCell ref="R783:W783"/>
    <mergeCell ref="G776:L776"/>
    <mergeCell ref="G783:L783"/>
    <mergeCell ref="M773:N773"/>
    <mergeCell ref="R773:T773"/>
    <mergeCell ref="R731:W731"/>
    <mergeCell ref="R733:W733"/>
    <mergeCell ref="G733:L733"/>
    <mergeCell ref="R716:W716"/>
    <mergeCell ref="G334:L334"/>
    <mergeCell ref="G335:I335"/>
    <mergeCell ref="G336:I336"/>
    <mergeCell ref="C783:C784"/>
    <mergeCell ref="D783:D784"/>
    <mergeCell ref="C672:C673"/>
    <mergeCell ref="G674:L674"/>
    <mergeCell ref="G672:L672"/>
    <mergeCell ref="G726:L726"/>
    <mergeCell ref="C774:C775"/>
    <mergeCell ref="D774:D775"/>
    <mergeCell ref="C704:C708"/>
    <mergeCell ref="G755:I755"/>
    <mergeCell ref="G761:L761"/>
    <mergeCell ref="G754:L754"/>
    <mergeCell ref="G678:L678"/>
    <mergeCell ref="G773:I773"/>
    <mergeCell ref="G769:L769"/>
    <mergeCell ref="F603:F605"/>
    <mergeCell ref="G621:I621"/>
    <mergeCell ref="G544:I544"/>
    <mergeCell ref="G540:L540"/>
    <mergeCell ref="G593:L593"/>
    <mergeCell ref="G498:L498"/>
    <mergeCell ref="G220:I220"/>
    <mergeCell ref="G255:I255"/>
    <mergeCell ref="G302:L302"/>
    <mergeCell ref="G379:L379"/>
    <mergeCell ref="G501:L501"/>
    <mergeCell ref="G512:L512"/>
    <mergeCell ref="G514:L514"/>
    <mergeCell ref="G304:L304"/>
    <mergeCell ref="G314:L314"/>
    <mergeCell ref="G327:L327"/>
    <mergeCell ref="G310:I310"/>
    <mergeCell ref="G474:L474"/>
    <mergeCell ref="G350:I350"/>
    <mergeCell ref="G353:I353"/>
    <mergeCell ref="G318:L318"/>
    <mergeCell ref="G479:L479"/>
    <mergeCell ref="G483:L483"/>
    <mergeCell ref="G316:L316"/>
    <mergeCell ref="G319:I319"/>
    <mergeCell ref="G348:L348"/>
    <mergeCell ref="G419:L419"/>
    <mergeCell ref="G420:I420"/>
    <mergeCell ref="G385:L385"/>
    <mergeCell ref="G450:L450"/>
    <mergeCell ref="G29:L29"/>
    <mergeCell ref="G30:I30"/>
    <mergeCell ref="G196:L196"/>
    <mergeCell ref="G197:I197"/>
    <mergeCell ref="G190:I190"/>
    <mergeCell ref="G745:L745"/>
    <mergeCell ref="G637:L637"/>
    <mergeCell ref="G578:I578"/>
    <mergeCell ref="G567:I567"/>
    <mergeCell ref="G203:L203"/>
    <mergeCell ref="G557:L557"/>
    <mergeCell ref="G667:I667"/>
    <mergeCell ref="G288:L288"/>
    <mergeCell ref="G289:I289"/>
    <mergeCell ref="G576:L576"/>
    <mergeCell ref="G577:I577"/>
    <mergeCell ref="G563:L563"/>
    <mergeCell ref="G564:I564"/>
    <mergeCell ref="G365:I365"/>
    <mergeCell ref="G410:I410"/>
    <mergeCell ref="G532:L532"/>
    <mergeCell ref="G290:L290"/>
    <mergeCell ref="G115:L115"/>
    <mergeCell ref="G306:L306"/>
    <mergeCell ref="G793:L793"/>
    <mergeCell ref="G794:I794"/>
    <mergeCell ref="G351:L351"/>
    <mergeCell ref="G352:I352"/>
    <mergeCell ref="G356:I356"/>
    <mergeCell ref="G308:I308"/>
    <mergeCell ref="G542:L542"/>
    <mergeCell ref="G543:I543"/>
    <mergeCell ref="G768:I768"/>
    <mergeCell ref="G767:L767"/>
    <mergeCell ref="G343:L343"/>
    <mergeCell ref="G332:L332"/>
    <mergeCell ref="G346:L346"/>
    <mergeCell ref="G467:L467"/>
    <mergeCell ref="G359:L359"/>
    <mergeCell ref="G438:L438"/>
    <mergeCell ref="G363:I363"/>
    <mergeCell ref="G408:L408"/>
    <mergeCell ref="G789:L789"/>
    <mergeCell ref="G787:L787"/>
    <mergeCell ref="G331:I331"/>
    <mergeCell ref="G519:I519"/>
    <mergeCell ref="G349:I349"/>
    <mergeCell ref="G330:I330"/>
  </mergeCells>
  <phoneticPr fontId="4" type="noConversion"/>
  <hyperlinks>
    <hyperlink ref="G758" r:id="rId1"/>
    <hyperlink ref="G788" r:id="rId2" display="Тверское отделение №8607 сбербанка РФ"/>
    <hyperlink ref="M405" r:id="rId3" display="ООО &quot;АМ&quot; 1 очередь"/>
    <hyperlink ref="M406" r:id="rId4" display="ООО &quot;АМ&quot; 2 очередь"/>
  </hyperlinks>
  <pageMargins left="0.7" right="0.7" top="0.75" bottom="0.75" header="0.3" footer="0.3"/>
  <pageSetup paperSize="9" orientation="portrait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W394"/>
  <sheetViews>
    <sheetView topLeftCell="A121" zoomScale="70" zoomScaleNormal="70" workbookViewId="0">
      <selection activeCell="A120" sqref="A1:XFD1048576"/>
    </sheetView>
  </sheetViews>
  <sheetFormatPr defaultRowHeight="15" x14ac:dyDescent="0.25"/>
  <cols>
    <col min="1" max="1" width="26.7109375" style="135" customWidth="1"/>
    <col min="2" max="2" width="6.7109375" style="3" customWidth="1"/>
    <col min="3" max="3" width="3.7109375" style="3" customWidth="1"/>
    <col min="4" max="4" width="6.7109375" style="3" customWidth="1"/>
    <col min="5" max="5" width="3.7109375" style="3" customWidth="1"/>
    <col min="6" max="6" width="6.7109375" style="3" customWidth="1"/>
    <col min="7" max="7" width="18.7109375" style="3" customWidth="1"/>
    <col min="8" max="8" width="26.5703125" style="3" customWidth="1"/>
    <col min="9" max="11" width="15.7109375" style="3" customWidth="1"/>
    <col min="12" max="12" width="15.7109375" style="67" customWidth="1"/>
    <col min="13" max="13" width="23.7109375" style="3" customWidth="1"/>
    <col min="14" max="14" width="37.42578125" style="3" customWidth="1"/>
    <col min="15" max="17" width="15.7109375" style="3" customWidth="1"/>
    <col min="18" max="18" width="9.140625" style="68" customWidth="1"/>
    <col min="19" max="19" width="12.5703125" style="44" customWidth="1"/>
    <col min="20" max="20" width="27.28515625" style="44" customWidth="1"/>
    <col min="21" max="16384" width="9.140625" style="44"/>
  </cols>
  <sheetData>
    <row r="1" spans="1:23" ht="15.75" x14ac:dyDescent="0.25">
      <c r="A1" s="1481" t="s">
        <v>2237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791"/>
      <c r="O1" s="1791"/>
      <c r="P1" s="1791"/>
      <c r="Q1" s="1791"/>
    </row>
    <row r="2" spans="1:23" ht="15" customHeight="1" x14ac:dyDescent="0.25">
      <c r="A2" s="1526" t="s">
        <v>331</v>
      </c>
      <c r="B2" s="1529" t="s">
        <v>1786</v>
      </c>
      <c r="C2" s="1530"/>
      <c r="D2" s="1530"/>
      <c r="E2" s="1530"/>
      <c r="F2" s="1531"/>
      <c r="G2" s="1794" t="s">
        <v>1841</v>
      </c>
      <c r="H2" s="1795"/>
      <c r="I2" s="1795"/>
      <c r="J2" s="1795"/>
      <c r="K2" s="1795"/>
      <c r="L2" s="1796"/>
      <c r="M2" s="1792" t="s">
        <v>1842</v>
      </c>
      <c r="N2" s="1792"/>
      <c r="O2" s="1792"/>
      <c r="P2" s="1792"/>
      <c r="Q2" s="1792"/>
      <c r="R2" s="1489" t="s">
        <v>2535</v>
      </c>
      <c r="S2" s="1489"/>
      <c r="T2" s="1489"/>
      <c r="U2" s="1489"/>
      <c r="V2" s="1489"/>
      <c r="W2" s="1489"/>
    </row>
    <row r="3" spans="1:23" ht="15" customHeight="1" x14ac:dyDescent="0.25">
      <c r="A3" s="1527"/>
      <c r="B3" s="1532"/>
      <c r="C3" s="1492"/>
      <c r="D3" s="1492"/>
      <c r="E3" s="1492"/>
      <c r="F3" s="1533"/>
      <c r="G3" s="1490" t="s">
        <v>1845</v>
      </c>
      <c r="H3" s="1792"/>
      <c r="I3" s="1792"/>
      <c r="J3" s="1792"/>
      <c r="K3" s="1792"/>
      <c r="L3" s="1792"/>
      <c r="M3" s="1490" t="s">
        <v>1846</v>
      </c>
      <c r="N3" s="1792"/>
      <c r="O3" s="1792"/>
      <c r="P3" s="1792"/>
      <c r="Q3" s="1792"/>
      <c r="R3" s="1490" t="s">
        <v>2536</v>
      </c>
      <c r="S3" s="1489"/>
      <c r="T3" s="1489"/>
      <c r="U3" s="1489"/>
      <c r="V3" s="1489"/>
      <c r="W3" s="1489"/>
    </row>
    <row r="4" spans="1:23" x14ac:dyDescent="0.25">
      <c r="A4" s="1527"/>
      <c r="B4" s="1532"/>
      <c r="C4" s="1492"/>
      <c r="D4" s="1492"/>
      <c r="E4" s="1492"/>
      <c r="F4" s="1533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489"/>
      <c r="S4" s="1489"/>
      <c r="T4" s="1489"/>
      <c r="U4" s="1489"/>
      <c r="V4" s="1489"/>
      <c r="W4" s="1489"/>
    </row>
    <row r="5" spans="1:23" ht="75" x14ac:dyDescent="0.25">
      <c r="A5" s="1528"/>
      <c r="B5" s="1534"/>
      <c r="C5" s="1535"/>
      <c r="D5" s="1535"/>
      <c r="E5" s="1535"/>
      <c r="F5" s="1536"/>
      <c r="G5" s="8" t="s">
        <v>1849</v>
      </c>
      <c r="H5" s="8" t="s">
        <v>1855</v>
      </c>
      <c r="I5" s="8" t="s">
        <v>1851</v>
      </c>
      <c r="J5" s="8" t="s">
        <v>1852</v>
      </c>
      <c r="K5" s="8" t="s">
        <v>1853</v>
      </c>
      <c r="L5" s="145" t="s">
        <v>1854</v>
      </c>
      <c r="M5" s="8" t="s">
        <v>1849</v>
      </c>
      <c r="N5" s="8" t="s">
        <v>1855</v>
      </c>
      <c r="O5" s="8" t="s">
        <v>1852</v>
      </c>
      <c r="P5" s="8" t="s">
        <v>1853</v>
      </c>
      <c r="Q5" s="8" t="s">
        <v>1854</v>
      </c>
      <c r="R5" s="8" t="s">
        <v>1849</v>
      </c>
      <c r="S5" s="8" t="s">
        <v>1855</v>
      </c>
      <c r="T5" s="8" t="s">
        <v>1851</v>
      </c>
      <c r="U5" s="8" t="s">
        <v>1852</v>
      </c>
      <c r="V5" s="8" t="s">
        <v>1853</v>
      </c>
      <c r="W5" s="145" t="s">
        <v>1854</v>
      </c>
    </row>
    <row r="6" spans="1:23" ht="15.75" thickBot="1" x14ac:dyDescent="0.3">
      <c r="A6" s="151">
        <v>1</v>
      </c>
      <c r="B6" s="1775">
        <v>2</v>
      </c>
      <c r="C6" s="1776"/>
      <c r="D6" s="1776"/>
      <c r="E6" s="1776"/>
      <c r="F6" s="1777"/>
      <c r="G6" s="8">
        <v>3</v>
      </c>
      <c r="H6" s="8">
        <v>4</v>
      </c>
      <c r="I6" s="8">
        <v>5</v>
      </c>
      <c r="J6" s="8">
        <v>6</v>
      </c>
      <c r="K6" s="8">
        <v>7</v>
      </c>
      <c r="L6" s="145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ht="34.5" customHeight="1" x14ac:dyDescent="0.25">
      <c r="A7" s="557" t="str">
        <f>'Расчет ЦП - общая форма'!C385</f>
        <v>ПС  35/10 кВ Страшевичи</v>
      </c>
      <c r="B7" s="558">
        <f>'Расчет ЦП - общая форма'!D385</f>
        <v>4</v>
      </c>
      <c r="C7" s="559"/>
      <c r="D7" s="559"/>
      <c r="E7" s="559"/>
      <c r="F7" s="560"/>
      <c r="G7" s="553"/>
      <c r="H7" s="97"/>
      <c r="I7" s="97"/>
      <c r="J7" s="97"/>
      <c r="K7" s="97"/>
      <c r="L7" s="74"/>
      <c r="M7" s="97"/>
      <c r="N7" s="97"/>
      <c r="O7" s="97"/>
      <c r="P7" s="97"/>
      <c r="Q7" s="97"/>
      <c r="R7" s="97"/>
      <c r="S7" s="97"/>
      <c r="T7" s="97"/>
      <c r="U7" s="97"/>
      <c r="V7" s="97"/>
      <c r="W7" s="74"/>
    </row>
    <row r="8" spans="1:23" x14ac:dyDescent="0.25">
      <c r="A8" s="531"/>
      <c r="B8" s="561"/>
      <c r="C8" s="562"/>
      <c r="D8" s="562"/>
      <c r="E8" s="562"/>
      <c r="F8" s="563"/>
      <c r="G8" s="96"/>
      <c r="H8" s="8"/>
      <c r="I8" s="8"/>
      <c r="J8" s="8"/>
      <c r="K8" s="8"/>
      <c r="L8" s="145"/>
      <c r="M8" s="8"/>
      <c r="N8" s="8"/>
      <c r="O8" s="8"/>
      <c r="P8" s="8"/>
      <c r="Q8" s="8"/>
      <c r="R8" s="8"/>
      <c r="S8" s="8"/>
      <c r="T8" s="8"/>
      <c r="U8" s="8"/>
      <c r="V8" s="8"/>
      <c r="W8" s="145"/>
    </row>
    <row r="9" spans="1:23" ht="15.75" customHeight="1" thickBot="1" x14ac:dyDescent="0.3">
      <c r="A9" s="405"/>
      <c r="B9" s="394"/>
      <c r="C9" s="395"/>
      <c r="D9" s="395"/>
      <c r="E9" s="395"/>
      <c r="F9" s="396"/>
      <c r="G9" s="1767" t="s">
        <v>1860</v>
      </c>
      <c r="H9" s="1767"/>
      <c r="I9" s="1768"/>
      <c r="J9" s="25">
        <f>SUM(J7:J8)</f>
        <v>0</v>
      </c>
      <c r="K9" s="93">
        <v>0.8</v>
      </c>
      <c r="L9" s="25">
        <f>J9/K9</f>
        <v>0</v>
      </c>
      <c r="M9" s="1780" t="s">
        <v>1861</v>
      </c>
      <c r="N9" s="1768"/>
      <c r="O9" s="25">
        <f>SUM(O7:O8)</f>
        <v>0</v>
      </c>
      <c r="P9" s="93">
        <v>0.8</v>
      </c>
      <c r="Q9" s="25">
        <f>O9/P9</f>
        <v>0</v>
      </c>
      <c r="R9" s="1780" t="s">
        <v>1860</v>
      </c>
      <c r="S9" s="1767"/>
      <c r="T9" s="1768"/>
      <c r="U9" s="25">
        <f>SUM(U7:U8)</f>
        <v>0</v>
      </c>
      <c r="V9" s="93">
        <v>0.8</v>
      </c>
      <c r="W9" s="25">
        <f>U9/V9</f>
        <v>0</v>
      </c>
    </row>
    <row r="10" spans="1:23" x14ac:dyDescent="0.25">
      <c r="A10" s="529" t="str">
        <f>'Расчет ЦП - общая форма'!C386</f>
        <v xml:space="preserve">ПС 35/10 кВ Сукромля </v>
      </c>
      <c r="B10" s="530">
        <f>'Расчет ЦП - общая форма'!D386</f>
        <v>2.5</v>
      </c>
      <c r="C10" s="511"/>
      <c r="D10" s="511"/>
      <c r="E10" s="511"/>
      <c r="F10" s="512"/>
      <c r="G10" s="1570" t="s">
        <v>3069</v>
      </c>
      <c r="H10" s="1769"/>
      <c r="I10" s="1769"/>
      <c r="J10" s="1769"/>
      <c r="K10" s="1769"/>
      <c r="L10" s="1770"/>
      <c r="M10" s="1"/>
      <c r="N10" s="1"/>
      <c r="O10" s="8"/>
      <c r="P10" s="8"/>
      <c r="Q10" s="8"/>
      <c r="R10" s="8"/>
      <c r="S10" s="8"/>
      <c r="T10" s="8"/>
      <c r="U10" s="8"/>
      <c r="V10" s="8"/>
      <c r="W10" s="145"/>
    </row>
    <row r="11" spans="1:23" ht="102.75" customHeight="1" x14ac:dyDescent="0.25">
      <c r="A11" s="531"/>
      <c r="B11" s="514"/>
      <c r="C11" s="502"/>
      <c r="D11" s="502"/>
      <c r="E11" s="502"/>
      <c r="F11" s="513"/>
      <c r="G11" s="1" t="s">
        <v>3058</v>
      </c>
      <c r="H11" s="1" t="s">
        <v>3221</v>
      </c>
      <c r="I11" s="1" t="s">
        <v>3195</v>
      </c>
      <c r="J11" s="8">
        <v>0.3</v>
      </c>
      <c r="K11" s="8"/>
      <c r="L11" s="145"/>
      <c r="M11" s="1"/>
      <c r="N11" s="1"/>
      <c r="O11" s="8"/>
      <c r="P11" s="8"/>
      <c r="Q11" s="8"/>
      <c r="R11" s="8"/>
      <c r="S11" s="8"/>
      <c r="T11" s="8"/>
      <c r="U11" s="8"/>
      <c r="V11" s="8"/>
      <c r="W11" s="145"/>
    </row>
    <row r="12" spans="1:23" ht="75" x14ac:dyDescent="0.25">
      <c r="A12" s="1086"/>
      <c r="B12" s="1082"/>
      <c r="C12" s="1083"/>
      <c r="D12" s="1083"/>
      <c r="E12" s="1083"/>
      <c r="F12" s="1081"/>
      <c r="G12" s="1" t="s">
        <v>3157</v>
      </c>
      <c r="H12" s="1" t="s">
        <v>3156</v>
      </c>
      <c r="I12" s="20" t="s">
        <v>3229</v>
      </c>
      <c r="J12" s="8">
        <v>0.3</v>
      </c>
      <c r="K12" s="92"/>
      <c r="L12" s="75"/>
      <c r="M12" s="19"/>
      <c r="N12" s="20"/>
      <c r="O12" s="92"/>
      <c r="P12" s="92"/>
      <c r="Q12" s="92"/>
      <c r="R12" s="94"/>
      <c r="S12" s="758"/>
      <c r="T12" s="95"/>
      <c r="U12" s="92"/>
      <c r="V12" s="92"/>
      <c r="W12" s="75"/>
    </row>
    <row r="13" spans="1:23" ht="15.75" customHeight="1" thickBot="1" x14ac:dyDescent="0.3">
      <c r="A13" s="405"/>
      <c r="B13" s="394"/>
      <c r="C13" s="395"/>
      <c r="D13" s="395"/>
      <c r="E13" s="395"/>
      <c r="F13" s="396"/>
      <c r="G13" s="1767" t="s">
        <v>1860</v>
      </c>
      <c r="H13" s="1767"/>
      <c r="I13" s="1768"/>
      <c r="J13" s="25">
        <f>SUM(J10:J12)</f>
        <v>0.6</v>
      </c>
      <c r="K13" s="93">
        <v>0.8</v>
      </c>
      <c r="L13" s="25">
        <f>J13/K13</f>
        <v>0.74999999999999989</v>
      </c>
      <c r="M13" s="1780" t="s">
        <v>1861</v>
      </c>
      <c r="N13" s="1768"/>
      <c r="O13" s="25">
        <f>SUM(O10:O11)</f>
        <v>0</v>
      </c>
      <c r="P13" s="93">
        <v>0.8</v>
      </c>
      <c r="Q13" s="25">
        <f>O13/P13</f>
        <v>0</v>
      </c>
      <c r="R13" s="1780" t="s">
        <v>1860</v>
      </c>
      <c r="S13" s="1767"/>
      <c r="T13" s="1768"/>
      <c r="U13" s="25">
        <f>SUM(U10:U11)</f>
        <v>0</v>
      </c>
      <c r="V13" s="93">
        <v>0.8</v>
      </c>
      <c r="W13" s="25">
        <f>U13/V13</f>
        <v>0</v>
      </c>
    </row>
    <row r="14" spans="1:23" x14ac:dyDescent="0.25">
      <c r="A14" s="529" t="str">
        <f>'Расчет ЦП - общая форма'!C387</f>
        <v xml:space="preserve">ПС 35/10 кВ Кр. Городок </v>
      </c>
      <c r="B14" s="530">
        <f>'Расчет ЦП - общая форма'!D387</f>
        <v>0.56000000000000005</v>
      </c>
      <c r="C14" s="511"/>
      <c r="D14" s="511"/>
      <c r="E14" s="511"/>
      <c r="F14" s="512"/>
      <c r="G14" s="553"/>
      <c r="H14" s="97"/>
      <c r="I14" s="97"/>
      <c r="J14" s="97"/>
      <c r="K14" s="97"/>
      <c r="L14" s="74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74"/>
    </row>
    <row r="15" spans="1:23" x14ac:dyDescent="0.25">
      <c r="A15" s="531"/>
      <c r="B15" s="514"/>
      <c r="C15" s="502"/>
      <c r="D15" s="502"/>
      <c r="E15" s="502"/>
      <c r="F15" s="513"/>
      <c r="G15" s="96"/>
      <c r="H15" s="8"/>
      <c r="I15" s="8"/>
      <c r="J15" s="8"/>
      <c r="K15" s="8"/>
      <c r="L15" s="145"/>
      <c r="M15" s="8"/>
      <c r="N15" s="8"/>
      <c r="O15" s="8"/>
      <c r="P15" s="8"/>
      <c r="Q15" s="8"/>
      <c r="R15" s="8"/>
      <c r="S15" s="8"/>
      <c r="T15" s="8"/>
      <c r="U15" s="8"/>
      <c r="V15" s="8"/>
      <c r="W15" s="145"/>
    </row>
    <row r="16" spans="1:23" ht="21" customHeight="1" thickBot="1" x14ac:dyDescent="0.3">
      <c r="A16" s="405"/>
      <c r="B16" s="394"/>
      <c r="C16" s="395"/>
      <c r="D16" s="395"/>
      <c r="E16" s="395"/>
      <c r="F16" s="396"/>
      <c r="G16" s="1767" t="s">
        <v>1860</v>
      </c>
      <c r="H16" s="1767"/>
      <c r="I16" s="1768"/>
      <c r="J16" s="25">
        <f>SUM(J14:J15)</f>
        <v>0</v>
      </c>
      <c r="K16" s="93">
        <v>0.8</v>
      </c>
      <c r="L16" s="25">
        <f>J16/K16</f>
        <v>0</v>
      </c>
      <c r="M16" s="1780" t="s">
        <v>1861</v>
      </c>
      <c r="N16" s="1768"/>
      <c r="O16" s="25">
        <f>SUM(O14:O15)</f>
        <v>0</v>
      </c>
      <c r="P16" s="93">
        <v>0.8</v>
      </c>
      <c r="Q16" s="25">
        <f>O16/P16</f>
        <v>0</v>
      </c>
      <c r="R16" s="1780" t="s">
        <v>1860</v>
      </c>
      <c r="S16" s="1767"/>
      <c r="T16" s="1768"/>
      <c r="U16" s="25">
        <f>SUM(U14:U15)</f>
        <v>0</v>
      </c>
      <c r="V16" s="93">
        <v>0.8</v>
      </c>
      <c r="W16" s="25">
        <f>U16/V16</f>
        <v>0</v>
      </c>
    </row>
    <row r="17" spans="1:23" x14ac:dyDescent="0.25">
      <c r="A17" s="529" t="str">
        <f>'Расчет ЦП - общая форма'!C388</f>
        <v xml:space="preserve">ПС 35/10 кВ Прямухино </v>
      </c>
      <c r="B17" s="530">
        <f>'Расчет ЦП - общая форма'!D388</f>
        <v>2.5</v>
      </c>
      <c r="C17" s="511"/>
      <c r="D17" s="511"/>
      <c r="E17" s="511"/>
      <c r="F17" s="512"/>
      <c r="G17" s="96"/>
      <c r="H17" s="8"/>
      <c r="I17" s="8"/>
      <c r="J17" s="8"/>
      <c r="K17" s="8"/>
      <c r="L17" s="145"/>
      <c r="M17" s="8"/>
      <c r="N17" s="8"/>
      <c r="O17" s="8"/>
      <c r="P17" s="8"/>
      <c r="Q17" s="8"/>
      <c r="R17" s="8"/>
      <c r="S17" s="8"/>
      <c r="T17" s="8"/>
      <c r="U17" s="8"/>
      <c r="V17" s="8"/>
      <c r="W17" s="145"/>
    </row>
    <row r="18" spans="1:23" x14ac:dyDescent="0.25">
      <c r="A18" s="531"/>
      <c r="B18" s="514"/>
      <c r="C18" s="502"/>
      <c r="D18" s="502"/>
      <c r="E18" s="502"/>
      <c r="F18" s="513"/>
      <c r="G18" s="96"/>
      <c r="H18" s="8"/>
      <c r="I18" s="8"/>
      <c r="J18" s="8"/>
      <c r="K18" s="8"/>
      <c r="L18" s="145"/>
      <c r="M18" s="8"/>
      <c r="N18" s="8"/>
      <c r="O18" s="8"/>
      <c r="P18" s="8"/>
      <c r="Q18" s="8"/>
      <c r="R18" s="8"/>
      <c r="S18" s="8"/>
      <c r="T18" s="8"/>
      <c r="U18" s="8"/>
      <c r="V18" s="8"/>
      <c r="W18" s="145"/>
    </row>
    <row r="19" spans="1:23" ht="18.75" customHeight="1" thickBot="1" x14ac:dyDescent="0.3">
      <c r="A19" s="405"/>
      <c r="B19" s="394"/>
      <c r="C19" s="395"/>
      <c r="D19" s="395"/>
      <c r="E19" s="395"/>
      <c r="F19" s="396"/>
      <c r="G19" s="1767" t="s">
        <v>1860</v>
      </c>
      <c r="H19" s="1767"/>
      <c r="I19" s="1768"/>
      <c r="J19" s="25">
        <f>SUM(J17:J18)</f>
        <v>0</v>
      </c>
      <c r="K19" s="93">
        <v>0.8</v>
      </c>
      <c r="L19" s="25">
        <f>J19/K19</f>
        <v>0</v>
      </c>
      <c r="M19" s="1780" t="s">
        <v>1861</v>
      </c>
      <c r="N19" s="1768"/>
      <c r="O19" s="25">
        <f>SUM(O17:O18)</f>
        <v>0</v>
      </c>
      <c r="P19" s="93">
        <v>0.8</v>
      </c>
      <c r="Q19" s="25">
        <f>O19/P19</f>
        <v>0</v>
      </c>
      <c r="R19" s="1780" t="s">
        <v>1860</v>
      </c>
      <c r="S19" s="1767"/>
      <c r="T19" s="1768"/>
      <c r="U19" s="25">
        <f>SUM(U17:U18)</f>
        <v>0</v>
      </c>
      <c r="V19" s="93">
        <v>0.8</v>
      </c>
      <c r="W19" s="25">
        <f>U19/V19</f>
        <v>0</v>
      </c>
    </row>
    <row r="20" spans="1:23" x14ac:dyDescent="0.25">
      <c r="A20" s="529" t="str">
        <f>'Расчет ЦП - общая форма'!C389</f>
        <v xml:space="preserve">ПС 35/10 кВ Пень  </v>
      </c>
      <c r="B20" s="530">
        <f>'Расчет ЦП - общая форма'!D389</f>
        <v>1.6</v>
      </c>
      <c r="C20" s="536"/>
      <c r="D20" s="536"/>
      <c r="E20" s="536"/>
      <c r="F20" s="537"/>
      <c r="G20" s="96"/>
      <c r="H20" s="8"/>
      <c r="I20" s="8"/>
      <c r="J20" s="8"/>
      <c r="K20" s="8"/>
      <c r="L20" s="145"/>
      <c r="M20" s="8"/>
      <c r="N20" s="8"/>
      <c r="O20" s="8"/>
      <c r="P20" s="8"/>
      <c r="Q20" s="8"/>
      <c r="R20" s="8"/>
      <c r="S20" s="8"/>
      <c r="T20" s="8"/>
      <c r="U20" s="8"/>
      <c r="V20" s="8"/>
      <c r="W20" s="145"/>
    </row>
    <row r="21" spans="1:23" x14ac:dyDescent="0.25">
      <c r="A21" s="531"/>
      <c r="B21" s="503"/>
      <c r="C21" s="504"/>
      <c r="D21" s="504"/>
      <c r="E21" s="504"/>
      <c r="F21" s="505"/>
      <c r="G21" s="96"/>
      <c r="H21" s="8"/>
      <c r="I21" s="8"/>
      <c r="J21" s="8"/>
      <c r="K21" s="8"/>
      <c r="L21" s="145"/>
      <c r="M21" s="8"/>
      <c r="N21" s="8"/>
      <c r="O21" s="8"/>
      <c r="P21" s="8"/>
      <c r="Q21" s="8"/>
      <c r="R21" s="8"/>
      <c r="S21" s="8"/>
      <c r="T21" s="8"/>
      <c r="U21" s="8"/>
      <c r="V21" s="8"/>
      <c r="W21" s="145"/>
    </row>
    <row r="22" spans="1:23" ht="18.75" customHeight="1" thickBot="1" x14ac:dyDescent="0.3">
      <c r="A22" s="405"/>
      <c r="B22" s="394"/>
      <c r="C22" s="395"/>
      <c r="D22" s="395"/>
      <c r="E22" s="395"/>
      <c r="F22" s="396"/>
      <c r="G22" s="1767" t="s">
        <v>1860</v>
      </c>
      <c r="H22" s="1767"/>
      <c r="I22" s="1768"/>
      <c r="J22" s="25">
        <f>SUM(J20:J21)</f>
        <v>0</v>
      </c>
      <c r="K22" s="93">
        <v>0.8</v>
      </c>
      <c r="L22" s="25">
        <f>J22/K22</f>
        <v>0</v>
      </c>
      <c r="M22" s="1780" t="s">
        <v>1861</v>
      </c>
      <c r="N22" s="1768"/>
      <c r="O22" s="25">
        <f>SUM(O20:O21)</f>
        <v>0</v>
      </c>
      <c r="P22" s="93">
        <v>0.8</v>
      </c>
      <c r="Q22" s="25">
        <f>O22/P22</f>
        <v>0</v>
      </c>
      <c r="R22" s="1780" t="s">
        <v>1860</v>
      </c>
      <c r="S22" s="1767"/>
      <c r="T22" s="1768"/>
      <c r="U22" s="25">
        <f>SUM(U20:U21)</f>
        <v>0</v>
      </c>
      <c r="V22" s="93">
        <v>0.8</v>
      </c>
      <c r="W22" s="25">
        <f>U22/V22</f>
        <v>0</v>
      </c>
    </row>
    <row r="23" spans="1:23" x14ac:dyDescent="0.25">
      <c r="A23" s="529" t="str">
        <f>'Расчет ЦП - общая форма'!C390</f>
        <v xml:space="preserve">ПС 35/10 кВ Печниково </v>
      </c>
      <c r="B23" s="530">
        <f>'Расчет ЦП - общая форма'!D390</f>
        <v>2.5</v>
      </c>
      <c r="C23" s="536"/>
      <c r="D23" s="536"/>
      <c r="E23" s="536"/>
      <c r="F23" s="537"/>
      <c r="G23" s="1570" t="s">
        <v>3069</v>
      </c>
      <c r="H23" s="1769"/>
      <c r="I23" s="1769"/>
      <c r="J23" s="1769"/>
      <c r="K23" s="1769"/>
      <c r="L23" s="1770"/>
      <c r="M23" s="8"/>
      <c r="N23" s="8"/>
      <c r="O23" s="8"/>
      <c r="P23" s="8"/>
      <c r="Q23" s="8"/>
      <c r="R23" s="8"/>
      <c r="S23" s="8"/>
      <c r="T23" s="8"/>
      <c r="U23" s="8"/>
      <c r="V23" s="8"/>
      <c r="W23" s="145"/>
    </row>
    <row r="24" spans="1:23" ht="120" x14ac:dyDescent="0.25">
      <c r="A24" s="531"/>
      <c r="B24" s="503"/>
      <c r="C24" s="504"/>
      <c r="D24" s="504"/>
      <c r="E24" s="504"/>
      <c r="F24" s="505"/>
      <c r="G24" s="152" t="s">
        <v>3146</v>
      </c>
      <c r="H24" s="1" t="s">
        <v>3147</v>
      </c>
      <c r="I24" s="1" t="s">
        <v>3148</v>
      </c>
      <c r="J24" s="8">
        <v>0.06</v>
      </c>
      <c r="K24" s="8"/>
      <c r="L24" s="145"/>
      <c r="M24" s="8"/>
      <c r="N24" s="8"/>
      <c r="O24" s="8"/>
      <c r="P24" s="8"/>
      <c r="Q24" s="8"/>
      <c r="R24" s="8"/>
      <c r="S24" s="8"/>
      <c r="T24" s="8"/>
      <c r="U24" s="8"/>
      <c r="V24" s="8"/>
      <c r="W24" s="145"/>
    </row>
    <row r="25" spans="1:23" ht="15.75" customHeight="1" thickBot="1" x14ac:dyDescent="0.3">
      <c r="A25" s="405"/>
      <c r="B25" s="394"/>
      <c r="C25" s="395"/>
      <c r="D25" s="395"/>
      <c r="E25" s="395"/>
      <c r="F25" s="396"/>
      <c r="G25" s="1767" t="s">
        <v>1860</v>
      </c>
      <c r="H25" s="1767"/>
      <c r="I25" s="1768"/>
      <c r="J25" s="25">
        <f>SUM(J23:J24)</f>
        <v>0.06</v>
      </c>
      <c r="K25" s="93">
        <v>0.8</v>
      </c>
      <c r="L25" s="25">
        <f>J25/K25</f>
        <v>7.4999999999999997E-2</v>
      </c>
      <c r="M25" s="1780" t="s">
        <v>1861</v>
      </c>
      <c r="N25" s="1768"/>
      <c r="O25" s="25">
        <f>SUM(O23:O24)</f>
        <v>0</v>
      </c>
      <c r="P25" s="93">
        <v>0.8</v>
      </c>
      <c r="Q25" s="25">
        <f>O25/P25</f>
        <v>0</v>
      </c>
      <c r="R25" s="1780" t="s">
        <v>1860</v>
      </c>
      <c r="S25" s="1767"/>
      <c r="T25" s="1768"/>
      <c r="U25" s="25">
        <f>SUM(U23:U24)</f>
        <v>0</v>
      </c>
      <c r="V25" s="93">
        <v>0.8</v>
      </c>
      <c r="W25" s="25">
        <f>U25/V25</f>
        <v>0</v>
      </c>
    </row>
    <row r="26" spans="1:23" x14ac:dyDescent="0.25">
      <c r="A26" s="529" t="str">
        <f>'Расчет ЦП - общая форма'!C391</f>
        <v xml:space="preserve">ПС 35/10 кВ Максимково </v>
      </c>
      <c r="B26" s="530">
        <f>'Расчет ЦП - общая форма'!D391</f>
        <v>2.5</v>
      </c>
      <c r="C26" s="564"/>
      <c r="D26" s="564"/>
      <c r="E26" s="564"/>
      <c r="F26" s="565"/>
      <c r="G26" s="553"/>
      <c r="H26" s="97"/>
      <c r="I26" s="97"/>
      <c r="J26" s="97"/>
      <c r="K26" s="97"/>
      <c r="L26" s="74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74"/>
    </row>
    <row r="27" spans="1:23" ht="16.5" customHeight="1" thickBot="1" x14ac:dyDescent="0.3">
      <c r="A27" s="405"/>
      <c r="B27" s="394"/>
      <c r="C27" s="395"/>
      <c r="D27" s="395"/>
      <c r="E27" s="395"/>
      <c r="F27" s="396"/>
      <c r="G27" s="1767" t="s">
        <v>1860</v>
      </c>
      <c r="H27" s="1767"/>
      <c r="I27" s="1768"/>
      <c r="J27" s="25">
        <f>SUM(J26:J26)</f>
        <v>0</v>
      </c>
      <c r="K27" s="93">
        <v>0.8</v>
      </c>
      <c r="L27" s="25">
        <f>J27/K27</f>
        <v>0</v>
      </c>
      <c r="M27" s="1780" t="s">
        <v>1861</v>
      </c>
      <c r="N27" s="1768"/>
      <c r="O27" s="25">
        <f>SUM(O26:O26)</f>
        <v>0</v>
      </c>
      <c r="P27" s="93">
        <v>0.8</v>
      </c>
      <c r="Q27" s="25">
        <f>O27/P27</f>
        <v>0</v>
      </c>
      <c r="R27" s="1780" t="s">
        <v>1860</v>
      </c>
      <c r="S27" s="1767"/>
      <c r="T27" s="1768"/>
      <c r="U27" s="25">
        <f>SUM(U26:U26)</f>
        <v>0</v>
      </c>
      <c r="V27" s="93">
        <v>0.8</v>
      </c>
      <c r="W27" s="25">
        <f>U27/V27</f>
        <v>0</v>
      </c>
    </row>
    <row r="28" spans="1:23" x14ac:dyDescent="0.25">
      <c r="A28" s="529" t="str">
        <f>'Расчет ЦП - общая форма'!C392</f>
        <v xml:space="preserve">ПС 35/10 кВ Филистово </v>
      </c>
      <c r="B28" s="530">
        <f>'Расчет ЦП - общая форма'!D392</f>
        <v>1.6</v>
      </c>
      <c r="C28" s="564"/>
      <c r="D28" s="564"/>
      <c r="E28" s="564"/>
      <c r="F28" s="565"/>
      <c r="G28" s="96"/>
      <c r="H28" s="8"/>
      <c r="I28" s="8"/>
      <c r="J28" s="8"/>
      <c r="K28" s="8"/>
      <c r="L28" s="145"/>
      <c r="M28" s="8"/>
      <c r="N28" s="8"/>
      <c r="O28" s="8"/>
      <c r="P28" s="8"/>
      <c r="Q28" s="8"/>
      <c r="R28" s="8"/>
      <c r="S28" s="8"/>
      <c r="T28" s="8"/>
      <c r="U28" s="8"/>
      <c r="V28" s="8"/>
      <c r="W28" s="145"/>
    </row>
    <row r="29" spans="1:23" x14ac:dyDescent="0.25">
      <c r="A29" s="531"/>
      <c r="B29" s="561"/>
      <c r="C29" s="562"/>
      <c r="D29" s="562"/>
      <c r="E29" s="562"/>
      <c r="F29" s="563"/>
      <c r="G29" s="96"/>
      <c r="H29" s="8"/>
      <c r="I29" s="8"/>
      <c r="J29" s="8"/>
      <c r="K29" s="8"/>
      <c r="L29" s="145"/>
      <c r="M29" s="8"/>
      <c r="N29" s="8"/>
      <c r="O29" s="8"/>
      <c r="P29" s="8"/>
      <c r="Q29" s="8"/>
      <c r="R29" s="8"/>
      <c r="S29" s="8"/>
      <c r="T29" s="8"/>
      <c r="U29" s="8"/>
      <c r="V29" s="8"/>
      <c r="W29" s="145"/>
    </row>
    <row r="30" spans="1:23" ht="19.5" customHeight="1" thickBot="1" x14ac:dyDescent="0.3">
      <c r="A30" s="405"/>
      <c r="B30" s="394"/>
      <c r="C30" s="395"/>
      <c r="D30" s="395"/>
      <c r="E30" s="395"/>
      <c r="F30" s="396"/>
      <c r="G30" s="1767" t="s">
        <v>1860</v>
      </c>
      <c r="H30" s="1767"/>
      <c r="I30" s="1768"/>
      <c r="J30" s="25">
        <f>SUM(J28:J29)</f>
        <v>0</v>
      </c>
      <c r="K30" s="93">
        <v>0.8</v>
      </c>
      <c r="L30" s="25">
        <f>J30/K30</f>
        <v>0</v>
      </c>
      <c r="M30" s="1780" t="s">
        <v>1861</v>
      </c>
      <c r="N30" s="1768"/>
      <c r="O30" s="25">
        <f>SUM(O28:O29)</f>
        <v>0</v>
      </c>
      <c r="P30" s="93">
        <v>0.8</v>
      </c>
      <c r="Q30" s="25">
        <f>O30/P30</f>
        <v>0</v>
      </c>
      <c r="R30" s="1780" t="s">
        <v>1860</v>
      </c>
      <c r="S30" s="1767"/>
      <c r="T30" s="1768"/>
      <c r="U30" s="25">
        <f>SUM(U28:U29)</f>
        <v>0</v>
      </c>
      <c r="V30" s="93">
        <v>0.8</v>
      </c>
      <c r="W30" s="25">
        <f>U30/V30</f>
        <v>0</v>
      </c>
    </row>
    <row r="31" spans="1:23" x14ac:dyDescent="0.25">
      <c r="A31" s="529" t="str">
        <f>'Расчет ЦП - общая форма'!C393</f>
        <v xml:space="preserve">ПС 35/10 кВ Оковцы  </v>
      </c>
      <c r="B31" s="530">
        <f>'Расчет ЦП - общая форма'!D393</f>
        <v>1</v>
      </c>
      <c r="C31" s="564"/>
      <c r="D31" s="564"/>
      <c r="E31" s="564"/>
      <c r="F31" s="565"/>
      <c r="G31" s="96"/>
      <c r="H31" s="8"/>
      <c r="I31" s="8"/>
      <c r="J31" s="8"/>
      <c r="K31" s="8"/>
      <c r="L31" s="145"/>
      <c r="M31" s="8"/>
      <c r="N31" s="8"/>
      <c r="O31" s="8"/>
      <c r="P31" s="8"/>
      <c r="Q31" s="8"/>
      <c r="R31" s="8"/>
      <c r="S31" s="8"/>
      <c r="T31" s="8"/>
      <c r="U31" s="8"/>
      <c r="V31" s="8"/>
      <c r="W31" s="145"/>
    </row>
    <row r="32" spans="1:23" ht="18.75" customHeight="1" thickBot="1" x14ac:dyDescent="0.3">
      <c r="A32" s="405"/>
      <c r="B32" s="394"/>
      <c r="C32" s="395"/>
      <c r="D32" s="395"/>
      <c r="E32" s="395"/>
      <c r="F32" s="396"/>
      <c r="G32" s="1767" t="s">
        <v>1860</v>
      </c>
      <c r="H32" s="1767"/>
      <c r="I32" s="1768"/>
      <c r="J32" s="25">
        <f>SUM(J31:J31)</f>
        <v>0</v>
      </c>
      <c r="K32" s="93">
        <v>0.8</v>
      </c>
      <c r="L32" s="25">
        <f>J32/K32</f>
        <v>0</v>
      </c>
      <c r="M32" s="1780" t="s">
        <v>1861</v>
      </c>
      <c r="N32" s="1768"/>
      <c r="O32" s="25">
        <f>SUM(O31:O31)</f>
        <v>0</v>
      </c>
      <c r="P32" s="93">
        <v>0.8</v>
      </c>
      <c r="Q32" s="25">
        <f>O32/P32</f>
        <v>0</v>
      </c>
      <c r="R32" s="1780" t="s">
        <v>1860</v>
      </c>
      <c r="S32" s="1767"/>
      <c r="T32" s="1768"/>
      <c r="U32" s="25">
        <f>SUM(U31:U31)</f>
        <v>0</v>
      </c>
      <c r="V32" s="93">
        <v>0.8</v>
      </c>
      <c r="W32" s="25">
        <f>U32/V32</f>
        <v>0</v>
      </c>
    </row>
    <row r="33" spans="1:23" x14ac:dyDescent="0.25">
      <c r="A33" s="1787" t="str">
        <f>'Расчет ЦП - общая форма'!C394</f>
        <v xml:space="preserve">ПС 35/10 кВ Селигер  </v>
      </c>
      <c r="B33" s="1612">
        <f>'Расчет ЦП - общая форма'!D394</f>
        <v>6.3</v>
      </c>
      <c r="C33" s="1614"/>
      <c r="D33" s="1614"/>
      <c r="E33" s="1614"/>
      <c r="F33" s="1610"/>
      <c r="G33" s="1570" t="s">
        <v>1989</v>
      </c>
      <c r="H33" s="1769"/>
      <c r="I33" s="1769"/>
      <c r="J33" s="1769"/>
      <c r="K33" s="1769"/>
      <c r="L33" s="1770"/>
      <c r="M33" s="164"/>
      <c r="N33" s="166"/>
      <c r="O33" s="165"/>
      <c r="P33" s="74"/>
      <c r="Q33" s="74"/>
      <c r="R33" s="1566"/>
      <c r="S33" s="1778"/>
      <c r="T33" s="1778"/>
      <c r="U33" s="1778"/>
      <c r="V33" s="1778"/>
      <c r="W33" s="1779"/>
    </row>
    <row r="34" spans="1:23" ht="32.25" customHeight="1" x14ac:dyDescent="0.25">
      <c r="A34" s="1788"/>
      <c r="B34" s="1613"/>
      <c r="C34" s="1615"/>
      <c r="D34" s="1615"/>
      <c r="E34" s="1615"/>
      <c r="F34" s="1611"/>
      <c r="G34" s="89" t="s">
        <v>1603</v>
      </c>
      <c r="H34" s="79" t="s">
        <v>1604</v>
      </c>
      <c r="I34" s="300" t="s">
        <v>1605</v>
      </c>
      <c r="J34" s="79">
        <v>1</v>
      </c>
      <c r="K34" s="79"/>
      <c r="L34" s="76"/>
      <c r="M34" s="79" t="s">
        <v>1445</v>
      </c>
      <c r="N34" s="89" t="s">
        <v>1446</v>
      </c>
      <c r="O34" s="8">
        <v>0.04</v>
      </c>
      <c r="P34" s="79"/>
      <c r="Q34" s="79"/>
      <c r="R34" s="76"/>
      <c r="S34" s="76"/>
      <c r="T34" s="76"/>
      <c r="U34" s="76"/>
      <c r="V34" s="76"/>
      <c r="W34" s="76"/>
    </row>
    <row r="35" spans="1:23" x14ac:dyDescent="0.25">
      <c r="A35" s="531"/>
      <c r="B35" s="561"/>
      <c r="C35" s="562"/>
      <c r="D35" s="562"/>
      <c r="E35" s="562"/>
      <c r="F35" s="563"/>
      <c r="G35" s="89" t="s">
        <v>1612</v>
      </c>
      <c r="H35" s="79" t="s">
        <v>1613</v>
      </c>
      <c r="I35" s="79" t="s">
        <v>1614</v>
      </c>
      <c r="J35" s="79">
        <v>0.1</v>
      </c>
      <c r="K35" s="79"/>
      <c r="L35" s="76"/>
      <c r="M35" s="9"/>
      <c r="N35" s="104"/>
      <c r="P35" s="79"/>
      <c r="Q35" s="79"/>
      <c r="R35" s="76"/>
      <c r="S35" s="76"/>
      <c r="T35" s="76"/>
      <c r="U35" s="76"/>
      <c r="V35" s="76"/>
      <c r="W35" s="76"/>
    </row>
    <row r="36" spans="1:23" x14ac:dyDescent="0.25">
      <c r="A36" s="531"/>
      <c r="B36" s="561"/>
      <c r="C36" s="562"/>
      <c r="D36" s="562"/>
      <c r="E36" s="562"/>
      <c r="F36" s="563"/>
      <c r="G36" s="89" t="s">
        <v>1606</v>
      </c>
      <c r="H36" s="79" t="s">
        <v>1607</v>
      </c>
      <c r="I36" s="79" t="s">
        <v>1608</v>
      </c>
      <c r="J36" s="79">
        <v>0.04</v>
      </c>
      <c r="K36" s="79"/>
      <c r="L36" s="76"/>
      <c r="M36" s="8"/>
      <c r="N36" s="8"/>
      <c r="O36" s="8"/>
      <c r="P36" s="79"/>
      <c r="Q36" s="79"/>
      <c r="R36" s="76"/>
      <c r="S36" s="76"/>
      <c r="T36" s="76"/>
      <c r="U36" s="76"/>
      <c r="V36" s="76"/>
      <c r="W36" s="76"/>
    </row>
    <row r="37" spans="1:23" x14ac:dyDescent="0.25">
      <c r="A37" s="531"/>
      <c r="B37" s="561"/>
      <c r="C37" s="562"/>
      <c r="D37" s="562"/>
      <c r="E37" s="562"/>
      <c r="F37" s="563"/>
      <c r="G37" s="1684" t="s">
        <v>1988</v>
      </c>
      <c r="H37" s="1759"/>
      <c r="I37" s="1759"/>
      <c r="J37" s="1759"/>
      <c r="K37" s="1759"/>
      <c r="L37" s="1760"/>
      <c r="M37" s="79"/>
      <c r="N37" s="79"/>
      <c r="O37" s="79"/>
      <c r="P37" s="79"/>
      <c r="Q37" s="79"/>
      <c r="R37" s="1678"/>
      <c r="S37" s="1781"/>
      <c r="T37" s="1781"/>
      <c r="U37" s="1781"/>
      <c r="V37" s="1781"/>
      <c r="W37" s="1782"/>
    </row>
    <row r="38" spans="1:23" x14ac:dyDescent="0.25">
      <c r="A38" s="531"/>
      <c r="B38" s="561"/>
      <c r="C38" s="562"/>
      <c r="D38" s="562"/>
      <c r="E38" s="562"/>
      <c r="F38" s="563"/>
      <c r="G38" s="89" t="s">
        <v>1609</v>
      </c>
      <c r="H38" s="79" t="s">
        <v>1610</v>
      </c>
      <c r="I38" s="79" t="s">
        <v>1611</v>
      </c>
      <c r="J38" s="79">
        <v>0.04</v>
      </c>
      <c r="K38" s="79"/>
      <c r="L38" s="76"/>
      <c r="M38" s="79"/>
      <c r="N38" s="79"/>
      <c r="O38" s="79"/>
      <c r="P38" s="79"/>
      <c r="Q38" s="79"/>
      <c r="R38" s="76"/>
      <c r="S38" s="76"/>
      <c r="T38" s="76"/>
      <c r="U38" s="76"/>
      <c r="V38" s="76"/>
      <c r="W38" s="76"/>
    </row>
    <row r="39" spans="1:23" x14ac:dyDescent="0.25">
      <c r="A39" s="531"/>
      <c r="B39" s="561"/>
      <c r="C39" s="562"/>
      <c r="D39" s="562"/>
      <c r="E39" s="562"/>
      <c r="F39" s="563"/>
      <c r="G39" s="89" t="s">
        <v>1615</v>
      </c>
      <c r="H39" s="79" t="s">
        <v>1616</v>
      </c>
      <c r="I39" s="79" t="s">
        <v>1617</v>
      </c>
      <c r="J39" s="79">
        <v>0.04</v>
      </c>
      <c r="K39" s="79"/>
      <c r="L39" s="76"/>
      <c r="M39" s="8"/>
      <c r="N39" s="8"/>
      <c r="O39" s="8"/>
      <c r="P39" s="8"/>
      <c r="Q39" s="8"/>
      <c r="R39" s="145"/>
      <c r="S39" s="145"/>
      <c r="T39" s="145"/>
      <c r="U39" s="145"/>
      <c r="V39" s="145"/>
      <c r="W39" s="145"/>
    </row>
    <row r="40" spans="1:23" x14ac:dyDescent="0.25">
      <c r="A40" s="531"/>
      <c r="B40" s="561"/>
      <c r="C40" s="562"/>
      <c r="D40" s="562"/>
      <c r="E40" s="562"/>
      <c r="F40" s="563"/>
      <c r="G40" s="89" t="s">
        <v>1618</v>
      </c>
      <c r="H40" s="79" t="s">
        <v>1619</v>
      </c>
      <c r="I40" s="8" t="s">
        <v>1620</v>
      </c>
      <c r="J40" s="79">
        <v>0.04</v>
      </c>
      <c r="K40" s="8"/>
      <c r="L40" s="145"/>
      <c r="M40" s="8"/>
      <c r="N40" s="8"/>
      <c r="O40" s="8"/>
      <c r="P40" s="8"/>
      <c r="Q40" s="8"/>
      <c r="R40" s="145"/>
      <c r="S40" s="145"/>
      <c r="T40" s="145"/>
      <c r="U40" s="145"/>
      <c r="V40" s="145"/>
      <c r="W40" s="145"/>
    </row>
    <row r="41" spans="1:23" x14ac:dyDescent="0.25">
      <c r="A41" s="531"/>
      <c r="B41" s="561"/>
      <c r="C41" s="562"/>
      <c r="D41" s="562"/>
      <c r="E41" s="562"/>
      <c r="F41" s="563"/>
      <c r="G41" s="1684" t="s">
        <v>2512</v>
      </c>
      <c r="H41" s="1759"/>
      <c r="I41" s="1759"/>
      <c r="J41" s="1759"/>
      <c r="K41" s="1759"/>
      <c r="L41" s="1760"/>
      <c r="M41" s="8"/>
      <c r="N41" s="8"/>
      <c r="O41" s="8"/>
      <c r="P41" s="8"/>
      <c r="Q41" s="8"/>
      <c r="R41" s="8"/>
      <c r="S41" s="8"/>
      <c r="T41" s="8"/>
      <c r="U41" s="8"/>
      <c r="V41" s="8"/>
      <c r="W41" s="145"/>
    </row>
    <row r="42" spans="1:23" ht="180" x14ac:dyDescent="0.25">
      <c r="A42" s="759"/>
      <c r="B42" s="561"/>
      <c r="C42" s="562"/>
      <c r="D42" s="562"/>
      <c r="E42" s="562"/>
      <c r="F42" s="563"/>
      <c r="G42" s="9" t="s">
        <v>2666</v>
      </c>
      <c r="H42" s="104" t="s">
        <v>2667</v>
      </c>
      <c r="I42" s="1" t="s">
        <v>2796</v>
      </c>
      <c r="J42" s="8">
        <v>0.15</v>
      </c>
      <c r="K42" s="8"/>
      <c r="L42" s="145"/>
      <c r="M42" s="8"/>
      <c r="N42" s="8"/>
      <c r="O42" s="8"/>
      <c r="P42" s="8"/>
      <c r="Q42" s="8"/>
      <c r="R42" s="8"/>
      <c r="S42" s="8"/>
      <c r="T42" s="8"/>
      <c r="U42" s="8"/>
      <c r="V42" s="8"/>
      <c r="W42" s="145"/>
    </row>
    <row r="43" spans="1:23" x14ac:dyDescent="0.25">
      <c r="A43" s="759"/>
      <c r="B43" s="561"/>
      <c r="C43" s="562"/>
      <c r="D43" s="562"/>
      <c r="E43" s="562"/>
      <c r="F43" s="563"/>
      <c r="G43" s="1684" t="s">
        <v>3068</v>
      </c>
      <c r="H43" s="1759"/>
      <c r="I43" s="1759"/>
      <c r="J43" s="1759"/>
      <c r="K43" s="1759"/>
      <c r="L43" s="1760"/>
      <c r="M43" s="61"/>
      <c r="N43" s="711"/>
      <c r="O43" s="85"/>
      <c r="P43" s="85"/>
      <c r="Q43" s="85"/>
      <c r="R43" s="61"/>
      <c r="S43" s="98"/>
      <c r="T43" s="711"/>
      <c r="U43" s="85"/>
      <c r="V43" s="85"/>
      <c r="W43" s="117"/>
    </row>
    <row r="44" spans="1:23" x14ac:dyDescent="0.25">
      <c r="A44" s="1220"/>
      <c r="B44" s="561"/>
      <c r="C44" s="562"/>
      <c r="D44" s="562"/>
      <c r="E44" s="562"/>
      <c r="F44" s="563"/>
      <c r="G44" s="1537" t="s">
        <v>3481</v>
      </c>
      <c r="H44" s="1795"/>
      <c r="I44" s="1796"/>
      <c r="J44" s="92">
        <v>0.78600000000000003</v>
      </c>
      <c r="K44" s="92"/>
      <c r="L44" s="75"/>
      <c r="M44" s="61"/>
      <c r="N44" s="711"/>
      <c r="O44" s="85"/>
      <c r="P44" s="85"/>
      <c r="Q44" s="85"/>
      <c r="R44" s="61"/>
      <c r="S44" s="98"/>
      <c r="T44" s="711"/>
      <c r="U44" s="85"/>
      <c r="V44" s="85"/>
      <c r="W44" s="117"/>
    </row>
    <row r="45" spans="1:23" ht="19.5" customHeight="1" thickBot="1" x14ac:dyDescent="0.3">
      <c r="A45" s="405"/>
      <c r="B45" s="394"/>
      <c r="C45" s="395"/>
      <c r="D45" s="395"/>
      <c r="E45" s="395"/>
      <c r="F45" s="396"/>
      <c r="G45" s="1767" t="s">
        <v>1860</v>
      </c>
      <c r="H45" s="1767"/>
      <c r="I45" s="1768"/>
      <c r="J45" s="25">
        <f>SUM(J42:J44)</f>
        <v>0.93600000000000005</v>
      </c>
      <c r="K45" s="93">
        <v>0.8</v>
      </c>
      <c r="L45" s="25">
        <f>J45/K45</f>
        <v>1.17</v>
      </c>
      <c r="M45" s="1780" t="s">
        <v>1861</v>
      </c>
      <c r="N45" s="1768"/>
      <c r="O45" s="25">
        <f>SUM(O34:O40)</f>
        <v>0.04</v>
      </c>
      <c r="P45" s="93">
        <v>0.8</v>
      </c>
      <c r="Q45" s="25">
        <f>O45/P45</f>
        <v>4.9999999999999996E-2</v>
      </c>
      <c r="R45" s="1780" t="s">
        <v>1860</v>
      </c>
      <c r="S45" s="1767"/>
      <c r="T45" s="1768"/>
      <c r="U45" s="25">
        <f>SUM(U38:U41)</f>
        <v>0</v>
      </c>
      <c r="V45" s="93">
        <v>0.8</v>
      </c>
      <c r="W45" s="25">
        <f>U45/V45</f>
        <v>0</v>
      </c>
    </row>
    <row r="46" spans="1:23" ht="39.75" customHeight="1" x14ac:dyDescent="0.25">
      <c r="A46" s="529" t="str">
        <f>'Расчет ЦП - общая форма'!C395</f>
        <v xml:space="preserve">ПС 35/10 кВ Мошары  </v>
      </c>
      <c r="B46" s="530">
        <f>'Расчет ЦП - общая форма'!D395</f>
        <v>1.6</v>
      </c>
      <c r="C46" s="536"/>
      <c r="D46" s="536"/>
      <c r="E46" s="536"/>
      <c r="F46" s="537"/>
      <c r="G46" s="553"/>
      <c r="H46" s="97"/>
      <c r="I46" s="97"/>
      <c r="J46" s="97"/>
      <c r="K46" s="97"/>
      <c r="L46" s="74"/>
      <c r="M46" s="8"/>
      <c r="N46" s="8"/>
      <c r="O46" s="8"/>
      <c r="P46" s="97"/>
      <c r="Q46" s="97"/>
      <c r="R46" s="97"/>
      <c r="S46" s="97"/>
      <c r="T46" s="97"/>
      <c r="U46" s="97"/>
      <c r="V46" s="97"/>
      <c r="W46" s="74"/>
    </row>
    <row r="47" spans="1:23" ht="16.5" customHeight="1" thickBot="1" x14ac:dyDescent="0.3">
      <c r="A47" s="405"/>
      <c r="B47" s="394"/>
      <c r="C47" s="395"/>
      <c r="D47" s="395"/>
      <c r="E47" s="395"/>
      <c r="F47" s="396"/>
      <c r="G47" s="1767" t="s">
        <v>1860</v>
      </c>
      <c r="H47" s="1767"/>
      <c r="I47" s="1768"/>
      <c r="J47" s="25">
        <f>SUM(J46:J46)</f>
        <v>0</v>
      </c>
      <c r="K47" s="93">
        <v>0.8</v>
      </c>
      <c r="L47" s="25">
        <f>J47/K47</f>
        <v>0</v>
      </c>
      <c r="M47" s="1780" t="s">
        <v>1861</v>
      </c>
      <c r="N47" s="1768"/>
      <c r="O47" s="25">
        <f>SUM(O46:O46)</f>
        <v>0</v>
      </c>
      <c r="P47" s="93">
        <v>0.8</v>
      </c>
      <c r="Q47" s="25">
        <f>O47/P47</f>
        <v>0</v>
      </c>
      <c r="R47" s="1780" t="s">
        <v>1860</v>
      </c>
      <c r="S47" s="1767"/>
      <c r="T47" s="1768"/>
      <c r="U47" s="25">
        <f>SUM(U46:U46)</f>
        <v>0</v>
      </c>
      <c r="V47" s="93">
        <v>0.8</v>
      </c>
      <c r="W47" s="25">
        <f>U47/V47</f>
        <v>0</v>
      </c>
    </row>
    <row r="48" spans="1:23" ht="59.25" customHeight="1" x14ac:dyDescent="0.25">
      <c r="A48" s="529" t="str">
        <f>'Расчет ЦП - общая форма'!C396</f>
        <v xml:space="preserve">ПС  35/10 кВ Ворошилово </v>
      </c>
      <c r="B48" s="530">
        <f>'Расчет ЦП - общая форма'!D396</f>
        <v>1</v>
      </c>
      <c r="C48" s="536"/>
      <c r="D48" s="536"/>
      <c r="E48" s="536"/>
      <c r="F48" s="537"/>
      <c r="G48" s="96"/>
      <c r="H48" s="8"/>
      <c r="I48" s="8"/>
      <c r="J48" s="8"/>
      <c r="K48" s="8"/>
      <c r="L48" s="145"/>
      <c r="M48" s="8" t="s">
        <v>1645</v>
      </c>
      <c r="N48" s="8" t="s">
        <v>1646</v>
      </c>
      <c r="O48" s="8">
        <v>0.04</v>
      </c>
      <c r="P48" s="8"/>
      <c r="Q48" s="8"/>
      <c r="R48" s="8"/>
      <c r="S48" s="8"/>
      <c r="T48" s="8"/>
      <c r="U48" s="8"/>
      <c r="V48" s="8"/>
      <c r="W48" s="145"/>
    </row>
    <row r="49" spans="1:23" ht="30" x14ac:dyDescent="0.25">
      <c r="A49" s="531"/>
      <c r="B49" s="503"/>
      <c r="C49" s="504"/>
      <c r="D49" s="504"/>
      <c r="E49" s="504"/>
      <c r="F49" s="505"/>
      <c r="G49" s="96"/>
      <c r="H49" s="8"/>
      <c r="I49" s="8"/>
      <c r="J49" s="8"/>
      <c r="K49" s="8"/>
      <c r="L49" s="145"/>
      <c r="M49" s="22" t="s">
        <v>1447</v>
      </c>
      <c r="N49" s="22" t="s">
        <v>1448</v>
      </c>
      <c r="O49" s="8">
        <v>1.2749999999999999</v>
      </c>
      <c r="P49" s="8"/>
      <c r="Q49" s="8"/>
      <c r="R49" s="8"/>
      <c r="S49" s="8"/>
      <c r="T49" s="8"/>
      <c r="U49" s="8"/>
      <c r="V49" s="8"/>
      <c r="W49" s="145"/>
    </row>
    <row r="50" spans="1:23" ht="19.5" customHeight="1" thickBot="1" x14ac:dyDescent="0.3">
      <c r="A50" s="405"/>
      <c r="B50" s="394"/>
      <c r="C50" s="395"/>
      <c r="D50" s="395"/>
      <c r="E50" s="395"/>
      <c r="F50" s="396"/>
      <c r="G50" s="1767" t="s">
        <v>1860</v>
      </c>
      <c r="H50" s="1767"/>
      <c r="I50" s="1768"/>
      <c r="J50" s="25">
        <f>SUM(J48:J49)</f>
        <v>0</v>
      </c>
      <c r="K50" s="93">
        <v>0.8</v>
      </c>
      <c r="L50" s="25">
        <f>J50/K50</f>
        <v>0</v>
      </c>
      <c r="M50" s="1780" t="s">
        <v>1861</v>
      </c>
      <c r="N50" s="1768"/>
      <c r="O50" s="25">
        <f>SUM(O48:O49)</f>
        <v>1.3149999999999999</v>
      </c>
      <c r="P50" s="93">
        <v>0.8</v>
      </c>
      <c r="Q50" s="25">
        <f>O50/P50</f>
        <v>1.6437499999999998</v>
      </c>
      <c r="R50" s="1780" t="s">
        <v>1860</v>
      </c>
      <c r="S50" s="1767"/>
      <c r="T50" s="1768"/>
      <c r="U50" s="25">
        <f>SUM(U48:U49)</f>
        <v>0</v>
      </c>
      <c r="V50" s="93">
        <v>0.8</v>
      </c>
      <c r="W50" s="25">
        <f>U50/V50</f>
        <v>0</v>
      </c>
    </row>
    <row r="51" spans="1:23" x14ac:dyDescent="0.25">
      <c r="A51" s="1787" t="str">
        <f>'Расчет ЦП - общая форма'!C397</f>
        <v xml:space="preserve">ПС 35/10 кВ Слаутино   </v>
      </c>
      <c r="B51" s="1789">
        <f>'Расчет ЦП - общая форма'!D397</f>
        <v>1.6</v>
      </c>
      <c r="C51" s="1771"/>
      <c r="D51" s="1771"/>
      <c r="E51" s="1771"/>
      <c r="F51" s="1773"/>
      <c r="G51" s="1570" t="s">
        <v>1988</v>
      </c>
      <c r="H51" s="1769"/>
      <c r="I51" s="1769"/>
      <c r="J51" s="1769"/>
      <c r="K51" s="1769"/>
      <c r="L51" s="1770"/>
      <c r="M51" s="118"/>
      <c r="N51" s="167"/>
      <c r="O51" s="75"/>
      <c r="P51" s="75"/>
      <c r="Q51" s="75"/>
      <c r="R51" s="1566"/>
      <c r="S51" s="1778"/>
      <c r="T51" s="1778"/>
      <c r="U51" s="1778"/>
      <c r="V51" s="1778"/>
      <c r="W51" s="1779"/>
    </row>
    <row r="52" spans="1:23" ht="75.75" customHeight="1" x14ac:dyDescent="0.25">
      <c r="A52" s="1788"/>
      <c r="B52" s="1790"/>
      <c r="C52" s="1772"/>
      <c r="D52" s="1772"/>
      <c r="E52" s="1772"/>
      <c r="F52" s="1774"/>
      <c r="G52" s="96" t="s">
        <v>1647</v>
      </c>
      <c r="H52" s="8" t="s">
        <v>1648</v>
      </c>
      <c r="I52" s="8" t="s">
        <v>1649</v>
      </c>
      <c r="J52" s="8">
        <v>0.03</v>
      </c>
      <c r="K52" s="8"/>
      <c r="L52" s="145"/>
      <c r="M52" s="1" t="s">
        <v>2422</v>
      </c>
      <c r="N52" s="1" t="s">
        <v>2423</v>
      </c>
      <c r="O52" s="8">
        <v>2.1000000000000001E-2</v>
      </c>
      <c r="P52" s="8"/>
      <c r="Q52" s="8"/>
      <c r="R52" s="145"/>
      <c r="S52" s="145"/>
      <c r="T52" s="145"/>
      <c r="U52" s="145"/>
      <c r="V52" s="145"/>
      <c r="W52" s="145"/>
    </row>
    <row r="53" spans="1:23" ht="21" customHeight="1" x14ac:dyDescent="0.25">
      <c r="A53" s="1041"/>
      <c r="B53" s="1044"/>
      <c r="C53" s="1042"/>
      <c r="D53" s="1042"/>
      <c r="E53" s="1042"/>
      <c r="F53" s="1043"/>
      <c r="G53" s="1670" t="s">
        <v>3069</v>
      </c>
      <c r="H53" s="1766"/>
      <c r="I53" s="1766"/>
      <c r="J53" s="1766"/>
      <c r="K53" s="1766"/>
      <c r="L53" s="1766"/>
      <c r="M53" s="1"/>
      <c r="N53" s="1"/>
      <c r="O53" s="8"/>
      <c r="P53" s="8"/>
      <c r="Q53" s="8"/>
      <c r="R53" s="145"/>
      <c r="S53" s="145"/>
      <c r="T53" s="145"/>
      <c r="U53" s="145"/>
      <c r="V53" s="145"/>
      <c r="W53" s="145"/>
    </row>
    <row r="54" spans="1:23" ht="75.75" customHeight="1" x14ac:dyDescent="0.25">
      <c r="A54" s="1027"/>
      <c r="B54" s="1028"/>
      <c r="C54" s="1029"/>
      <c r="D54" s="1029"/>
      <c r="E54" s="1029"/>
      <c r="F54" s="1030"/>
      <c r="G54" s="1" t="s">
        <v>3127</v>
      </c>
      <c r="H54" s="1" t="s">
        <v>3128</v>
      </c>
      <c r="I54" s="1" t="s">
        <v>3130</v>
      </c>
      <c r="J54" s="8">
        <v>1.4999999999999999E-2</v>
      </c>
      <c r="K54" s="8"/>
      <c r="L54" s="145"/>
      <c r="M54" s="1"/>
      <c r="N54" s="1"/>
      <c r="O54" s="8"/>
      <c r="P54" s="8"/>
      <c r="Q54" s="8"/>
      <c r="R54" s="145"/>
      <c r="S54" s="145"/>
      <c r="T54" s="145"/>
      <c r="U54" s="145"/>
      <c r="V54" s="145"/>
      <c r="W54" s="145"/>
    </row>
    <row r="55" spans="1:23" ht="18.75" customHeight="1" thickBot="1" x14ac:dyDescent="0.3">
      <c r="A55" s="405"/>
      <c r="B55" s="394"/>
      <c r="C55" s="395"/>
      <c r="D55" s="395"/>
      <c r="E55" s="395"/>
      <c r="F55" s="396"/>
      <c r="G55" s="1767" t="s">
        <v>1860</v>
      </c>
      <c r="H55" s="1767"/>
      <c r="I55" s="1768"/>
      <c r="J55" s="25">
        <f>SUM(J54)</f>
        <v>1.4999999999999999E-2</v>
      </c>
      <c r="K55" s="93">
        <v>0.8</v>
      </c>
      <c r="L55" s="25">
        <f>J55/K55</f>
        <v>1.8749999999999999E-2</v>
      </c>
      <c r="M55" s="1780" t="s">
        <v>1861</v>
      </c>
      <c r="N55" s="1768"/>
      <c r="O55" s="25">
        <f>SUM(O52:O54)</f>
        <v>2.1000000000000001E-2</v>
      </c>
      <c r="P55" s="93">
        <v>0.8</v>
      </c>
      <c r="Q55" s="25">
        <f>O55/P55</f>
        <v>2.6249999999999999E-2</v>
      </c>
      <c r="R55" s="1780" t="s">
        <v>1860</v>
      </c>
      <c r="S55" s="1767"/>
      <c r="T55" s="1768"/>
      <c r="U55" s="25">
        <f>SUM(U52:U52)</f>
        <v>0</v>
      </c>
      <c r="V55" s="93">
        <v>0.8</v>
      </c>
      <c r="W55" s="25">
        <f>U55/V55</f>
        <v>0</v>
      </c>
    </row>
    <row r="56" spans="1:23" x14ac:dyDescent="0.25">
      <c r="A56" s="1787" t="str">
        <f>'Расчет ЦП - общая форма'!C398</f>
        <v xml:space="preserve">ПС 35/10 кВ Мошки </v>
      </c>
      <c r="B56" s="1612">
        <f>'Расчет ЦП - общая форма'!D398</f>
        <v>2.5</v>
      </c>
      <c r="C56" s="1614" t="str">
        <f>'Расчет ЦП - общая форма'!E398</f>
        <v>+</v>
      </c>
      <c r="D56" s="1614">
        <f>'Расчет ЦП - общая форма'!F398</f>
        <v>1.6</v>
      </c>
      <c r="E56" s="1614"/>
      <c r="F56" s="1610"/>
      <c r="G56" s="1570" t="s">
        <v>1991</v>
      </c>
      <c r="H56" s="1769"/>
      <c r="I56" s="1769"/>
      <c r="J56" s="1769"/>
      <c r="K56" s="1769"/>
      <c r="L56" s="1770"/>
      <c r="M56" s="118"/>
      <c r="N56" s="167"/>
      <c r="O56" s="75"/>
      <c r="P56" s="75"/>
      <c r="Q56" s="75"/>
      <c r="R56" s="1566"/>
      <c r="S56" s="1778"/>
      <c r="T56" s="1778"/>
      <c r="U56" s="1778"/>
      <c r="V56" s="1778"/>
      <c r="W56" s="1779"/>
    </row>
    <row r="57" spans="1:23" ht="27.75" customHeight="1" x14ac:dyDescent="0.25">
      <c r="A57" s="1788"/>
      <c r="B57" s="1613"/>
      <c r="C57" s="1615"/>
      <c r="D57" s="1615"/>
      <c r="E57" s="1615"/>
      <c r="F57" s="1611"/>
      <c r="G57" s="200" t="s">
        <v>862</v>
      </c>
      <c r="H57" s="157" t="s">
        <v>863</v>
      </c>
      <c r="I57" s="3" t="s">
        <v>864</v>
      </c>
      <c r="J57" s="85">
        <v>0.05</v>
      </c>
      <c r="K57" s="85"/>
      <c r="L57" s="117"/>
      <c r="M57" s="8"/>
      <c r="N57" s="8"/>
      <c r="O57" s="8"/>
      <c r="P57" s="8"/>
      <c r="Q57" s="8"/>
      <c r="R57" s="72"/>
      <c r="S57" s="72"/>
      <c r="T57" s="67"/>
      <c r="U57" s="76"/>
      <c r="V57" s="76"/>
      <c r="W57" s="76"/>
    </row>
    <row r="58" spans="1:23" ht="27.75" customHeight="1" x14ac:dyDescent="0.25">
      <c r="A58" s="1788"/>
      <c r="B58" s="1613"/>
      <c r="C58" s="1615"/>
      <c r="D58" s="1615"/>
      <c r="E58" s="1615"/>
      <c r="F58" s="1611"/>
      <c r="G58" s="1670" t="s">
        <v>2061</v>
      </c>
      <c r="H58" s="1766"/>
      <c r="I58" s="1766"/>
      <c r="J58" s="1766"/>
      <c r="K58" s="1766"/>
      <c r="L58" s="1766"/>
      <c r="M58" s="8"/>
      <c r="N58" s="8"/>
      <c r="O58" s="8"/>
      <c r="P58" s="8"/>
      <c r="Q58" s="8"/>
      <c r="R58" s="157"/>
      <c r="S58" s="157"/>
      <c r="T58" s="67"/>
      <c r="U58" s="117"/>
      <c r="V58" s="117"/>
      <c r="W58" s="117"/>
    </row>
    <row r="59" spans="1:23" ht="60" x14ac:dyDescent="0.25">
      <c r="A59" s="1788"/>
      <c r="B59" s="1613"/>
      <c r="C59" s="1615"/>
      <c r="D59" s="1615"/>
      <c r="E59" s="1615"/>
      <c r="F59" s="1611"/>
      <c r="G59" s="95" t="s">
        <v>630</v>
      </c>
      <c r="H59" s="92" t="s">
        <v>865</v>
      </c>
      <c r="I59" s="212">
        <v>40200</v>
      </c>
      <c r="J59" s="85">
        <v>4.2000000000000003E-2</v>
      </c>
      <c r="K59" s="85"/>
      <c r="L59" s="117"/>
      <c r="M59" s="1" t="s">
        <v>2605</v>
      </c>
      <c r="N59" s="1" t="s">
        <v>2606</v>
      </c>
      <c r="O59" s="8">
        <v>0.12</v>
      </c>
      <c r="P59" s="8"/>
      <c r="Q59" s="8"/>
      <c r="R59" s="75"/>
      <c r="S59" s="75"/>
      <c r="T59" s="356"/>
      <c r="U59" s="117"/>
      <c r="V59" s="117"/>
      <c r="W59" s="117"/>
    </row>
    <row r="60" spans="1:23" x14ac:dyDescent="0.25">
      <c r="A60" s="1220"/>
      <c r="B60" s="1216"/>
      <c r="C60" s="1217"/>
      <c r="D60" s="1217"/>
      <c r="E60" s="1217"/>
      <c r="F60" s="1215"/>
      <c r="G60" s="1670" t="s">
        <v>3069</v>
      </c>
      <c r="H60" s="1766"/>
      <c r="I60" s="1766"/>
      <c r="J60" s="1766"/>
      <c r="K60" s="1766"/>
      <c r="L60" s="1766"/>
      <c r="M60" s="19"/>
      <c r="N60" s="20"/>
      <c r="O60" s="92"/>
      <c r="P60" s="92"/>
      <c r="Q60" s="92"/>
      <c r="R60" s="118"/>
      <c r="S60" s="801"/>
      <c r="T60" s="1237"/>
      <c r="U60" s="117"/>
      <c r="V60" s="117"/>
      <c r="W60" s="117"/>
    </row>
    <row r="61" spans="1:23" ht="32.25" customHeight="1" x14ac:dyDescent="0.25">
      <c r="A61" s="1220"/>
      <c r="B61" s="1216"/>
      <c r="C61" s="1217"/>
      <c r="D61" s="1217"/>
      <c r="E61" s="1217"/>
      <c r="F61" s="1215"/>
      <c r="G61" s="1518" t="s">
        <v>3483</v>
      </c>
      <c r="H61" s="1524"/>
      <c r="I61" s="1525"/>
      <c r="J61" s="1238">
        <v>0.13600000000000001</v>
      </c>
      <c r="K61" s="85"/>
      <c r="L61" s="117"/>
      <c r="M61" s="19"/>
      <c r="N61" s="20"/>
      <c r="O61" s="92"/>
      <c r="P61" s="92"/>
      <c r="Q61" s="92"/>
      <c r="R61" s="118"/>
      <c r="S61" s="801"/>
      <c r="T61" s="1237"/>
      <c r="U61" s="117"/>
      <c r="V61" s="117"/>
      <c r="W61" s="117"/>
    </row>
    <row r="62" spans="1:23" ht="18" customHeight="1" thickBot="1" x14ac:dyDescent="0.3">
      <c r="A62" s="405"/>
      <c r="B62" s="394"/>
      <c r="C62" s="395"/>
      <c r="D62" s="395"/>
      <c r="E62" s="395"/>
      <c r="F62" s="396"/>
      <c r="G62" s="1767" t="s">
        <v>1860</v>
      </c>
      <c r="H62" s="1767"/>
      <c r="I62" s="1768"/>
      <c r="J62" s="25">
        <f>SUM(J61)</f>
        <v>0.13600000000000001</v>
      </c>
      <c r="K62" s="93">
        <v>0.8</v>
      </c>
      <c r="L62" s="25">
        <f>J62/K62</f>
        <v>0.17</v>
      </c>
      <c r="M62" s="1780" t="s">
        <v>1861</v>
      </c>
      <c r="N62" s="1768"/>
      <c r="O62" s="25">
        <f>SUM(O59:O59)</f>
        <v>0.12</v>
      </c>
      <c r="P62" s="93">
        <v>0.8</v>
      </c>
      <c r="Q62" s="25">
        <f>O62/P62</f>
        <v>0.15</v>
      </c>
      <c r="R62" s="1780" t="s">
        <v>1860</v>
      </c>
      <c r="S62" s="1767"/>
      <c r="T62" s="1768"/>
      <c r="U62" s="25">
        <f>SUM(U57:U59)</f>
        <v>0</v>
      </c>
      <c r="V62" s="93">
        <v>0.8</v>
      </c>
      <c r="W62" s="25">
        <f>U62/V62</f>
        <v>0</v>
      </c>
    </row>
    <row r="63" spans="1:23" x14ac:dyDescent="0.25">
      <c r="A63" s="529" t="str">
        <f>'Расчет ЦП - общая форма'!C399</f>
        <v xml:space="preserve">ПС 35/10 кВ Высокое  </v>
      </c>
      <c r="B63" s="530">
        <f>'Расчет ЦП - общая форма'!D399</f>
        <v>4</v>
      </c>
      <c r="C63" s="511" t="str">
        <f>'Расчет ЦП - общая форма'!E399</f>
        <v>+</v>
      </c>
      <c r="D63" s="511">
        <f>'Расчет ЦП - общая форма'!F399</f>
        <v>2.5</v>
      </c>
      <c r="E63" s="511"/>
      <c r="F63" s="512"/>
      <c r="G63" s="1670" t="s">
        <v>3069</v>
      </c>
      <c r="H63" s="1766"/>
      <c r="I63" s="1766"/>
      <c r="J63" s="1766"/>
      <c r="K63" s="1766"/>
      <c r="L63" s="1766"/>
      <c r="M63" s="8"/>
      <c r="N63" s="8"/>
      <c r="O63" s="8"/>
      <c r="P63" s="8"/>
      <c r="Q63" s="8"/>
      <c r="R63" s="8"/>
      <c r="S63" s="8"/>
      <c r="T63" s="8"/>
      <c r="U63" s="8"/>
      <c r="V63" s="8"/>
      <c r="W63" s="145"/>
    </row>
    <row r="64" spans="1:23" x14ac:dyDescent="0.25">
      <c r="A64" s="1208"/>
      <c r="B64" s="1205"/>
      <c r="C64" s="1206"/>
      <c r="D64" s="1206"/>
      <c r="E64" s="1206"/>
      <c r="F64" s="1207"/>
      <c r="G64" s="1518" t="s">
        <v>3483</v>
      </c>
      <c r="H64" s="1524"/>
      <c r="I64" s="1525"/>
      <c r="J64" s="1232">
        <v>0.224</v>
      </c>
      <c r="K64" s="1232"/>
      <c r="L64" s="1232"/>
      <c r="M64" s="94"/>
      <c r="N64" s="95"/>
      <c r="O64" s="92"/>
      <c r="P64" s="92"/>
      <c r="Q64" s="92"/>
      <c r="R64" s="94"/>
      <c r="S64" s="758"/>
      <c r="T64" s="95"/>
      <c r="U64" s="92"/>
      <c r="V64" s="92"/>
      <c r="W64" s="75"/>
    </row>
    <row r="65" spans="1:23" ht="19.5" customHeight="1" thickBot="1" x14ac:dyDescent="0.3">
      <c r="A65" s="405"/>
      <c r="B65" s="394"/>
      <c r="C65" s="395"/>
      <c r="D65" s="395"/>
      <c r="E65" s="395"/>
      <c r="F65" s="396"/>
      <c r="G65" s="1767" t="s">
        <v>1860</v>
      </c>
      <c r="H65" s="1767"/>
      <c r="I65" s="1768"/>
      <c r="J65" s="25">
        <f>SUM(J64)</f>
        <v>0.224</v>
      </c>
      <c r="K65" s="93">
        <v>0.8</v>
      </c>
      <c r="L65" s="25">
        <f>J65/K65</f>
        <v>0.27999999999999997</v>
      </c>
      <c r="M65" s="1780" t="s">
        <v>1861</v>
      </c>
      <c r="N65" s="1768"/>
      <c r="O65" s="25">
        <f>SUM(O63:O63)</f>
        <v>0</v>
      </c>
      <c r="P65" s="93">
        <v>0.8</v>
      </c>
      <c r="Q65" s="25">
        <f>O65/P65</f>
        <v>0</v>
      </c>
      <c r="R65" s="1780" t="s">
        <v>1860</v>
      </c>
      <c r="S65" s="1767"/>
      <c r="T65" s="1768"/>
      <c r="U65" s="25">
        <f>SUM(U63:U63)</f>
        <v>0</v>
      </c>
      <c r="V65" s="93">
        <v>0.8</v>
      </c>
      <c r="W65" s="25">
        <f>U65/V65</f>
        <v>0</v>
      </c>
    </row>
    <row r="66" spans="1:23" x14ac:dyDescent="0.25">
      <c r="A66" s="1787" t="str">
        <f>'Расчет ЦП - общая форма'!C400</f>
        <v xml:space="preserve">ПС 35/10 кВ Бубеньево  </v>
      </c>
      <c r="B66" s="1612">
        <f>'Расчет ЦП - общая форма'!D400</f>
        <v>4</v>
      </c>
      <c r="C66" s="1614" t="str">
        <f>'Расчет ЦП - общая форма'!E400</f>
        <v>+</v>
      </c>
      <c r="D66" s="1614">
        <f>'Расчет ЦП - общая форма'!F400</f>
        <v>4</v>
      </c>
      <c r="E66" s="1614"/>
      <c r="F66" s="1610"/>
      <c r="G66" s="1686" t="s">
        <v>1989</v>
      </c>
      <c r="H66" s="1764"/>
      <c r="I66" s="1764"/>
      <c r="J66" s="1764"/>
      <c r="K66" s="1764"/>
      <c r="L66" s="1765"/>
      <c r="M66" s="76"/>
      <c r="N66" s="76"/>
      <c r="O66" s="76"/>
      <c r="P66" s="76"/>
      <c r="Q66" s="76"/>
      <c r="R66" s="1679"/>
      <c r="S66" s="1783"/>
      <c r="T66" s="1783"/>
      <c r="U66" s="1783"/>
      <c r="V66" s="1783"/>
      <c r="W66" s="1784"/>
    </row>
    <row r="67" spans="1:23" ht="30" x14ac:dyDescent="0.25">
      <c r="A67" s="1788"/>
      <c r="B67" s="1613"/>
      <c r="C67" s="1615"/>
      <c r="D67" s="1615"/>
      <c r="E67" s="1615"/>
      <c r="F67" s="1611"/>
      <c r="G67" s="96" t="s">
        <v>866</v>
      </c>
      <c r="H67" s="8" t="s">
        <v>867</v>
      </c>
      <c r="I67" s="8" t="s">
        <v>868</v>
      </c>
      <c r="J67" s="8">
        <v>1.6E-2</v>
      </c>
      <c r="K67" s="8"/>
      <c r="L67" s="145"/>
      <c r="M67" s="8"/>
      <c r="N67" s="8"/>
      <c r="O67" s="8"/>
      <c r="P67" s="8"/>
      <c r="Q67" s="8"/>
      <c r="R67" s="145"/>
      <c r="S67" s="145"/>
      <c r="T67" s="145"/>
      <c r="U67" s="145"/>
      <c r="V67" s="145"/>
      <c r="W67" s="145"/>
    </row>
    <row r="68" spans="1:23" x14ac:dyDescent="0.25">
      <c r="A68" s="531"/>
      <c r="B68" s="514"/>
      <c r="C68" s="502"/>
      <c r="D68" s="502"/>
      <c r="E68" s="502"/>
      <c r="F68" s="513"/>
      <c r="G68" s="1684" t="s">
        <v>1988</v>
      </c>
      <c r="H68" s="1759"/>
      <c r="I68" s="1759"/>
      <c r="J68" s="1759"/>
      <c r="K68" s="1759"/>
      <c r="L68" s="1760"/>
      <c r="M68" s="8"/>
      <c r="N68" s="8"/>
      <c r="O68" s="8"/>
      <c r="P68" s="8"/>
      <c r="Q68" s="8"/>
      <c r="R68" s="1785" t="s">
        <v>1988</v>
      </c>
      <c r="S68" s="1759"/>
      <c r="T68" s="1759"/>
      <c r="U68" s="1759"/>
      <c r="V68" s="1759"/>
      <c r="W68" s="1760"/>
    </row>
    <row r="69" spans="1:23" ht="30" x14ac:dyDescent="0.25">
      <c r="A69" s="531"/>
      <c r="B69" s="514"/>
      <c r="C69" s="502"/>
      <c r="D69" s="502"/>
      <c r="E69" s="502"/>
      <c r="F69" s="513"/>
      <c r="G69" s="96" t="s">
        <v>869</v>
      </c>
      <c r="H69" s="8" t="s">
        <v>870</v>
      </c>
      <c r="I69" s="8" t="s">
        <v>871</v>
      </c>
      <c r="J69" s="8">
        <v>2.1000000000000001E-2</v>
      </c>
      <c r="K69" s="8"/>
      <c r="L69" s="145"/>
      <c r="M69" s="8" t="s">
        <v>872</v>
      </c>
      <c r="N69" s="8" t="s">
        <v>875</v>
      </c>
      <c r="O69" s="8">
        <v>0.80500000000000005</v>
      </c>
      <c r="P69" s="8"/>
      <c r="Q69" s="8"/>
      <c r="R69" s="8"/>
      <c r="S69" s="8"/>
      <c r="T69" s="8"/>
      <c r="U69" s="8"/>
      <c r="V69" s="8"/>
      <c r="W69" s="145"/>
    </row>
    <row r="70" spans="1:23" ht="30" x14ac:dyDescent="0.25">
      <c r="A70" s="531"/>
      <c r="B70" s="514"/>
      <c r="C70" s="502"/>
      <c r="D70" s="502"/>
      <c r="E70" s="502"/>
      <c r="F70" s="513"/>
      <c r="G70" s="96" t="s">
        <v>872</v>
      </c>
      <c r="H70" s="8" t="s">
        <v>873</v>
      </c>
      <c r="I70" s="8" t="s">
        <v>874</v>
      </c>
      <c r="J70" s="8">
        <v>0.04</v>
      </c>
      <c r="K70" s="8"/>
      <c r="L70" s="145"/>
      <c r="M70" s="1" t="s">
        <v>13</v>
      </c>
      <c r="N70" s="1" t="s">
        <v>14</v>
      </c>
      <c r="O70" s="8">
        <v>2.4E-2</v>
      </c>
      <c r="P70" s="8"/>
      <c r="Q70" s="8"/>
      <c r="R70" s="8"/>
      <c r="S70" s="8"/>
      <c r="T70" s="8"/>
      <c r="U70" s="8"/>
      <c r="V70" s="8"/>
      <c r="W70" s="145"/>
    </row>
    <row r="71" spans="1:23" ht="58.5" customHeight="1" x14ac:dyDescent="0.25">
      <c r="A71" s="531"/>
      <c r="B71" s="514"/>
      <c r="C71" s="502"/>
      <c r="D71" s="502"/>
      <c r="E71" s="502"/>
      <c r="F71" s="513"/>
      <c r="G71" s="554"/>
      <c r="H71" s="307"/>
      <c r="I71" s="308"/>
      <c r="J71" s="307"/>
      <c r="K71" s="307"/>
      <c r="L71" s="309"/>
      <c r="M71" s="1" t="s">
        <v>2813</v>
      </c>
      <c r="N71" s="1" t="s">
        <v>2814</v>
      </c>
      <c r="O71" s="1">
        <v>0.1</v>
      </c>
      <c r="P71" s="8"/>
      <c r="Q71" s="8"/>
      <c r="R71" s="358" t="s">
        <v>872</v>
      </c>
      <c r="S71" s="358" t="s">
        <v>876</v>
      </c>
      <c r="T71" s="359" t="s">
        <v>2523</v>
      </c>
      <c r="U71" s="358">
        <v>2.1000000000000001E-2</v>
      </c>
      <c r="V71" s="358"/>
      <c r="W71" s="360"/>
    </row>
    <row r="72" spans="1:23" ht="44.25" customHeight="1" x14ac:dyDescent="0.25">
      <c r="A72" s="531"/>
      <c r="B72" s="514"/>
      <c r="C72" s="502"/>
      <c r="D72" s="502"/>
      <c r="E72" s="502"/>
      <c r="F72" s="513"/>
      <c r="G72" s="1677" t="s">
        <v>1987</v>
      </c>
      <c r="H72" s="1766"/>
      <c r="I72" s="1766"/>
      <c r="J72" s="1766"/>
      <c r="K72" s="1766"/>
      <c r="L72" s="1766"/>
      <c r="M72" s="22" t="s">
        <v>2813</v>
      </c>
      <c r="N72" s="22" t="s">
        <v>2836</v>
      </c>
      <c r="O72" s="145">
        <v>0.1</v>
      </c>
      <c r="P72" s="8"/>
      <c r="Q72" s="92"/>
      <c r="R72" s="1572"/>
      <c r="S72" s="1786"/>
      <c r="T72" s="1786"/>
      <c r="U72" s="1786"/>
      <c r="V72" s="1786"/>
      <c r="W72" s="1786"/>
    </row>
    <row r="73" spans="1:23" ht="103.5" customHeight="1" x14ac:dyDescent="0.25">
      <c r="A73" s="531"/>
      <c r="B73" s="514"/>
      <c r="C73" s="502"/>
      <c r="D73" s="502"/>
      <c r="E73" s="502"/>
      <c r="F73" s="513"/>
      <c r="G73" s="184" t="s">
        <v>872</v>
      </c>
      <c r="H73" s="143" t="s">
        <v>1452</v>
      </c>
      <c r="I73" s="143" t="s">
        <v>877</v>
      </c>
      <c r="J73" s="92">
        <v>5.8000000000000003E-2</v>
      </c>
      <c r="K73" s="92"/>
      <c r="L73" s="8"/>
      <c r="M73" s="22" t="s">
        <v>2373</v>
      </c>
      <c r="N73" s="22" t="s">
        <v>2998</v>
      </c>
      <c r="O73" s="145">
        <v>0.09</v>
      </c>
      <c r="P73" s="8"/>
      <c r="Q73" s="92"/>
      <c r="R73" s="142"/>
      <c r="S73" s="142"/>
      <c r="T73" s="142"/>
      <c r="U73" s="75"/>
      <c r="V73" s="75"/>
      <c r="W73" s="145"/>
    </row>
    <row r="74" spans="1:23" ht="117.75" customHeight="1" x14ac:dyDescent="0.25">
      <c r="A74" s="531"/>
      <c r="B74" s="514"/>
      <c r="C74" s="502"/>
      <c r="D74" s="502"/>
      <c r="E74" s="502"/>
      <c r="F74" s="513"/>
      <c r="G74" s="96" t="s">
        <v>872</v>
      </c>
      <c r="H74" s="8" t="s">
        <v>1454</v>
      </c>
      <c r="I74" s="143" t="s">
        <v>1453</v>
      </c>
      <c r="J74" s="8">
        <v>0.1</v>
      </c>
      <c r="K74" s="92"/>
      <c r="L74" s="75"/>
      <c r="M74" s="22" t="s">
        <v>2373</v>
      </c>
      <c r="N74" s="22" t="s">
        <v>2999</v>
      </c>
      <c r="O74" s="145">
        <v>0.09</v>
      </c>
      <c r="P74" s="92"/>
      <c r="Q74" s="92"/>
      <c r="R74" s="145"/>
      <c r="S74" s="145"/>
      <c r="T74" s="142"/>
      <c r="U74" s="145"/>
      <c r="V74" s="75"/>
      <c r="W74" s="75"/>
    </row>
    <row r="75" spans="1:23" ht="21.75" customHeight="1" x14ac:dyDescent="0.25">
      <c r="A75" s="600"/>
      <c r="B75" s="595"/>
      <c r="C75" s="597"/>
      <c r="D75" s="597"/>
      <c r="E75" s="597"/>
      <c r="F75" s="601"/>
      <c r="G75" s="1677" t="s">
        <v>2061</v>
      </c>
      <c r="H75" s="1766"/>
      <c r="I75" s="1766"/>
      <c r="J75" s="1766"/>
      <c r="K75" s="1766"/>
      <c r="L75" s="1766"/>
      <c r="M75" s="22" t="s">
        <v>3094</v>
      </c>
      <c r="N75" s="22" t="s">
        <v>3095</v>
      </c>
      <c r="O75" s="145">
        <v>8.3599999999999994E-2</v>
      </c>
      <c r="P75" s="92"/>
      <c r="Q75" s="92"/>
      <c r="R75" s="145"/>
      <c r="S75" s="145"/>
      <c r="T75" s="176"/>
      <c r="U75" s="75"/>
      <c r="V75" s="75"/>
      <c r="W75" s="75"/>
    </row>
    <row r="76" spans="1:23" ht="87" customHeight="1" x14ac:dyDescent="0.25">
      <c r="A76" s="531"/>
      <c r="B76" s="514"/>
      <c r="C76" s="502"/>
      <c r="D76" s="502"/>
      <c r="E76" s="502"/>
      <c r="F76" s="513"/>
      <c r="G76" s="152" t="s">
        <v>2221</v>
      </c>
      <c r="H76" s="1" t="s">
        <v>2222</v>
      </c>
      <c r="I76" s="180" t="s">
        <v>2385</v>
      </c>
      <c r="J76" s="92">
        <v>0.15</v>
      </c>
      <c r="K76" s="92"/>
      <c r="L76" s="75"/>
      <c r="M76" s="22"/>
      <c r="N76" s="22"/>
      <c r="O76" s="145"/>
      <c r="P76" s="92"/>
      <c r="Q76" s="92"/>
      <c r="R76" s="22"/>
      <c r="S76" s="22"/>
      <c r="T76" s="176"/>
      <c r="U76" s="75"/>
      <c r="V76" s="75"/>
      <c r="W76" s="75"/>
    </row>
    <row r="77" spans="1:23" ht="20.25" customHeight="1" x14ac:dyDescent="0.25">
      <c r="A77" s="813"/>
      <c r="B77" s="811"/>
      <c r="C77" s="809"/>
      <c r="D77" s="809"/>
      <c r="E77" s="809"/>
      <c r="F77" s="812"/>
      <c r="G77" s="1677" t="s">
        <v>2512</v>
      </c>
      <c r="H77" s="1766"/>
      <c r="I77" s="1766"/>
      <c r="J77" s="1766"/>
      <c r="K77" s="1766"/>
      <c r="L77" s="1766"/>
      <c r="M77" s="22"/>
      <c r="N77" s="22"/>
      <c r="O77" s="145"/>
      <c r="P77" s="8"/>
      <c r="Q77" s="8"/>
      <c r="R77" s="22"/>
      <c r="S77" s="22"/>
      <c r="T77" s="142"/>
      <c r="U77" s="145"/>
      <c r="V77" s="145"/>
      <c r="W77" s="145"/>
    </row>
    <row r="78" spans="1:23" ht="21.75" customHeight="1" x14ac:dyDescent="0.25">
      <c r="A78" s="813"/>
      <c r="B78" s="811"/>
      <c r="C78" s="809"/>
      <c r="D78" s="809"/>
      <c r="E78" s="809"/>
      <c r="F78" s="812"/>
      <c r="G78" s="1" t="s">
        <v>2373</v>
      </c>
      <c r="H78" s="1" t="s">
        <v>2830</v>
      </c>
      <c r="I78" s="143" t="s">
        <v>2906</v>
      </c>
      <c r="J78" s="8">
        <v>0.09</v>
      </c>
      <c r="K78" s="8"/>
      <c r="L78" s="145"/>
      <c r="M78" s="145"/>
      <c r="N78" s="145"/>
      <c r="O78" s="145"/>
      <c r="P78" s="8"/>
      <c r="Q78" s="8"/>
      <c r="R78" s="22"/>
      <c r="S78" s="22"/>
      <c r="T78" s="142"/>
      <c r="U78" s="145"/>
      <c r="V78" s="145"/>
      <c r="W78" s="145"/>
    </row>
    <row r="79" spans="1:23" ht="23.25" customHeight="1" x14ac:dyDescent="0.25">
      <c r="A79" s="813"/>
      <c r="B79" s="811"/>
      <c r="C79" s="809"/>
      <c r="D79" s="809"/>
      <c r="E79" s="809"/>
      <c r="F79" s="812"/>
      <c r="G79" s="1" t="s">
        <v>2373</v>
      </c>
      <c r="H79" s="1" t="s">
        <v>2831</v>
      </c>
      <c r="I79" s="143" t="s">
        <v>2907</v>
      </c>
      <c r="J79" s="8">
        <v>0.09</v>
      </c>
      <c r="K79" s="8"/>
      <c r="L79" s="145"/>
      <c r="M79" s="145"/>
      <c r="N79" s="145"/>
      <c r="O79" s="145"/>
      <c r="P79" s="8"/>
      <c r="Q79" s="8"/>
      <c r="R79" s="22"/>
      <c r="S79" s="22"/>
      <c r="T79" s="142"/>
      <c r="U79" s="145"/>
      <c r="V79" s="145"/>
      <c r="W79" s="145"/>
    </row>
    <row r="80" spans="1:23" ht="23.25" customHeight="1" x14ac:dyDescent="0.25">
      <c r="A80" s="1208"/>
      <c r="B80" s="1205"/>
      <c r="C80" s="1206"/>
      <c r="D80" s="1206"/>
      <c r="E80" s="1206"/>
      <c r="F80" s="1207"/>
      <c r="G80" s="1677" t="s">
        <v>3069</v>
      </c>
      <c r="H80" s="1766"/>
      <c r="I80" s="1766"/>
      <c r="J80" s="1766"/>
      <c r="K80" s="1766"/>
      <c r="L80" s="1766"/>
      <c r="M80" s="118"/>
      <c r="N80" s="167"/>
      <c r="O80" s="75"/>
      <c r="P80" s="92"/>
      <c r="Q80" s="92"/>
      <c r="R80" s="129"/>
      <c r="S80" s="660"/>
      <c r="T80" s="176"/>
      <c r="U80" s="75"/>
      <c r="V80" s="75"/>
      <c r="W80" s="75"/>
    </row>
    <row r="81" spans="1:23" ht="23.25" customHeight="1" x14ac:dyDescent="0.25">
      <c r="A81" s="1208"/>
      <c r="B81" s="1205"/>
      <c r="C81" s="1206"/>
      <c r="D81" s="1206"/>
      <c r="E81" s="1206"/>
      <c r="F81" s="1207"/>
      <c r="G81" s="1518" t="s">
        <v>3483</v>
      </c>
      <c r="H81" s="1519"/>
      <c r="I81" s="1520"/>
      <c r="J81" s="1232">
        <v>0.41649999999999998</v>
      </c>
      <c r="K81" s="75"/>
      <c r="L81" s="75"/>
      <c r="M81" s="118"/>
      <c r="N81" s="167"/>
      <c r="O81" s="75"/>
      <c r="P81" s="92"/>
      <c r="Q81" s="92"/>
      <c r="R81" s="129"/>
      <c r="S81" s="660"/>
      <c r="T81" s="176"/>
      <c r="U81" s="75"/>
      <c r="V81" s="75"/>
      <c r="W81" s="75"/>
    </row>
    <row r="82" spans="1:23" ht="19.5" customHeight="1" thickBot="1" x14ac:dyDescent="0.3">
      <c r="A82" s="405"/>
      <c r="B82" s="394"/>
      <c r="C82" s="395"/>
      <c r="D82" s="395"/>
      <c r="E82" s="395"/>
      <c r="F82" s="396"/>
      <c r="G82" s="1767" t="s">
        <v>1860</v>
      </c>
      <c r="H82" s="1767"/>
      <c r="I82" s="1768"/>
      <c r="J82" s="25">
        <f>SUM(J78:J81)</f>
        <v>0.59650000000000003</v>
      </c>
      <c r="K82" s="93">
        <v>0.8</v>
      </c>
      <c r="L82" s="25">
        <f>J82/K82</f>
        <v>0.74562499999999998</v>
      </c>
      <c r="M82" s="1780" t="s">
        <v>1861</v>
      </c>
      <c r="N82" s="1768"/>
      <c r="O82" s="25">
        <f>SUM(O67:O77)</f>
        <v>1.2926000000000002</v>
      </c>
      <c r="P82" s="93">
        <v>0.8</v>
      </c>
      <c r="Q82" s="25">
        <f>O82/P82</f>
        <v>1.6157500000000002</v>
      </c>
      <c r="R82" s="1780" t="s">
        <v>1860</v>
      </c>
      <c r="S82" s="1767"/>
      <c r="T82" s="1768"/>
      <c r="U82" s="25">
        <f>SUM(U69:U76)</f>
        <v>2.1000000000000001E-2</v>
      </c>
      <c r="V82" s="93">
        <v>0.8</v>
      </c>
      <c r="W82" s="25">
        <f>U82/V82</f>
        <v>2.6249999999999999E-2</v>
      </c>
    </row>
    <row r="83" spans="1:23" ht="15.75" thickBot="1" x14ac:dyDescent="0.3">
      <c r="A83" s="529" t="str">
        <f>'Расчет ЦП - общая форма'!C401</f>
        <v xml:space="preserve">ПС 35/10 кВ Б.Вишенье </v>
      </c>
      <c r="B83" s="530">
        <f>'Расчет ЦП - общая форма'!D401</f>
        <v>2.5</v>
      </c>
      <c r="C83" s="511" t="str">
        <f>'Расчет ЦП - общая форма'!E401</f>
        <v>+</v>
      </c>
      <c r="D83" s="511">
        <f>'Расчет ЦП - общая форма'!F401</f>
        <v>2.5</v>
      </c>
      <c r="E83" s="511"/>
      <c r="F83" s="512"/>
      <c r="G83" s="1677" t="s">
        <v>3069</v>
      </c>
      <c r="H83" s="1766"/>
      <c r="I83" s="1766"/>
      <c r="J83" s="1766"/>
      <c r="K83" s="1766"/>
      <c r="L83" s="1766"/>
      <c r="M83" s="8"/>
      <c r="N83" s="8"/>
      <c r="O83" s="8"/>
      <c r="P83" s="8"/>
      <c r="Q83" s="8"/>
      <c r="R83" s="8"/>
      <c r="S83" s="8"/>
      <c r="T83" s="8"/>
      <c r="U83" s="8"/>
      <c r="V83" s="8"/>
      <c r="W83" s="145"/>
    </row>
    <row r="84" spans="1:23" x14ac:dyDescent="0.25">
      <c r="A84" s="1208"/>
      <c r="B84" s="1205"/>
      <c r="C84" s="1206"/>
      <c r="D84" s="1206"/>
      <c r="E84" s="1206"/>
      <c r="F84" s="1207"/>
      <c r="G84" s="1804" t="s">
        <v>3483</v>
      </c>
      <c r="H84" s="1805"/>
      <c r="I84" s="1806"/>
      <c r="J84" s="1231">
        <v>0.18149999999999999</v>
      </c>
      <c r="K84" s="8"/>
      <c r="L84" s="145"/>
      <c r="M84" s="94"/>
      <c r="N84" s="95"/>
      <c r="O84" s="92"/>
      <c r="P84" s="92"/>
      <c r="Q84" s="92"/>
      <c r="R84" s="94"/>
      <c r="S84" s="758"/>
      <c r="T84" s="95"/>
      <c r="U84" s="92"/>
      <c r="V84" s="92"/>
      <c r="W84" s="75"/>
    </row>
    <row r="85" spans="1:23" ht="24" customHeight="1" thickBot="1" x14ac:dyDescent="0.3">
      <c r="A85" s="405"/>
      <c r="B85" s="394"/>
      <c r="C85" s="395"/>
      <c r="D85" s="395"/>
      <c r="E85" s="395"/>
      <c r="F85" s="396"/>
      <c r="G85" s="1767" t="s">
        <v>1860</v>
      </c>
      <c r="H85" s="1767"/>
      <c r="I85" s="1768"/>
      <c r="J85" s="25">
        <f>SUM(J84)</f>
        <v>0.18149999999999999</v>
      </c>
      <c r="K85" s="93">
        <v>0.8</v>
      </c>
      <c r="L85" s="25">
        <f>J85/K85</f>
        <v>0.22687499999999999</v>
      </c>
      <c r="M85" s="1780" t="s">
        <v>1861</v>
      </c>
      <c r="N85" s="1768"/>
      <c r="O85" s="25">
        <f>SUM(O83:O83)</f>
        <v>0</v>
      </c>
      <c r="P85" s="93">
        <v>0.8</v>
      </c>
      <c r="Q85" s="25">
        <f>O85/P85</f>
        <v>0</v>
      </c>
      <c r="R85" s="1780" t="s">
        <v>1860</v>
      </c>
      <c r="S85" s="1767"/>
      <c r="T85" s="1768"/>
      <c r="U85" s="25">
        <f>SUM(U83:U83)</f>
        <v>0</v>
      </c>
      <c r="V85" s="93">
        <v>0.8</v>
      </c>
      <c r="W85" s="25">
        <f>U85/V85</f>
        <v>0</v>
      </c>
    </row>
    <row r="86" spans="1:23" ht="27" customHeight="1" x14ac:dyDescent="0.25">
      <c r="A86" s="529" t="str">
        <f>'Расчет ЦП - общая форма'!C402</f>
        <v xml:space="preserve">ПС 35/10 кВ Будово </v>
      </c>
      <c r="B86" s="530">
        <f>'Расчет ЦП - общая форма'!D402</f>
        <v>2.5</v>
      </c>
      <c r="C86" s="511" t="str">
        <f>'Расчет ЦП - общая форма'!E402</f>
        <v>+</v>
      </c>
      <c r="D86" s="511">
        <f>'Расчет ЦП - общая форма'!F402</f>
        <v>2.5</v>
      </c>
      <c r="E86" s="511"/>
      <c r="F86" s="512"/>
      <c r="G86" s="1686" t="s">
        <v>2061</v>
      </c>
      <c r="H86" s="1764"/>
      <c r="I86" s="1764"/>
      <c r="J86" s="1764"/>
      <c r="K86" s="1764"/>
      <c r="L86" s="1765"/>
      <c r="M86" s="11" t="s">
        <v>73</v>
      </c>
      <c r="N86" s="11" t="s">
        <v>1455</v>
      </c>
      <c r="O86" s="8">
        <v>1.3640000000000001</v>
      </c>
      <c r="P86" s="8"/>
      <c r="Q86" s="8"/>
      <c r="R86" s="11"/>
      <c r="S86" s="11"/>
      <c r="T86" s="1"/>
      <c r="U86" s="8"/>
      <c r="V86" s="8"/>
      <c r="W86" s="145"/>
    </row>
    <row r="87" spans="1:23" ht="33" customHeight="1" x14ac:dyDescent="0.25">
      <c r="A87" s="531"/>
      <c r="B87" s="514"/>
      <c r="C87" s="502"/>
      <c r="D87" s="502"/>
      <c r="E87" s="502"/>
      <c r="F87" s="513"/>
      <c r="G87" s="266" t="s">
        <v>2176</v>
      </c>
      <c r="H87" s="11" t="s">
        <v>2177</v>
      </c>
      <c r="I87" s="1" t="s">
        <v>2486</v>
      </c>
      <c r="J87" s="8">
        <v>0.15</v>
      </c>
      <c r="K87" s="8"/>
      <c r="L87" s="145"/>
      <c r="M87" s="1" t="s">
        <v>3449</v>
      </c>
      <c r="N87" s="1" t="s">
        <v>3503</v>
      </c>
      <c r="O87" s="8">
        <v>0.70984999999999998</v>
      </c>
      <c r="P87" s="8"/>
      <c r="Q87" s="8"/>
      <c r="R87" s="8"/>
      <c r="S87" s="8"/>
      <c r="T87" s="96"/>
      <c r="U87" s="8"/>
      <c r="V87" s="8"/>
      <c r="W87" s="145"/>
    </row>
    <row r="88" spans="1:23" ht="18.75" customHeight="1" x14ac:dyDescent="0.25">
      <c r="A88" s="813"/>
      <c r="B88" s="811"/>
      <c r="C88" s="809"/>
      <c r="D88" s="809"/>
      <c r="E88" s="809"/>
      <c r="F88" s="812"/>
      <c r="G88" s="1686" t="s">
        <v>2512</v>
      </c>
      <c r="H88" s="1764"/>
      <c r="I88" s="1764"/>
      <c r="J88" s="1764"/>
      <c r="K88" s="1764"/>
      <c r="L88" s="1765"/>
      <c r="M88" s="1"/>
      <c r="N88" s="1"/>
      <c r="O88" s="8"/>
      <c r="P88" s="8"/>
      <c r="Q88" s="8"/>
      <c r="R88" s="8"/>
      <c r="S88" s="8"/>
      <c r="T88" s="95"/>
      <c r="U88" s="92"/>
      <c r="V88" s="92"/>
      <c r="W88" s="75"/>
    </row>
    <row r="89" spans="1:23" ht="33" customHeight="1" x14ac:dyDescent="0.25">
      <c r="A89" s="813"/>
      <c r="B89" s="811"/>
      <c r="C89" s="809"/>
      <c r="D89" s="809"/>
      <c r="E89" s="809"/>
      <c r="F89" s="812"/>
      <c r="G89" s="11" t="s">
        <v>2884</v>
      </c>
      <c r="H89" s="11" t="s">
        <v>2885</v>
      </c>
      <c r="I89" s="1" t="s">
        <v>2912</v>
      </c>
      <c r="J89" s="8">
        <v>0.1</v>
      </c>
      <c r="K89" s="8"/>
      <c r="L89" s="145"/>
      <c r="M89" s="1"/>
      <c r="N89" s="1"/>
      <c r="O89" s="8"/>
      <c r="P89" s="8"/>
      <c r="Q89" s="8"/>
      <c r="R89" s="8"/>
      <c r="S89" s="8"/>
      <c r="T89" s="95"/>
      <c r="U89" s="92"/>
      <c r="V89" s="92"/>
      <c r="W89" s="75"/>
    </row>
    <row r="90" spans="1:23" ht="21" customHeight="1" x14ac:dyDescent="0.25">
      <c r="A90" s="1041"/>
      <c r="B90" s="1038"/>
      <c r="C90" s="1039"/>
      <c r="D90" s="1039"/>
      <c r="E90" s="1039"/>
      <c r="F90" s="1037"/>
      <c r="G90" s="1686" t="s">
        <v>3483</v>
      </c>
      <c r="H90" s="1764"/>
      <c r="I90" s="1764"/>
      <c r="J90" s="1764"/>
      <c r="K90" s="1764"/>
      <c r="L90" s="1765"/>
      <c r="M90" s="19"/>
      <c r="N90" s="20"/>
      <c r="O90" s="92"/>
      <c r="P90" s="92"/>
      <c r="Q90" s="92"/>
      <c r="R90" s="94"/>
      <c r="S90" s="758"/>
      <c r="T90" s="95"/>
      <c r="U90" s="92"/>
      <c r="V90" s="92"/>
      <c r="W90" s="75"/>
    </row>
    <row r="91" spans="1:23" ht="33" customHeight="1" x14ac:dyDescent="0.25">
      <c r="A91" s="1041"/>
      <c r="B91" s="1038"/>
      <c r="C91" s="1039"/>
      <c r="D91" s="1039"/>
      <c r="E91" s="1039"/>
      <c r="F91" s="1037"/>
      <c r="G91" s="1" t="s">
        <v>3096</v>
      </c>
      <c r="H91" s="1" t="s">
        <v>3097</v>
      </c>
      <c r="I91" s="20" t="s">
        <v>3132</v>
      </c>
      <c r="J91" s="8">
        <v>0.4</v>
      </c>
      <c r="K91" s="92"/>
      <c r="L91" s="75"/>
      <c r="M91" s="19"/>
      <c r="N91" s="20"/>
      <c r="O91" s="92"/>
      <c r="P91" s="92"/>
      <c r="Q91" s="92"/>
      <c r="R91" s="94"/>
      <c r="S91" s="758"/>
      <c r="T91" s="95"/>
      <c r="U91" s="92"/>
      <c r="V91" s="92"/>
      <c r="W91" s="75"/>
    </row>
    <row r="92" spans="1:23" ht="33" customHeight="1" x14ac:dyDescent="0.25">
      <c r="A92" s="1192"/>
      <c r="B92" s="1190"/>
      <c r="C92" s="1191"/>
      <c r="D92" s="1191"/>
      <c r="E92" s="1191"/>
      <c r="F92" s="1189"/>
      <c r="G92" s="1" t="s">
        <v>3334</v>
      </c>
      <c r="H92" s="1" t="s">
        <v>3406</v>
      </c>
      <c r="I92" s="20" t="s">
        <v>3474</v>
      </c>
      <c r="J92" s="8">
        <v>9.9000000000000005E-2</v>
      </c>
      <c r="K92" s="92"/>
      <c r="L92" s="75"/>
      <c r="M92" s="19"/>
      <c r="N92" s="20"/>
      <c r="O92" s="92"/>
      <c r="P92" s="92"/>
      <c r="Q92" s="92"/>
      <c r="R92" s="94"/>
      <c r="S92" s="758"/>
      <c r="T92" s="95"/>
      <c r="U92" s="92"/>
      <c r="V92" s="92"/>
      <c r="W92" s="75"/>
    </row>
    <row r="93" spans="1:23" ht="23.25" customHeight="1" x14ac:dyDescent="0.25">
      <c r="A93" s="1208"/>
      <c r="B93" s="1205"/>
      <c r="C93" s="1206"/>
      <c r="D93" s="1206"/>
      <c r="E93" s="1206"/>
      <c r="F93" s="1207"/>
      <c r="G93" s="1518" t="s">
        <v>3483</v>
      </c>
      <c r="H93" s="1519"/>
      <c r="I93" s="1520"/>
      <c r="J93" s="1232">
        <v>0.72099999999999997</v>
      </c>
      <c r="K93" s="92"/>
      <c r="L93" s="75"/>
      <c r="M93" s="19"/>
      <c r="N93" s="20"/>
      <c r="O93" s="92"/>
      <c r="P93" s="92"/>
      <c r="Q93" s="92"/>
      <c r="R93" s="94"/>
      <c r="S93" s="758"/>
      <c r="T93" s="95"/>
      <c r="U93" s="92"/>
      <c r="V93" s="92"/>
      <c r="W93" s="75"/>
    </row>
    <row r="94" spans="1:23" ht="24.75" customHeight="1" thickBot="1" x14ac:dyDescent="0.3">
      <c r="A94" s="405"/>
      <c r="B94" s="394"/>
      <c r="C94" s="395"/>
      <c r="D94" s="395"/>
      <c r="E94" s="395"/>
      <c r="F94" s="396"/>
      <c r="G94" s="1767" t="s">
        <v>1860</v>
      </c>
      <c r="H94" s="1767"/>
      <c r="I94" s="1768"/>
      <c r="J94" s="25">
        <f>SUM(J89:J93)</f>
        <v>1.3199999999999998</v>
      </c>
      <c r="K94" s="93">
        <v>0.8</v>
      </c>
      <c r="L94" s="25">
        <f>J94/K94</f>
        <v>1.6499999999999997</v>
      </c>
      <c r="M94" s="1482" t="s">
        <v>1861</v>
      </c>
      <c r="N94" s="1768"/>
      <c r="O94" s="25">
        <f>SUM(O86:O87)</f>
        <v>2.0738500000000002</v>
      </c>
      <c r="P94" s="93">
        <v>0.8</v>
      </c>
      <c r="Q94" s="25">
        <f>O94/P94</f>
        <v>2.5923125000000002</v>
      </c>
      <c r="R94" s="1780" t="s">
        <v>1860</v>
      </c>
      <c r="S94" s="1767"/>
      <c r="T94" s="1768"/>
      <c r="U94" s="25">
        <f>SUM(U86:U86)</f>
        <v>0</v>
      </c>
      <c r="V94" s="93">
        <v>0.8</v>
      </c>
      <c r="W94" s="25">
        <f>U94/V94</f>
        <v>0</v>
      </c>
    </row>
    <row r="95" spans="1:23" ht="54.75" customHeight="1" x14ac:dyDescent="0.25">
      <c r="A95" s="529" t="str">
        <f>'Расчет ЦП - общая форма'!C403</f>
        <v xml:space="preserve">ПС 35/10 кВ Ельцы  </v>
      </c>
      <c r="B95" s="530">
        <f>'Расчет ЦП - общая форма'!D403</f>
        <v>4</v>
      </c>
      <c r="C95" s="511" t="str">
        <f>'Расчет ЦП - общая форма'!E403</f>
        <v>+</v>
      </c>
      <c r="D95" s="511">
        <f>'Расчет ЦП - общая форма'!F403</f>
        <v>4</v>
      </c>
      <c r="E95" s="511"/>
      <c r="F95" s="512"/>
      <c r="G95" s="1686" t="s">
        <v>3069</v>
      </c>
      <c r="H95" s="1764"/>
      <c r="I95" s="1764"/>
      <c r="J95" s="1764"/>
      <c r="K95" s="1764"/>
      <c r="L95" s="1765"/>
      <c r="M95" s="8" t="s">
        <v>1589</v>
      </c>
      <c r="N95" s="8" t="s">
        <v>1590</v>
      </c>
      <c r="O95" s="8">
        <v>2.5000000000000001E-2</v>
      </c>
      <c r="P95" s="8"/>
      <c r="Q95" s="8"/>
      <c r="R95" s="8"/>
      <c r="S95" s="8"/>
      <c r="T95" s="8"/>
      <c r="U95" s="3"/>
      <c r="V95" s="8"/>
      <c r="W95" s="145"/>
    </row>
    <row r="96" spans="1:23" ht="42.75" customHeight="1" x14ac:dyDescent="0.25">
      <c r="A96" s="531"/>
      <c r="B96" s="514"/>
      <c r="C96" s="502"/>
      <c r="D96" s="502"/>
      <c r="E96" s="502"/>
      <c r="F96" s="513"/>
      <c r="G96" s="1518" t="s">
        <v>3483</v>
      </c>
      <c r="H96" s="1519"/>
      <c r="I96" s="1520"/>
      <c r="J96" s="1232">
        <v>0.13600000000000001</v>
      </c>
      <c r="K96" s="8"/>
      <c r="L96" s="145"/>
      <c r="M96" s="11" t="s">
        <v>1449</v>
      </c>
      <c r="N96" s="11" t="s">
        <v>1450</v>
      </c>
      <c r="O96" s="11">
        <v>0.6</v>
      </c>
      <c r="P96" s="8"/>
      <c r="Q96" s="8"/>
      <c r="R96" s="8"/>
      <c r="S96" s="8"/>
      <c r="T96" s="8"/>
      <c r="U96" s="8"/>
      <c r="V96" s="8"/>
      <c r="W96" s="145"/>
    </row>
    <row r="97" spans="1:23" ht="38.25" x14ac:dyDescent="0.25">
      <c r="A97" s="531"/>
      <c r="B97" s="514"/>
      <c r="C97" s="502"/>
      <c r="D97" s="502"/>
      <c r="E97" s="502"/>
      <c r="F97" s="513"/>
      <c r="G97" s="96"/>
      <c r="H97" s="8"/>
      <c r="I97" s="8"/>
      <c r="J97" s="8"/>
      <c r="K97" s="8"/>
      <c r="L97" s="145"/>
      <c r="M97" s="11" t="s">
        <v>1449</v>
      </c>
      <c r="N97" s="11" t="s">
        <v>1451</v>
      </c>
      <c r="O97" s="11">
        <v>1</v>
      </c>
      <c r="P97" s="8"/>
      <c r="Q97" s="8"/>
      <c r="R97" s="8"/>
      <c r="S97" s="8"/>
      <c r="T97" s="8"/>
      <c r="U97" s="8"/>
      <c r="V97" s="8"/>
      <c r="W97" s="145"/>
    </row>
    <row r="98" spans="1:23" ht="63.75" x14ac:dyDescent="0.25">
      <c r="A98" s="531"/>
      <c r="B98" s="514"/>
      <c r="C98" s="502"/>
      <c r="D98" s="502"/>
      <c r="E98" s="502"/>
      <c r="F98" s="513"/>
      <c r="G98" s="96"/>
      <c r="H98" s="8"/>
      <c r="I98" s="8"/>
      <c r="J98" s="8"/>
      <c r="K98" s="8"/>
      <c r="L98" s="75"/>
      <c r="M98" s="11" t="s">
        <v>20</v>
      </c>
      <c r="N98" s="11" t="s">
        <v>21</v>
      </c>
      <c r="O98" s="11">
        <v>0.15</v>
      </c>
      <c r="P98" s="92"/>
      <c r="Q98" s="92"/>
      <c r="R98" s="8"/>
      <c r="S98" s="8"/>
      <c r="T98" s="8"/>
      <c r="U98" s="8"/>
      <c r="V98" s="8"/>
      <c r="W98" s="75"/>
    </row>
    <row r="99" spans="1:23" ht="18.75" customHeight="1" thickBot="1" x14ac:dyDescent="0.3">
      <c r="A99" s="405"/>
      <c r="B99" s="394"/>
      <c r="C99" s="395"/>
      <c r="D99" s="395"/>
      <c r="E99" s="395"/>
      <c r="F99" s="396"/>
      <c r="G99" s="1767" t="s">
        <v>1860</v>
      </c>
      <c r="H99" s="1767"/>
      <c r="I99" s="1768"/>
      <c r="J99" s="25">
        <f>SUM(J95:J97)</f>
        <v>0.13600000000000001</v>
      </c>
      <c r="K99" s="93">
        <v>0.8</v>
      </c>
      <c r="L99" s="25">
        <f>J99/K99</f>
        <v>0.17</v>
      </c>
      <c r="M99" s="1780" t="s">
        <v>1861</v>
      </c>
      <c r="N99" s="1768"/>
      <c r="O99" s="25">
        <f>SUM(O95:O98)</f>
        <v>1.7749999999999999</v>
      </c>
      <c r="P99" s="93">
        <v>0.8</v>
      </c>
      <c r="Q99" s="25">
        <f>O99/P99</f>
        <v>2.2187499999999996</v>
      </c>
      <c r="R99" s="1780" t="s">
        <v>1860</v>
      </c>
      <c r="S99" s="1767"/>
      <c r="T99" s="1768"/>
      <c r="U99" s="25">
        <f>SUM(U95:U97)</f>
        <v>0</v>
      </c>
      <c r="V99" s="93">
        <v>0.8</v>
      </c>
      <c r="W99" s="25">
        <f>U99/V99</f>
        <v>0</v>
      </c>
    </row>
    <row r="100" spans="1:23" x14ac:dyDescent="0.25">
      <c r="A100" s="1787" t="str">
        <f>'Расчет ЦП - общая форма'!C404</f>
        <v xml:space="preserve">ПС 35/10 кВ Селище </v>
      </c>
      <c r="B100" s="1612">
        <f>'Расчет ЦП - общая форма'!D404</f>
        <v>4</v>
      </c>
      <c r="C100" s="1614" t="str">
        <f>'Расчет ЦП - общая форма'!E404</f>
        <v>+</v>
      </c>
      <c r="D100" s="1614">
        <f>'Расчет ЦП - общая форма'!F404</f>
        <v>4</v>
      </c>
      <c r="E100" s="511"/>
      <c r="F100" s="512"/>
      <c r="G100" s="1570" t="s">
        <v>1989</v>
      </c>
      <c r="H100" s="1769"/>
      <c r="I100" s="1769"/>
      <c r="J100" s="1769"/>
      <c r="K100" s="1769"/>
      <c r="L100" s="1770"/>
      <c r="M100" s="164"/>
      <c r="N100" s="165"/>
      <c r="O100" s="165"/>
      <c r="P100" s="74"/>
      <c r="Q100" s="74"/>
      <c r="R100" s="1566"/>
      <c r="S100" s="1778"/>
      <c r="T100" s="1778"/>
      <c r="U100" s="1778"/>
      <c r="V100" s="1778"/>
      <c r="W100" s="1779"/>
    </row>
    <row r="101" spans="1:23" ht="30" x14ac:dyDescent="0.25">
      <c r="A101" s="1788"/>
      <c r="B101" s="1613"/>
      <c r="C101" s="1615"/>
      <c r="D101" s="1615"/>
      <c r="E101" s="502"/>
      <c r="F101" s="513"/>
      <c r="G101" s="96" t="s">
        <v>1593</v>
      </c>
      <c r="H101" s="8" t="s">
        <v>1594</v>
      </c>
      <c r="I101" s="8" t="s">
        <v>892</v>
      </c>
      <c r="J101" s="8">
        <v>0.378</v>
      </c>
      <c r="K101" s="79"/>
      <c r="L101" s="76"/>
      <c r="M101" s="8"/>
      <c r="N101" s="8"/>
      <c r="O101" s="8"/>
      <c r="P101" s="8"/>
      <c r="Q101" s="79"/>
      <c r="R101" s="145"/>
      <c r="S101" s="145"/>
      <c r="T101" s="145"/>
      <c r="U101" s="145"/>
      <c r="V101" s="76"/>
      <c r="W101" s="76"/>
    </row>
    <row r="102" spans="1:23" x14ac:dyDescent="0.25">
      <c r="A102" s="531"/>
      <c r="B102" s="514"/>
      <c r="C102" s="502"/>
      <c r="D102" s="502"/>
      <c r="E102" s="502"/>
      <c r="F102" s="513"/>
      <c r="G102" s="1677" t="s">
        <v>1988</v>
      </c>
      <c r="H102" s="1766"/>
      <c r="I102" s="1766"/>
      <c r="J102" s="1766"/>
      <c r="K102" s="1766"/>
      <c r="L102" s="1766"/>
      <c r="M102" s="8"/>
      <c r="N102" s="8"/>
      <c r="O102" s="8"/>
      <c r="P102" s="8"/>
      <c r="Q102" s="79"/>
      <c r="R102" s="1670" t="s">
        <v>1988</v>
      </c>
      <c r="S102" s="1766"/>
      <c r="T102" s="1766"/>
      <c r="U102" s="1766"/>
      <c r="V102" s="1766"/>
      <c r="W102" s="1766"/>
    </row>
    <row r="103" spans="1:23" ht="77.25" customHeight="1" x14ac:dyDescent="0.25">
      <c r="A103" s="531"/>
      <c r="B103" s="514"/>
      <c r="C103" s="502"/>
      <c r="D103" s="502"/>
      <c r="E103" s="502"/>
      <c r="F103" s="513"/>
      <c r="G103" s="544"/>
      <c r="H103" s="303"/>
      <c r="I103" s="303"/>
      <c r="J103" s="303"/>
      <c r="K103" s="145"/>
      <c r="L103" s="145"/>
      <c r="M103" s="8" t="s">
        <v>1595</v>
      </c>
      <c r="N103" s="8" t="s">
        <v>1596</v>
      </c>
      <c r="O103" s="8">
        <v>8.5000000000000006E-2</v>
      </c>
      <c r="P103" s="8"/>
      <c r="Q103" s="79"/>
      <c r="R103" s="338" t="s">
        <v>1591</v>
      </c>
      <c r="S103" s="338" t="s">
        <v>1592</v>
      </c>
      <c r="T103" s="338" t="s">
        <v>2521</v>
      </c>
      <c r="U103" s="338">
        <v>0.74</v>
      </c>
      <c r="V103" s="353"/>
      <c r="W103" s="353"/>
    </row>
    <row r="104" spans="1:23" x14ac:dyDescent="0.25">
      <c r="A104" s="531"/>
      <c r="B104" s="514"/>
      <c r="C104" s="502"/>
      <c r="D104" s="502"/>
      <c r="E104" s="502"/>
      <c r="F104" s="513"/>
      <c r="G104" s="96" t="s">
        <v>1597</v>
      </c>
      <c r="H104" s="8" t="s">
        <v>1598</v>
      </c>
      <c r="I104" s="8" t="s">
        <v>1599</v>
      </c>
      <c r="J104" s="8">
        <v>0.04</v>
      </c>
      <c r="K104" s="8"/>
      <c r="L104" s="145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45"/>
    </row>
    <row r="105" spans="1:23" x14ac:dyDescent="0.25">
      <c r="A105" s="531"/>
      <c r="B105" s="514"/>
      <c r="C105" s="502"/>
      <c r="D105" s="502"/>
      <c r="E105" s="502"/>
      <c r="F105" s="513"/>
      <c r="G105" s="1684" t="s">
        <v>1987</v>
      </c>
      <c r="H105" s="1759"/>
      <c r="I105" s="1759"/>
      <c r="J105" s="1759"/>
      <c r="K105" s="1759"/>
      <c r="L105" s="1760"/>
      <c r="M105" s="8"/>
      <c r="N105" s="8"/>
      <c r="O105" s="8"/>
      <c r="P105" s="8"/>
      <c r="Q105" s="8"/>
      <c r="R105" s="1678"/>
      <c r="S105" s="1781"/>
      <c r="T105" s="1781"/>
      <c r="U105" s="1781"/>
      <c r="V105" s="1781"/>
      <c r="W105" s="1782"/>
    </row>
    <row r="106" spans="1:23" x14ac:dyDescent="0.25">
      <c r="A106" s="531"/>
      <c r="B106" s="514"/>
      <c r="C106" s="502"/>
      <c r="D106" s="502"/>
      <c r="E106" s="502"/>
      <c r="F106" s="513"/>
      <c r="G106" s="96" t="s">
        <v>1600</v>
      </c>
      <c r="H106" s="8" t="s">
        <v>1601</v>
      </c>
      <c r="I106" s="8" t="s">
        <v>1602</v>
      </c>
      <c r="J106" s="8">
        <v>9.2999999999999999E-2</v>
      </c>
      <c r="K106" s="8"/>
      <c r="L106" s="145"/>
      <c r="M106" s="8"/>
      <c r="N106" s="8"/>
      <c r="O106" s="8"/>
      <c r="P106" s="8"/>
      <c r="Q106" s="8"/>
      <c r="R106" s="145"/>
      <c r="S106" s="145"/>
      <c r="T106" s="145"/>
      <c r="U106" s="145"/>
      <c r="V106" s="145"/>
      <c r="W106" s="145"/>
    </row>
    <row r="107" spans="1:23" ht="19.5" customHeight="1" thickBot="1" x14ac:dyDescent="0.3">
      <c r="A107" s="405"/>
      <c r="B107" s="394"/>
      <c r="C107" s="395"/>
      <c r="D107" s="395"/>
      <c r="E107" s="395"/>
      <c r="F107" s="396"/>
      <c r="G107" s="1767" t="s">
        <v>1860</v>
      </c>
      <c r="H107" s="1767"/>
      <c r="I107" s="1768"/>
      <c r="J107" s="25">
        <f>SUM(0)</f>
        <v>0</v>
      </c>
      <c r="K107" s="93">
        <v>0.8</v>
      </c>
      <c r="L107" s="25">
        <f>J107/K107</f>
        <v>0</v>
      </c>
      <c r="M107" s="1780" t="s">
        <v>1861</v>
      </c>
      <c r="N107" s="1768"/>
      <c r="O107" s="25">
        <f>SUM(O101:O106)</f>
        <v>8.5000000000000006E-2</v>
      </c>
      <c r="P107" s="93">
        <v>0.8</v>
      </c>
      <c r="Q107" s="25">
        <f>O107/P107</f>
        <v>0.10625</v>
      </c>
      <c r="R107" s="1780" t="s">
        <v>1860</v>
      </c>
      <c r="S107" s="1767"/>
      <c r="T107" s="1768"/>
      <c r="U107" s="25">
        <f>SUM(U103:U104,U106)</f>
        <v>0.74</v>
      </c>
      <c r="V107" s="93">
        <v>0.8</v>
      </c>
      <c r="W107" s="25">
        <f>U107/V107</f>
        <v>0.92499999999999993</v>
      </c>
    </row>
    <row r="108" spans="1:23" x14ac:dyDescent="0.25">
      <c r="A108" s="1787" t="str">
        <f>'Расчет ЦП - общая форма'!C405</f>
        <v xml:space="preserve">ПС 35/10 кВ Святое </v>
      </c>
      <c r="B108" s="1612">
        <f>'Расчет ЦП - общая форма'!D405</f>
        <v>2.5</v>
      </c>
      <c r="C108" s="1614" t="str">
        <f>'Расчет ЦП - общая форма'!E405</f>
        <v>+</v>
      </c>
      <c r="D108" s="1614">
        <f>'Расчет ЦП - общая форма'!F405</f>
        <v>1.6</v>
      </c>
      <c r="E108" s="1614"/>
      <c r="F108" s="1610"/>
      <c r="G108" s="1570" t="s">
        <v>1989</v>
      </c>
      <c r="H108" s="1769"/>
      <c r="I108" s="1769"/>
      <c r="J108" s="1769"/>
      <c r="K108" s="1769"/>
      <c r="L108" s="1770"/>
      <c r="M108" s="118"/>
      <c r="N108" s="167"/>
      <c r="O108" s="75"/>
      <c r="P108" s="75"/>
      <c r="Q108" s="75"/>
      <c r="R108" s="1566"/>
      <c r="S108" s="1778"/>
      <c r="T108" s="1778"/>
      <c r="U108" s="1778"/>
      <c r="V108" s="1778"/>
      <c r="W108" s="1779"/>
    </row>
    <row r="109" spans="1:23" ht="80.25" customHeight="1" x14ac:dyDescent="0.25">
      <c r="A109" s="1788"/>
      <c r="B109" s="1613"/>
      <c r="C109" s="1615"/>
      <c r="D109" s="1615"/>
      <c r="E109" s="1615"/>
      <c r="F109" s="1611"/>
      <c r="G109" s="96" t="s">
        <v>630</v>
      </c>
      <c r="H109" s="8" t="s">
        <v>1634</v>
      </c>
      <c r="I109" s="8" t="s">
        <v>1635</v>
      </c>
      <c r="J109" s="8">
        <v>0.121</v>
      </c>
      <c r="K109" s="8"/>
      <c r="L109" s="145"/>
      <c r="M109" s="8"/>
      <c r="N109" s="8"/>
      <c r="O109" s="8"/>
      <c r="P109" s="8"/>
      <c r="Q109" s="8"/>
      <c r="R109" s="145"/>
      <c r="S109" s="145"/>
      <c r="T109" s="145"/>
      <c r="U109" s="145"/>
      <c r="V109" s="145"/>
      <c r="W109" s="145"/>
    </row>
    <row r="110" spans="1:23" ht="14.25" customHeight="1" x14ac:dyDescent="0.25">
      <c r="A110" s="531"/>
      <c r="B110" s="514"/>
      <c r="C110" s="502"/>
      <c r="D110" s="502"/>
      <c r="E110" s="502"/>
      <c r="F110" s="513"/>
      <c r="G110" s="1684" t="s">
        <v>1988</v>
      </c>
      <c r="H110" s="1759"/>
      <c r="I110" s="1759"/>
      <c r="J110" s="1759"/>
      <c r="K110" s="1759"/>
      <c r="L110" s="1760"/>
      <c r="M110" s="8"/>
      <c r="N110" s="8"/>
      <c r="O110" s="8"/>
      <c r="P110" s="8"/>
      <c r="Q110" s="8"/>
      <c r="R110" s="1678"/>
      <c r="S110" s="1781"/>
      <c r="T110" s="1781"/>
      <c r="U110" s="1781"/>
      <c r="V110" s="1781"/>
      <c r="W110" s="1782"/>
    </row>
    <row r="111" spans="1:23" ht="62.25" customHeight="1" x14ac:dyDescent="0.25">
      <c r="A111" s="531"/>
      <c r="B111" s="514"/>
      <c r="C111" s="502"/>
      <c r="D111" s="502"/>
      <c r="E111" s="502"/>
      <c r="F111" s="513"/>
      <c r="G111" s="96" t="s">
        <v>1444</v>
      </c>
      <c r="H111" s="8" t="s">
        <v>1636</v>
      </c>
      <c r="I111" s="8" t="s">
        <v>1637</v>
      </c>
      <c r="J111" s="8">
        <v>0.1</v>
      </c>
      <c r="K111" s="8"/>
      <c r="L111" s="145"/>
      <c r="M111" s="241"/>
      <c r="N111" s="241"/>
      <c r="O111" s="241"/>
      <c r="P111" s="8"/>
      <c r="Q111" s="8"/>
      <c r="R111" s="145"/>
      <c r="S111" s="145"/>
      <c r="T111" s="145"/>
      <c r="U111" s="145"/>
      <c r="V111" s="145"/>
      <c r="W111" s="145"/>
    </row>
    <row r="112" spans="1:23" ht="19.5" customHeight="1" x14ac:dyDescent="0.25">
      <c r="A112" s="600"/>
      <c r="B112" s="595"/>
      <c r="C112" s="597"/>
      <c r="D112" s="597"/>
      <c r="E112" s="597"/>
      <c r="F112" s="601"/>
      <c r="G112" s="1684" t="s">
        <v>2061</v>
      </c>
      <c r="H112" s="1759"/>
      <c r="I112" s="1759"/>
      <c r="J112" s="1759"/>
      <c r="K112" s="1759"/>
      <c r="L112" s="1760"/>
      <c r="M112" s="241"/>
      <c r="N112" s="241"/>
      <c r="O112" s="241"/>
      <c r="P112" s="8"/>
      <c r="Q112" s="8"/>
      <c r="R112" s="145"/>
      <c r="S112" s="145"/>
      <c r="T112" s="145"/>
      <c r="U112" s="75"/>
      <c r="V112" s="75"/>
      <c r="W112" s="75"/>
    </row>
    <row r="113" spans="1:23" ht="62.25" customHeight="1" x14ac:dyDescent="0.25">
      <c r="A113" s="531"/>
      <c r="B113" s="514"/>
      <c r="C113" s="502"/>
      <c r="D113" s="502"/>
      <c r="E113" s="502"/>
      <c r="F113" s="513"/>
      <c r="G113" s="152" t="s">
        <v>11</v>
      </c>
      <c r="H113" s="1" t="s">
        <v>12</v>
      </c>
      <c r="I113" s="1" t="s">
        <v>2307</v>
      </c>
      <c r="J113" s="92">
        <v>7.4999999999999997E-2</v>
      </c>
      <c r="K113" s="92"/>
      <c r="L113" s="75"/>
      <c r="M113" s="1"/>
      <c r="N113" s="1"/>
      <c r="O113" s="8"/>
      <c r="P113" s="8"/>
      <c r="Q113" s="8"/>
      <c r="R113" s="22"/>
      <c r="S113" s="22"/>
      <c r="T113" s="22"/>
      <c r="U113" s="75"/>
      <c r="V113" s="75"/>
      <c r="W113" s="75"/>
    </row>
    <row r="114" spans="1:23" ht="22.5" customHeight="1" x14ac:dyDescent="0.25">
      <c r="A114" s="1220"/>
      <c r="B114" s="1216"/>
      <c r="C114" s="1217"/>
      <c r="D114" s="1217"/>
      <c r="E114" s="1217"/>
      <c r="F114" s="1215"/>
      <c r="G114" s="1684" t="s">
        <v>3068</v>
      </c>
      <c r="H114" s="1759"/>
      <c r="I114" s="1759"/>
      <c r="J114" s="1759"/>
      <c r="K114" s="1759"/>
      <c r="L114" s="1760"/>
      <c r="M114" s="19"/>
      <c r="N114" s="20"/>
      <c r="O114" s="92"/>
      <c r="P114" s="92"/>
      <c r="Q114" s="92"/>
      <c r="R114" s="129"/>
      <c r="S114" s="660"/>
      <c r="T114" s="130"/>
      <c r="U114" s="75"/>
      <c r="V114" s="75"/>
      <c r="W114" s="75"/>
    </row>
    <row r="115" spans="1:23" ht="29.25" customHeight="1" x14ac:dyDescent="0.25">
      <c r="A115" s="1220"/>
      <c r="B115" s="1216"/>
      <c r="C115" s="1217"/>
      <c r="D115" s="1217"/>
      <c r="E115" s="1217"/>
      <c r="F115" s="1215"/>
      <c r="G115" s="1518" t="s">
        <v>3483</v>
      </c>
      <c r="H115" s="1519"/>
      <c r="I115" s="1520"/>
      <c r="J115" s="1232">
        <v>0.16300000000000001</v>
      </c>
      <c r="K115" s="92"/>
      <c r="L115" s="75"/>
      <c r="M115" s="19"/>
      <c r="N115" s="20"/>
      <c r="O115" s="92"/>
      <c r="P115" s="92"/>
      <c r="Q115" s="92"/>
      <c r="R115" s="129"/>
      <c r="S115" s="660"/>
      <c r="T115" s="130"/>
      <c r="U115" s="75"/>
      <c r="V115" s="75"/>
      <c r="W115" s="75"/>
    </row>
    <row r="116" spans="1:23" ht="21.75" customHeight="1" thickBot="1" x14ac:dyDescent="0.3">
      <c r="A116" s="405"/>
      <c r="B116" s="394"/>
      <c r="C116" s="395"/>
      <c r="D116" s="395"/>
      <c r="E116" s="395"/>
      <c r="F116" s="396"/>
      <c r="G116" s="1767" t="s">
        <v>1860</v>
      </c>
      <c r="H116" s="1767"/>
      <c r="I116" s="1768"/>
      <c r="J116" s="25">
        <f>SUM(J115)</f>
        <v>0.16300000000000001</v>
      </c>
      <c r="K116" s="93">
        <v>0.8</v>
      </c>
      <c r="L116" s="25">
        <f>J116/K116</f>
        <v>0.20374999999999999</v>
      </c>
      <c r="M116" s="1780" t="s">
        <v>1861</v>
      </c>
      <c r="N116" s="1768"/>
      <c r="O116" s="25">
        <f>SUM(O109:O111)</f>
        <v>0</v>
      </c>
      <c r="P116" s="93">
        <v>0.8</v>
      </c>
      <c r="Q116" s="25">
        <f>O116/P116</f>
        <v>0</v>
      </c>
      <c r="R116" s="1780" t="s">
        <v>1860</v>
      </c>
      <c r="S116" s="1767"/>
      <c r="T116" s="1768"/>
      <c r="U116" s="25">
        <f>SUM(U111:U113)</f>
        <v>0</v>
      </c>
      <c r="V116" s="93">
        <v>0.8</v>
      </c>
      <c r="W116" s="25">
        <f>U116/V116</f>
        <v>0</v>
      </c>
    </row>
    <row r="117" spans="1:23" x14ac:dyDescent="0.25">
      <c r="A117" s="529" t="str">
        <f>'Расчет ЦП - общая форма'!C406</f>
        <v xml:space="preserve">ПС 35/10 кВ Крапивня  </v>
      </c>
      <c r="B117" s="530">
        <f>'Расчет ЦП - общая форма'!D406</f>
        <v>2.5</v>
      </c>
      <c r="C117" s="511" t="str">
        <f>'Расчет ЦП - общая форма'!E406</f>
        <v>+</v>
      </c>
      <c r="D117" s="511">
        <f>'Расчет ЦП - общая форма'!F406</f>
        <v>2.5</v>
      </c>
      <c r="E117" s="511"/>
      <c r="F117" s="512"/>
      <c r="G117" s="1570" t="s">
        <v>3069</v>
      </c>
      <c r="H117" s="1769"/>
      <c r="I117" s="1769"/>
      <c r="J117" s="1769"/>
      <c r="K117" s="1769"/>
      <c r="L117" s="177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45"/>
    </row>
    <row r="118" spans="1:23" x14ac:dyDescent="0.25">
      <c r="A118" s="1220"/>
      <c r="B118" s="1216"/>
      <c r="C118" s="1217"/>
      <c r="D118" s="1217"/>
      <c r="E118" s="1217"/>
      <c r="F118" s="1215"/>
      <c r="G118" s="1518" t="s">
        <v>3483</v>
      </c>
      <c r="H118" s="1524"/>
      <c r="I118" s="1525"/>
      <c r="J118" s="1232">
        <v>0.15</v>
      </c>
      <c r="K118" s="92"/>
      <c r="L118" s="75"/>
      <c r="M118" s="94"/>
      <c r="N118" s="95"/>
      <c r="O118" s="92"/>
      <c r="P118" s="92"/>
      <c r="Q118" s="92"/>
      <c r="R118" s="94"/>
      <c r="S118" s="758"/>
      <c r="T118" s="95"/>
      <c r="U118" s="92"/>
      <c r="V118" s="92"/>
      <c r="W118" s="75"/>
    </row>
    <row r="119" spans="1:23" ht="21.75" customHeight="1" thickBot="1" x14ac:dyDescent="0.3">
      <c r="A119" s="405"/>
      <c r="B119" s="394"/>
      <c r="C119" s="395"/>
      <c r="D119" s="395"/>
      <c r="E119" s="395"/>
      <c r="F119" s="396"/>
      <c r="G119" s="1767" t="s">
        <v>1860</v>
      </c>
      <c r="H119" s="1767"/>
      <c r="I119" s="1768"/>
      <c r="J119" s="25">
        <f>SUM(J118)</f>
        <v>0.15</v>
      </c>
      <c r="K119" s="93">
        <v>0.8</v>
      </c>
      <c r="L119" s="25">
        <f>J119/K119</f>
        <v>0.18749999999999997</v>
      </c>
      <c r="M119" s="1780" t="s">
        <v>1861</v>
      </c>
      <c r="N119" s="1768"/>
      <c r="O119" s="25">
        <f>SUM(O117:O117)</f>
        <v>0</v>
      </c>
      <c r="P119" s="93">
        <v>0.8</v>
      </c>
      <c r="Q119" s="25">
        <f>O119/P119</f>
        <v>0</v>
      </c>
      <c r="R119" s="1780" t="s">
        <v>1860</v>
      </c>
      <c r="S119" s="1767"/>
      <c r="T119" s="1768"/>
      <c r="U119" s="25">
        <f>SUM(U117)</f>
        <v>0</v>
      </c>
      <c r="V119" s="93">
        <v>0.8</v>
      </c>
      <c r="W119" s="25">
        <f>U119/V119</f>
        <v>0</v>
      </c>
    </row>
    <row r="120" spans="1:23" x14ac:dyDescent="0.25">
      <c r="A120" s="1787" t="str">
        <f>'Расчет ЦП - общая форма'!C407</f>
        <v xml:space="preserve">ПС 35/10 кВ Светлица  </v>
      </c>
      <c r="B120" s="1612">
        <f>'Расчет ЦП - общая форма'!D407</f>
        <v>2.5</v>
      </c>
      <c r="C120" s="1614" t="str">
        <f>'Расчет ЦП - общая форма'!E407</f>
        <v>+</v>
      </c>
      <c r="D120" s="1614">
        <f>'Расчет ЦП - общая форма'!F407</f>
        <v>2.5</v>
      </c>
      <c r="E120" s="511"/>
      <c r="F120" s="512"/>
      <c r="G120" s="1570" t="s">
        <v>1989</v>
      </c>
      <c r="H120" s="1769"/>
      <c r="I120" s="1769"/>
      <c r="J120" s="1769"/>
      <c r="K120" s="1769"/>
      <c r="L120" s="1770"/>
      <c r="M120" s="118"/>
      <c r="N120" s="167"/>
      <c r="O120" s="75"/>
      <c r="P120" s="75"/>
      <c r="Q120" s="75"/>
      <c r="R120" s="1569" t="s">
        <v>1989</v>
      </c>
      <c r="S120" s="1769"/>
      <c r="T120" s="1769"/>
      <c r="U120" s="1769"/>
      <c r="V120" s="1769"/>
      <c r="W120" s="1770"/>
    </row>
    <row r="121" spans="1:23" ht="49.5" customHeight="1" x14ac:dyDescent="0.25">
      <c r="A121" s="1788"/>
      <c r="B121" s="1613"/>
      <c r="C121" s="1615"/>
      <c r="D121" s="1615"/>
      <c r="E121" s="502"/>
      <c r="F121" s="513"/>
      <c r="G121" s="306"/>
      <c r="H121" s="301"/>
      <c r="I121" s="301"/>
      <c r="J121" s="301"/>
      <c r="K121" s="8"/>
      <c r="L121" s="145"/>
      <c r="M121" s="145" t="s">
        <v>1640</v>
      </c>
      <c r="N121" s="145" t="s">
        <v>1641</v>
      </c>
      <c r="O121" s="8">
        <v>0.3</v>
      </c>
      <c r="P121" s="8"/>
      <c r="Q121" s="8"/>
      <c r="R121" s="345" t="s">
        <v>1638</v>
      </c>
      <c r="S121" s="345" t="s">
        <v>1639</v>
      </c>
      <c r="T121" s="345" t="s">
        <v>2525</v>
      </c>
      <c r="U121" s="345">
        <v>0.2</v>
      </c>
      <c r="V121" s="345"/>
      <c r="W121" s="353"/>
    </row>
    <row r="122" spans="1:23" ht="31.5" customHeight="1" x14ac:dyDescent="0.25">
      <c r="A122" s="531"/>
      <c r="B122" s="514"/>
      <c r="C122" s="502"/>
      <c r="D122" s="502"/>
      <c r="E122" s="502"/>
      <c r="F122" s="513"/>
      <c r="G122" s="96" t="s">
        <v>1642</v>
      </c>
      <c r="H122" s="8" t="s">
        <v>1643</v>
      </c>
      <c r="I122" s="8" t="s">
        <v>1644</v>
      </c>
      <c r="J122" s="8">
        <v>0.05</v>
      </c>
      <c r="K122" s="8"/>
      <c r="L122" s="145"/>
      <c r="M122" s="1" t="s">
        <v>2225</v>
      </c>
      <c r="N122" s="1" t="s">
        <v>2226</v>
      </c>
      <c r="O122" s="8">
        <v>0.04</v>
      </c>
      <c r="P122" s="8"/>
      <c r="Q122" s="8"/>
      <c r="R122" s="8"/>
      <c r="S122" s="8"/>
      <c r="T122" s="8"/>
      <c r="U122" s="8"/>
      <c r="V122" s="8"/>
      <c r="W122" s="145"/>
    </row>
    <row r="123" spans="1:23" ht="31.5" customHeight="1" x14ac:dyDescent="0.25">
      <c r="A123" s="531"/>
      <c r="B123" s="514"/>
      <c r="C123" s="502"/>
      <c r="D123" s="502"/>
      <c r="E123" s="502"/>
      <c r="F123" s="513"/>
      <c r="G123" s="1684" t="s">
        <v>3069</v>
      </c>
      <c r="H123" s="1759"/>
      <c r="I123" s="1759"/>
      <c r="J123" s="1759"/>
      <c r="K123" s="1759"/>
      <c r="L123" s="1760"/>
      <c r="M123" s="1" t="s">
        <v>3236</v>
      </c>
      <c r="N123" s="1" t="s">
        <v>3237</v>
      </c>
      <c r="O123" s="8">
        <f>0.04-0.015</f>
        <v>2.5000000000000001E-2</v>
      </c>
      <c r="P123" s="8"/>
      <c r="Q123" s="8"/>
      <c r="R123" s="8"/>
      <c r="S123" s="8"/>
      <c r="T123" s="8"/>
      <c r="U123" s="8"/>
      <c r="V123" s="8"/>
      <c r="W123" s="145"/>
    </row>
    <row r="124" spans="1:23" ht="32.25" customHeight="1" x14ac:dyDescent="0.25">
      <c r="A124" s="531"/>
      <c r="B124" s="514"/>
      <c r="C124" s="502"/>
      <c r="D124" s="502"/>
      <c r="E124" s="502"/>
      <c r="F124" s="513"/>
      <c r="G124" s="1" t="s">
        <v>3251</v>
      </c>
      <c r="H124" s="1" t="s">
        <v>3252</v>
      </c>
      <c r="I124" s="1" t="s">
        <v>3295</v>
      </c>
      <c r="J124" s="8">
        <v>4.4999999999999998E-2</v>
      </c>
      <c r="K124" s="8"/>
      <c r="L124" s="145"/>
      <c r="M124" s="1" t="s">
        <v>3316</v>
      </c>
      <c r="N124" s="1" t="s">
        <v>3317</v>
      </c>
      <c r="O124" s="8">
        <v>2.5000000000000001E-2</v>
      </c>
      <c r="P124" s="8"/>
      <c r="Q124" s="8"/>
      <c r="R124" s="8"/>
      <c r="S124" s="8"/>
      <c r="T124" s="8"/>
      <c r="U124" s="8"/>
      <c r="V124" s="8"/>
      <c r="W124" s="145"/>
    </row>
    <row r="125" spans="1:23" ht="32.25" customHeight="1" x14ac:dyDescent="0.25">
      <c r="A125" s="1172"/>
      <c r="B125" s="1168"/>
      <c r="C125" s="1169"/>
      <c r="D125" s="1169"/>
      <c r="E125" s="1169"/>
      <c r="F125" s="1171"/>
      <c r="G125" s="1"/>
      <c r="H125" s="1"/>
      <c r="I125" s="1"/>
      <c r="J125" s="8"/>
      <c r="K125" s="8"/>
      <c r="L125" s="145"/>
      <c r="M125" s="1" t="s">
        <v>3397</v>
      </c>
      <c r="N125" s="1" t="s">
        <v>3398</v>
      </c>
      <c r="O125" s="8">
        <v>0.03</v>
      </c>
      <c r="P125" s="8"/>
      <c r="Q125" s="8"/>
      <c r="R125" s="8"/>
      <c r="S125" s="8"/>
      <c r="T125" s="8"/>
      <c r="U125" s="8"/>
      <c r="V125" s="8"/>
      <c r="W125" s="145"/>
    </row>
    <row r="126" spans="1:23" ht="32.25" customHeight="1" x14ac:dyDescent="0.25">
      <c r="A126" s="1172"/>
      <c r="B126" s="1168"/>
      <c r="C126" s="1169"/>
      <c r="D126" s="1169"/>
      <c r="E126" s="1169"/>
      <c r="F126" s="1171"/>
      <c r="G126" s="1"/>
      <c r="H126" s="1"/>
      <c r="I126" s="1"/>
      <c r="J126" s="8"/>
      <c r="K126" s="8"/>
      <c r="L126" s="145"/>
      <c r="M126" s="1" t="s">
        <v>3397</v>
      </c>
      <c r="N126" s="1" t="s">
        <v>3399</v>
      </c>
      <c r="O126" s="8">
        <v>2.5000000000000001E-2</v>
      </c>
      <c r="P126" s="8"/>
      <c r="Q126" s="8"/>
      <c r="R126" s="8"/>
      <c r="S126" s="8"/>
      <c r="T126" s="8"/>
      <c r="U126" s="8"/>
      <c r="V126" s="8"/>
      <c r="W126" s="145"/>
    </row>
    <row r="127" spans="1:23" ht="17.25" customHeight="1" thickBot="1" x14ac:dyDescent="0.3">
      <c r="A127" s="405"/>
      <c r="B127" s="394"/>
      <c r="C127" s="395"/>
      <c r="D127" s="395"/>
      <c r="E127" s="395"/>
      <c r="F127" s="396"/>
      <c r="G127" s="1767" t="s">
        <v>1860</v>
      </c>
      <c r="H127" s="1767"/>
      <c r="I127" s="1768"/>
      <c r="J127" s="25">
        <f>SUM(J124)</f>
        <v>4.4999999999999998E-2</v>
      </c>
      <c r="K127" s="93">
        <v>0.8</v>
      </c>
      <c r="L127" s="25">
        <f>J127/K127</f>
        <v>5.6249999999999994E-2</v>
      </c>
      <c r="M127" s="1780" t="s">
        <v>1861</v>
      </c>
      <c r="N127" s="1768"/>
      <c r="O127" s="25">
        <f>SUM(O121:O126)</f>
        <v>0.44500000000000006</v>
      </c>
      <c r="P127" s="93">
        <v>0.8</v>
      </c>
      <c r="Q127" s="25">
        <f>O127/P127</f>
        <v>0.55625000000000002</v>
      </c>
      <c r="R127" s="1780" t="s">
        <v>1860</v>
      </c>
      <c r="S127" s="1767"/>
      <c r="T127" s="1768"/>
      <c r="U127" s="25">
        <f>SUM(U121:U124)</f>
        <v>0.2</v>
      </c>
      <c r="V127" s="93">
        <v>0.8</v>
      </c>
      <c r="W127" s="25">
        <f>U127/V127</f>
        <v>0.25</v>
      </c>
    </row>
    <row r="128" spans="1:23" x14ac:dyDescent="0.25">
      <c r="A128" s="529" t="str">
        <f>'Расчет ЦП - общая форма'!C408</f>
        <v xml:space="preserve">ПС  110/6 кВ КС-20  </v>
      </c>
      <c r="B128" s="530">
        <f>'Расчет ЦП - общая форма'!D408</f>
        <v>63</v>
      </c>
      <c r="C128" s="511" t="str">
        <f>'Расчет ЦП - общая форма'!E408</f>
        <v>+</v>
      </c>
      <c r="D128" s="511">
        <f>'Расчет ЦП - общая форма'!F408</f>
        <v>63</v>
      </c>
      <c r="E128" s="511"/>
      <c r="F128" s="512"/>
      <c r="G128" s="96"/>
      <c r="H128" s="8"/>
      <c r="I128" s="8"/>
      <c r="J128" s="8"/>
      <c r="K128" s="8"/>
      <c r="L128" s="145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45"/>
    </row>
    <row r="129" spans="1:23" ht="15" customHeight="1" thickBot="1" x14ac:dyDescent="0.3">
      <c r="A129" s="405"/>
      <c r="B129" s="394"/>
      <c r="C129" s="395"/>
      <c r="D129" s="395"/>
      <c r="E129" s="395"/>
      <c r="F129" s="396"/>
      <c r="G129" s="1767" t="s">
        <v>1860</v>
      </c>
      <c r="H129" s="1767"/>
      <c r="I129" s="1768"/>
      <c r="J129" s="25">
        <f>SUM(J128:J128)</f>
        <v>0</v>
      </c>
      <c r="K129" s="93">
        <v>0.8</v>
      </c>
      <c r="L129" s="25">
        <f>J129/K129</f>
        <v>0</v>
      </c>
      <c r="M129" s="1780" t="s">
        <v>1861</v>
      </c>
      <c r="N129" s="1768"/>
      <c r="O129" s="25">
        <f>SUM(O128:O128)</f>
        <v>0</v>
      </c>
      <c r="P129" s="93">
        <v>0.8</v>
      </c>
      <c r="Q129" s="25">
        <f>O129/P129</f>
        <v>0</v>
      </c>
      <c r="R129" s="1780" t="s">
        <v>1860</v>
      </c>
      <c r="S129" s="1767"/>
      <c r="T129" s="1768"/>
      <c r="U129" s="25">
        <f>SUM(U128:U128)</f>
        <v>0</v>
      </c>
      <c r="V129" s="93">
        <v>0.8</v>
      </c>
      <c r="W129" s="25">
        <f>U129/V129</f>
        <v>0</v>
      </c>
    </row>
    <row r="130" spans="1:23" ht="22.5" customHeight="1" x14ac:dyDescent="0.25">
      <c r="A130" s="1787" t="str">
        <f>'Расчет ЦП - общая форма'!C409</f>
        <v xml:space="preserve">ПС 110/10 кВ  Полиграфкраски </v>
      </c>
      <c r="B130" s="530">
        <f>'Расчет ЦП - общая форма'!D409</f>
        <v>10</v>
      </c>
      <c r="C130" s="511" t="str">
        <f>'Расчет ЦП - общая форма'!E409</f>
        <v>+</v>
      </c>
      <c r="D130" s="511">
        <f>'Расчет ЦП - общая форма'!F409</f>
        <v>10</v>
      </c>
      <c r="E130" s="511"/>
      <c r="F130" s="512"/>
      <c r="G130" s="1801" t="s">
        <v>2675</v>
      </c>
      <c r="H130" s="1802"/>
      <c r="I130" s="1802"/>
      <c r="J130" s="1802"/>
      <c r="K130" s="1802"/>
      <c r="L130" s="1803"/>
      <c r="M130" s="79" t="s">
        <v>860</v>
      </c>
      <c r="N130" s="79" t="s">
        <v>861</v>
      </c>
      <c r="O130" s="79">
        <v>0.2</v>
      </c>
      <c r="P130" s="8"/>
      <c r="Q130" s="8"/>
      <c r="R130" s="97"/>
      <c r="S130" s="97"/>
      <c r="T130" s="97"/>
      <c r="U130" s="8"/>
      <c r="V130" s="8"/>
      <c r="W130" s="145"/>
    </row>
    <row r="131" spans="1:23" ht="36.75" customHeight="1" x14ac:dyDescent="0.25">
      <c r="A131" s="1788"/>
      <c r="B131" s="636"/>
      <c r="C131" s="642"/>
      <c r="D131" s="642"/>
      <c r="E131" s="642"/>
      <c r="F131" s="648"/>
      <c r="G131" s="1" t="s">
        <v>2895</v>
      </c>
      <c r="H131" s="1" t="s">
        <v>2896</v>
      </c>
      <c r="I131" s="1" t="s">
        <v>2905</v>
      </c>
      <c r="J131" s="8">
        <v>0.4</v>
      </c>
      <c r="K131" s="8"/>
      <c r="L131" s="145"/>
      <c r="M131" s="1" t="s">
        <v>2614</v>
      </c>
      <c r="N131" s="1" t="s">
        <v>2615</v>
      </c>
      <c r="O131" s="8">
        <f>0.1-0.005</f>
        <v>9.5000000000000001E-2</v>
      </c>
      <c r="P131" s="8"/>
      <c r="Q131" s="8"/>
      <c r="R131" s="8"/>
      <c r="S131" s="8"/>
      <c r="T131" s="8"/>
      <c r="U131" s="8"/>
      <c r="V131" s="8"/>
      <c r="W131" s="145"/>
    </row>
    <row r="132" spans="1:23" ht="36.75" customHeight="1" x14ac:dyDescent="0.25">
      <c r="A132" s="704"/>
      <c r="B132" s="700"/>
      <c r="C132" s="701"/>
      <c r="D132" s="701"/>
      <c r="E132" s="701"/>
      <c r="F132" s="705"/>
      <c r="G132" s="1684" t="s">
        <v>3069</v>
      </c>
      <c r="H132" s="1759"/>
      <c r="I132" s="1759"/>
      <c r="J132" s="1759"/>
      <c r="K132" s="1759"/>
      <c r="L132" s="1760"/>
      <c r="M132" s="1" t="s">
        <v>2734</v>
      </c>
      <c r="N132" s="1" t="s">
        <v>2761</v>
      </c>
      <c r="O132" s="8">
        <v>8.3000000000000004E-2</v>
      </c>
      <c r="P132" s="8"/>
      <c r="Q132" s="8"/>
      <c r="R132" s="8"/>
      <c r="S132" s="8"/>
      <c r="T132" s="8"/>
      <c r="U132" s="8"/>
      <c r="V132" s="8"/>
      <c r="W132" s="145"/>
    </row>
    <row r="133" spans="1:23" ht="36.75" customHeight="1" x14ac:dyDescent="0.25">
      <c r="A133" s="759"/>
      <c r="B133" s="754"/>
      <c r="C133" s="755"/>
      <c r="D133" s="755"/>
      <c r="E133" s="755"/>
      <c r="F133" s="760"/>
      <c r="G133" s="19" t="s">
        <v>3426</v>
      </c>
      <c r="H133" s="20" t="s">
        <v>3427</v>
      </c>
      <c r="I133" s="1" t="s">
        <v>3440</v>
      </c>
      <c r="J133" s="8">
        <v>1.4999999999999999E-2</v>
      </c>
      <c r="K133" s="8"/>
      <c r="L133" s="145"/>
      <c r="M133" s="1" t="s">
        <v>2832</v>
      </c>
      <c r="N133" s="1" t="s">
        <v>2833</v>
      </c>
      <c r="O133" s="8">
        <v>8.3000000000000004E-2</v>
      </c>
      <c r="P133" s="92"/>
      <c r="Q133" s="92"/>
      <c r="R133" s="94"/>
      <c r="S133" s="758"/>
      <c r="T133" s="95"/>
      <c r="U133" s="92"/>
      <c r="V133" s="92"/>
      <c r="W133" s="75"/>
    </row>
    <row r="134" spans="1:23" ht="36.75" customHeight="1" x14ac:dyDescent="0.25">
      <c r="A134" s="794"/>
      <c r="B134" s="791"/>
      <c r="C134" s="792"/>
      <c r="D134" s="792"/>
      <c r="E134" s="792"/>
      <c r="F134" s="795"/>
      <c r="G134" s="1518" t="s">
        <v>3481</v>
      </c>
      <c r="H134" s="1524"/>
      <c r="I134" s="1525"/>
      <c r="J134" s="1231">
        <v>0.23799999999999999</v>
      </c>
      <c r="K134" s="8"/>
      <c r="L134" s="145"/>
      <c r="M134" s="1" t="s">
        <v>3098</v>
      </c>
      <c r="N134" s="1" t="s">
        <v>3099</v>
      </c>
      <c r="O134" s="8">
        <f>0.06</f>
        <v>0.06</v>
      </c>
      <c r="P134" s="92"/>
      <c r="Q134" s="92"/>
      <c r="R134" s="94"/>
      <c r="S134" s="758"/>
      <c r="T134" s="95"/>
      <c r="U134" s="92"/>
      <c r="V134" s="92"/>
      <c r="W134" s="75"/>
    </row>
    <row r="135" spans="1:23" ht="36.75" customHeight="1" x14ac:dyDescent="0.25">
      <c r="A135" s="1027"/>
      <c r="B135" s="1024"/>
      <c r="C135" s="1025"/>
      <c r="D135" s="1025"/>
      <c r="E135" s="1025"/>
      <c r="F135" s="1026"/>
      <c r="G135" s="1684" t="s">
        <v>3537</v>
      </c>
      <c r="H135" s="1759"/>
      <c r="I135" s="1759"/>
      <c r="J135" s="1759"/>
      <c r="K135" s="1759"/>
      <c r="L135" s="1760"/>
      <c r="M135" s="1" t="s">
        <v>1891</v>
      </c>
      <c r="N135" s="1" t="s">
        <v>3125</v>
      </c>
      <c r="O135" s="8">
        <v>0.09</v>
      </c>
      <c r="P135" s="92"/>
      <c r="Q135" s="92"/>
      <c r="R135" s="94"/>
      <c r="S135" s="758"/>
      <c r="T135" s="95"/>
      <c r="U135" s="92"/>
      <c r="V135" s="92"/>
      <c r="W135" s="75"/>
    </row>
    <row r="136" spans="1:23" ht="36.75" customHeight="1" x14ac:dyDescent="0.25">
      <c r="A136" s="1099"/>
      <c r="B136" s="1097"/>
      <c r="C136" s="1098"/>
      <c r="D136" s="1098"/>
      <c r="E136" s="1098"/>
      <c r="F136" s="1096"/>
      <c r="G136" s="1264" t="s">
        <v>3428</v>
      </c>
      <c r="H136" s="1264" t="s">
        <v>3429</v>
      </c>
      <c r="I136" s="1264" t="s">
        <v>3541</v>
      </c>
      <c r="J136" s="8">
        <v>2.8000000000000001E-2</v>
      </c>
      <c r="K136" s="8"/>
      <c r="L136" s="145"/>
      <c r="M136" s="1264" t="s">
        <v>3260</v>
      </c>
      <c r="N136" s="1264" t="s">
        <v>3522</v>
      </c>
      <c r="O136" s="8">
        <v>0.11</v>
      </c>
      <c r="P136" s="8"/>
      <c r="Q136" s="8"/>
      <c r="R136" s="94"/>
      <c r="S136" s="758"/>
      <c r="T136" s="95"/>
      <c r="U136" s="92"/>
      <c r="V136" s="92"/>
      <c r="W136" s="75"/>
    </row>
    <row r="137" spans="1:23" ht="36.75" customHeight="1" x14ac:dyDescent="0.25">
      <c r="A137" s="1149"/>
      <c r="B137" s="1145"/>
      <c r="C137" s="1146"/>
      <c r="D137" s="1146"/>
      <c r="E137" s="1146"/>
      <c r="F137" s="1144"/>
      <c r="G137" s="8"/>
      <c r="H137" s="8"/>
      <c r="I137" s="8"/>
      <c r="J137" s="8"/>
      <c r="K137" s="8"/>
      <c r="L137" s="145"/>
      <c r="M137" s="19"/>
      <c r="N137" s="20"/>
      <c r="O137" s="92"/>
      <c r="P137" s="92"/>
      <c r="Q137" s="92"/>
      <c r="R137" s="94"/>
      <c r="S137" s="758"/>
      <c r="T137" s="95"/>
      <c r="U137" s="92"/>
      <c r="V137" s="92"/>
      <c r="W137" s="75"/>
    </row>
    <row r="138" spans="1:23" ht="36.75" customHeight="1" x14ac:dyDescent="0.25">
      <c r="A138" s="1181"/>
      <c r="B138" s="1178"/>
      <c r="C138" s="1179"/>
      <c r="D138" s="1179"/>
      <c r="E138" s="1179"/>
      <c r="F138" s="1177"/>
      <c r="G138" s="8"/>
      <c r="H138" s="8"/>
      <c r="I138" s="8"/>
      <c r="J138" s="8"/>
      <c r="K138" s="8"/>
      <c r="L138" s="145"/>
      <c r="M138" s="1"/>
      <c r="N138" s="1"/>
      <c r="O138" s="8"/>
      <c r="P138" s="92"/>
      <c r="Q138" s="92"/>
      <c r="R138" s="94"/>
      <c r="S138" s="758"/>
      <c r="T138" s="95"/>
      <c r="U138" s="92"/>
      <c r="V138" s="92"/>
      <c r="W138" s="75"/>
    </row>
    <row r="139" spans="1:23" ht="19.5" customHeight="1" thickBot="1" x14ac:dyDescent="0.3">
      <c r="A139" s="405"/>
      <c r="B139" s="394"/>
      <c r="C139" s="395"/>
      <c r="D139" s="395"/>
      <c r="E139" s="395"/>
      <c r="F139" s="396"/>
      <c r="G139" s="1767" t="s">
        <v>1860</v>
      </c>
      <c r="H139" s="1767"/>
      <c r="I139" s="1768"/>
      <c r="J139" s="25">
        <f>SUM(J130:J136)</f>
        <v>0.68100000000000005</v>
      </c>
      <c r="K139" s="93">
        <v>0.8</v>
      </c>
      <c r="L139" s="25">
        <f>J139/K139</f>
        <v>0.85125000000000006</v>
      </c>
      <c r="M139" s="1780" t="s">
        <v>1861</v>
      </c>
      <c r="N139" s="1768"/>
      <c r="O139" s="25">
        <f>SUM(O130:O138)</f>
        <v>0.72100000000000009</v>
      </c>
      <c r="P139" s="93">
        <v>0.8</v>
      </c>
      <c r="Q139" s="25">
        <f>O139/P139</f>
        <v>0.90125000000000011</v>
      </c>
      <c r="R139" s="1780" t="s">
        <v>1860</v>
      </c>
      <c r="S139" s="1767"/>
      <c r="T139" s="1768"/>
      <c r="U139" s="25">
        <f>SUM(U130:U130)</f>
        <v>0</v>
      </c>
      <c r="V139" s="93">
        <v>0.8</v>
      </c>
      <c r="W139" s="25">
        <f>U139/V139</f>
        <v>0</v>
      </c>
    </row>
    <row r="140" spans="1:23" s="3" customFormat="1" ht="65.25" customHeight="1" x14ac:dyDescent="0.25">
      <c r="A140" s="529" t="str">
        <f>'Расчет ЦП - общая форма'!C410</f>
        <v xml:space="preserve">ПС 110/10 кВ НПС Торжок </v>
      </c>
      <c r="B140" s="530">
        <f>'Расчет ЦП - общая форма'!D410</f>
        <v>25</v>
      </c>
      <c r="C140" s="511" t="str">
        <f>'Расчет ЦП - общая форма'!E410</f>
        <v>+</v>
      </c>
      <c r="D140" s="511">
        <f>'Расчет ЦП - общая форма'!F410</f>
        <v>25</v>
      </c>
      <c r="E140" s="511"/>
      <c r="F140" s="512"/>
      <c r="G140" s="89"/>
      <c r="H140" s="79"/>
      <c r="I140" s="79"/>
      <c r="J140" s="79"/>
      <c r="K140" s="79"/>
      <c r="L140" s="76"/>
      <c r="M140" s="10" t="s">
        <v>1479</v>
      </c>
      <c r="N140" s="10" t="s">
        <v>1480</v>
      </c>
      <c r="O140" s="79">
        <v>6.8699999999999997E-2</v>
      </c>
      <c r="P140" s="79"/>
      <c r="Q140" s="8"/>
      <c r="R140" s="79"/>
      <c r="S140" s="79"/>
      <c r="T140" s="79"/>
      <c r="U140" s="79"/>
      <c r="V140" s="79"/>
      <c r="W140" s="76"/>
    </row>
    <row r="141" spans="1:23" s="3" customFormat="1" ht="22.5" customHeight="1" x14ac:dyDescent="0.25">
      <c r="A141" s="647"/>
      <c r="B141" s="636"/>
      <c r="C141" s="642"/>
      <c r="D141" s="642"/>
      <c r="E141" s="642"/>
      <c r="F141" s="648"/>
      <c r="G141" s="8"/>
      <c r="H141" s="8"/>
      <c r="I141" s="8"/>
      <c r="J141" s="8"/>
      <c r="K141" s="8"/>
      <c r="L141" s="145"/>
      <c r="M141" s="11"/>
      <c r="N141" s="11"/>
      <c r="O141" s="8"/>
      <c r="P141" s="8"/>
      <c r="Q141" s="8"/>
      <c r="R141" s="8"/>
      <c r="S141" s="8"/>
      <c r="T141" s="8"/>
      <c r="U141" s="8"/>
      <c r="V141" s="8"/>
      <c r="W141" s="145"/>
    </row>
    <row r="142" spans="1:23" ht="21" customHeight="1" thickBot="1" x14ac:dyDescent="0.3">
      <c r="A142" s="405"/>
      <c r="B142" s="394"/>
      <c r="C142" s="395"/>
      <c r="D142" s="395"/>
      <c r="E142" s="395"/>
      <c r="F142" s="396"/>
      <c r="G142" s="1767" t="s">
        <v>1860</v>
      </c>
      <c r="H142" s="1767"/>
      <c r="I142" s="1768"/>
      <c r="J142" s="25">
        <f>SUM(J140:J140)</f>
        <v>0</v>
      </c>
      <c r="K142" s="93">
        <v>0.8</v>
      </c>
      <c r="L142" s="25">
        <f>J142/K142</f>
        <v>0</v>
      </c>
      <c r="M142" s="1780" t="s">
        <v>1861</v>
      </c>
      <c r="N142" s="1768"/>
      <c r="O142" s="25">
        <f>SUM(O140:O140)</f>
        <v>6.8699999999999997E-2</v>
      </c>
      <c r="P142" s="93">
        <v>0.8</v>
      </c>
      <c r="Q142" s="25">
        <f>O142/P142</f>
        <v>8.5874999999999993E-2</v>
      </c>
      <c r="R142" s="1780" t="s">
        <v>1860</v>
      </c>
      <c r="S142" s="1767"/>
      <c r="T142" s="1768"/>
      <c r="U142" s="25">
        <f>SUM(U140:U140)</f>
        <v>0</v>
      </c>
      <c r="V142" s="93">
        <v>0.8</v>
      </c>
      <c r="W142" s="25">
        <f>U142/V142</f>
        <v>0</v>
      </c>
    </row>
    <row r="143" spans="1:23" x14ac:dyDescent="0.25">
      <c r="A143" s="529" t="str">
        <f>'Расчет ЦП - общая форма'!C411</f>
        <v xml:space="preserve">ПС 110/10 кВ Селихово </v>
      </c>
      <c r="B143" s="530">
        <f>'Расчет ЦП - общая форма'!D411</f>
        <v>2.5</v>
      </c>
      <c r="C143" s="511" t="str">
        <f>'Расчет ЦП - общая форма'!E411</f>
        <v>+</v>
      </c>
      <c r="D143" s="511">
        <f>'Расчет ЦП - общая форма'!F411</f>
        <v>2.5</v>
      </c>
      <c r="E143" s="511"/>
      <c r="F143" s="512"/>
      <c r="G143" s="1663" t="s">
        <v>3069</v>
      </c>
      <c r="H143" s="1663"/>
      <c r="I143" s="1663"/>
      <c r="J143" s="1663"/>
      <c r="K143" s="1663"/>
      <c r="L143" s="1664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45"/>
    </row>
    <row r="144" spans="1:23" x14ac:dyDescent="0.25">
      <c r="A144" s="1220"/>
      <c r="B144" s="1216"/>
      <c r="C144" s="1217"/>
      <c r="D144" s="1217"/>
      <c r="E144" s="1217"/>
      <c r="F144" s="1215"/>
      <c r="G144" s="1518" t="s">
        <v>3481</v>
      </c>
      <c r="H144" s="1524"/>
      <c r="I144" s="1525"/>
      <c r="J144" s="1231">
        <v>0.122</v>
      </c>
      <c r="K144" s="92"/>
      <c r="L144" s="75"/>
      <c r="M144" s="94"/>
      <c r="N144" s="95"/>
      <c r="O144" s="92"/>
      <c r="P144" s="92"/>
      <c r="Q144" s="92"/>
      <c r="R144" s="94"/>
      <c r="S144" s="758"/>
      <c r="T144" s="95"/>
      <c r="U144" s="92"/>
      <c r="V144" s="92"/>
      <c r="W144" s="75"/>
    </row>
    <row r="145" spans="1:23" ht="19.5" customHeight="1" thickBot="1" x14ac:dyDescent="0.3">
      <c r="A145" s="405"/>
      <c r="B145" s="394"/>
      <c r="C145" s="395"/>
      <c r="D145" s="395"/>
      <c r="E145" s="395"/>
      <c r="F145" s="396"/>
      <c r="G145" s="1767" t="s">
        <v>1860</v>
      </c>
      <c r="H145" s="1767"/>
      <c r="I145" s="1768"/>
      <c r="J145" s="25">
        <f>SUM(J143:J144)</f>
        <v>0.122</v>
      </c>
      <c r="K145" s="93">
        <v>0.8</v>
      </c>
      <c r="L145" s="25">
        <f>J145/K145</f>
        <v>0.1525</v>
      </c>
      <c r="M145" s="1780" t="s">
        <v>1861</v>
      </c>
      <c r="N145" s="1768"/>
      <c r="O145" s="25">
        <f>SUM(O143:O143)</f>
        <v>0</v>
      </c>
      <c r="P145" s="93">
        <v>0.8</v>
      </c>
      <c r="Q145" s="25">
        <f>O145/P145</f>
        <v>0</v>
      </c>
      <c r="R145" s="1780" t="s">
        <v>1860</v>
      </c>
      <c r="S145" s="1767"/>
      <c r="T145" s="1768"/>
      <c r="U145" s="25">
        <f>SUM(U143:U143)</f>
        <v>0</v>
      </c>
      <c r="V145" s="93">
        <v>0.8</v>
      </c>
      <c r="W145" s="25">
        <f>U145/V145</f>
        <v>0</v>
      </c>
    </row>
    <row r="146" spans="1:23" ht="19.5" customHeight="1" x14ac:dyDescent="0.25">
      <c r="A146" s="1787" t="str">
        <f>'Расчет ЦП - общая форма'!C412</f>
        <v xml:space="preserve">ПС 110/10 кВ Пено </v>
      </c>
      <c r="B146" s="1612">
        <f>'Расчет ЦП - общая форма'!D412</f>
        <v>6.3</v>
      </c>
      <c r="C146" s="1614" t="str">
        <f>'Расчет ЦП - общая форма'!E412</f>
        <v>+</v>
      </c>
      <c r="D146" s="1614">
        <f>'Расчет ЦП - общая форма'!F412</f>
        <v>6.3</v>
      </c>
      <c r="E146" s="511"/>
      <c r="F146" s="512"/>
      <c r="G146" s="1570" t="s">
        <v>1989</v>
      </c>
      <c r="H146" s="1769"/>
      <c r="I146" s="1769"/>
      <c r="J146" s="1769"/>
      <c r="K146" s="1769"/>
      <c r="L146" s="1770"/>
      <c r="M146" s="42" t="s">
        <v>1653</v>
      </c>
      <c r="N146" s="42" t="s">
        <v>1654</v>
      </c>
      <c r="O146" s="42">
        <v>0.02</v>
      </c>
      <c r="P146" s="74"/>
      <c r="Q146" s="74"/>
      <c r="R146" s="1566"/>
      <c r="S146" s="1778"/>
      <c r="T146" s="1778"/>
      <c r="U146" s="1778"/>
      <c r="V146" s="1778"/>
      <c r="W146" s="1779"/>
    </row>
    <row r="147" spans="1:23" ht="53.25" customHeight="1" x14ac:dyDescent="0.25">
      <c r="A147" s="1788"/>
      <c r="B147" s="1613"/>
      <c r="C147" s="1615"/>
      <c r="D147" s="1615"/>
      <c r="E147" s="502"/>
      <c r="F147" s="513"/>
      <c r="G147" s="262" t="s">
        <v>1650</v>
      </c>
      <c r="H147" s="42" t="s">
        <v>1651</v>
      </c>
      <c r="I147" s="42" t="s">
        <v>1652</v>
      </c>
      <c r="J147" s="42">
        <v>0.02</v>
      </c>
      <c r="K147" s="42"/>
      <c r="L147" s="72"/>
      <c r="M147" s="145" t="s">
        <v>1658</v>
      </c>
      <c r="N147" s="8" t="s">
        <v>1659</v>
      </c>
      <c r="O147" s="8">
        <v>0.05</v>
      </c>
      <c r="P147" s="42"/>
      <c r="Q147" s="42"/>
      <c r="R147" s="72"/>
      <c r="S147" s="72"/>
      <c r="T147" s="72"/>
      <c r="U147" s="72"/>
      <c r="V147" s="72"/>
      <c r="W147" s="72"/>
    </row>
    <row r="148" spans="1:23" ht="30" x14ac:dyDescent="0.25">
      <c r="A148" s="531"/>
      <c r="B148" s="514"/>
      <c r="C148" s="502"/>
      <c r="D148" s="502"/>
      <c r="E148" s="502"/>
      <c r="F148" s="513"/>
      <c r="G148" s="262" t="s">
        <v>1655</v>
      </c>
      <c r="H148" s="42" t="s">
        <v>1656</v>
      </c>
      <c r="I148" s="42" t="s">
        <v>1657</v>
      </c>
      <c r="J148" s="42">
        <v>0.08</v>
      </c>
      <c r="K148" s="42"/>
      <c r="L148" s="72"/>
      <c r="M148" s="8" t="s">
        <v>1660</v>
      </c>
      <c r="N148" s="8" t="s">
        <v>1661</v>
      </c>
      <c r="O148" s="8">
        <v>8.0000000000000002E-3</v>
      </c>
      <c r="P148" s="42"/>
      <c r="Q148" s="42"/>
      <c r="R148" s="72"/>
      <c r="S148" s="72"/>
      <c r="T148" s="72"/>
      <c r="U148" s="72"/>
      <c r="V148" s="72"/>
      <c r="W148" s="72"/>
    </row>
    <row r="149" spans="1:23" ht="30" x14ac:dyDescent="0.25">
      <c r="A149" s="531"/>
      <c r="B149" s="514"/>
      <c r="C149" s="502"/>
      <c r="D149" s="502"/>
      <c r="E149" s="502"/>
      <c r="F149" s="513"/>
      <c r="G149" s="1663" t="s">
        <v>1987</v>
      </c>
      <c r="H149" s="1663"/>
      <c r="I149" s="1663"/>
      <c r="J149" s="1663"/>
      <c r="K149" s="1663"/>
      <c r="L149" s="1664"/>
      <c r="M149" s="8" t="s">
        <v>1660</v>
      </c>
      <c r="N149" s="8" t="s">
        <v>1665</v>
      </c>
      <c r="O149" s="8">
        <v>3.0000000000000001E-3</v>
      </c>
      <c r="P149" s="42"/>
      <c r="Q149" s="42"/>
      <c r="R149" s="1680"/>
      <c r="S149" s="1681"/>
      <c r="T149" s="1681"/>
      <c r="U149" s="1681"/>
      <c r="V149" s="1681"/>
      <c r="W149" s="1408"/>
    </row>
    <row r="150" spans="1:23" ht="60" x14ac:dyDescent="0.25">
      <c r="A150" s="531"/>
      <c r="B150" s="514"/>
      <c r="C150" s="502"/>
      <c r="D150" s="502"/>
      <c r="E150" s="502"/>
      <c r="F150" s="513"/>
      <c r="G150" s="95" t="s">
        <v>1662</v>
      </c>
      <c r="H150" s="92" t="s">
        <v>1663</v>
      </c>
      <c r="I150" s="92" t="s">
        <v>1664</v>
      </c>
      <c r="J150" s="92">
        <v>0.02</v>
      </c>
      <c r="K150" s="159"/>
      <c r="L150" s="157"/>
      <c r="M150" s="24" t="s">
        <v>319</v>
      </c>
      <c r="N150" s="24" t="s">
        <v>796</v>
      </c>
      <c r="O150" s="92">
        <v>3.5000000000000003E-2</v>
      </c>
      <c r="P150" s="159"/>
      <c r="Q150" s="159"/>
      <c r="R150" s="75"/>
      <c r="S150" s="75"/>
      <c r="T150" s="357"/>
      <c r="U150" s="75"/>
      <c r="V150" s="157"/>
      <c r="W150" s="157"/>
    </row>
    <row r="151" spans="1:23" ht="34.5" customHeight="1" x14ac:dyDescent="0.25">
      <c r="A151" s="727"/>
      <c r="B151" s="725"/>
      <c r="C151" s="724"/>
      <c r="D151" s="724"/>
      <c r="E151" s="724"/>
      <c r="F151" s="726"/>
      <c r="G151" s="1663" t="s">
        <v>2512</v>
      </c>
      <c r="H151" s="1663"/>
      <c r="I151" s="1663"/>
      <c r="J151" s="1663"/>
      <c r="K151" s="1663"/>
      <c r="L151" s="1664"/>
      <c r="M151" s="1" t="s">
        <v>2767</v>
      </c>
      <c r="N151" s="1" t="s">
        <v>2768</v>
      </c>
      <c r="O151" s="8">
        <f>0.25-0.02</f>
        <v>0.23</v>
      </c>
      <c r="P151" s="143"/>
      <c r="Q151" s="143"/>
      <c r="R151" s="145"/>
      <c r="S151" s="145"/>
      <c r="T151" s="344"/>
      <c r="U151" s="145"/>
      <c r="V151" s="142"/>
      <c r="W151" s="142"/>
    </row>
    <row r="152" spans="1:23" ht="68.25" customHeight="1" x14ac:dyDescent="0.25">
      <c r="A152" s="759"/>
      <c r="B152" s="754"/>
      <c r="C152" s="755"/>
      <c r="D152" s="755"/>
      <c r="E152" s="755"/>
      <c r="F152" s="760"/>
      <c r="G152" s="1" t="s">
        <v>2797</v>
      </c>
      <c r="H152" s="1" t="s">
        <v>2798</v>
      </c>
      <c r="I152" s="1" t="s">
        <v>2853</v>
      </c>
      <c r="J152" s="1">
        <f>0.083-0.023</f>
        <v>6.0000000000000005E-2</v>
      </c>
      <c r="K152" s="143"/>
      <c r="L152" s="142"/>
      <c r="M152" s="1"/>
      <c r="N152" s="1"/>
      <c r="O152" s="1"/>
      <c r="P152" s="143"/>
      <c r="Q152" s="143"/>
      <c r="R152" s="145"/>
      <c r="S152" s="145"/>
      <c r="T152" s="344"/>
      <c r="U152" s="145"/>
      <c r="V152" s="142"/>
      <c r="W152" s="142"/>
    </row>
    <row r="153" spans="1:23" ht="75" x14ac:dyDescent="0.25">
      <c r="A153" s="759"/>
      <c r="B153" s="754"/>
      <c r="C153" s="755"/>
      <c r="D153" s="755"/>
      <c r="E153" s="755"/>
      <c r="F153" s="760"/>
      <c r="G153" s="1" t="s">
        <v>2815</v>
      </c>
      <c r="H153" s="1" t="s">
        <v>2816</v>
      </c>
      <c r="I153" s="1" t="s">
        <v>2863</v>
      </c>
      <c r="J153" s="1">
        <v>0.1</v>
      </c>
      <c r="K153" s="143"/>
      <c r="L153" s="142"/>
      <c r="M153" s="1"/>
      <c r="N153" s="1"/>
      <c r="O153" s="1"/>
      <c r="P153" s="143"/>
      <c r="Q153" s="143"/>
      <c r="R153" s="145"/>
      <c r="S153" s="145"/>
      <c r="T153" s="344"/>
      <c r="U153" s="145"/>
      <c r="V153" s="142"/>
      <c r="W153" s="142"/>
    </row>
    <row r="154" spans="1:23" ht="15" customHeight="1" x14ac:dyDescent="0.25">
      <c r="A154" s="891"/>
      <c r="B154" s="888"/>
      <c r="C154" s="887"/>
      <c r="D154" s="887"/>
      <c r="E154" s="887"/>
      <c r="F154" s="892"/>
      <c r="G154" s="1489" t="s">
        <v>3074</v>
      </c>
      <c r="H154" s="1489"/>
      <c r="I154" s="1489"/>
      <c r="J154" s="912">
        <v>0.1898</v>
      </c>
      <c r="K154" s="151"/>
      <c r="L154" s="149"/>
      <c r="M154" s="19"/>
      <c r="N154" s="20"/>
      <c r="O154" s="24"/>
      <c r="P154" s="151"/>
      <c r="Q154" s="151"/>
      <c r="R154" s="118"/>
      <c r="S154" s="801"/>
      <c r="T154" s="741"/>
      <c r="U154" s="75"/>
      <c r="V154" s="149"/>
      <c r="W154" s="149"/>
    </row>
    <row r="155" spans="1:23" ht="15" customHeight="1" x14ac:dyDescent="0.25">
      <c r="A155" s="1041"/>
      <c r="B155" s="1038"/>
      <c r="C155" s="1039"/>
      <c r="D155" s="1039"/>
      <c r="E155" s="1039"/>
      <c r="F155" s="1037"/>
      <c r="G155" s="1663" t="s">
        <v>3069</v>
      </c>
      <c r="H155" s="1663"/>
      <c r="I155" s="1663"/>
      <c r="J155" s="1663"/>
      <c r="K155" s="1663"/>
      <c r="L155" s="1664"/>
      <c r="M155" s="19"/>
      <c r="N155" s="20"/>
      <c r="O155" s="24"/>
      <c r="P155" s="151"/>
      <c r="Q155" s="151"/>
      <c r="R155" s="118"/>
      <c r="S155" s="801"/>
      <c r="T155" s="741"/>
      <c r="U155" s="75"/>
      <c r="V155" s="149"/>
      <c r="W155" s="149"/>
    </row>
    <row r="156" spans="1:23" ht="93.75" customHeight="1" x14ac:dyDescent="0.25">
      <c r="A156" s="1041"/>
      <c r="B156" s="1038"/>
      <c r="C156" s="1039"/>
      <c r="D156" s="1039"/>
      <c r="E156" s="1039"/>
      <c r="F156" s="1037"/>
      <c r="G156" s="1" t="s">
        <v>3119</v>
      </c>
      <c r="H156" s="1" t="s">
        <v>3120</v>
      </c>
      <c r="I156" s="20" t="s">
        <v>3131</v>
      </c>
      <c r="J156" s="20">
        <v>0.1</v>
      </c>
      <c r="K156" s="151"/>
      <c r="L156" s="149"/>
      <c r="M156" s="19"/>
      <c r="N156" s="20"/>
      <c r="O156" s="24"/>
      <c r="P156" s="151"/>
      <c r="Q156" s="151"/>
      <c r="R156" s="118"/>
      <c r="S156" s="801"/>
      <c r="T156" s="741"/>
      <c r="U156" s="75"/>
      <c r="V156" s="149"/>
      <c r="W156" s="149"/>
    </row>
    <row r="157" spans="1:23" ht="24" customHeight="1" x14ac:dyDescent="0.25">
      <c r="A157" s="1220"/>
      <c r="B157" s="1216"/>
      <c r="C157" s="1217"/>
      <c r="D157" s="1217"/>
      <c r="E157" s="1217"/>
      <c r="F157" s="1215"/>
      <c r="G157" s="1518" t="s">
        <v>3481</v>
      </c>
      <c r="H157" s="1519"/>
      <c r="I157" s="1520"/>
      <c r="J157" s="1241">
        <v>0.4476</v>
      </c>
      <c r="K157" s="151"/>
      <c r="L157" s="149"/>
      <c r="M157" s="19"/>
      <c r="N157" s="20"/>
      <c r="O157" s="24"/>
      <c r="P157" s="151"/>
      <c r="Q157" s="151"/>
      <c r="R157" s="118"/>
      <c r="S157" s="801"/>
      <c r="T157" s="741"/>
      <c r="U157" s="75"/>
      <c r="V157" s="149"/>
      <c r="W157" s="149"/>
    </row>
    <row r="158" spans="1:23" ht="15.75" customHeight="1" thickBot="1" x14ac:dyDescent="0.3">
      <c r="A158" s="405"/>
      <c r="B158" s="394"/>
      <c r="C158" s="395"/>
      <c r="D158" s="395"/>
      <c r="E158" s="395"/>
      <c r="F158" s="396"/>
      <c r="G158" s="1767" t="s">
        <v>1860</v>
      </c>
      <c r="H158" s="1767"/>
      <c r="I158" s="1768"/>
      <c r="J158" s="25">
        <f>SUM(J152:J157)</f>
        <v>0.89739999999999998</v>
      </c>
      <c r="K158" s="93">
        <v>0.8</v>
      </c>
      <c r="L158" s="25">
        <f>J158/K158</f>
        <v>1.1217499999999998</v>
      </c>
      <c r="M158" s="1780" t="s">
        <v>1861</v>
      </c>
      <c r="N158" s="1768"/>
      <c r="O158" s="25">
        <f>SUM(O146:O152)</f>
        <v>0.34600000000000003</v>
      </c>
      <c r="P158" s="93">
        <v>0.8</v>
      </c>
      <c r="Q158" s="25">
        <f>O158/P158</f>
        <v>0.4325</v>
      </c>
      <c r="R158" s="1780" t="s">
        <v>1860</v>
      </c>
      <c r="S158" s="1767"/>
      <c r="T158" s="1768"/>
      <c r="U158" s="25">
        <f>SUM(U150:U150)</f>
        <v>0</v>
      </c>
      <c r="V158" s="93">
        <v>0.8</v>
      </c>
      <c r="W158" s="25">
        <f>U158/V158</f>
        <v>0</v>
      </c>
    </row>
    <row r="159" spans="1:23" x14ac:dyDescent="0.25">
      <c r="A159" s="1787" t="str">
        <f>'Расчет ЦП - общая форма'!C413</f>
        <v xml:space="preserve">ПС 110/35/10 кВ Торжок  </v>
      </c>
      <c r="B159" s="1612">
        <f>'Расчет ЦП - общая форма'!D413</f>
        <v>40</v>
      </c>
      <c r="C159" s="1614" t="str">
        <f>'Расчет ЦП - общая форма'!E413</f>
        <v>+</v>
      </c>
      <c r="D159" s="1614">
        <f>'Расчет ЦП - общая форма'!F413</f>
        <v>40</v>
      </c>
      <c r="E159" s="1614"/>
      <c r="F159" s="1610"/>
      <c r="G159" s="1570" t="s">
        <v>1988</v>
      </c>
      <c r="H159" s="1769"/>
      <c r="I159" s="1769"/>
      <c r="J159" s="1769"/>
      <c r="K159" s="1769"/>
      <c r="L159" s="1770"/>
      <c r="M159" s="164"/>
      <c r="N159" s="166"/>
      <c r="O159" s="74"/>
      <c r="P159" s="74"/>
      <c r="Q159" s="74"/>
      <c r="R159" s="1569" t="s">
        <v>1988</v>
      </c>
      <c r="S159" s="1769"/>
      <c r="T159" s="1769"/>
      <c r="U159" s="1769"/>
      <c r="V159" s="1769"/>
      <c r="W159" s="1770"/>
    </row>
    <row r="160" spans="1:23" ht="42" customHeight="1" thickBot="1" x14ac:dyDescent="0.3">
      <c r="A160" s="1788"/>
      <c r="B160" s="1613"/>
      <c r="C160" s="1615"/>
      <c r="D160" s="1615"/>
      <c r="E160" s="1615"/>
      <c r="F160" s="1611"/>
      <c r="G160" s="89" t="s">
        <v>852</v>
      </c>
      <c r="H160" s="79" t="s">
        <v>853</v>
      </c>
      <c r="I160" s="79" t="s">
        <v>854</v>
      </c>
      <c r="J160" s="79">
        <v>4.6500000000000004</v>
      </c>
      <c r="K160" s="79"/>
      <c r="L160" s="76"/>
      <c r="O160" s="79"/>
      <c r="P160" s="79"/>
      <c r="Q160" s="79"/>
      <c r="R160" s="79"/>
      <c r="S160" s="79"/>
      <c r="T160" s="79"/>
      <c r="U160" s="79"/>
      <c r="V160" s="79"/>
      <c r="W160" s="76"/>
    </row>
    <row r="161" spans="1:23" ht="48" customHeight="1" x14ac:dyDescent="0.25">
      <c r="A161" s="531"/>
      <c r="B161" s="514"/>
      <c r="C161" s="502"/>
      <c r="D161" s="502"/>
      <c r="E161" s="502"/>
      <c r="F161" s="513"/>
      <c r="G161" s="1570" t="s">
        <v>3069</v>
      </c>
      <c r="H161" s="1769"/>
      <c r="I161" s="1769"/>
      <c r="J161" s="1769"/>
      <c r="K161" s="1769"/>
      <c r="L161" s="1770"/>
      <c r="M161" s="8" t="s">
        <v>857</v>
      </c>
      <c r="N161" s="8" t="s">
        <v>858</v>
      </c>
      <c r="O161" s="8">
        <v>0.05</v>
      </c>
      <c r="P161" s="8"/>
      <c r="Q161" s="8"/>
      <c r="R161" s="338" t="s">
        <v>855</v>
      </c>
      <c r="S161" s="338" t="s">
        <v>856</v>
      </c>
      <c r="T161" s="345" t="s">
        <v>2517</v>
      </c>
      <c r="U161" s="345">
        <v>4.2000000000000003E-2</v>
      </c>
      <c r="V161" s="345"/>
      <c r="W161" s="353"/>
    </row>
    <row r="162" spans="1:23" ht="57.75" customHeight="1" x14ac:dyDescent="0.25">
      <c r="A162" s="531"/>
      <c r="B162" s="514"/>
      <c r="C162" s="502"/>
      <c r="D162" s="502"/>
      <c r="E162" s="502"/>
      <c r="F162" s="513"/>
      <c r="G162" s="1" t="s">
        <v>3056</v>
      </c>
      <c r="H162" s="1" t="s">
        <v>3126</v>
      </c>
      <c r="I162" s="1" t="s">
        <v>3203</v>
      </c>
      <c r="J162" s="8">
        <v>9.5000000000000001E-2</v>
      </c>
      <c r="K162" s="8"/>
      <c r="L162" s="145"/>
      <c r="M162" s="8" t="s">
        <v>1456</v>
      </c>
      <c r="N162" s="1" t="s">
        <v>859</v>
      </c>
      <c r="O162" s="8">
        <v>9.5000000000000001E-2</v>
      </c>
      <c r="P162" s="8"/>
      <c r="Q162" s="8"/>
      <c r="R162" s="8"/>
      <c r="S162" s="8"/>
      <c r="T162" s="8"/>
      <c r="U162" s="8"/>
      <c r="V162" s="8"/>
      <c r="W162" s="145"/>
    </row>
    <row r="163" spans="1:23" ht="34.5" customHeight="1" x14ac:dyDescent="0.25">
      <c r="A163" s="759"/>
      <c r="B163" s="754"/>
      <c r="C163" s="755"/>
      <c r="D163" s="755"/>
      <c r="E163" s="755"/>
      <c r="F163" s="760"/>
      <c r="G163" s="1518" t="s">
        <v>3481</v>
      </c>
      <c r="H163" s="1524"/>
      <c r="I163" s="1525"/>
      <c r="J163" s="1231">
        <v>0.30625000000000002</v>
      </c>
      <c r="K163" s="8"/>
      <c r="L163" s="145"/>
      <c r="M163" s="1" t="s">
        <v>2818</v>
      </c>
      <c r="N163" s="1" t="s">
        <v>2819</v>
      </c>
      <c r="O163" s="8">
        <f>0.106-0.106</f>
        <v>0</v>
      </c>
      <c r="P163" s="8"/>
      <c r="Q163" s="8"/>
      <c r="R163" s="8"/>
      <c r="S163" s="8"/>
      <c r="T163" s="8"/>
      <c r="U163" s="8"/>
      <c r="V163" s="8"/>
      <c r="W163" s="145"/>
    </row>
    <row r="164" spans="1:23" ht="62.25" customHeight="1" x14ac:dyDescent="0.25">
      <c r="A164" s="891"/>
      <c r="B164" s="888"/>
      <c r="C164" s="887"/>
      <c r="D164" s="887"/>
      <c r="E164" s="887"/>
      <c r="F164" s="892"/>
      <c r="G164" s="8"/>
      <c r="H164" s="8"/>
      <c r="I164" s="8"/>
      <c r="J164" s="8"/>
      <c r="K164" s="8"/>
      <c r="L164" s="145"/>
      <c r="M164" s="1" t="s">
        <v>3056</v>
      </c>
      <c r="N164" s="1" t="s">
        <v>3057</v>
      </c>
      <c r="O164" s="8">
        <v>9.5000000000000001E-2</v>
      </c>
      <c r="P164" s="8"/>
      <c r="Q164" s="8"/>
      <c r="R164" s="8"/>
      <c r="S164" s="8"/>
      <c r="T164" s="8"/>
      <c r="U164" s="8"/>
      <c r="V164" s="8"/>
      <c r="W164" s="145"/>
    </row>
    <row r="165" spans="1:23" ht="62.25" customHeight="1" x14ac:dyDescent="0.25">
      <c r="A165" s="1027"/>
      <c r="B165" s="1024"/>
      <c r="C165" s="1025"/>
      <c r="D165" s="1025"/>
      <c r="E165" s="1025"/>
      <c r="F165" s="1026"/>
      <c r="G165" s="8"/>
      <c r="H165" s="8"/>
      <c r="I165" s="8"/>
      <c r="J165" s="8"/>
      <c r="K165" s="8"/>
      <c r="L165" s="145"/>
      <c r="M165" s="1" t="s">
        <v>3098</v>
      </c>
      <c r="N165" s="1" t="s">
        <v>3099</v>
      </c>
      <c r="O165" s="8">
        <f>0.06</f>
        <v>0.06</v>
      </c>
      <c r="P165" s="8"/>
      <c r="Q165" s="8"/>
      <c r="R165" s="8"/>
      <c r="S165" s="8"/>
      <c r="T165" s="8"/>
      <c r="U165" s="8"/>
      <c r="V165" s="8"/>
      <c r="W165" s="145"/>
    </row>
    <row r="166" spans="1:23" ht="62.25" customHeight="1" x14ac:dyDescent="0.25">
      <c r="A166" s="1027"/>
      <c r="B166" s="1024"/>
      <c r="C166" s="1025"/>
      <c r="D166" s="1025"/>
      <c r="E166" s="1025"/>
      <c r="F166" s="1026"/>
      <c r="G166" s="8"/>
      <c r="H166" s="8"/>
      <c r="I166" s="8"/>
      <c r="J166" s="8"/>
      <c r="K166" s="8"/>
      <c r="L166" s="145"/>
      <c r="M166" s="1" t="s">
        <v>2959</v>
      </c>
      <c r="N166" s="1" t="s">
        <v>3465</v>
      </c>
      <c r="O166" s="8">
        <v>6.5000000000000002E-2</v>
      </c>
      <c r="P166" s="8"/>
      <c r="Q166" s="8"/>
      <c r="R166" s="8"/>
      <c r="S166" s="8"/>
      <c r="T166" s="8"/>
      <c r="U166" s="8"/>
      <c r="V166" s="8"/>
      <c r="W166" s="145"/>
    </row>
    <row r="167" spans="1:23" ht="62.25" customHeight="1" x14ac:dyDescent="0.25">
      <c r="A167" s="1291"/>
      <c r="B167" s="1278"/>
      <c r="C167" s="1279"/>
      <c r="D167" s="1279"/>
      <c r="E167" s="1279"/>
      <c r="F167" s="1277"/>
      <c r="G167" s="1288"/>
      <c r="H167" s="1288"/>
      <c r="I167" s="1289"/>
      <c r="J167" s="92"/>
      <c r="K167" s="92"/>
      <c r="L167" s="75"/>
      <c r="M167" s="1264"/>
      <c r="N167" s="1264"/>
      <c r="O167" s="1292"/>
      <c r="P167" s="92"/>
      <c r="Q167" s="92"/>
      <c r="R167" s="1287"/>
      <c r="S167" s="1288"/>
      <c r="T167" s="1289"/>
      <c r="U167" s="92"/>
      <c r="V167" s="92"/>
      <c r="W167" s="75"/>
    </row>
    <row r="168" spans="1:23" ht="21.75" customHeight="1" thickBot="1" x14ac:dyDescent="0.3">
      <c r="A168" s="405"/>
      <c r="B168" s="394"/>
      <c r="C168" s="395"/>
      <c r="D168" s="395"/>
      <c r="E168" s="395"/>
      <c r="F168" s="396"/>
      <c r="G168" s="1767" t="s">
        <v>1860</v>
      </c>
      <c r="H168" s="1767"/>
      <c r="I168" s="1768"/>
      <c r="J168" s="25">
        <f>SUM(J162:J163)</f>
        <v>0.40125</v>
      </c>
      <c r="K168" s="93">
        <v>0.8</v>
      </c>
      <c r="L168" s="25">
        <f>J168/K168</f>
        <v>0.50156249999999991</v>
      </c>
      <c r="M168" s="1780" t="s">
        <v>1861</v>
      </c>
      <c r="N168" s="1768"/>
      <c r="O168" s="25">
        <f>SUM(O160:O166)</f>
        <v>0.36500000000000005</v>
      </c>
      <c r="P168" s="93">
        <v>0.8</v>
      </c>
      <c r="Q168" s="25">
        <f>O168/P168</f>
        <v>0.45625000000000004</v>
      </c>
      <c r="R168" s="1780" t="s">
        <v>1860</v>
      </c>
      <c r="S168" s="1767"/>
      <c r="T168" s="1768"/>
      <c r="U168" s="25">
        <f>SUM(U160:U162)</f>
        <v>4.2000000000000003E-2</v>
      </c>
      <c r="V168" s="93">
        <v>0.8</v>
      </c>
      <c r="W168" s="25">
        <f>U168/V168</f>
        <v>5.2499999999999998E-2</v>
      </c>
    </row>
    <row r="169" spans="1:23" ht="30" customHeight="1" x14ac:dyDescent="0.25">
      <c r="A169" s="529" t="str">
        <f>'Расчет ЦП - общая форма'!C416</f>
        <v xml:space="preserve">ПС 110/35/10 кВ Стройиндустрия </v>
      </c>
      <c r="B169" s="530">
        <f>'Расчет ЦП - общая форма'!D416</f>
        <v>25</v>
      </c>
      <c r="C169" s="511" t="str">
        <f>'Расчет ЦП - общая форма'!E416</f>
        <v>+</v>
      </c>
      <c r="D169" s="511">
        <f>'Расчет ЦП - общая форма'!F416</f>
        <v>25</v>
      </c>
      <c r="E169" s="511"/>
      <c r="F169" s="512"/>
      <c r="G169" s="1798" t="s">
        <v>2061</v>
      </c>
      <c r="H169" s="1799"/>
      <c r="I169" s="1799"/>
      <c r="J169" s="1799"/>
      <c r="K169" s="1799"/>
      <c r="L169" s="1800"/>
      <c r="M169" s="9"/>
      <c r="N169" s="9"/>
      <c r="O169" s="8"/>
      <c r="P169" s="8"/>
      <c r="Q169" s="8"/>
      <c r="R169" s="1"/>
      <c r="S169" s="1"/>
      <c r="T169" s="17"/>
      <c r="U169" s="8"/>
      <c r="V169" s="8"/>
      <c r="W169" s="145"/>
    </row>
    <row r="170" spans="1:23" ht="30" customHeight="1" x14ac:dyDescent="0.25">
      <c r="A170" s="600"/>
      <c r="B170" s="595"/>
      <c r="C170" s="597"/>
      <c r="D170" s="597"/>
      <c r="E170" s="597"/>
      <c r="F170" s="601"/>
      <c r="G170" s="24" t="s">
        <v>2219</v>
      </c>
      <c r="H170" s="24" t="s">
        <v>2220</v>
      </c>
      <c r="I170" s="24" t="s">
        <v>2380</v>
      </c>
      <c r="J170" s="92">
        <v>0.1</v>
      </c>
      <c r="K170" s="92"/>
      <c r="L170" s="75"/>
      <c r="M170" s="1" t="s">
        <v>3062</v>
      </c>
      <c r="N170" s="1" t="s">
        <v>3063</v>
      </c>
      <c r="O170" s="92">
        <v>3.5999999999999997E-2</v>
      </c>
      <c r="P170" s="92"/>
      <c r="Q170" s="92"/>
      <c r="R170" s="19"/>
      <c r="S170" s="263"/>
      <c r="T170" s="41"/>
      <c r="U170" s="92"/>
      <c r="V170" s="92"/>
      <c r="W170" s="75"/>
    </row>
    <row r="171" spans="1:23" ht="30" customHeight="1" x14ac:dyDescent="0.25">
      <c r="A171" s="840"/>
      <c r="B171" s="839"/>
      <c r="C171" s="837"/>
      <c r="D171" s="837"/>
      <c r="E171" s="837"/>
      <c r="F171" s="841"/>
      <c r="G171" s="1670" t="s">
        <v>2512</v>
      </c>
      <c r="H171" s="1766"/>
      <c r="I171" s="1766"/>
      <c r="J171" s="1766"/>
      <c r="K171" s="1766"/>
      <c r="L171" s="1766"/>
      <c r="M171" s="1" t="s">
        <v>2502</v>
      </c>
      <c r="N171" s="1" t="s">
        <v>3171</v>
      </c>
      <c r="O171" s="8">
        <f>0.036-0.01748</f>
        <v>1.8519999999999998E-2</v>
      </c>
      <c r="P171" s="92"/>
      <c r="Q171" s="92"/>
      <c r="R171" s="19"/>
      <c r="S171" s="263"/>
      <c r="T171" s="41"/>
      <c r="U171" s="92"/>
      <c r="V171" s="92"/>
      <c r="W171" s="75"/>
    </row>
    <row r="172" spans="1:23" ht="30" customHeight="1" x14ac:dyDescent="0.25">
      <c r="A172" s="840"/>
      <c r="B172" s="839"/>
      <c r="C172" s="837"/>
      <c r="D172" s="837"/>
      <c r="E172" s="837"/>
      <c r="F172" s="841"/>
      <c r="G172" s="24" t="s">
        <v>2733</v>
      </c>
      <c r="H172" s="24" t="s">
        <v>2929</v>
      </c>
      <c r="I172" s="20" t="s">
        <v>2965</v>
      </c>
      <c r="J172" s="92">
        <v>0.04</v>
      </c>
      <c r="K172" s="92"/>
      <c r="L172" s="75"/>
      <c r="M172" s="19" t="s">
        <v>3238</v>
      </c>
      <c r="N172" s="20" t="s">
        <v>3239</v>
      </c>
      <c r="O172" s="92">
        <f>1.5-0.5</f>
        <v>1</v>
      </c>
      <c r="P172" s="92"/>
      <c r="Q172" s="92"/>
      <c r="R172" s="19"/>
      <c r="S172" s="263"/>
      <c r="T172" s="41"/>
      <c r="U172" s="92"/>
      <c r="V172" s="92"/>
      <c r="W172" s="75"/>
    </row>
    <row r="173" spans="1:23" ht="30" customHeight="1" x14ac:dyDescent="0.25">
      <c r="A173" s="1041"/>
      <c r="B173" s="1038"/>
      <c r="C173" s="1039"/>
      <c r="D173" s="1039"/>
      <c r="E173" s="1039"/>
      <c r="F173" s="1037"/>
      <c r="G173" s="1670" t="s">
        <v>3069</v>
      </c>
      <c r="H173" s="1766"/>
      <c r="I173" s="1766"/>
      <c r="J173" s="1766"/>
      <c r="K173" s="1766"/>
      <c r="L173" s="1766"/>
      <c r="M173" s="1"/>
      <c r="N173" s="1"/>
      <c r="O173" s="8"/>
      <c r="P173" s="8"/>
      <c r="Q173" s="92"/>
      <c r="R173" s="19"/>
      <c r="S173" s="263"/>
      <c r="T173" s="41"/>
      <c r="U173" s="92"/>
      <c r="V173" s="92"/>
      <c r="W173" s="75"/>
    </row>
    <row r="174" spans="1:23" ht="30" customHeight="1" x14ac:dyDescent="0.25">
      <c r="A174" s="1041"/>
      <c r="B174" s="1038"/>
      <c r="C174" s="1039"/>
      <c r="D174" s="1039"/>
      <c r="E174" s="1039"/>
      <c r="F174" s="1037"/>
      <c r="G174" s="9" t="s">
        <v>2546</v>
      </c>
      <c r="H174" s="9" t="s">
        <v>2548</v>
      </c>
      <c r="I174" s="20" t="s">
        <v>3140</v>
      </c>
      <c r="J174" s="8">
        <f>0.044-0.01748</f>
        <v>2.6519999999999998E-2</v>
      </c>
      <c r="K174" s="92"/>
      <c r="L174" s="75"/>
      <c r="M174" s="1"/>
      <c r="N174" s="1"/>
      <c r="O174" s="8"/>
      <c r="P174" s="8"/>
      <c r="Q174" s="92"/>
      <c r="R174" s="19"/>
      <c r="S174" s="263"/>
      <c r="T174" s="41"/>
      <c r="U174" s="92"/>
      <c r="V174" s="92"/>
      <c r="W174" s="75"/>
    </row>
    <row r="175" spans="1:23" ht="30" customHeight="1" x14ac:dyDescent="0.25">
      <c r="A175" s="1149"/>
      <c r="B175" s="1145"/>
      <c r="C175" s="1146"/>
      <c r="D175" s="1146"/>
      <c r="E175" s="1146"/>
      <c r="F175" s="1144"/>
      <c r="G175" s="1" t="s">
        <v>3062</v>
      </c>
      <c r="H175" s="20" t="s">
        <v>3318</v>
      </c>
      <c r="I175" s="20" t="s">
        <v>3376</v>
      </c>
      <c r="J175" s="92">
        <v>3.7999999999999999E-2</v>
      </c>
      <c r="K175" s="92"/>
      <c r="L175" s="75"/>
      <c r="M175" s="1"/>
      <c r="N175" s="1"/>
      <c r="O175" s="8"/>
      <c r="P175" s="8"/>
      <c r="Q175" s="92"/>
      <c r="R175" s="19"/>
      <c r="S175" s="263"/>
      <c r="T175" s="41"/>
      <c r="U175" s="92"/>
      <c r="V175" s="92"/>
      <c r="W175" s="75"/>
    </row>
    <row r="176" spans="1:23" ht="30" customHeight="1" x14ac:dyDescent="0.25">
      <c r="A176" s="1220"/>
      <c r="B176" s="1216"/>
      <c r="C176" s="1217"/>
      <c r="D176" s="1217"/>
      <c r="E176" s="1217"/>
      <c r="F176" s="1215"/>
      <c r="G176" s="1518" t="s">
        <v>3481</v>
      </c>
      <c r="H176" s="1519"/>
      <c r="I176" s="1520"/>
      <c r="J176" s="1232">
        <v>0.13300000000000001</v>
      </c>
      <c r="K176" s="92"/>
      <c r="L176" s="75"/>
      <c r="M176" s="19"/>
      <c r="N176" s="20"/>
      <c r="O176" s="92"/>
      <c r="P176" s="92"/>
      <c r="Q176" s="92"/>
      <c r="R176" s="19"/>
      <c r="S176" s="263"/>
      <c r="T176" s="41"/>
      <c r="U176" s="92"/>
      <c r="V176" s="92"/>
      <c r="W176" s="75"/>
    </row>
    <row r="177" spans="1:23" ht="21.75" customHeight="1" thickBot="1" x14ac:dyDescent="0.3">
      <c r="A177" s="405"/>
      <c r="B177" s="394"/>
      <c r="C177" s="395"/>
      <c r="D177" s="395"/>
      <c r="E177" s="395"/>
      <c r="F177" s="396"/>
      <c r="G177" s="1767" t="s">
        <v>1860</v>
      </c>
      <c r="H177" s="1767"/>
      <c r="I177" s="1768"/>
      <c r="J177" s="25">
        <f>SUM(J172:J176)</f>
        <v>0.23752000000000001</v>
      </c>
      <c r="K177" s="93">
        <v>0.8</v>
      </c>
      <c r="L177" s="25">
        <f>J177/K177</f>
        <v>0.2969</v>
      </c>
      <c r="M177" s="1780" t="s">
        <v>1861</v>
      </c>
      <c r="N177" s="1768"/>
      <c r="O177" s="25">
        <f>SUM(O169:O174)</f>
        <v>1.0545199999999999</v>
      </c>
      <c r="P177" s="93">
        <v>0.8</v>
      </c>
      <c r="Q177" s="25">
        <f>O177/P177</f>
        <v>1.3181499999999997</v>
      </c>
      <c r="R177" s="1780" t="s">
        <v>1860</v>
      </c>
      <c r="S177" s="1767"/>
      <c r="T177" s="1768"/>
      <c r="U177" s="25">
        <f>SUM(U169:U169)</f>
        <v>0</v>
      </c>
      <c r="V177" s="93">
        <v>0.8</v>
      </c>
      <c r="W177" s="25">
        <f>U177/V177</f>
        <v>0</v>
      </c>
    </row>
    <row r="178" spans="1:23" ht="16.5" customHeight="1" x14ac:dyDescent="0.25">
      <c r="A178" s="1787" t="str">
        <f>'Расчет ЦП - общая форма'!C419</f>
        <v xml:space="preserve">ПС 110/35/10 кВ Кувшиново  </v>
      </c>
      <c r="B178" s="1612">
        <f>'Расчет ЦП - общая форма'!D419</f>
        <v>40</v>
      </c>
      <c r="C178" s="1614" t="str">
        <f>'Расчет ЦП - общая форма'!E419</f>
        <v>+</v>
      </c>
      <c r="D178" s="1614">
        <f>'Расчет ЦП - общая форма'!F419</f>
        <v>25</v>
      </c>
      <c r="E178" s="1614"/>
      <c r="F178" s="1610"/>
      <c r="G178" s="1570" t="s">
        <v>1989</v>
      </c>
      <c r="H178" s="1769"/>
      <c r="I178" s="1769"/>
      <c r="J178" s="1769"/>
      <c r="K178" s="1769"/>
      <c r="L178" s="1770"/>
      <c r="M178" s="164"/>
      <c r="N178" s="166"/>
      <c r="O178" s="74"/>
      <c r="P178" s="74"/>
      <c r="Q178" s="74"/>
      <c r="R178" s="1566"/>
      <c r="S178" s="1778"/>
      <c r="T178" s="1778"/>
      <c r="U178" s="1778"/>
      <c r="V178" s="1778"/>
      <c r="W178" s="1779"/>
    </row>
    <row r="179" spans="1:23" ht="30" x14ac:dyDescent="0.25">
      <c r="A179" s="1788"/>
      <c r="B179" s="1613"/>
      <c r="C179" s="1615"/>
      <c r="D179" s="1615"/>
      <c r="E179" s="1615"/>
      <c r="F179" s="1611"/>
      <c r="G179" s="711" t="s">
        <v>878</v>
      </c>
      <c r="H179" s="85" t="s">
        <v>879</v>
      </c>
      <c r="I179" s="85" t="s">
        <v>880</v>
      </c>
      <c r="J179" s="85">
        <v>4.8000000000000001E-2</v>
      </c>
      <c r="K179" s="85"/>
      <c r="L179" s="117"/>
      <c r="M179" s="79" t="s">
        <v>1440</v>
      </c>
      <c r="N179" s="79" t="s">
        <v>881</v>
      </c>
      <c r="O179" s="79">
        <v>0.02</v>
      </c>
      <c r="P179" s="79"/>
      <c r="Q179" s="79"/>
      <c r="R179" s="76"/>
      <c r="S179" s="76"/>
      <c r="T179" s="76"/>
      <c r="U179" s="76"/>
      <c r="V179" s="76"/>
      <c r="W179" s="76"/>
    </row>
    <row r="180" spans="1:23" ht="42.75" customHeight="1" x14ac:dyDescent="0.25">
      <c r="A180" s="531"/>
      <c r="B180" s="514"/>
      <c r="C180" s="502"/>
      <c r="D180" s="502"/>
      <c r="E180" s="502"/>
      <c r="F180" s="513"/>
      <c r="G180" s="1785" t="s">
        <v>2512</v>
      </c>
      <c r="H180" s="1759"/>
      <c r="I180" s="1759"/>
      <c r="J180" s="1759"/>
      <c r="K180" s="1759"/>
      <c r="L180" s="1760"/>
      <c r="M180" s="8" t="s">
        <v>1438</v>
      </c>
      <c r="N180" s="8" t="s">
        <v>1439</v>
      </c>
      <c r="O180" s="8">
        <v>5.4199999999999998E-2</v>
      </c>
      <c r="P180" s="8"/>
      <c r="Q180" s="8"/>
      <c r="R180" s="145"/>
      <c r="S180" s="145"/>
      <c r="T180" s="145"/>
      <c r="U180" s="145"/>
      <c r="V180" s="145"/>
      <c r="W180" s="145"/>
    </row>
    <row r="181" spans="1:23" ht="42.75" customHeight="1" x14ac:dyDescent="0.25">
      <c r="A181" s="531"/>
      <c r="B181" s="514"/>
      <c r="C181" s="502"/>
      <c r="D181" s="502"/>
      <c r="E181" s="502"/>
      <c r="F181" s="513"/>
      <c r="G181" s="152" t="s">
        <v>2847</v>
      </c>
      <c r="H181" s="1" t="s">
        <v>2848</v>
      </c>
      <c r="I181" s="1" t="s">
        <v>2849</v>
      </c>
      <c r="J181" s="8">
        <v>9</v>
      </c>
      <c r="K181" s="8"/>
      <c r="L181" s="145"/>
      <c r="M181" s="1" t="s">
        <v>2223</v>
      </c>
      <c r="N181" s="1" t="s">
        <v>2224</v>
      </c>
      <c r="O181" s="92">
        <f>0.04-0.015</f>
        <v>2.5000000000000001E-2</v>
      </c>
      <c r="P181" s="92"/>
      <c r="Q181" s="92"/>
      <c r="R181" s="145"/>
      <c r="S181" s="145"/>
      <c r="T181" s="145"/>
      <c r="U181" s="145"/>
      <c r="V181" s="75"/>
      <c r="W181" s="75"/>
    </row>
    <row r="182" spans="1:23" ht="42.75" customHeight="1" x14ac:dyDescent="0.25">
      <c r="A182" s="674"/>
      <c r="B182" s="672"/>
      <c r="C182" s="670"/>
      <c r="D182" s="670"/>
      <c r="E182" s="670"/>
      <c r="F182" s="673"/>
      <c r="G182" s="152" t="s">
        <v>2847</v>
      </c>
      <c r="H182" s="1" t="s">
        <v>2850</v>
      </c>
      <c r="I182" s="1" t="s">
        <v>2851</v>
      </c>
      <c r="J182" s="8">
        <v>9</v>
      </c>
      <c r="K182" s="8"/>
      <c r="L182" s="145"/>
      <c r="M182" s="1" t="s">
        <v>2229</v>
      </c>
      <c r="N182" s="1" t="s">
        <v>2648</v>
      </c>
      <c r="O182" s="8">
        <v>3.5999999999999997E-2</v>
      </c>
      <c r="P182" s="8"/>
      <c r="Q182" s="8"/>
      <c r="R182" s="145"/>
      <c r="S182" s="145"/>
      <c r="T182" s="145"/>
      <c r="U182" s="145"/>
      <c r="V182" s="145"/>
      <c r="W182" s="145"/>
    </row>
    <row r="183" spans="1:23" ht="42.75" customHeight="1" x14ac:dyDescent="0.25">
      <c r="A183" s="794"/>
      <c r="B183" s="791"/>
      <c r="C183" s="792"/>
      <c r="D183" s="792"/>
      <c r="E183" s="792"/>
      <c r="F183" s="795"/>
      <c r="G183" s="263"/>
      <c r="H183" s="263"/>
      <c r="I183" s="20"/>
      <c r="J183" s="92"/>
      <c r="K183" s="92"/>
      <c r="L183" s="75"/>
      <c r="M183" s="1" t="s">
        <v>2847</v>
      </c>
      <c r="N183" s="1" t="s">
        <v>2894</v>
      </c>
      <c r="O183" s="8">
        <v>9</v>
      </c>
      <c r="P183" s="92"/>
      <c r="Q183" s="92"/>
      <c r="R183" s="118"/>
      <c r="S183" s="801"/>
      <c r="T183" s="167"/>
      <c r="U183" s="75"/>
      <c r="V183" s="75"/>
      <c r="W183" s="75"/>
    </row>
    <row r="184" spans="1:23" ht="75" customHeight="1" x14ac:dyDescent="0.25">
      <c r="A184" s="852"/>
      <c r="B184" s="851"/>
      <c r="C184" s="848"/>
      <c r="D184" s="848"/>
      <c r="E184" s="848"/>
      <c r="F184" s="853"/>
      <c r="G184" s="263"/>
      <c r="H184" s="263"/>
      <c r="I184" s="20"/>
      <c r="J184" s="92"/>
      <c r="K184" s="92"/>
      <c r="L184" s="75"/>
      <c r="M184" s="1" t="s">
        <v>2996</v>
      </c>
      <c r="N184" s="1" t="s">
        <v>2997</v>
      </c>
      <c r="O184" s="8">
        <f>0.027-0.01147</f>
        <v>1.553E-2</v>
      </c>
      <c r="P184" s="92"/>
      <c r="Q184" s="92"/>
      <c r="R184" s="118"/>
      <c r="S184" s="801"/>
      <c r="T184" s="167"/>
      <c r="U184" s="75"/>
      <c r="V184" s="75"/>
      <c r="W184" s="75"/>
    </row>
    <row r="185" spans="1:23" ht="21" customHeight="1" thickBot="1" x14ac:dyDescent="0.3">
      <c r="A185" s="405"/>
      <c r="B185" s="394"/>
      <c r="C185" s="395"/>
      <c r="D185" s="395"/>
      <c r="E185" s="395"/>
      <c r="F185" s="396"/>
      <c r="G185" s="1767" t="s">
        <v>1860</v>
      </c>
      <c r="H185" s="1767"/>
      <c r="I185" s="1768"/>
      <c r="J185" s="25">
        <f>SUM(J181:J182)</f>
        <v>18</v>
      </c>
      <c r="K185" s="93">
        <v>0.8</v>
      </c>
      <c r="L185" s="25">
        <f>J185/K185</f>
        <v>22.5</v>
      </c>
      <c r="M185" s="1792" t="s">
        <v>1861</v>
      </c>
      <c r="N185" s="1792"/>
      <c r="O185" s="803">
        <f>SUM(O179:O184)</f>
        <v>9.1507299999999994</v>
      </c>
      <c r="P185" s="93">
        <v>0.8</v>
      </c>
      <c r="Q185" s="25">
        <f>O185/P185</f>
        <v>11.438412499999998</v>
      </c>
      <c r="R185" s="1780" t="s">
        <v>1860</v>
      </c>
      <c r="S185" s="1767"/>
      <c r="T185" s="1768"/>
      <c r="U185" s="25">
        <v>0</v>
      </c>
      <c r="V185" s="93">
        <v>0.8</v>
      </c>
      <c r="W185" s="25">
        <f>U185/V185</f>
        <v>0</v>
      </c>
    </row>
    <row r="186" spans="1:23" ht="17.25" customHeight="1" x14ac:dyDescent="0.25">
      <c r="A186" s="1787" t="str">
        <f>'Расчет ЦП - общая форма'!C422</f>
        <v xml:space="preserve">ПС 110/35/10 кВ Селижарово  </v>
      </c>
      <c r="B186" s="1612">
        <f>'Расчет ЦП - общая форма'!D422</f>
        <v>16</v>
      </c>
      <c r="C186" s="1614" t="str">
        <f>'Расчет ЦП - общая форма'!E422</f>
        <v>+</v>
      </c>
      <c r="D186" s="1614">
        <f>'Расчет ЦП - общая форма'!F422</f>
        <v>10</v>
      </c>
      <c r="E186" s="1614"/>
      <c r="F186" s="1610"/>
      <c r="G186" s="1570" t="s">
        <v>1989</v>
      </c>
      <c r="H186" s="1769"/>
      <c r="I186" s="1769"/>
      <c r="J186" s="1769"/>
      <c r="K186" s="1769"/>
      <c r="L186" s="1770"/>
      <c r="M186" s="802"/>
      <c r="N186" s="168"/>
      <c r="O186" s="76"/>
      <c r="P186" s="74"/>
      <c r="Q186" s="74"/>
      <c r="R186" s="1566"/>
      <c r="S186" s="1778"/>
      <c r="T186" s="1778"/>
      <c r="U186" s="1778"/>
      <c r="V186" s="1778"/>
      <c r="W186" s="1779"/>
    </row>
    <row r="187" spans="1:23" ht="60" customHeight="1" x14ac:dyDescent="0.25">
      <c r="A187" s="1788"/>
      <c r="B187" s="1613"/>
      <c r="C187" s="1615"/>
      <c r="D187" s="1615"/>
      <c r="E187" s="1615"/>
      <c r="F187" s="1611"/>
      <c r="G187" s="184" t="s">
        <v>890</v>
      </c>
      <c r="H187" s="143" t="s">
        <v>891</v>
      </c>
      <c r="I187" s="8" t="s">
        <v>892</v>
      </c>
      <c r="J187" s="79">
        <v>0.378</v>
      </c>
      <c r="K187" s="79"/>
      <c r="L187" s="76"/>
      <c r="M187" s="79" t="s">
        <v>885</v>
      </c>
      <c r="N187" s="79" t="s">
        <v>886</v>
      </c>
      <c r="O187" s="79">
        <v>0.03</v>
      </c>
      <c r="P187" s="79"/>
      <c r="Q187" s="79"/>
      <c r="R187" s="142"/>
      <c r="S187" s="142"/>
      <c r="T187" s="145"/>
      <c r="U187" s="76"/>
      <c r="V187" s="76"/>
      <c r="W187" s="76"/>
    </row>
    <row r="188" spans="1:23" ht="20.25" customHeight="1" x14ac:dyDescent="0.25">
      <c r="A188" s="531"/>
      <c r="B188" s="514"/>
      <c r="C188" s="502"/>
      <c r="D188" s="502"/>
      <c r="E188" s="502"/>
      <c r="F188" s="513"/>
      <c r="G188" s="1684" t="s">
        <v>1988</v>
      </c>
      <c r="H188" s="1759"/>
      <c r="I188" s="1759"/>
      <c r="J188" s="1759"/>
      <c r="K188" s="1759"/>
      <c r="L188" s="1760"/>
      <c r="M188" s="9"/>
      <c r="N188" s="9"/>
      <c r="O188" s="79"/>
      <c r="P188" s="79"/>
      <c r="Q188" s="79"/>
      <c r="R188" s="1678"/>
      <c r="S188" s="1781"/>
      <c r="T188" s="1781"/>
      <c r="U188" s="1781"/>
      <c r="V188" s="1781"/>
      <c r="W188" s="1782"/>
    </row>
    <row r="189" spans="1:23" ht="68.25" customHeight="1" x14ac:dyDescent="0.25">
      <c r="A189" s="531"/>
      <c r="B189" s="514"/>
      <c r="C189" s="502"/>
      <c r="D189" s="502"/>
      <c r="E189" s="502"/>
      <c r="F189" s="513"/>
      <c r="G189" s="89" t="s">
        <v>887</v>
      </c>
      <c r="H189" s="79" t="s">
        <v>888</v>
      </c>
      <c r="I189" s="79" t="s">
        <v>889</v>
      </c>
      <c r="J189" s="79">
        <v>0.1</v>
      </c>
      <c r="K189" s="79"/>
      <c r="L189" s="76"/>
      <c r="M189" s="9" t="s">
        <v>2546</v>
      </c>
      <c r="N189" s="9" t="s">
        <v>2601</v>
      </c>
      <c r="O189" s="79">
        <f>0.23-0.19</f>
        <v>4.0000000000000008E-2</v>
      </c>
      <c r="P189" s="79"/>
      <c r="Q189" s="79"/>
      <c r="R189" s="76"/>
      <c r="S189" s="76"/>
      <c r="T189" s="76"/>
      <c r="U189" s="76"/>
      <c r="V189" s="76"/>
      <c r="W189" s="76"/>
    </row>
    <row r="190" spans="1:23" ht="63" customHeight="1" x14ac:dyDescent="0.25">
      <c r="A190" s="401"/>
      <c r="B190" s="515"/>
      <c r="C190" s="516"/>
      <c r="D190" s="516"/>
      <c r="E190" s="516"/>
      <c r="F190" s="517"/>
      <c r="G190" s="89" t="s">
        <v>882</v>
      </c>
      <c r="H190" s="79" t="s">
        <v>883</v>
      </c>
      <c r="I190" s="79" t="s">
        <v>884</v>
      </c>
      <c r="J190" s="79">
        <v>0.2</v>
      </c>
      <c r="K190" s="8"/>
      <c r="L190" s="145"/>
      <c r="M190" s="1"/>
      <c r="N190" s="1"/>
      <c r="O190" s="8"/>
      <c r="P190" s="8"/>
      <c r="Q190" s="8"/>
      <c r="R190" s="76"/>
      <c r="S190" s="76"/>
      <c r="T190" s="76"/>
      <c r="U190" s="76"/>
      <c r="V190" s="145"/>
      <c r="W190" s="145"/>
    </row>
    <row r="191" spans="1:23" ht="49.5" customHeight="1" x14ac:dyDescent="0.25">
      <c r="A191" s="531"/>
      <c r="B191" s="514"/>
      <c r="C191" s="502"/>
      <c r="D191" s="502"/>
      <c r="E191" s="502"/>
      <c r="F191" s="513"/>
      <c r="G191" s="89" t="s">
        <v>893</v>
      </c>
      <c r="H191" s="9" t="s">
        <v>2632</v>
      </c>
      <c r="I191" s="1" t="s">
        <v>2633</v>
      </c>
      <c r="J191" s="79">
        <v>1.1000000000000001</v>
      </c>
      <c r="K191" s="8"/>
      <c r="L191" s="145"/>
      <c r="M191" s="8"/>
      <c r="N191" s="8"/>
      <c r="O191" s="8"/>
      <c r="P191" s="8"/>
      <c r="Q191" s="8"/>
      <c r="R191" s="76"/>
      <c r="S191" s="76"/>
      <c r="T191" s="145"/>
      <c r="U191" s="76"/>
      <c r="V191" s="145"/>
      <c r="W191" s="145"/>
    </row>
    <row r="192" spans="1:23" ht="22.5" customHeight="1" x14ac:dyDescent="0.25">
      <c r="A192" s="1220"/>
      <c r="B192" s="1216"/>
      <c r="C192" s="1217"/>
      <c r="D192" s="1217"/>
      <c r="E192" s="1217"/>
      <c r="F192" s="1215"/>
      <c r="G192" s="1684" t="s">
        <v>3068</v>
      </c>
      <c r="H192" s="1759"/>
      <c r="I192" s="1759"/>
      <c r="J192" s="1759"/>
      <c r="K192" s="1759"/>
      <c r="L192" s="1760"/>
      <c r="M192" s="94"/>
      <c r="N192" s="95"/>
      <c r="O192" s="92"/>
      <c r="P192" s="92"/>
      <c r="Q192" s="92"/>
      <c r="R192" s="1244"/>
      <c r="S192" s="87"/>
      <c r="T192" s="167"/>
      <c r="U192" s="117"/>
      <c r="V192" s="75"/>
      <c r="W192" s="75"/>
    </row>
    <row r="193" spans="1:23" ht="49.5" customHeight="1" x14ac:dyDescent="0.25">
      <c r="A193" s="1220"/>
      <c r="B193" s="1216"/>
      <c r="C193" s="1217"/>
      <c r="D193" s="1217"/>
      <c r="E193" s="1217"/>
      <c r="F193" s="1215"/>
      <c r="G193" s="1537" t="s">
        <v>3481</v>
      </c>
      <c r="H193" s="1795"/>
      <c r="I193" s="1796"/>
      <c r="J193" s="85">
        <v>0.13200000000000001</v>
      </c>
      <c r="K193" s="92"/>
      <c r="L193" s="75"/>
      <c r="M193" s="94"/>
      <c r="N193" s="95"/>
      <c r="O193" s="92"/>
      <c r="P193" s="92"/>
      <c r="Q193" s="92"/>
      <c r="R193" s="1244"/>
      <c r="S193" s="87"/>
      <c r="T193" s="167"/>
      <c r="U193" s="117"/>
      <c r="V193" s="75"/>
      <c r="W193" s="75"/>
    </row>
    <row r="194" spans="1:23" ht="18" customHeight="1" thickBot="1" x14ac:dyDescent="0.3">
      <c r="A194" s="405"/>
      <c r="B194" s="394"/>
      <c r="C194" s="395"/>
      <c r="D194" s="395"/>
      <c r="E194" s="395"/>
      <c r="F194" s="396"/>
      <c r="G194" s="1767" t="s">
        <v>1860</v>
      </c>
      <c r="H194" s="1767"/>
      <c r="I194" s="1768"/>
      <c r="J194" s="25">
        <f>SUM(J193)</f>
        <v>0.13200000000000001</v>
      </c>
      <c r="K194" s="93">
        <v>0.8</v>
      </c>
      <c r="L194" s="25">
        <f>J194/K194</f>
        <v>0.16500000000000001</v>
      </c>
      <c r="M194" s="1780" t="s">
        <v>1861</v>
      </c>
      <c r="N194" s="1768"/>
      <c r="O194" s="25">
        <f>SUM(O187:O191)</f>
        <v>7.0000000000000007E-2</v>
      </c>
      <c r="P194" s="93">
        <v>0.8</v>
      </c>
      <c r="Q194" s="25">
        <f>O194/P194</f>
        <v>8.7500000000000008E-2</v>
      </c>
      <c r="R194" s="1780" t="s">
        <v>1860</v>
      </c>
      <c r="S194" s="1767"/>
      <c r="T194" s="1768"/>
      <c r="U194" s="25">
        <f>SUM(U189:U191)</f>
        <v>0</v>
      </c>
      <c r="V194" s="93">
        <v>0.8</v>
      </c>
      <c r="W194" s="25">
        <f>U194/V194</f>
        <v>0</v>
      </c>
    </row>
    <row r="195" spans="1:23" ht="30" x14ac:dyDescent="0.25">
      <c r="A195" s="529" t="str">
        <f>'Расчет ЦП - общая форма'!C425</f>
        <v xml:space="preserve">ПС 110/35/10 кВ НПС Борисово </v>
      </c>
      <c r="B195" s="530">
        <f>'Расчет ЦП - общая форма'!D425</f>
        <v>25</v>
      </c>
      <c r="C195" s="511" t="str">
        <f>'Расчет ЦП - общая форма'!E425</f>
        <v>+</v>
      </c>
      <c r="D195" s="511">
        <f>'Расчет ЦП - общая форма'!F425</f>
        <v>25</v>
      </c>
      <c r="E195" s="511"/>
      <c r="F195" s="512"/>
      <c r="G195" s="96"/>
      <c r="H195" s="8"/>
      <c r="I195" s="8"/>
      <c r="J195" s="8"/>
      <c r="K195" s="8"/>
      <c r="L195" s="145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45"/>
    </row>
    <row r="196" spans="1:23" ht="18" customHeight="1" thickBot="1" x14ac:dyDescent="0.3">
      <c r="A196" s="405"/>
      <c r="B196" s="394"/>
      <c r="C196" s="395"/>
      <c r="D196" s="395"/>
      <c r="E196" s="395"/>
      <c r="F196" s="396"/>
      <c r="G196" s="1767" t="s">
        <v>1860</v>
      </c>
      <c r="H196" s="1767"/>
      <c r="I196" s="1768"/>
      <c r="J196" s="25">
        <f>SUM(J195:J195)</f>
        <v>0</v>
      </c>
      <c r="K196" s="93">
        <v>0.8</v>
      </c>
      <c r="L196" s="25">
        <f>J196/K196</f>
        <v>0</v>
      </c>
      <c r="M196" s="1780" t="s">
        <v>1861</v>
      </c>
      <c r="N196" s="1768"/>
      <c r="O196" s="25">
        <f>SUM(O195:O195)</f>
        <v>0</v>
      </c>
      <c r="P196" s="93">
        <v>0.8</v>
      </c>
      <c r="Q196" s="25">
        <f>O196/P196</f>
        <v>0</v>
      </c>
      <c r="R196" s="1780" t="s">
        <v>1860</v>
      </c>
      <c r="S196" s="1767"/>
      <c r="T196" s="1768"/>
      <c r="U196" s="25">
        <f>SUM(U195:U195)</f>
        <v>0</v>
      </c>
      <c r="V196" s="93">
        <v>0.8</v>
      </c>
      <c r="W196" s="25">
        <f>U196/V196</f>
        <v>0</v>
      </c>
    </row>
    <row r="197" spans="1:23" ht="15" customHeight="1" x14ac:dyDescent="0.25">
      <c r="A197" s="1787" t="str">
        <f>'Расчет ЦП - общая форма'!C428</f>
        <v xml:space="preserve">ПС 110/35/10 кВ Осташков  </v>
      </c>
      <c r="B197" s="1612">
        <f>'Расчет ЦП - общая форма'!D428</f>
        <v>25</v>
      </c>
      <c r="C197" s="1614" t="str">
        <f>'Расчет ЦП - общая форма'!E428</f>
        <v>+</v>
      </c>
      <c r="D197" s="1614">
        <f>'Расчет ЦП - общая форма'!F428</f>
        <v>25</v>
      </c>
      <c r="E197" s="1614"/>
      <c r="F197" s="1610"/>
      <c r="G197" s="1570" t="s">
        <v>1989</v>
      </c>
      <c r="H197" s="1769"/>
      <c r="I197" s="1769"/>
      <c r="J197" s="1769"/>
      <c r="K197" s="1769"/>
      <c r="L197" s="1770"/>
      <c r="M197" s="164"/>
      <c r="N197" s="166"/>
      <c r="O197" s="74"/>
      <c r="P197" s="74"/>
      <c r="Q197" s="74"/>
      <c r="R197" s="1566"/>
      <c r="S197" s="1778"/>
      <c r="T197" s="1778"/>
      <c r="U197" s="1778"/>
      <c r="V197" s="1778"/>
      <c r="W197" s="1779"/>
    </row>
    <row r="198" spans="1:23" ht="40.5" customHeight="1" x14ac:dyDescent="0.25">
      <c r="A198" s="1788"/>
      <c r="B198" s="1613"/>
      <c r="C198" s="1615"/>
      <c r="D198" s="1615"/>
      <c r="E198" s="1615"/>
      <c r="F198" s="1611"/>
      <c r="G198" s="89" t="s">
        <v>1626</v>
      </c>
      <c r="H198" s="79" t="s">
        <v>1627</v>
      </c>
      <c r="I198" s="10" t="s">
        <v>1628</v>
      </c>
      <c r="J198" s="79">
        <v>0.157</v>
      </c>
      <c r="K198" s="169"/>
      <c r="L198" s="168"/>
      <c r="M198" s="79" t="s">
        <v>1624</v>
      </c>
      <c r="N198" s="79" t="s">
        <v>1625</v>
      </c>
      <c r="O198" s="79">
        <v>0.03</v>
      </c>
      <c r="P198" s="76"/>
      <c r="Q198" s="76"/>
      <c r="R198" s="76"/>
      <c r="S198" s="76"/>
      <c r="T198" s="78"/>
      <c r="U198" s="76"/>
      <c r="V198" s="169"/>
      <c r="W198" s="168"/>
    </row>
    <row r="199" spans="1:23" x14ac:dyDescent="0.25">
      <c r="A199" s="531"/>
      <c r="B199" s="514"/>
      <c r="C199" s="502"/>
      <c r="D199" s="502"/>
      <c r="E199" s="502"/>
      <c r="F199" s="513"/>
      <c r="G199" s="1684" t="s">
        <v>1988</v>
      </c>
      <c r="H199" s="1759"/>
      <c r="I199" s="1759"/>
      <c r="J199" s="1759"/>
      <c r="K199" s="1759"/>
      <c r="L199" s="1760"/>
      <c r="M199" s="79"/>
      <c r="N199" s="79"/>
      <c r="O199" s="79"/>
      <c r="P199" s="79"/>
      <c r="Q199" s="79"/>
      <c r="R199" s="1678"/>
      <c r="S199" s="1781"/>
      <c r="T199" s="1781"/>
      <c r="U199" s="1781"/>
      <c r="V199" s="1781"/>
      <c r="W199" s="1782"/>
    </row>
    <row r="200" spans="1:23" ht="59.25" customHeight="1" x14ac:dyDescent="0.25">
      <c r="A200" s="531"/>
      <c r="B200" s="514"/>
      <c r="C200" s="502"/>
      <c r="D200" s="502"/>
      <c r="E200" s="502"/>
      <c r="F200" s="513"/>
      <c r="G200" s="89" t="s">
        <v>1621</v>
      </c>
      <c r="H200" s="79" t="s">
        <v>1622</v>
      </c>
      <c r="I200" s="79" t="s">
        <v>1623</v>
      </c>
      <c r="J200" s="79">
        <v>0.1</v>
      </c>
      <c r="K200" s="79"/>
      <c r="L200" s="76"/>
      <c r="M200" s="8" t="s">
        <v>1442</v>
      </c>
      <c r="N200" s="8" t="s">
        <v>1441</v>
      </c>
      <c r="O200" s="8">
        <v>0.19500000000000001</v>
      </c>
      <c r="P200" s="79"/>
      <c r="Q200" s="79"/>
      <c r="R200" s="76"/>
      <c r="S200" s="76"/>
      <c r="T200" s="76"/>
      <c r="U200" s="76"/>
      <c r="V200" s="76"/>
      <c r="W200" s="76"/>
    </row>
    <row r="201" spans="1:23" ht="46.5" customHeight="1" x14ac:dyDescent="0.25">
      <c r="A201" s="647"/>
      <c r="B201" s="636"/>
      <c r="C201" s="642"/>
      <c r="D201" s="642"/>
      <c r="E201" s="642"/>
      <c r="F201" s="648"/>
      <c r="G201" s="1684" t="s">
        <v>2512</v>
      </c>
      <c r="H201" s="1759"/>
      <c r="I201" s="1759"/>
      <c r="J201" s="1759"/>
      <c r="K201" s="1759"/>
      <c r="L201" s="1760"/>
      <c r="M201" s="11" t="s">
        <v>1891</v>
      </c>
      <c r="N201" s="11" t="s">
        <v>1443</v>
      </c>
      <c r="O201" s="11">
        <v>0.05</v>
      </c>
      <c r="P201" s="79"/>
      <c r="Q201" s="79"/>
      <c r="R201" s="76"/>
      <c r="S201" s="76"/>
      <c r="T201" s="76"/>
      <c r="U201" s="76"/>
      <c r="V201" s="76"/>
      <c r="W201" s="76"/>
    </row>
    <row r="202" spans="1:23" ht="82.5" customHeight="1" x14ac:dyDescent="0.25">
      <c r="A202" s="531"/>
      <c r="B202" s="514"/>
      <c r="C202" s="502"/>
      <c r="D202" s="502"/>
      <c r="E202" s="502"/>
      <c r="F202" s="513"/>
      <c r="G202" s="11" t="s">
        <v>2616</v>
      </c>
      <c r="H202" s="11" t="s">
        <v>2617</v>
      </c>
      <c r="I202" s="9" t="s">
        <v>2678</v>
      </c>
      <c r="J202" s="79">
        <v>0.03</v>
      </c>
      <c r="K202" s="79"/>
      <c r="L202" s="76"/>
      <c r="M202" s="11" t="s">
        <v>3103</v>
      </c>
      <c r="N202" s="11" t="s">
        <v>3104</v>
      </c>
      <c r="O202" s="11">
        <v>1.2</v>
      </c>
      <c r="P202" s="8"/>
      <c r="Q202" s="8"/>
      <c r="R202" s="145"/>
      <c r="S202" s="145"/>
      <c r="T202" s="145"/>
      <c r="U202" s="145"/>
      <c r="V202" s="145"/>
      <c r="W202" s="145"/>
    </row>
    <row r="203" spans="1:23" ht="18.75" customHeight="1" x14ac:dyDescent="0.25">
      <c r="A203" s="1220"/>
      <c r="B203" s="1216"/>
      <c r="C203" s="1217"/>
      <c r="D203" s="1217"/>
      <c r="E203" s="1217"/>
      <c r="F203" s="1215"/>
      <c r="G203" s="1684" t="s">
        <v>3068</v>
      </c>
      <c r="H203" s="1759"/>
      <c r="I203" s="1759"/>
      <c r="J203" s="1759"/>
      <c r="K203" s="1759"/>
      <c r="L203" s="1760"/>
      <c r="M203" s="889"/>
      <c r="N203" s="890"/>
      <c r="O203" s="34"/>
      <c r="P203" s="92"/>
      <c r="Q203" s="92"/>
      <c r="R203" s="118"/>
      <c r="S203" s="801"/>
      <c r="T203" s="167"/>
      <c r="U203" s="75"/>
      <c r="V203" s="75"/>
      <c r="W203" s="75"/>
    </row>
    <row r="204" spans="1:23" ht="23.25" customHeight="1" x14ac:dyDescent="0.25">
      <c r="A204" s="1220"/>
      <c r="B204" s="1216"/>
      <c r="C204" s="1217"/>
      <c r="D204" s="1217"/>
      <c r="E204" s="1217"/>
      <c r="F204" s="1215"/>
      <c r="G204" s="1761" t="s">
        <v>3483</v>
      </c>
      <c r="H204" s="1762"/>
      <c r="I204" s="1763"/>
      <c r="J204" s="85">
        <v>0.28299999999999997</v>
      </c>
      <c r="K204" s="85"/>
      <c r="L204" s="117"/>
      <c r="M204" s="889"/>
      <c r="N204" s="890"/>
      <c r="O204" s="34"/>
      <c r="P204" s="92"/>
      <c r="Q204" s="92"/>
      <c r="R204" s="118"/>
      <c r="S204" s="801"/>
      <c r="T204" s="167"/>
      <c r="U204" s="75"/>
      <c r="V204" s="75"/>
      <c r="W204" s="75"/>
    </row>
    <row r="205" spans="1:23" ht="18" customHeight="1" thickBot="1" x14ac:dyDescent="0.3">
      <c r="A205" s="405"/>
      <c r="B205" s="394"/>
      <c r="C205" s="395"/>
      <c r="D205" s="395"/>
      <c r="E205" s="395"/>
      <c r="F205" s="396"/>
      <c r="G205" s="1767" t="s">
        <v>1860</v>
      </c>
      <c r="H205" s="1767"/>
      <c r="I205" s="1768"/>
      <c r="J205" s="25">
        <f>SUM(J202:J204)</f>
        <v>0.31299999999999994</v>
      </c>
      <c r="K205" s="93">
        <v>0.8</v>
      </c>
      <c r="L205" s="25">
        <f>J205/K205</f>
        <v>0.39124999999999993</v>
      </c>
      <c r="M205" s="1780" t="s">
        <v>1861</v>
      </c>
      <c r="N205" s="1768"/>
      <c r="O205" s="25">
        <f>SUM(O198:O202)</f>
        <v>1.4750000000000001</v>
      </c>
      <c r="P205" s="93">
        <v>0.8</v>
      </c>
      <c r="Q205" s="25">
        <f>O205/P205</f>
        <v>1.84375</v>
      </c>
      <c r="R205" s="1780" t="s">
        <v>1860</v>
      </c>
      <c r="S205" s="1767"/>
      <c r="T205" s="1768"/>
      <c r="U205" s="25">
        <f>SUM(U200:U202)</f>
        <v>0</v>
      </c>
      <c r="V205" s="93">
        <v>0.8</v>
      </c>
      <c r="W205" s="25">
        <f>U205/V205</f>
        <v>0</v>
      </c>
    </row>
    <row r="206" spans="1:23" ht="21" customHeight="1" x14ac:dyDescent="0.25">
      <c r="A206" s="406"/>
      <c r="B206" s="398"/>
      <c r="C206" s="399"/>
      <c r="D206" s="399"/>
      <c r="E206" s="399"/>
      <c r="F206" s="400"/>
      <c r="G206" s="1570" t="s">
        <v>1988</v>
      </c>
      <c r="H206" s="1769"/>
      <c r="I206" s="1769"/>
      <c r="J206" s="1769"/>
      <c r="K206" s="1769"/>
      <c r="L206" s="1770"/>
      <c r="M206" s="164"/>
      <c r="N206" s="166"/>
      <c r="O206" s="74"/>
      <c r="P206" s="74"/>
      <c r="Q206" s="74"/>
      <c r="R206" s="1566"/>
      <c r="S206" s="1778"/>
      <c r="T206" s="1778"/>
      <c r="U206" s="1778"/>
      <c r="V206" s="1778"/>
      <c r="W206" s="1779"/>
    </row>
    <row r="207" spans="1:23" ht="65.25" customHeight="1" x14ac:dyDescent="0.25">
      <c r="A207" s="531" t="str">
        <f>'Расчет ЦП - общая форма'!C431</f>
        <v xml:space="preserve">ПС  110/35/10 кВ Н. Рожок </v>
      </c>
      <c r="B207" s="514">
        <f>'Расчет ЦП - общая форма'!D431</f>
        <v>10</v>
      </c>
      <c r="C207" s="502" t="str">
        <f>'Расчет ЦП - общая форма'!E431</f>
        <v>+</v>
      </c>
      <c r="D207" s="502">
        <f>'Расчет ЦП - общая форма'!F431</f>
        <v>10</v>
      </c>
      <c r="E207" s="502"/>
      <c r="F207" s="513"/>
      <c r="G207" s="711" t="s">
        <v>1629</v>
      </c>
      <c r="H207" s="85" t="s">
        <v>1630</v>
      </c>
      <c r="I207" s="98" t="s">
        <v>1631</v>
      </c>
      <c r="J207" s="85">
        <v>0.1024</v>
      </c>
      <c r="K207" s="85"/>
      <c r="L207" s="117"/>
      <c r="M207" s="117" t="s">
        <v>1632</v>
      </c>
      <c r="N207" s="85" t="s">
        <v>1633</v>
      </c>
      <c r="O207" s="85">
        <v>0.15</v>
      </c>
      <c r="P207" s="85"/>
      <c r="Q207" s="85"/>
      <c r="R207" s="117"/>
      <c r="S207" s="117"/>
      <c r="T207" s="87"/>
      <c r="U207" s="117"/>
      <c r="V207" s="117"/>
      <c r="W207" s="117"/>
    </row>
    <row r="208" spans="1:23" ht="65.25" customHeight="1" x14ac:dyDescent="0.25">
      <c r="A208" s="704"/>
      <c r="B208" s="700"/>
      <c r="C208" s="701"/>
      <c r="D208" s="701"/>
      <c r="E208" s="701"/>
      <c r="F208" s="705"/>
      <c r="G208" s="8"/>
      <c r="H208" s="8"/>
      <c r="I208" s="8"/>
      <c r="J208" s="8"/>
      <c r="K208" s="8"/>
      <c r="L208" s="145"/>
      <c r="M208" s="22" t="s">
        <v>2728</v>
      </c>
      <c r="N208" s="1" t="s">
        <v>2729</v>
      </c>
      <c r="O208" s="8">
        <f>4.23-1.63</f>
        <v>2.6000000000000005</v>
      </c>
      <c r="P208" s="8"/>
      <c r="Q208" s="8"/>
      <c r="R208" s="145"/>
      <c r="S208" s="145"/>
      <c r="T208" s="145"/>
      <c r="U208" s="145"/>
      <c r="V208" s="145"/>
      <c r="W208" s="145"/>
    </row>
    <row r="209" spans="1:23" ht="65.25" customHeight="1" x14ac:dyDescent="0.25">
      <c r="A209" s="867"/>
      <c r="B209" s="864"/>
      <c r="C209" s="865"/>
      <c r="D209" s="865"/>
      <c r="E209" s="865"/>
      <c r="F209" s="868"/>
      <c r="G209" s="758"/>
      <c r="H209" s="758"/>
      <c r="I209" s="95"/>
      <c r="J209" s="92"/>
      <c r="K209" s="92"/>
      <c r="L209" s="75"/>
      <c r="M209" s="22" t="s">
        <v>3043</v>
      </c>
      <c r="N209" s="1" t="s">
        <v>3044</v>
      </c>
      <c r="O209" s="8">
        <v>0.05</v>
      </c>
      <c r="P209" s="8"/>
      <c r="Q209" s="8"/>
      <c r="R209" s="145"/>
      <c r="S209" s="145"/>
      <c r="T209" s="145"/>
      <c r="U209" s="145"/>
      <c r="V209" s="145"/>
      <c r="W209" s="145"/>
    </row>
    <row r="210" spans="1:23" ht="19.5" customHeight="1" thickBot="1" x14ac:dyDescent="0.3">
      <c r="A210" s="405"/>
      <c r="B210" s="394"/>
      <c r="C210" s="395"/>
      <c r="D210" s="395"/>
      <c r="E210" s="395"/>
      <c r="F210" s="396"/>
      <c r="G210" s="1776" t="s">
        <v>1860</v>
      </c>
      <c r="H210" s="1776"/>
      <c r="I210" s="1777"/>
      <c r="J210" s="83">
        <f>SUM(0)</f>
        <v>0</v>
      </c>
      <c r="K210" s="92">
        <v>0.8</v>
      </c>
      <c r="L210" s="83">
        <f>J210/K210</f>
        <v>0</v>
      </c>
      <c r="M210" s="1775" t="s">
        <v>1861</v>
      </c>
      <c r="N210" s="1777"/>
      <c r="O210" s="83">
        <f>SUM(O207:O209)</f>
        <v>2.8000000000000003</v>
      </c>
      <c r="P210" s="92">
        <v>0.8</v>
      </c>
      <c r="Q210" s="83">
        <f>O210/P210</f>
        <v>3.5</v>
      </c>
      <c r="R210" s="1775" t="s">
        <v>1860</v>
      </c>
      <c r="S210" s="1776"/>
      <c r="T210" s="1777"/>
      <c r="U210" s="83">
        <f>SUM(U207:U207)</f>
        <v>0</v>
      </c>
      <c r="V210" s="92">
        <v>0.8</v>
      </c>
      <c r="W210" s="83">
        <f>U210/V210</f>
        <v>0</v>
      </c>
    </row>
    <row r="211" spans="1:23" ht="19.5" thickBot="1" x14ac:dyDescent="0.3">
      <c r="A211" s="555" t="s">
        <v>1990</v>
      </c>
      <c r="B211" s="556"/>
      <c r="C211" s="556"/>
      <c r="D211" s="556"/>
      <c r="E211" s="556"/>
      <c r="F211" s="556"/>
      <c r="G211" s="190"/>
      <c r="H211" s="191"/>
      <c r="I211" s="191"/>
      <c r="J211" s="191">
        <f>J13+J16+J22+J25+J27+J30+J32+J45+J47+J50+J55+J62+J65+J82+J85+J94+J99+J107+J116+J119+J127+J129+J139+J142+J145+J158+J168+J177+J185+J194+J196+J210</f>
        <v>25.03417</v>
      </c>
      <c r="K211" s="191"/>
      <c r="L211" s="191">
        <f>L13+L16+L22+L25+L27+L30+L32+L45+L47+L50+L55+L62+L65+L82+L85+L94+L99+L107+L116+L119+L127+L129+L139+L142+L145+L158+L168+L177+L185+L194+L196+L210</f>
        <v>31.2927125</v>
      </c>
      <c r="M211" s="191"/>
      <c r="N211" s="191"/>
      <c r="O211" s="191"/>
      <c r="P211" s="190"/>
      <c r="Q211" s="190"/>
      <c r="R211" s="350"/>
      <c r="S211" s="351"/>
      <c r="T211" s="351"/>
      <c r="U211" s="351"/>
      <c r="V211" s="351"/>
      <c r="W211" s="352"/>
    </row>
    <row r="212" spans="1:23" x14ac:dyDescent="0.25">
      <c r="A212" s="153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87"/>
      <c r="M212" s="98"/>
      <c r="N212" s="98"/>
      <c r="O212" s="98"/>
      <c r="P212" s="98"/>
      <c r="Q212" s="98"/>
      <c r="R212" s="99"/>
    </row>
    <row r="213" spans="1:23" x14ac:dyDescent="0.25">
      <c r="A213" s="153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87"/>
      <c r="M213" s="98"/>
      <c r="N213" s="98"/>
      <c r="O213" s="98"/>
      <c r="P213" s="98"/>
      <c r="Q213" s="98"/>
      <c r="R213" s="99"/>
    </row>
    <row r="214" spans="1:23" x14ac:dyDescent="0.25">
      <c r="A214" s="153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87"/>
      <c r="M214" s="98"/>
      <c r="N214" s="98"/>
      <c r="O214" s="98"/>
      <c r="P214" s="98"/>
      <c r="Q214" s="98"/>
      <c r="R214" s="99"/>
    </row>
    <row r="215" spans="1:23" x14ac:dyDescent="0.25">
      <c r="A215" s="153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87"/>
      <c r="M215" s="98"/>
      <c r="N215" s="98"/>
      <c r="O215" s="98"/>
      <c r="P215" s="98"/>
      <c r="Q215" s="98"/>
      <c r="R215" s="99"/>
    </row>
    <row r="216" spans="1:23" x14ac:dyDescent="0.25">
      <c r="A216" s="153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87"/>
      <c r="M216" s="98"/>
      <c r="N216" s="98"/>
      <c r="O216" s="98"/>
      <c r="P216" s="98"/>
      <c r="Q216" s="98"/>
      <c r="R216" s="99"/>
    </row>
    <row r="217" spans="1:23" x14ac:dyDescent="0.25">
      <c r="A217" s="153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87"/>
      <c r="M217" s="98"/>
      <c r="N217" s="98"/>
      <c r="O217" s="98"/>
      <c r="P217" s="98"/>
      <c r="Q217" s="98"/>
      <c r="R217" s="99"/>
    </row>
    <row r="218" spans="1:23" x14ac:dyDescent="0.25">
      <c r="A218" s="153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87"/>
      <c r="M218" s="98"/>
      <c r="N218" s="98"/>
      <c r="O218" s="98"/>
      <c r="P218" s="98"/>
      <c r="Q218" s="98"/>
      <c r="R218" s="99"/>
    </row>
    <row r="219" spans="1:23" x14ac:dyDescent="0.25">
      <c r="A219" s="153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87"/>
      <c r="M219" s="98"/>
      <c r="N219" s="98"/>
      <c r="O219" s="98"/>
      <c r="P219" s="98"/>
      <c r="Q219" s="98"/>
      <c r="R219" s="99"/>
    </row>
    <row r="220" spans="1:23" x14ac:dyDescent="0.25">
      <c r="A220" s="153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87"/>
      <c r="M220" s="98"/>
      <c r="N220" s="98"/>
      <c r="O220" s="98"/>
      <c r="P220" s="98"/>
      <c r="Q220" s="98"/>
      <c r="R220" s="99"/>
    </row>
    <row r="221" spans="1:23" x14ac:dyDescent="0.25">
      <c r="A221" s="153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87"/>
      <c r="M221" s="98"/>
      <c r="N221" s="98"/>
      <c r="O221" s="98"/>
      <c r="P221" s="98"/>
      <c r="Q221" s="98"/>
      <c r="R221" s="99"/>
    </row>
    <row r="222" spans="1:23" x14ac:dyDescent="0.25">
      <c r="A222" s="153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87"/>
      <c r="M222" s="98"/>
      <c r="N222" s="98"/>
      <c r="O222" s="98"/>
      <c r="P222" s="98"/>
      <c r="Q222" s="98"/>
      <c r="R222" s="99"/>
    </row>
    <row r="223" spans="1:23" x14ac:dyDescent="0.25">
      <c r="A223" s="153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87"/>
      <c r="M223" s="98"/>
      <c r="N223" s="98"/>
      <c r="O223" s="98"/>
      <c r="P223" s="98"/>
      <c r="Q223" s="98"/>
      <c r="R223" s="99"/>
    </row>
    <row r="224" spans="1:23" x14ac:dyDescent="0.25">
      <c r="A224" s="153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87"/>
      <c r="M224" s="98"/>
      <c r="N224" s="98"/>
      <c r="O224" s="98"/>
      <c r="P224" s="98"/>
      <c r="Q224" s="98"/>
      <c r="R224" s="99"/>
    </row>
    <row r="225" spans="1:18" x14ac:dyDescent="0.25">
      <c r="A225" s="153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87"/>
      <c r="M225" s="98"/>
      <c r="N225" s="98"/>
      <c r="O225" s="98"/>
      <c r="P225" s="98"/>
      <c r="Q225" s="98"/>
      <c r="R225" s="99"/>
    </row>
    <row r="226" spans="1:18" x14ac:dyDescent="0.25">
      <c r="A226" s="153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87"/>
      <c r="M226" s="98"/>
      <c r="N226" s="98"/>
      <c r="O226" s="98"/>
      <c r="P226" s="98"/>
      <c r="Q226" s="98"/>
      <c r="R226" s="99"/>
    </row>
    <row r="227" spans="1:18" x14ac:dyDescent="0.25">
      <c r="A227" s="153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87"/>
      <c r="M227" s="98"/>
      <c r="N227" s="98"/>
      <c r="O227" s="98"/>
      <c r="P227" s="98"/>
      <c r="Q227" s="98"/>
      <c r="R227" s="99"/>
    </row>
    <row r="228" spans="1:18" x14ac:dyDescent="0.25">
      <c r="A228" s="153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87"/>
      <c r="M228" s="98"/>
      <c r="N228" s="98"/>
      <c r="O228" s="98"/>
      <c r="P228" s="98"/>
      <c r="Q228" s="98"/>
      <c r="R228" s="99"/>
    </row>
    <row r="229" spans="1:18" x14ac:dyDescent="0.25">
      <c r="A229" s="153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87"/>
      <c r="M229" s="98"/>
      <c r="N229" s="98"/>
      <c r="O229" s="98"/>
      <c r="P229" s="98"/>
      <c r="Q229" s="98"/>
      <c r="R229" s="99"/>
    </row>
    <row r="230" spans="1:18" x14ac:dyDescent="0.25">
      <c r="A230" s="153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87"/>
      <c r="M230" s="98"/>
      <c r="N230" s="98"/>
      <c r="O230" s="98"/>
      <c r="P230" s="98"/>
      <c r="Q230" s="98"/>
      <c r="R230" s="99"/>
    </row>
    <row r="231" spans="1:18" x14ac:dyDescent="0.25">
      <c r="A231" s="153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87"/>
      <c r="M231" s="98"/>
      <c r="N231" s="98"/>
      <c r="O231" s="98"/>
      <c r="P231" s="98"/>
      <c r="Q231" s="98"/>
      <c r="R231" s="99"/>
    </row>
    <row r="232" spans="1:18" x14ac:dyDescent="0.25">
      <c r="A232" s="153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87"/>
      <c r="M232" s="98"/>
      <c r="N232" s="98"/>
      <c r="O232" s="98"/>
      <c r="P232" s="98"/>
      <c r="Q232" s="98"/>
      <c r="R232" s="99"/>
    </row>
    <row r="233" spans="1:18" x14ac:dyDescent="0.25">
      <c r="A233" s="153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87"/>
      <c r="M233" s="98"/>
      <c r="N233" s="98"/>
      <c r="O233" s="98"/>
      <c r="P233" s="98"/>
      <c r="Q233" s="98"/>
      <c r="R233" s="99"/>
    </row>
    <row r="234" spans="1:18" x14ac:dyDescent="0.25">
      <c r="A234" s="153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87"/>
      <c r="M234" s="98"/>
      <c r="N234" s="98"/>
      <c r="O234" s="98"/>
      <c r="P234" s="98"/>
      <c r="Q234" s="98"/>
      <c r="R234" s="99"/>
    </row>
    <row r="235" spans="1:18" x14ac:dyDescent="0.25">
      <c r="A235" s="153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87"/>
      <c r="M235" s="98"/>
      <c r="N235" s="98"/>
      <c r="O235" s="98"/>
      <c r="P235" s="98"/>
      <c r="Q235" s="98"/>
      <c r="R235" s="99"/>
    </row>
    <row r="236" spans="1:18" x14ac:dyDescent="0.25">
      <c r="A236" s="153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87"/>
      <c r="M236" s="98"/>
      <c r="N236" s="98"/>
      <c r="O236" s="98"/>
      <c r="P236" s="98"/>
      <c r="Q236" s="98"/>
      <c r="R236" s="99"/>
    </row>
    <row r="237" spans="1:18" x14ac:dyDescent="0.25">
      <c r="A237" s="153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87"/>
      <c r="M237" s="98"/>
      <c r="N237" s="98"/>
      <c r="O237" s="98"/>
      <c r="P237" s="98"/>
      <c r="Q237" s="98"/>
      <c r="R237" s="99"/>
    </row>
    <row r="238" spans="1:18" x14ac:dyDescent="0.25">
      <c r="A238" s="153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87"/>
      <c r="M238" s="98"/>
      <c r="N238" s="98"/>
      <c r="O238" s="98"/>
      <c r="P238" s="98"/>
      <c r="Q238" s="98"/>
      <c r="R238" s="99"/>
    </row>
    <row r="239" spans="1:18" x14ac:dyDescent="0.25">
      <c r="A239" s="153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87"/>
      <c r="M239" s="98"/>
      <c r="N239" s="98"/>
      <c r="O239" s="98"/>
      <c r="P239" s="98"/>
      <c r="Q239" s="98"/>
      <c r="R239" s="99"/>
    </row>
    <row r="240" spans="1:18" x14ac:dyDescent="0.25">
      <c r="A240" s="153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87"/>
      <c r="M240" s="98"/>
      <c r="N240" s="98"/>
      <c r="O240" s="98"/>
      <c r="P240" s="98"/>
      <c r="Q240" s="98"/>
      <c r="R240" s="99"/>
    </row>
    <row r="241" spans="1:20" x14ac:dyDescent="0.25">
      <c r="A241" s="153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87"/>
      <c r="M241" s="98"/>
      <c r="N241" s="98"/>
      <c r="O241" s="98"/>
      <c r="P241" s="98"/>
      <c r="Q241" s="98"/>
      <c r="R241" s="99"/>
    </row>
    <row r="242" spans="1:20" x14ac:dyDescent="0.25">
      <c r="A242" s="153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87"/>
      <c r="M242" s="98"/>
      <c r="N242" s="98"/>
      <c r="O242" s="98"/>
      <c r="P242" s="98"/>
      <c r="Q242" s="98"/>
      <c r="R242" s="99"/>
    </row>
    <row r="243" spans="1:20" x14ac:dyDescent="0.25">
      <c r="A243" s="153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87"/>
      <c r="M243" s="98"/>
      <c r="N243" s="98"/>
      <c r="O243" s="98"/>
      <c r="P243" s="98"/>
      <c r="Q243" s="98"/>
      <c r="R243" s="99"/>
    </row>
    <row r="244" spans="1:20" x14ac:dyDescent="0.25">
      <c r="A244" s="153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9"/>
    </row>
    <row r="245" spans="1:20" x14ac:dyDescent="0.25">
      <c r="A245" s="153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9"/>
    </row>
    <row r="246" spans="1:20" x14ac:dyDescent="0.25">
      <c r="A246" s="153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9"/>
    </row>
    <row r="247" spans="1:20" x14ac:dyDescent="0.25">
      <c r="A247" s="153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9"/>
      <c r="T247" s="68"/>
    </row>
    <row r="248" spans="1:20" x14ac:dyDescent="0.25">
      <c r="A248" s="153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9"/>
    </row>
    <row r="249" spans="1:20" x14ac:dyDescent="0.25">
      <c r="A249" s="153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9"/>
    </row>
    <row r="250" spans="1:20" x14ac:dyDescent="0.25">
      <c r="A250" s="1492"/>
      <c r="B250" s="1492"/>
      <c r="C250" s="1492"/>
      <c r="D250" s="1492"/>
      <c r="E250" s="1492"/>
      <c r="F250" s="1492"/>
      <c r="G250" s="1492"/>
      <c r="H250" s="1492"/>
      <c r="I250" s="1492"/>
      <c r="J250" s="1492"/>
      <c r="K250" s="1492"/>
      <c r="L250" s="1492"/>
      <c r="M250" s="1492"/>
      <c r="N250" s="1492"/>
      <c r="O250" s="1492"/>
      <c r="P250" s="1492"/>
      <c r="Q250" s="1492"/>
      <c r="R250" s="99"/>
    </row>
    <row r="251" spans="1:20" x14ac:dyDescent="0.25">
      <c r="A251" s="153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9"/>
    </row>
    <row r="252" spans="1:20" x14ac:dyDescent="0.25">
      <c r="A252" s="153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9"/>
    </row>
    <row r="253" spans="1:20" x14ac:dyDescent="0.25">
      <c r="A253" s="153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9"/>
    </row>
    <row r="254" spans="1:20" x14ac:dyDescent="0.25">
      <c r="A254" s="153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9"/>
    </row>
    <row r="255" spans="1:20" x14ac:dyDescent="0.25">
      <c r="A255" s="153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9"/>
    </row>
    <row r="256" spans="1:20" x14ac:dyDescent="0.25">
      <c r="A256" s="153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9"/>
    </row>
    <row r="257" spans="1:18" ht="15.75" customHeight="1" x14ac:dyDescent="0.25">
      <c r="A257" s="153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9"/>
    </row>
    <row r="258" spans="1:18" x14ac:dyDescent="0.25">
      <c r="A258" s="153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9"/>
    </row>
    <row r="259" spans="1:18" x14ac:dyDescent="0.25">
      <c r="A259" s="153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9"/>
    </row>
    <row r="260" spans="1:18" ht="15.75" customHeight="1" x14ac:dyDescent="0.25">
      <c r="A260" s="153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9"/>
    </row>
    <row r="261" spans="1:18" x14ac:dyDescent="0.25">
      <c r="A261" s="153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9"/>
    </row>
    <row r="262" spans="1:18" x14ac:dyDescent="0.25">
      <c r="A262" s="153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9"/>
    </row>
    <row r="263" spans="1:18" x14ac:dyDescent="0.25">
      <c r="A263" s="153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9"/>
    </row>
    <row r="264" spans="1:18" x14ac:dyDescent="0.25">
      <c r="A264" s="153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9"/>
    </row>
    <row r="265" spans="1:18" ht="15.75" customHeight="1" x14ac:dyDescent="0.25">
      <c r="A265" s="153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9"/>
    </row>
    <row r="266" spans="1:18" x14ac:dyDescent="0.25">
      <c r="A266" s="153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9"/>
    </row>
    <row r="267" spans="1:18" x14ac:dyDescent="0.25">
      <c r="A267" s="153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9"/>
    </row>
    <row r="268" spans="1:18" x14ac:dyDescent="0.25">
      <c r="A268" s="153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9"/>
    </row>
    <row r="269" spans="1:18" ht="15.75" customHeight="1" x14ac:dyDescent="0.25">
      <c r="A269" s="153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9"/>
    </row>
    <row r="270" spans="1:18" x14ac:dyDescent="0.25">
      <c r="A270" s="153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9"/>
    </row>
    <row r="271" spans="1:18" x14ac:dyDescent="0.25">
      <c r="A271" s="153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9"/>
    </row>
    <row r="272" spans="1:18" ht="15.75" customHeight="1" x14ac:dyDescent="0.25">
      <c r="A272" s="153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9"/>
    </row>
    <row r="273" spans="1:18" x14ac:dyDescent="0.25">
      <c r="A273" s="15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9"/>
    </row>
    <row r="274" spans="1:18" x14ac:dyDescent="0.25">
      <c r="A274" s="153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9"/>
    </row>
    <row r="275" spans="1:18" ht="15.75" customHeight="1" x14ac:dyDescent="0.25">
      <c r="A275" s="153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9"/>
    </row>
    <row r="276" spans="1:18" x14ac:dyDescent="0.25">
      <c r="A276" s="153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9"/>
    </row>
    <row r="277" spans="1:18" x14ac:dyDescent="0.25">
      <c r="A277" s="153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9"/>
    </row>
    <row r="278" spans="1:18" ht="15.75" customHeight="1" x14ac:dyDescent="0.25">
      <c r="A278" s="153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9"/>
    </row>
    <row r="279" spans="1:18" x14ac:dyDescent="0.25">
      <c r="A279" s="153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9"/>
    </row>
    <row r="280" spans="1:18" x14ac:dyDescent="0.25">
      <c r="A280" s="153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9"/>
    </row>
    <row r="281" spans="1:18" ht="15.75" customHeight="1" x14ac:dyDescent="0.25">
      <c r="A281" s="153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9"/>
    </row>
    <row r="282" spans="1:18" x14ac:dyDescent="0.25">
      <c r="A282" s="153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9"/>
    </row>
    <row r="283" spans="1:18" x14ac:dyDescent="0.25">
      <c r="A283" s="153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9"/>
    </row>
    <row r="284" spans="1:18" x14ac:dyDescent="0.25">
      <c r="A284" s="153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9"/>
    </row>
    <row r="285" spans="1:18" x14ac:dyDescent="0.25">
      <c r="A285" s="153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9"/>
    </row>
    <row r="286" spans="1:18" x14ac:dyDescent="0.25">
      <c r="A286" s="153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9"/>
    </row>
    <row r="287" spans="1:18" x14ac:dyDescent="0.25">
      <c r="A287" s="153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9"/>
    </row>
    <row r="288" spans="1:18" ht="15.75" customHeight="1" x14ac:dyDescent="0.25">
      <c r="A288" s="153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9"/>
    </row>
    <row r="289" spans="1:18" x14ac:dyDescent="0.25">
      <c r="A289" s="153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9"/>
    </row>
    <row r="290" spans="1:18" x14ac:dyDescent="0.25">
      <c r="A290" s="153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9"/>
    </row>
    <row r="291" spans="1:18" ht="15.75" customHeight="1" x14ac:dyDescent="0.25">
      <c r="A291" s="153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9"/>
    </row>
    <row r="292" spans="1:18" x14ac:dyDescent="0.25">
      <c r="A292" s="153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1793"/>
    </row>
    <row r="293" spans="1:18" x14ac:dyDescent="0.25">
      <c r="A293" s="153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1793"/>
    </row>
    <row r="294" spans="1:18" x14ac:dyDescent="0.25">
      <c r="A294" s="153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1793"/>
    </row>
    <row r="295" spans="1:18" ht="15.75" customHeight="1" x14ac:dyDescent="0.25">
      <c r="A295" s="153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1793"/>
    </row>
    <row r="296" spans="1:18" x14ac:dyDescent="0.25">
      <c r="A296" s="1797"/>
      <c r="B296" s="1492"/>
      <c r="C296" s="1492"/>
      <c r="D296" s="1492"/>
      <c r="E296" s="1492"/>
      <c r="F296" s="1492"/>
      <c r="G296" s="1492"/>
      <c r="H296" s="1492"/>
      <c r="I296" s="1492"/>
      <c r="J296" s="1492"/>
      <c r="K296" s="1492"/>
      <c r="L296" s="1492"/>
      <c r="M296" s="1492"/>
      <c r="N296" s="1492"/>
      <c r="O296" s="1492"/>
      <c r="P296" s="1492"/>
      <c r="Q296" s="1492"/>
      <c r="R296" s="99"/>
    </row>
    <row r="297" spans="1:18" x14ac:dyDescent="0.25">
      <c r="A297" s="1797"/>
      <c r="B297" s="1492"/>
      <c r="C297" s="1492"/>
      <c r="D297" s="1492"/>
      <c r="E297" s="1492"/>
      <c r="F297" s="1492"/>
      <c r="G297" s="1492"/>
      <c r="H297" s="1492"/>
      <c r="I297" s="1492"/>
      <c r="J297" s="1492"/>
      <c r="K297" s="1492"/>
      <c r="L297" s="1492"/>
      <c r="M297" s="1492"/>
      <c r="N297" s="1492"/>
      <c r="O297" s="1492"/>
      <c r="P297" s="1492"/>
      <c r="Q297" s="1492"/>
      <c r="R297" s="99"/>
    </row>
    <row r="298" spans="1:18" x14ac:dyDescent="0.25">
      <c r="A298" s="153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9"/>
    </row>
    <row r="299" spans="1:18" x14ac:dyDescent="0.25">
      <c r="A299" s="153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9"/>
    </row>
    <row r="300" spans="1:18" ht="15.75" customHeight="1" x14ac:dyDescent="0.25">
      <c r="A300" s="153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9"/>
    </row>
    <row r="301" spans="1:18" x14ac:dyDescent="0.25">
      <c r="A301" s="153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9"/>
    </row>
    <row r="302" spans="1:18" x14ac:dyDescent="0.25">
      <c r="A302" s="153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9"/>
    </row>
    <row r="303" spans="1:18" ht="15.75" customHeight="1" x14ac:dyDescent="0.25">
      <c r="A303" s="153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9"/>
    </row>
    <row r="304" spans="1:18" x14ac:dyDescent="0.25">
      <c r="A304" s="153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9"/>
    </row>
    <row r="305" spans="1:18" x14ac:dyDescent="0.25">
      <c r="A305" s="153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9"/>
    </row>
    <row r="306" spans="1:18" ht="15.75" customHeight="1" x14ac:dyDescent="0.25">
      <c r="A306" s="153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9"/>
    </row>
    <row r="307" spans="1:18" x14ac:dyDescent="0.25">
      <c r="A307" s="153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9"/>
    </row>
    <row r="308" spans="1:18" x14ac:dyDescent="0.25">
      <c r="A308" s="153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9"/>
    </row>
    <row r="309" spans="1:18" ht="15.75" customHeight="1" x14ac:dyDescent="0.25">
      <c r="A309" s="153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9"/>
    </row>
    <row r="310" spans="1:18" x14ac:dyDescent="0.25">
      <c r="A310" s="1492"/>
      <c r="B310" s="1492"/>
      <c r="C310" s="1492"/>
      <c r="D310" s="1492"/>
      <c r="E310" s="1492"/>
      <c r="F310" s="1492"/>
      <c r="G310" s="1492"/>
      <c r="H310" s="1492"/>
      <c r="I310" s="1492"/>
      <c r="J310" s="1492"/>
      <c r="K310" s="1492"/>
      <c r="L310" s="1492"/>
      <c r="M310" s="1492"/>
      <c r="N310" s="1492"/>
      <c r="O310" s="1492"/>
      <c r="P310" s="1492"/>
      <c r="Q310" s="1492"/>
      <c r="R310" s="99"/>
    </row>
    <row r="311" spans="1:18" x14ac:dyDescent="0.25">
      <c r="A311" s="153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9"/>
    </row>
    <row r="312" spans="1:18" x14ac:dyDescent="0.25">
      <c r="A312" s="153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9"/>
    </row>
    <row r="313" spans="1:18" ht="15.75" customHeight="1" x14ac:dyDescent="0.25">
      <c r="A313" s="153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9"/>
    </row>
    <row r="314" spans="1:18" x14ac:dyDescent="0.25">
      <c r="A314" s="1797"/>
      <c r="B314" s="1492"/>
      <c r="C314" s="1492"/>
      <c r="D314" s="1492"/>
      <c r="E314" s="1492"/>
      <c r="F314" s="1492"/>
      <c r="G314" s="1492"/>
      <c r="H314" s="1492"/>
      <c r="I314" s="1492"/>
      <c r="J314" s="1492"/>
      <c r="K314" s="1492"/>
      <c r="L314" s="1492"/>
      <c r="M314" s="1492"/>
      <c r="N314" s="1492"/>
      <c r="O314" s="1492"/>
      <c r="P314" s="1492"/>
      <c r="Q314" s="1492"/>
      <c r="R314" s="99"/>
    </row>
    <row r="315" spans="1:18" x14ac:dyDescent="0.25">
      <c r="A315" s="1797"/>
      <c r="B315" s="1492"/>
      <c r="C315" s="1492"/>
      <c r="D315" s="1492"/>
      <c r="E315" s="1492"/>
      <c r="F315" s="1492"/>
      <c r="G315" s="1492"/>
      <c r="H315" s="1492"/>
      <c r="I315" s="1492"/>
      <c r="J315" s="1492"/>
      <c r="K315" s="1492"/>
      <c r="L315" s="1492"/>
      <c r="M315" s="1492"/>
      <c r="N315" s="1492"/>
      <c r="O315" s="1492"/>
      <c r="P315" s="1492"/>
      <c r="Q315" s="1492"/>
      <c r="R315" s="99"/>
    </row>
    <row r="316" spans="1:18" x14ac:dyDescent="0.25">
      <c r="A316" s="153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9"/>
    </row>
    <row r="317" spans="1:18" x14ac:dyDescent="0.25">
      <c r="A317" s="153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9"/>
    </row>
    <row r="318" spans="1:18" ht="15.75" customHeight="1" x14ac:dyDescent="0.25">
      <c r="A318" s="153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9"/>
    </row>
    <row r="319" spans="1:18" x14ac:dyDescent="0.25">
      <c r="A319" s="153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9"/>
    </row>
    <row r="320" spans="1:18" x14ac:dyDescent="0.25">
      <c r="A320" s="153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9"/>
    </row>
    <row r="321" spans="1:18" ht="15.75" customHeight="1" x14ac:dyDescent="0.25">
      <c r="A321" s="153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9"/>
    </row>
    <row r="322" spans="1:18" x14ac:dyDescent="0.25">
      <c r="A322" s="153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9"/>
    </row>
    <row r="323" spans="1:18" x14ac:dyDescent="0.25">
      <c r="A323" s="153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9"/>
    </row>
    <row r="324" spans="1:18" ht="15.75" customHeight="1" x14ac:dyDescent="0.25">
      <c r="A324" s="153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9"/>
    </row>
    <row r="325" spans="1:18" x14ac:dyDescent="0.25">
      <c r="A325" s="1492"/>
      <c r="B325" s="1492"/>
      <c r="C325" s="1492"/>
      <c r="D325" s="1492"/>
      <c r="E325" s="1492"/>
      <c r="F325" s="1492"/>
      <c r="G325" s="1492"/>
      <c r="H325" s="1492"/>
      <c r="I325" s="1492"/>
      <c r="J325" s="1492"/>
      <c r="K325" s="1492"/>
      <c r="L325" s="1492"/>
      <c r="M325" s="1492"/>
      <c r="N325" s="1492"/>
      <c r="O325" s="1492"/>
      <c r="P325" s="1492"/>
      <c r="Q325" s="1492"/>
      <c r="R325" s="99"/>
    </row>
    <row r="326" spans="1:18" x14ac:dyDescent="0.25">
      <c r="A326" s="153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9"/>
    </row>
    <row r="327" spans="1:18" x14ac:dyDescent="0.25">
      <c r="A327" s="153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9"/>
    </row>
    <row r="328" spans="1:18" x14ac:dyDescent="0.25">
      <c r="A328" s="153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9"/>
    </row>
    <row r="329" spans="1:18" x14ac:dyDescent="0.25">
      <c r="A329" s="153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9"/>
    </row>
    <row r="330" spans="1:18" x14ac:dyDescent="0.25">
      <c r="A330" s="153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9"/>
    </row>
    <row r="331" spans="1:18" ht="15.75" customHeight="1" x14ac:dyDescent="0.25">
      <c r="A331" s="153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9"/>
    </row>
    <row r="332" spans="1:18" x14ac:dyDescent="0.25">
      <c r="A332" s="153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9"/>
    </row>
    <row r="333" spans="1:18" x14ac:dyDescent="0.25">
      <c r="A333" s="153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9"/>
    </row>
    <row r="334" spans="1:18" ht="15.75" customHeight="1" x14ac:dyDescent="0.25">
      <c r="A334" s="153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9"/>
    </row>
    <row r="335" spans="1:18" x14ac:dyDescent="0.25">
      <c r="A335" s="153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9"/>
    </row>
    <row r="336" spans="1:18" x14ac:dyDescent="0.25">
      <c r="A336" s="153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9"/>
    </row>
    <row r="337" spans="1:18" x14ac:dyDescent="0.25">
      <c r="A337" s="153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9"/>
    </row>
    <row r="338" spans="1:18" ht="15.75" customHeight="1" x14ac:dyDescent="0.25">
      <c r="A338" s="153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9"/>
    </row>
    <row r="339" spans="1:18" x14ac:dyDescent="0.25">
      <c r="A339" s="153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9"/>
    </row>
    <row r="340" spans="1:18" x14ac:dyDescent="0.25">
      <c r="A340" s="153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9"/>
    </row>
    <row r="341" spans="1:18" x14ac:dyDescent="0.25">
      <c r="A341" s="153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9"/>
    </row>
    <row r="342" spans="1:18" x14ac:dyDescent="0.25">
      <c r="A342" s="153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9"/>
    </row>
    <row r="343" spans="1:18" x14ac:dyDescent="0.25">
      <c r="A343" s="153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9"/>
    </row>
    <row r="344" spans="1:18" ht="15.75" customHeight="1" x14ac:dyDescent="0.25">
      <c r="A344" s="153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9"/>
    </row>
    <row r="345" spans="1:18" x14ac:dyDescent="0.25">
      <c r="A345" s="1797"/>
      <c r="B345" s="1492"/>
      <c r="C345" s="1492"/>
      <c r="D345" s="1492"/>
      <c r="E345" s="1492"/>
      <c r="F345" s="1492"/>
      <c r="G345" s="1492"/>
      <c r="H345" s="1492"/>
      <c r="I345" s="1492"/>
      <c r="J345" s="1492"/>
      <c r="K345" s="1492"/>
      <c r="L345" s="1492"/>
      <c r="M345" s="1492"/>
      <c r="N345" s="1492"/>
      <c r="O345" s="1492"/>
      <c r="P345" s="1492"/>
      <c r="Q345" s="1492"/>
      <c r="R345" s="99"/>
    </row>
    <row r="346" spans="1:18" x14ac:dyDescent="0.25">
      <c r="A346" s="1797"/>
      <c r="B346" s="1492"/>
      <c r="C346" s="1492"/>
      <c r="D346" s="1492"/>
      <c r="E346" s="1492"/>
      <c r="F346" s="1492"/>
      <c r="G346" s="1492"/>
      <c r="H346" s="1492"/>
      <c r="I346" s="1492"/>
      <c r="J346" s="1492"/>
      <c r="K346" s="1492"/>
      <c r="L346" s="1492"/>
      <c r="M346" s="1492"/>
      <c r="N346" s="1492"/>
      <c r="O346" s="1492"/>
      <c r="P346" s="1492"/>
      <c r="Q346" s="1492"/>
      <c r="R346" s="99"/>
    </row>
    <row r="347" spans="1:18" x14ac:dyDescent="0.25">
      <c r="A347" s="153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9"/>
    </row>
    <row r="348" spans="1:18" x14ac:dyDescent="0.25">
      <c r="A348" s="153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9"/>
    </row>
    <row r="349" spans="1:18" x14ac:dyDescent="0.25">
      <c r="A349" s="153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9"/>
    </row>
    <row r="350" spans="1:18" x14ac:dyDescent="0.25">
      <c r="A350" s="153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9"/>
    </row>
    <row r="351" spans="1:18" x14ac:dyDescent="0.25">
      <c r="A351" s="153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9"/>
    </row>
    <row r="352" spans="1:18" x14ac:dyDescent="0.25">
      <c r="A352" s="153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9"/>
    </row>
    <row r="353" spans="1:18" x14ac:dyDescent="0.25">
      <c r="A353" s="153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9"/>
    </row>
    <row r="354" spans="1:18" ht="15.75" customHeight="1" x14ac:dyDescent="0.25">
      <c r="A354" s="153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9"/>
    </row>
    <row r="355" spans="1:18" x14ac:dyDescent="0.25">
      <c r="A355" s="1492"/>
      <c r="B355" s="1492"/>
      <c r="C355" s="1492"/>
      <c r="D355" s="1492"/>
      <c r="E355" s="1492"/>
      <c r="F355" s="1492"/>
      <c r="G355" s="1492"/>
      <c r="H355" s="1492"/>
      <c r="I355" s="1492"/>
      <c r="J355" s="1492"/>
      <c r="K355" s="1492"/>
      <c r="L355" s="1492"/>
      <c r="M355" s="1492"/>
      <c r="N355" s="1492"/>
      <c r="O355" s="1492"/>
      <c r="P355" s="1492"/>
      <c r="Q355" s="1492"/>
      <c r="R355" s="99"/>
    </row>
    <row r="356" spans="1:18" x14ac:dyDescent="0.25">
      <c r="A356" s="153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9"/>
    </row>
    <row r="357" spans="1:18" x14ac:dyDescent="0.25">
      <c r="A357" s="153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9"/>
    </row>
    <row r="358" spans="1:18" x14ac:dyDescent="0.25">
      <c r="A358" s="153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9"/>
    </row>
    <row r="359" spans="1:18" ht="15.75" customHeight="1" x14ac:dyDescent="0.25">
      <c r="A359" s="153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9"/>
    </row>
    <row r="360" spans="1:18" x14ac:dyDescent="0.25">
      <c r="A360" s="153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9"/>
    </row>
    <row r="361" spans="1:18" x14ac:dyDescent="0.25">
      <c r="A361" s="153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9"/>
    </row>
    <row r="362" spans="1:18" x14ac:dyDescent="0.25">
      <c r="A362" s="153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9"/>
    </row>
    <row r="363" spans="1:18" ht="15.75" customHeight="1" x14ac:dyDescent="0.25">
      <c r="A363" s="153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9"/>
    </row>
    <row r="364" spans="1:18" x14ac:dyDescent="0.25">
      <c r="A364" s="153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9"/>
    </row>
    <row r="365" spans="1:18" x14ac:dyDescent="0.25">
      <c r="A365" s="153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9"/>
    </row>
    <row r="366" spans="1:18" x14ac:dyDescent="0.25">
      <c r="A366" s="153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9"/>
    </row>
    <row r="367" spans="1:18" x14ac:dyDescent="0.25">
      <c r="A367" s="153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9"/>
    </row>
    <row r="368" spans="1:18" ht="15.75" customHeight="1" x14ac:dyDescent="0.25">
      <c r="A368" s="153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9"/>
    </row>
    <row r="369" spans="1:18" x14ac:dyDescent="0.25">
      <c r="A369" s="153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9"/>
    </row>
    <row r="370" spans="1:18" x14ac:dyDescent="0.25">
      <c r="A370" s="153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9"/>
    </row>
    <row r="371" spans="1:18" ht="15.75" customHeight="1" x14ac:dyDescent="0.25">
      <c r="A371" s="153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9"/>
    </row>
    <row r="372" spans="1:18" x14ac:dyDescent="0.25">
      <c r="A372" s="153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9"/>
    </row>
    <row r="373" spans="1:18" x14ac:dyDescent="0.25">
      <c r="A373" s="153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9"/>
    </row>
    <row r="374" spans="1:18" x14ac:dyDescent="0.25">
      <c r="A374" s="153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9"/>
    </row>
    <row r="375" spans="1:18" x14ac:dyDescent="0.25">
      <c r="A375" s="153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9"/>
    </row>
    <row r="376" spans="1:18" ht="15.75" customHeight="1" x14ac:dyDescent="0.25">
      <c r="A376" s="153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9"/>
    </row>
    <row r="377" spans="1:18" x14ac:dyDescent="0.25">
      <c r="A377" s="1797"/>
      <c r="B377" s="1492"/>
      <c r="C377" s="1492"/>
      <c r="D377" s="1492"/>
      <c r="E377" s="1492"/>
      <c r="F377" s="1492"/>
      <c r="G377" s="1492"/>
      <c r="H377" s="1492"/>
      <c r="I377" s="1492"/>
      <c r="J377" s="1492"/>
      <c r="K377" s="1492"/>
      <c r="L377" s="1492"/>
      <c r="M377" s="1492"/>
      <c r="N377" s="1492"/>
      <c r="O377" s="1492"/>
      <c r="P377" s="1492"/>
      <c r="Q377" s="1492"/>
      <c r="R377" s="99"/>
    </row>
    <row r="378" spans="1:18" x14ac:dyDescent="0.25">
      <c r="A378" s="1797"/>
      <c r="B378" s="1492"/>
      <c r="C378" s="1492"/>
      <c r="D378" s="1492"/>
      <c r="E378" s="1492"/>
      <c r="F378" s="1492"/>
      <c r="G378" s="1492"/>
      <c r="H378" s="1492"/>
      <c r="I378" s="1492"/>
      <c r="J378" s="1492"/>
      <c r="K378" s="1492"/>
      <c r="L378" s="1492"/>
      <c r="M378" s="1492"/>
      <c r="N378" s="1492"/>
      <c r="O378" s="1492"/>
      <c r="P378" s="1492"/>
      <c r="Q378" s="1492"/>
      <c r="R378" s="99"/>
    </row>
    <row r="379" spans="1:18" x14ac:dyDescent="0.25">
      <c r="A379" s="153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9"/>
    </row>
    <row r="380" spans="1:18" x14ac:dyDescent="0.25">
      <c r="A380" s="153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9"/>
    </row>
    <row r="381" spans="1:18" ht="15.75" customHeight="1" x14ac:dyDescent="0.25">
      <c r="A381" s="153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9"/>
    </row>
    <row r="382" spans="1:18" x14ac:dyDescent="0.25">
      <c r="A382" s="153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9"/>
    </row>
    <row r="383" spans="1:18" x14ac:dyDescent="0.25">
      <c r="A383" s="153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9"/>
    </row>
    <row r="384" spans="1:18" ht="15.75" customHeight="1" x14ac:dyDescent="0.25">
      <c r="A384" s="153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9"/>
    </row>
    <row r="385" spans="1:18" x14ac:dyDescent="0.25">
      <c r="A385" s="153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9"/>
    </row>
    <row r="386" spans="1:18" x14ac:dyDescent="0.25">
      <c r="A386" s="153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9"/>
    </row>
    <row r="387" spans="1:18" ht="15.75" customHeight="1" x14ac:dyDescent="0.25">
      <c r="A387" s="153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9"/>
    </row>
    <row r="388" spans="1:18" x14ac:dyDescent="0.25">
      <c r="A388" s="1492"/>
      <c r="B388" s="1492"/>
      <c r="C388" s="1492"/>
      <c r="D388" s="1492"/>
      <c r="E388" s="1492"/>
      <c r="F388" s="1492"/>
      <c r="G388" s="1492"/>
      <c r="H388" s="1492"/>
      <c r="I388" s="1492"/>
      <c r="J388" s="1492"/>
      <c r="K388" s="1492"/>
      <c r="L388" s="1492"/>
      <c r="M388" s="1492"/>
      <c r="N388" s="1492"/>
      <c r="O388" s="1492"/>
      <c r="P388" s="1492"/>
      <c r="Q388" s="1492"/>
      <c r="R388" s="99"/>
    </row>
    <row r="389" spans="1:18" x14ac:dyDescent="0.25">
      <c r="A389" s="153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9"/>
    </row>
    <row r="390" spans="1:18" x14ac:dyDescent="0.25">
      <c r="A390" s="153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9"/>
    </row>
    <row r="391" spans="1:18" x14ac:dyDescent="0.25">
      <c r="A391" s="153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9"/>
    </row>
    <row r="392" spans="1:18" x14ac:dyDescent="0.25">
      <c r="A392" s="153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9"/>
    </row>
    <row r="393" spans="1:18" x14ac:dyDescent="0.25">
      <c r="A393" s="153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9"/>
    </row>
    <row r="394" spans="1:18" ht="15.75" customHeight="1" x14ac:dyDescent="0.25">
      <c r="L394" s="3"/>
    </row>
  </sheetData>
  <mergeCells count="291">
    <mergeCell ref="M55:N55"/>
    <mergeCell ref="G32:I32"/>
    <mergeCell ref="G45:I45"/>
    <mergeCell ref="G53:L53"/>
    <mergeCell ref="G56:L56"/>
    <mergeCell ref="G43:L43"/>
    <mergeCell ref="G44:I44"/>
    <mergeCell ref="G112:L112"/>
    <mergeCell ref="G50:I50"/>
    <mergeCell ref="G82:I82"/>
    <mergeCell ref="G99:I99"/>
    <mergeCell ref="G86:L86"/>
    <mergeCell ref="G75:L75"/>
    <mergeCell ref="G107:I107"/>
    <mergeCell ref="G108:L108"/>
    <mergeCell ref="G102:L102"/>
    <mergeCell ref="G105:L105"/>
    <mergeCell ref="M65:N65"/>
    <mergeCell ref="G41:L41"/>
    <mergeCell ref="M50:N50"/>
    <mergeCell ref="M62:N62"/>
    <mergeCell ref="M45:N45"/>
    <mergeCell ref="M47:N47"/>
    <mergeCell ref="G63:L63"/>
    <mergeCell ref="M107:N107"/>
    <mergeCell ref="G116:I116"/>
    <mergeCell ref="G94:I94"/>
    <mergeCell ref="M99:N99"/>
    <mergeCell ref="G66:L66"/>
    <mergeCell ref="G68:L68"/>
    <mergeCell ref="M116:N116"/>
    <mergeCell ref="M94:N94"/>
    <mergeCell ref="G62:I62"/>
    <mergeCell ref="G64:I64"/>
    <mergeCell ref="G95:L95"/>
    <mergeCell ref="G96:I96"/>
    <mergeCell ref="G81:I81"/>
    <mergeCell ref="G84:I84"/>
    <mergeCell ref="G83:L83"/>
    <mergeCell ref="G80:L80"/>
    <mergeCell ref="G93:I93"/>
    <mergeCell ref="G72:L72"/>
    <mergeCell ref="G77:L77"/>
    <mergeCell ref="G88:L88"/>
    <mergeCell ref="G110:L110"/>
    <mergeCell ref="M142:N142"/>
    <mergeCell ref="G127:I127"/>
    <mergeCell ref="G119:I119"/>
    <mergeCell ref="G139:I139"/>
    <mergeCell ref="M139:N139"/>
    <mergeCell ref="M129:N129"/>
    <mergeCell ref="G129:I129"/>
    <mergeCell ref="G120:L120"/>
    <mergeCell ref="M119:N119"/>
    <mergeCell ref="G123:L123"/>
    <mergeCell ref="G130:L130"/>
    <mergeCell ref="M177:N177"/>
    <mergeCell ref="G196:I196"/>
    <mergeCell ref="M168:N168"/>
    <mergeCell ref="G169:L169"/>
    <mergeCell ref="G180:L180"/>
    <mergeCell ref="G171:L171"/>
    <mergeCell ref="G168:I168"/>
    <mergeCell ref="G193:I193"/>
    <mergeCell ref="M145:N145"/>
    <mergeCell ref="M158:N158"/>
    <mergeCell ref="G159:L159"/>
    <mergeCell ref="G146:L146"/>
    <mergeCell ref="G151:L151"/>
    <mergeCell ref="G155:L155"/>
    <mergeCell ref="G149:L149"/>
    <mergeCell ref="G158:I158"/>
    <mergeCell ref="G177:I177"/>
    <mergeCell ref="G154:I154"/>
    <mergeCell ref="A388:Q388"/>
    <mergeCell ref="A296:Q296"/>
    <mergeCell ref="A325:Q325"/>
    <mergeCell ref="A377:Q377"/>
    <mergeCell ref="A315:Q315"/>
    <mergeCell ref="A378:Q378"/>
    <mergeCell ref="A355:Q355"/>
    <mergeCell ref="A346:Q346"/>
    <mergeCell ref="A314:Q314"/>
    <mergeCell ref="A345:Q345"/>
    <mergeCell ref="A297:Q297"/>
    <mergeCell ref="A310:Q310"/>
    <mergeCell ref="R292:R295"/>
    <mergeCell ref="A250:Q250"/>
    <mergeCell ref="G178:L178"/>
    <mergeCell ref="G47:I47"/>
    <mergeCell ref="A2:A5"/>
    <mergeCell ref="G2:L2"/>
    <mergeCell ref="M2:Q2"/>
    <mergeCell ref="G210:I210"/>
    <mergeCell ref="G19:I19"/>
    <mergeCell ref="M25:N25"/>
    <mergeCell ref="M210:N210"/>
    <mergeCell ref="G206:L206"/>
    <mergeCell ref="M205:N205"/>
    <mergeCell ref="G205:I205"/>
    <mergeCell ref="G197:L197"/>
    <mergeCell ref="G199:L199"/>
    <mergeCell ref="G186:L186"/>
    <mergeCell ref="G188:L188"/>
    <mergeCell ref="M194:N194"/>
    <mergeCell ref="M185:N185"/>
    <mergeCell ref="G185:I185"/>
    <mergeCell ref="M196:N196"/>
    <mergeCell ref="G194:I194"/>
    <mergeCell ref="G192:L192"/>
    <mergeCell ref="A1:Q1"/>
    <mergeCell ref="A33:A34"/>
    <mergeCell ref="B33:B34"/>
    <mergeCell ref="M16:N16"/>
    <mergeCell ref="M30:N30"/>
    <mergeCell ref="M32:N32"/>
    <mergeCell ref="G16:I16"/>
    <mergeCell ref="G30:I30"/>
    <mergeCell ref="B2:F5"/>
    <mergeCell ref="B6:F6"/>
    <mergeCell ref="G13:I13"/>
    <mergeCell ref="M13:N13"/>
    <mergeCell ref="M27:N27"/>
    <mergeCell ref="G27:I27"/>
    <mergeCell ref="G3:L4"/>
    <mergeCell ref="M3:Q4"/>
    <mergeCell ref="M19:N19"/>
    <mergeCell ref="G25:I25"/>
    <mergeCell ref="G9:I9"/>
    <mergeCell ref="G22:I22"/>
    <mergeCell ref="M9:N9"/>
    <mergeCell ref="G10:L10"/>
    <mergeCell ref="M22:N22"/>
    <mergeCell ref="G23:L23"/>
    <mergeCell ref="A186:A187"/>
    <mergeCell ref="B186:B187"/>
    <mergeCell ref="A197:A198"/>
    <mergeCell ref="B197:B198"/>
    <mergeCell ref="A146:A147"/>
    <mergeCell ref="B146:B147"/>
    <mergeCell ref="A159:A160"/>
    <mergeCell ref="B159:B160"/>
    <mergeCell ref="A51:A52"/>
    <mergeCell ref="B51:B52"/>
    <mergeCell ref="A56:A59"/>
    <mergeCell ref="B56:B59"/>
    <mergeCell ref="A66:A67"/>
    <mergeCell ref="B66:B67"/>
    <mergeCell ref="A100:A101"/>
    <mergeCell ref="B100:B101"/>
    <mergeCell ref="A108:A109"/>
    <mergeCell ref="B108:B109"/>
    <mergeCell ref="A130:A131"/>
    <mergeCell ref="R27:T27"/>
    <mergeCell ref="R30:T30"/>
    <mergeCell ref="R32:T32"/>
    <mergeCell ref="R33:W33"/>
    <mergeCell ref="R37:W37"/>
    <mergeCell ref="R45:T45"/>
    <mergeCell ref="A178:A179"/>
    <mergeCell ref="B178:B179"/>
    <mergeCell ref="R2:W2"/>
    <mergeCell ref="R3:W4"/>
    <mergeCell ref="R9:T9"/>
    <mergeCell ref="R13:T13"/>
    <mergeCell ref="R16:T16"/>
    <mergeCell ref="R19:T19"/>
    <mergeCell ref="R22:T22"/>
    <mergeCell ref="R25:T25"/>
    <mergeCell ref="A120:A121"/>
    <mergeCell ref="B120:B121"/>
    <mergeCell ref="M82:N82"/>
    <mergeCell ref="M85:N85"/>
    <mergeCell ref="M127:N127"/>
    <mergeCell ref="G33:L33"/>
    <mergeCell ref="G37:L37"/>
    <mergeCell ref="G51:L51"/>
    <mergeCell ref="R65:T65"/>
    <mergeCell ref="R66:W66"/>
    <mergeCell ref="R68:W68"/>
    <mergeCell ref="R72:W72"/>
    <mergeCell ref="R82:T82"/>
    <mergeCell ref="R85:T85"/>
    <mergeCell ref="R47:T47"/>
    <mergeCell ref="R50:T50"/>
    <mergeCell ref="R51:W51"/>
    <mergeCell ref="R55:T55"/>
    <mergeCell ref="R56:W56"/>
    <mergeCell ref="R62:T62"/>
    <mergeCell ref="R116:T116"/>
    <mergeCell ref="R119:T119"/>
    <mergeCell ref="R120:W120"/>
    <mergeCell ref="R127:T127"/>
    <mergeCell ref="R94:T94"/>
    <mergeCell ref="R99:T99"/>
    <mergeCell ref="R100:W100"/>
    <mergeCell ref="R102:W102"/>
    <mergeCell ref="R105:W105"/>
    <mergeCell ref="R107:T107"/>
    <mergeCell ref="R210:T210"/>
    <mergeCell ref="G58:L58"/>
    <mergeCell ref="R178:W178"/>
    <mergeCell ref="R185:T185"/>
    <mergeCell ref="R186:W186"/>
    <mergeCell ref="R188:W188"/>
    <mergeCell ref="R168:T168"/>
    <mergeCell ref="R177:T177"/>
    <mergeCell ref="R197:W197"/>
    <mergeCell ref="R199:W199"/>
    <mergeCell ref="R205:T205"/>
    <mergeCell ref="R206:W206"/>
    <mergeCell ref="R129:T129"/>
    <mergeCell ref="R139:T139"/>
    <mergeCell ref="R142:T142"/>
    <mergeCell ref="R145:T145"/>
    <mergeCell ref="R194:T194"/>
    <mergeCell ref="R196:T196"/>
    <mergeCell ref="R146:W146"/>
    <mergeCell ref="R149:W149"/>
    <mergeCell ref="R158:T158"/>
    <mergeCell ref="R159:W159"/>
    <mergeCell ref="R108:W108"/>
    <mergeCell ref="R110:W110"/>
    <mergeCell ref="C51:C52"/>
    <mergeCell ref="C66:C67"/>
    <mergeCell ref="D66:D67"/>
    <mergeCell ref="E66:E67"/>
    <mergeCell ref="F66:F67"/>
    <mergeCell ref="C33:C34"/>
    <mergeCell ref="D33:D34"/>
    <mergeCell ref="E33:E34"/>
    <mergeCell ref="F33:F34"/>
    <mergeCell ref="D51:D52"/>
    <mergeCell ref="E51:E52"/>
    <mergeCell ref="F51:F52"/>
    <mergeCell ref="F159:F160"/>
    <mergeCell ref="C100:C101"/>
    <mergeCell ref="D100:D101"/>
    <mergeCell ref="C108:C109"/>
    <mergeCell ref="D108:D109"/>
    <mergeCell ref="E108:E109"/>
    <mergeCell ref="F108:F109"/>
    <mergeCell ref="C56:C59"/>
    <mergeCell ref="D56:D59"/>
    <mergeCell ref="E56:E59"/>
    <mergeCell ref="F56:F59"/>
    <mergeCell ref="C120:C121"/>
    <mergeCell ref="D120:D121"/>
    <mergeCell ref="C146:C147"/>
    <mergeCell ref="D146:D147"/>
    <mergeCell ref="C159:C160"/>
    <mergeCell ref="D159:D160"/>
    <mergeCell ref="E159:E160"/>
    <mergeCell ref="C197:C198"/>
    <mergeCell ref="D197:D198"/>
    <mergeCell ref="E197:E198"/>
    <mergeCell ref="F197:F198"/>
    <mergeCell ref="D178:D179"/>
    <mergeCell ref="E178:E179"/>
    <mergeCell ref="F178:F179"/>
    <mergeCell ref="C186:C187"/>
    <mergeCell ref="D186:D187"/>
    <mergeCell ref="C178:C179"/>
    <mergeCell ref="E186:E187"/>
    <mergeCell ref="F186:F187"/>
    <mergeCell ref="G55:I55"/>
    <mergeCell ref="G100:L100"/>
    <mergeCell ref="G145:I145"/>
    <mergeCell ref="G142:I142"/>
    <mergeCell ref="G161:L161"/>
    <mergeCell ref="G65:I65"/>
    <mergeCell ref="G85:I85"/>
    <mergeCell ref="G143:L143"/>
    <mergeCell ref="G144:I144"/>
    <mergeCell ref="G117:L117"/>
    <mergeCell ref="G118:I118"/>
    <mergeCell ref="G60:L60"/>
    <mergeCell ref="G61:I61"/>
    <mergeCell ref="G203:L203"/>
    <mergeCell ref="G204:I204"/>
    <mergeCell ref="G157:I157"/>
    <mergeCell ref="G134:I134"/>
    <mergeCell ref="G114:L114"/>
    <mergeCell ref="G115:I115"/>
    <mergeCell ref="G132:L132"/>
    <mergeCell ref="G90:L90"/>
    <mergeCell ref="G173:L173"/>
    <mergeCell ref="G176:I176"/>
    <mergeCell ref="G163:I163"/>
    <mergeCell ref="G201:L201"/>
    <mergeCell ref="G135:L135"/>
  </mergeCells>
  <phoneticPr fontId="4" type="noConversion"/>
  <pageMargins left="0.7" right="0.7" top="0.75" bottom="0.75" header="0.3" footer="0.3"/>
  <pageSetup paperSize="9" orientation="portrait" r:id="rId1"/>
  <ignoredErrors>
    <ignoredError sqref="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3:M337"/>
  <sheetViews>
    <sheetView tabSelected="1" zoomScale="80" zoomScaleNormal="80" workbookViewId="0">
      <selection activeCell="G13" sqref="G13"/>
    </sheetView>
  </sheetViews>
  <sheetFormatPr defaultColWidth="11.42578125" defaultRowHeight="15" x14ac:dyDescent="0.25"/>
  <cols>
    <col min="1" max="1" width="35.28515625" style="1807" customWidth="1"/>
    <col min="2" max="2" width="14.5703125" style="1807" customWidth="1"/>
    <col min="3" max="3" width="18.140625" style="1817" customWidth="1"/>
    <col min="4" max="4" width="31.140625" style="1807" customWidth="1"/>
    <col min="5" max="5" width="24" style="1807" customWidth="1"/>
    <col min="6" max="6" width="7.7109375" style="1807" customWidth="1"/>
    <col min="7" max="7" width="9.28515625" style="1807" customWidth="1"/>
    <col min="8" max="8" width="13.5703125" style="1807" customWidth="1"/>
    <col min="9" max="9" width="9.85546875" style="1821" customWidth="1"/>
    <col min="10" max="10" width="14.85546875" style="1807" customWidth="1"/>
    <col min="11" max="11" width="10" style="1807" customWidth="1"/>
    <col min="12" max="12" width="19" style="1807" customWidth="1"/>
    <col min="13" max="13" width="18" style="1807" customWidth="1"/>
  </cols>
  <sheetData>
    <row r="3" spans="1:13" x14ac:dyDescent="0.25">
      <c r="A3" s="1809"/>
      <c r="B3" s="1809"/>
      <c r="C3" s="1818"/>
      <c r="D3" s="1809"/>
      <c r="E3" s="1809"/>
      <c r="F3" s="1809"/>
      <c r="G3" s="1809"/>
      <c r="H3" s="1809"/>
      <c r="I3" s="1822"/>
    </row>
    <row r="4" spans="1:13" x14ac:dyDescent="0.25">
      <c r="A4" s="1809"/>
      <c r="B4" s="1809"/>
      <c r="C4" s="1818"/>
      <c r="D4" s="1809"/>
      <c r="E4" s="1809"/>
      <c r="F4" s="1809"/>
      <c r="G4" s="1809"/>
      <c r="H4" s="1809"/>
      <c r="I4" s="1822"/>
    </row>
    <row r="5" spans="1:13" ht="35.25" customHeight="1" x14ac:dyDescent="0.25">
      <c r="A5" s="1810"/>
      <c r="B5" s="1810"/>
      <c r="C5" s="1819"/>
      <c r="D5" s="1810"/>
      <c r="E5" s="1810"/>
      <c r="F5" s="1810"/>
      <c r="G5" s="1810"/>
      <c r="H5" s="1810"/>
      <c r="I5" s="1823"/>
    </row>
    <row r="6" spans="1:13" ht="15" hidden="1" customHeight="1" x14ac:dyDescent="0.25">
      <c r="A6" s="1811" t="s">
        <v>331</v>
      </c>
      <c r="B6" s="1811" t="s">
        <v>3284</v>
      </c>
      <c r="C6" s="1820" t="s">
        <v>1786</v>
      </c>
      <c r="D6" s="1811" t="s">
        <v>3287</v>
      </c>
      <c r="E6" s="1811" t="s">
        <v>3288</v>
      </c>
      <c r="F6" s="1811"/>
      <c r="G6" s="1811"/>
      <c r="H6" s="1811" t="s">
        <v>3289</v>
      </c>
      <c r="I6" s="1811"/>
      <c r="J6" s="1811" t="s">
        <v>3290</v>
      </c>
      <c r="K6" s="1811" t="s">
        <v>3291</v>
      </c>
      <c r="L6" s="1811" t="s">
        <v>3292</v>
      </c>
      <c r="M6" s="1811" t="s">
        <v>3293</v>
      </c>
    </row>
    <row r="7" spans="1:13" ht="123.75" customHeight="1" x14ac:dyDescent="0.25">
      <c r="A7" s="1826" t="s">
        <v>331</v>
      </c>
      <c r="B7" s="1826" t="s">
        <v>3567</v>
      </c>
      <c r="C7" s="63" t="s">
        <v>3568</v>
      </c>
      <c r="D7" s="1827" t="s">
        <v>3569</v>
      </c>
      <c r="E7" s="1827" t="s">
        <v>3570</v>
      </c>
      <c r="F7" s="1827" t="s">
        <v>3571</v>
      </c>
      <c r="G7" s="1827" t="s">
        <v>3572</v>
      </c>
      <c r="H7" s="1827" t="s">
        <v>3573</v>
      </c>
      <c r="I7" s="1828" t="s">
        <v>3574</v>
      </c>
      <c r="J7" s="2" t="s">
        <v>3290</v>
      </c>
      <c r="K7" s="2" t="s">
        <v>3291</v>
      </c>
      <c r="L7" s="2" t="s">
        <v>3292</v>
      </c>
      <c r="M7" s="2" t="s">
        <v>3293</v>
      </c>
    </row>
    <row r="8" spans="1:13" x14ac:dyDescent="0.25">
      <c r="A8" s="1829" t="s">
        <v>901</v>
      </c>
      <c r="B8" s="1829">
        <v>1989</v>
      </c>
      <c r="C8" s="1830">
        <v>1.6</v>
      </c>
      <c r="D8" s="1831">
        <v>0.65</v>
      </c>
      <c r="E8" s="1831">
        <v>0.19999999999999996</v>
      </c>
      <c r="F8" s="1825">
        <v>0</v>
      </c>
      <c r="G8" s="1831"/>
      <c r="H8" s="1831">
        <v>0.19999999999999996</v>
      </c>
      <c r="I8" s="1831"/>
      <c r="J8" s="1829" t="s">
        <v>3566</v>
      </c>
      <c r="K8" s="1829" t="s">
        <v>3566</v>
      </c>
      <c r="L8" s="1122">
        <v>58.168580612302598</v>
      </c>
      <c r="M8" s="1122">
        <v>35.465545045961903</v>
      </c>
    </row>
    <row r="9" spans="1:13" x14ac:dyDescent="0.25">
      <c r="A9" s="1829" t="s">
        <v>902</v>
      </c>
      <c r="B9" s="1829" t="s">
        <v>3544</v>
      </c>
      <c r="C9" s="1830">
        <v>1.6</v>
      </c>
      <c r="D9" s="1831">
        <v>0.56999999999999995</v>
      </c>
      <c r="E9" s="1831">
        <v>0.84</v>
      </c>
      <c r="F9" s="1825">
        <v>0</v>
      </c>
      <c r="G9" s="1831"/>
      <c r="H9" s="1831">
        <v>0.84</v>
      </c>
      <c r="I9" s="1831"/>
      <c r="J9" s="1829" t="s">
        <v>3566</v>
      </c>
      <c r="K9" s="1829" t="s">
        <v>3566</v>
      </c>
      <c r="L9" s="1122">
        <v>57.6981012133975</v>
      </c>
      <c r="M9" s="1122">
        <v>36.979231133964397</v>
      </c>
    </row>
    <row r="10" spans="1:13" x14ac:dyDescent="0.25">
      <c r="A10" s="1829" t="s">
        <v>903</v>
      </c>
      <c r="B10" s="1829">
        <v>1985</v>
      </c>
      <c r="C10" s="1830">
        <v>1</v>
      </c>
      <c r="D10" s="1831">
        <v>0.18</v>
      </c>
      <c r="E10" s="1831">
        <v>-0.18</v>
      </c>
      <c r="F10" s="1825">
        <v>0</v>
      </c>
      <c r="G10" s="1831"/>
      <c r="H10" s="1831">
        <v>0</v>
      </c>
      <c r="I10" s="1831"/>
      <c r="J10" s="1829" t="s">
        <v>3566</v>
      </c>
      <c r="K10" s="1829" t="s">
        <v>3409</v>
      </c>
      <c r="L10" s="1122">
        <v>58.2387265109776</v>
      </c>
      <c r="M10" s="1122">
        <v>35.952724157647097</v>
      </c>
    </row>
    <row r="11" spans="1:13" x14ac:dyDescent="0.25">
      <c r="A11" s="1829" t="s">
        <v>904</v>
      </c>
      <c r="B11" s="1829" t="s">
        <v>3545</v>
      </c>
      <c r="C11" s="1830">
        <v>1.6</v>
      </c>
      <c r="D11" s="1831">
        <v>0.03</v>
      </c>
      <c r="E11" s="1831">
        <v>0.84</v>
      </c>
      <c r="F11" s="1825">
        <v>0</v>
      </c>
      <c r="G11" s="1831"/>
      <c r="H11" s="1831">
        <v>0.84</v>
      </c>
      <c r="I11" s="1831"/>
      <c r="J11" s="1829" t="s">
        <v>3566</v>
      </c>
      <c r="K11" s="1829" t="s">
        <v>3566</v>
      </c>
      <c r="L11" s="1122">
        <v>58.029169559542403</v>
      </c>
      <c r="M11" s="1122">
        <v>36.993628392820199</v>
      </c>
    </row>
    <row r="12" spans="1:13" x14ac:dyDescent="0.25">
      <c r="A12" s="1829" t="s">
        <v>905</v>
      </c>
      <c r="B12" s="1829">
        <v>1983</v>
      </c>
      <c r="C12" s="1830">
        <v>1.6</v>
      </c>
      <c r="D12" s="1831">
        <v>0.17</v>
      </c>
      <c r="E12" s="1831">
        <v>-0.17</v>
      </c>
      <c r="F12" s="1825">
        <v>0</v>
      </c>
      <c r="G12" s="1831"/>
      <c r="H12" s="1831">
        <v>0</v>
      </c>
      <c r="I12" s="1831"/>
      <c r="J12" s="1829" t="s">
        <v>3566</v>
      </c>
      <c r="K12" s="1829" t="s">
        <v>3409</v>
      </c>
      <c r="L12" s="1122">
        <v>58.048253501405398</v>
      </c>
      <c r="M12" s="1122">
        <v>36.117193294308798</v>
      </c>
    </row>
    <row r="13" spans="1:13" x14ac:dyDescent="0.25">
      <c r="A13" s="1829" t="s">
        <v>906</v>
      </c>
      <c r="B13" s="1829">
        <v>1979</v>
      </c>
      <c r="C13" s="1830">
        <v>2.5</v>
      </c>
      <c r="D13" s="1831">
        <v>0.42</v>
      </c>
      <c r="E13" s="1831">
        <v>0.36000000000000004</v>
      </c>
      <c r="F13" s="1825">
        <v>1.8149999999999999</v>
      </c>
      <c r="G13" s="1831">
        <v>1.3612500000000001</v>
      </c>
      <c r="H13" s="1831">
        <v>0</v>
      </c>
      <c r="I13" s="1831"/>
      <c r="J13" s="1829" t="s">
        <v>3566</v>
      </c>
      <c r="K13" s="1829" t="s">
        <v>3409</v>
      </c>
      <c r="L13" s="1122">
        <v>58.694497246865701</v>
      </c>
      <c r="M13" s="1122">
        <v>36.936407331081497</v>
      </c>
    </row>
    <row r="14" spans="1:13" x14ac:dyDescent="0.25">
      <c r="A14" s="1829" t="s">
        <v>907</v>
      </c>
      <c r="B14" s="1829">
        <v>1982</v>
      </c>
      <c r="C14" s="1830">
        <v>4</v>
      </c>
      <c r="D14" s="1831">
        <v>0.18</v>
      </c>
      <c r="E14" s="1831">
        <v>0.53</v>
      </c>
      <c r="F14" s="1825">
        <v>0</v>
      </c>
      <c r="G14" s="1831">
        <v>0</v>
      </c>
      <c r="H14" s="1831">
        <v>0.53</v>
      </c>
      <c r="I14" s="1831"/>
      <c r="J14" s="1829" t="s">
        <v>3566</v>
      </c>
      <c r="K14" s="1829" t="s">
        <v>3566</v>
      </c>
      <c r="L14" s="1122">
        <v>58.233227061189901</v>
      </c>
      <c r="M14" s="1122">
        <v>36.918343686706699</v>
      </c>
    </row>
    <row r="15" spans="1:13" x14ac:dyDescent="0.25">
      <c r="A15" s="1829" t="s">
        <v>908</v>
      </c>
      <c r="B15" s="1829">
        <v>1968</v>
      </c>
      <c r="C15" s="1830">
        <v>1.6</v>
      </c>
      <c r="D15" s="1831">
        <v>0.19</v>
      </c>
      <c r="E15" s="1831">
        <v>0.79</v>
      </c>
      <c r="F15" s="1825">
        <v>0</v>
      </c>
      <c r="G15" s="1831">
        <v>0</v>
      </c>
      <c r="H15" s="1831">
        <v>0.79</v>
      </c>
      <c r="I15" s="1831"/>
      <c r="J15" s="1829" t="s">
        <v>3566</v>
      </c>
      <c r="K15" s="1829" t="s">
        <v>3566</v>
      </c>
      <c r="L15" s="1122">
        <v>58.013638700469102</v>
      </c>
      <c r="M15" s="1122">
        <v>35.781832313946403</v>
      </c>
    </row>
    <row r="16" spans="1:13" x14ac:dyDescent="0.25">
      <c r="A16" s="1829" t="s">
        <v>909</v>
      </c>
      <c r="B16" s="1829">
        <v>1981</v>
      </c>
      <c r="C16" s="1830">
        <v>4</v>
      </c>
      <c r="D16" s="1831">
        <v>0.34</v>
      </c>
      <c r="E16" s="1831">
        <v>2.6500000000000004</v>
      </c>
      <c r="F16" s="1825">
        <v>0</v>
      </c>
      <c r="G16" s="1831">
        <v>0</v>
      </c>
      <c r="H16" s="1831">
        <v>2.6500000000000004</v>
      </c>
      <c r="I16" s="1831"/>
      <c r="J16" s="1829" t="s">
        <v>3566</v>
      </c>
      <c r="K16" s="1829" t="s">
        <v>3566</v>
      </c>
      <c r="L16" s="1122">
        <v>57.737635139484198</v>
      </c>
      <c r="M16" s="1122">
        <v>36.7111620708</v>
      </c>
    </row>
    <row r="17" spans="1:13" x14ac:dyDescent="0.25">
      <c r="A17" s="1829" t="s">
        <v>910</v>
      </c>
      <c r="B17" s="1829" t="s">
        <v>3546</v>
      </c>
      <c r="C17" s="1830">
        <v>1.8</v>
      </c>
      <c r="D17" s="1831">
        <v>0.32</v>
      </c>
      <c r="E17" s="1831">
        <v>0.38999999999999996</v>
      </c>
      <c r="F17" s="1825">
        <v>0</v>
      </c>
      <c r="G17" s="1831">
        <v>0</v>
      </c>
      <c r="H17" s="1831">
        <v>0.38999999999999996</v>
      </c>
      <c r="I17" s="1831"/>
      <c r="J17" s="1829" t="s">
        <v>3566</v>
      </c>
      <c r="K17" s="1829" t="s">
        <v>3566</v>
      </c>
      <c r="L17" s="1122">
        <v>57.7436647258845</v>
      </c>
      <c r="M17" s="1122">
        <v>37.403150925236197</v>
      </c>
    </row>
    <row r="18" spans="1:13" x14ac:dyDescent="0.25">
      <c r="A18" s="1829" t="s">
        <v>911</v>
      </c>
      <c r="B18" s="1829">
        <v>1979</v>
      </c>
      <c r="C18" s="1830">
        <v>1.6</v>
      </c>
      <c r="D18" s="1831">
        <v>0.11</v>
      </c>
      <c r="E18" s="1831">
        <v>1.23</v>
      </c>
      <c r="F18" s="1825">
        <v>0</v>
      </c>
      <c r="G18" s="1831">
        <v>0</v>
      </c>
      <c r="H18" s="1831">
        <v>1.23</v>
      </c>
      <c r="I18" s="1831"/>
      <c r="J18" s="1829" t="s">
        <v>3566</v>
      </c>
      <c r="K18" s="1829" t="s">
        <v>3566</v>
      </c>
      <c r="L18" s="1122">
        <v>58.428626165543903</v>
      </c>
      <c r="M18" s="1122">
        <v>36.056499942833298</v>
      </c>
    </row>
    <row r="19" spans="1:13" x14ac:dyDescent="0.25">
      <c r="A19" s="1829" t="s">
        <v>912</v>
      </c>
      <c r="B19" s="1829">
        <v>1976</v>
      </c>
      <c r="C19" s="1830">
        <v>4</v>
      </c>
      <c r="D19" s="1831">
        <v>7.0000000000000007E-2</v>
      </c>
      <c r="E19" s="1831">
        <v>0.85000000000000009</v>
      </c>
      <c r="F19" s="1825">
        <v>0</v>
      </c>
      <c r="G19" s="1831">
        <v>0</v>
      </c>
      <c r="H19" s="1831">
        <v>0.85000000000000009</v>
      </c>
      <c r="I19" s="1831"/>
      <c r="J19" s="1829" t="s">
        <v>3566</v>
      </c>
      <c r="K19" s="1829" t="s">
        <v>3566</v>
      </c>
      <c r="L19" s="1122">
        <v>58.073911711186597</v>
      </c>
      <c r="M19" s="1122">
        <v>37.458219408843</v>
      </c>
    </row>
    <row r="20" spans="1:13" x14ac:dyDescent="0.25">
      <c r="A20" s="1829" t="s">
        <v>913</v>
      </c>
      <c r="B20" s="1829">
        <v>1976</v>
      </c>
      <c r="C20" s="1830">
        <v>2.5</v>
      </c>
      <c r="D20" s="1831">
        <v>0.32</v>
      </c>
      <c r="E20" s="1831">
        <v>0.48000000000000004</v>
      </c>
      <c r="F20" s="1825">
        <v>0</v>
      </c>
      <c r="G20" s="1831">
        <v>0</v>
      </c>
      <c r="H20" s="1831">
        <v>0.48000000000000004</v>
      </c>
      <c r="I20" s="1831"/>
      <c r="J20" s="1829" t="s">
        <v>3566</v>
      </c>
      <c r="K20" s="1829" t="s">
        <v>3566</v>
      </c>
      <c r="L20" s="1122">
        <v>57.945378137461198</v>
      </c>
      <c r="M20" s="1122">
        <v>35.612907709664398</v>
      </c>
    </row>
    <row r="21" spans="1:13" x14ac:dyDescent="0.25">
      <c r="A21" s="1829" t="s">
        <v>914</v>
      </c>
      <c r="B21" s="1829">
        <v>1964</v>
      </c>
      <c r="C21" s="1830">
        <v>1.8</v>
      </c>
      <c r="D21" s="1831">
        <v>0.33</v>
      </c>
      <c r="E21" s="1831">
        <v>0.97</v>
      </c>
      <c r="F21" s="1825">
        <v>0</v>
      </c>
      <c r="G21" s="1831">
        <v>0</v>
      </c>
      <c r="H21" s="1831">
        <v>0.97</v>
      </c>
      <c r="I21" s="1831"/>
      <c r="J21" s="1829" t="s">
        <v>3566</v>
      </c>
      <c r="K21" s="1829" t="s">
        <v>3566</v>
      </c>
      <c r="L21" s="1122">
        <v>58.569690881537397</v>
      </c>
      <c r="M21" s="1122">
        <v>36.8172060846967</v>
      </c>
    </row>
    <row r="22" spans="1:13" x14ac:dyDescent="0.25">
      <c r="A22" s="1829" t="s">
        <v>915</v>
      </c>
      <c r="B22" s="1829">
        <v>1980</v>
      </c>
      <c r="C22" s="1830">
        <v>1.6</v>
      </c>
      <c r="D22" s="1831">
        <v>0.03</v>
      </c>
      <c r="E22" s="1831">
        <v>0.65999999999999992</v>
      </c>
      <c r="F22" s="1825">
        <v>0</v>
      </c>
      <c r="G22" s="1831">
        <v>0</v>
      </c>
      <c r="H22" s="1831">
        <v>0.65999999999999992</v>
      </c>
      <c r="I22" s="1831"/>
      <c r="J22" s="1829" t="s">
        <v>3566</v>
      </c>
      <c r="K22" s="1829" t="s">
        <v>3566</v>
      </c>
      <c r="L22" s="1122">
        <v>58.356999572089698</v>
      </c>
      <c r="M22" s="1122">
        <v>37.282068566898502</v>
      </c>
    </row>
    <row r="23" spans="1:13" x14ac:dyDescent="0.25">
      <c r="A23" s="1829" t="s">
        <v>916</v>
      </c>
      <c r="B23" s="1829">
        <v>1980</v>
      </c>
      <c r="C23" s="1830">
        <v>2.5</v>
      </c>
      <c r="D23" s="1831">
        <v>0.28999999999999998</v>
      </c>
      <c r="E23" s="1831">
        <v>0.83999999999999986</v>
      </c>
      <c r="F23" s="1825">
        <v>0</v>
      </c>
      <c r="G23" s="1831">
        <v>0</v>
      </c>
      <c r="H23" s="1831">
        <v>0.83999999999999986</v>
      </c>
      <c r="I23" s="1831"/>
      <c r="J23" s="1829" t="s">
        <v>3566</v>
      </c>
      <c r="K23" s="1829" t="s">
        <v>3566</v>
      </c>
      <c r="L23" s="1122">
        <v>58.386669943226799</v>
      </c>
      <c r="M23" s="1122">
        <v>35.505461550146997</v>
      </c>
    </row>
    <row r="24" spans="1:13" x14ac:dyDescent="0.25">
      <c r="A24" s="1829" t="s">
        <v>917</v>
      </c>
      <c r="B24" s="1829">
        <v>1991</v>
      </c>
      <c r="C24" s="1830">
        <v>2.5</v>
      </c>
      <c r="D24" s="1831">
        <v>0.14000000000000001</v>
      </c>
      <c r="E24" s="1831">
        <v>0.73</v>
      </c>
      <c r="F24" s="1825">
        <v>0</v>
      </c>
      <c r="G24" s="1831">
        <v>0</v>
      </c>
      <c r="H24" s="1831">
        <v>0.73</v>
      </c>
      <c r="I24" s="1831"/>
      <c r="J24" s="1829" t="s">
        <v>3566</v>
      </c>
      <c r="K24" s="1829" t="s">
        <v>3566</v>
      </c>
      <c r="L24" s="1122">
        <v>57.965807632511201</v>
      </c>
      <c r="M24" s="1122">
        <v>36.7677248637033</v>
      </c>
    </row>
    <row r="25" spans="1:13" x14ac:dyDescent="0.25">
      <c r="A25" s="1829" t="s">
        <v>918</v>
      </c>
      <c r="B25" s="1829" t="s">
        <v>3547</v>
      </c>
      <c r="C25" s="1830">
        <v>1.6</v>
      </c>
      <c r="D25" s="1831">
        <v>0.02</v>
      </c>
      <c r="E25" s="1831">
        <v>0.71</v>
      </c>
      <c r="F25" s="1825">
        <v>0</v>
      </c>
      <c r="G25" s="1831">
        <v>0</v>
      </c>
      <c r="H25" s="1831">
        <v>0.71</v>
      </c>
      <c r="I25" s="1831"/>
      <c r="J25" s="1829" t="s">
        <v>3566</v>
      </c>
      <c r="K25" s="1829" t="s">
        <v>3566</v>
      </c>
      <c r="L25" s="1122">
        <v>58.149171108863001</v>
      </c>
      <c r="M25" s="1122">
        <v>37.274005809245502</v>
      </c>
    </row>
    <row r="26" spans="1:13" x14ac:dyDescent="0.25">
      <c r="A26" s="1829" t="s">
        <v>919</v>
      </c>
      <c r="B26" s="1829" t="s">
        <v>3548</v>
      </c>
      <c r="C26" s="1830">
        <v>1.6</v>
      </c>
      <c r="D26" s="1831">
        <v>0.11</v>
      </c>
      <c r="E26" s="1831">
        <v>0.62</v>
      </c>
      <c r="F26" s="1825">
        <v>0</v>
      </c>
      <c r="G26" s="1831">
        <v>0</v>
      </c>
      <c r="H26" s="1831">
        <v>0.62</v>
      </c>
      <c r="I26" s="1831"/>
      <c r="J26" s="1829" t="s">
        <v>3566</v>
      </c>
      <c r="K26" s="1829" t="s">
        <v>3566</v>
      </c>
      <c r="L26" s="1122">
        <v>57.5473308204175</v>
      </c>
      <c r="M26" s="1122">
        <v>36.912513416981703</v>
      </c>
    </row>
    <row r="27" spans="1:13" ht="30" customHeight="1" x14ac:dyDescent="0.25">
      <c r="A27" s="1829" t="s">
        <v>920</v>
      </c>
      <c r="B27" s="1829">
        <v>1976</v>
      </c>
      <c r="C27" s="1830">
        <v>2.5</v>
      </c>
      <c r="D27" s="1831">
        <v>0.85</v>
      </c>
      <c r="E27" s="1831">
        <v>-0.16999999999999993</v>
      </c>
      <c r="F27" s="1825">
        <v>3.7499999999999999E-2</v>
      </c>
      <c r="G27" s="1831">
        <v>2.8124999999999997E-2</v>
      </c>
      <c r="H27" s="1831">
        <v>0</v>
      </c>
      <c r="I27" s="1831"/>
      <c r="J27" s="1829" t="s">
        <v>3566</v>
      </c>
      <c r="K27" s="1829" t="s">
        <v>3409</v>
      </c>
      <c r="L27" s="1122">
        <v>58.393354245935797</v>
      </c>
      <c r="M27" s="1122">
        <v>36.6002455407138</v>
      </c>
    </row>
    <row r="28" spans="1:13" ht="19.5" customHeight="1" x14ac:dyDescent="0.25">
      <c r="A28" s="1829" t="s">
        <v>921</v>
      </c>
      <c r="B28" s="1829">
        <v>1976</v>
      </c>
      <c r="C28" s="1830">
        <v>1.6</v>
      </c>
      <c r="D28" s="1831">
        <v>0.72</v>
      </c>
      <c r="E28" s="1831">
        <v>0</v>
      </c>
      <c r="F28" s="1825">
        <v>0</v>
      </c>
      <c r="G28" s="1831">
        <v>0</v>
      </c>
      <c r="H28" s="1831">
        <v>0</v>
      </c>
      <c r="I28" s="1831"/>
      <c r="J28" s="1829" t="s">
        <v>3566</v>
      </c>
      <c r="K28" s="1829" t="s">
        <v>3566</v>
      </c>
      <c r="L28" s="1122">
        <v>57.677359611616701</v>
      </c>
      <c r="M28" s="1122">
        <v>36.803990047399999</v>
      </c>
    </row>
    <row r="29" spans="1:13" x14ac:dyDescent="0.25">
      <c r="A29" s="1829" t="s">
        <v>922</v>
      </c>
      <c r="B29" s="1829">
        <v>1980</v>
      </c>
      <c r="C29" s="1830">
        <v>2.5</v>
      </c>
      <c r="D29" s="1831">
        <v>0.11</v>
      </c>
      <c r="E29" s="1831">
        <v>1.1499999999999999</v>
      </c>
      <c r="F29" s="1825">
        <v>0</v>
      </c>
      <c r="G29" s="1831">
        <v>0</v>
      </c>
      <c r="H29" s="1831">
        <v>1.1499999999999999</v>
      </c>
      <c r="I29" s="1831"/>
      <c r="J29" s="1829" t="s">
        <v>3566</v>
      </c>
      <c r="K29" s="1829" t="s">
        <v>3566</v>
      </c>
      <c r="L29" s="1122">
        <v>57.4776533741978</v>
      </c>
      <c r="M29" s="1122">
        <v>36.6106506997791</v>
      </c>
    </row>
    <row r="30" spans="1:13" x14ac:dyDescent="0.25">
      <c r="A30" s="1829" t="s">
        <v>923</v>
      </c>
      <c r="B30" s="1829">
        <v>1979</v>
      </c>
      <c r="C30" s="1830">
        <v>2.5</v>
      </c>
      <c r="D30" s="1831">
        <v>0.15</v>
      </c>
      <c r="E30" s="1831">
        <v>1.24</v>
      </c>
      <c r="F30" s="1825">
        <v>0</v>
      </c>
      <c r="G30" s="1831">
        <v>0</v>
      </c>
      <c r="H30" s="1831">
        <v>1.24</v>
      </c>
      <c r="I30" s="1831"/>
      <c r="J30" s="1829" t="s">
        <v>3566</v>
      </c>
      <c r="K30" s="1829" t="s">
        <v>3566</v>
      </c>
      <c r="L30" s="1122">
        <v>57.538188854814599</v>
      </c>
      <c r="M30" s="1122">
        <v>35.975925033216697</v>
      </c>
    </row>
    <row r="31" spans="1:13" x14ac:dyDescent="0.25">
      <c r="A31" s="1829" t="s">
        <v>924</v>
      </c>
      <c r="B31" s="1829">
        <v>1994</v>
      </c>
      <c r="C31" s="1830">
        <v>4</v>
      </c>
      <c r="D31" s="1831">
        <v>1.1299999999999999</v>
      </c>
      <c r="E31" s="1831">
        <v>0.4800000000000002</v>
      </c>
      <c r="F31" s="1825">
        <v>0</v>
      </c>
      <c r="G31" s="1831">
        <v>0</v>
      </c>
      <c r="H31" s="1831">
        <v>0.4800000000000002</v>
      </c>
      <c r="I31" s="1831"/>
      <c r="J31" s="1829" t="s">
        <v>3566</v>
      </c>
      <c r="K31" s="1829" t="s">
        <v>3566</v>
      </c>
      <c r="L31" s="1122">
        <v>57.812227650658102</v>
      </c>
      <c r="M31" s="1122">
        <v>36.689438107678001</v>
      </c>
    </row>
    <row r="32" spans="1:13" ht="19.5" customHeight="1" x14ac:dyDescent="0.25">
      <c r="A32" s="1829" t="s">
        <v>925</v>
      </c>
      <c r="B32" s="1829">
        <v>1981</v>
      </c>
      <c r="C32" s="1830">
        <v>1.8</v>
      </c>
      <c r="D32" s="1831">
        <v>0.9</v>
      </c>
      <c r="E32" s="1831">
        <v>-0.17000000000000004</v>
      </c>
      <c r="F32" s="1825">
        <v>0</v>
      </c>
      <c r="G32" s="1831">
        <v>0</v>
      </c>
      <c r="H32" s="1831">
        <v>0</v>
      </c>
      <c r="I32" s="1831"/>
      <c r="J32" s="1829" t="s">
        <v>3566</v>
      </c>
      <c r="K32" s="1829" t="s">
        <v>3409</v>
      </c>
      <c r="L32" s="1122">
        <v>58.464285994179797</v>
      </c>
      <c r="M32" s="1122">
        <v>37.371467100750998</v>
      </c>
    </row>
    <row r="33" spans="1:13" x14ac:dyDescent="0.25">
      <c r="A33" s="1829" t="s">
        <v>926</v>
      </c>
      <c r="B33" s="1829" t="s">
        <v>3549</v>
      </c>
      <c r="C33" s="1830">
        <v>2.5</v>
      </c>
      <c r="D33" s="1831">
        <v>0.25</v>
      </c>
      <c r="E33" s="1831">
        <v>0.45999999999999996</v>
      </c>
      <c r="F33" s="1825">
        <v>0</v>
      </c>
      <c r="G33" s="1831">
        <v>0</v>
      </c>
      <c r="H33" s="1831">
        <v>0.45999999999999996</v>
      </c>
      <c r="I33" s="1831"/>
      <c r="J33" s="1829" t="s">
        <v>3566</v>
      </c>
      <c r="K33" s="1829" t="s">
        <v>3566</v>
      </c>
      <c r="L33" s="1122">
        <v>58.205023586651599</v>
      </c>
      <c r="M33" s="1122">
        <v>36.486957046222798</v>
      </c>
    </row>
    <row r="34" spans="1:13" x14ac:dyDescent="0.25">
      <c r="A34" s="1829" t="s">
        <v>927</v>
      </c>
      <c r="B34" s="1829">
        <v>1982</v>
      </c>
      <c r="C34" s="1830">
        <v>6.3</v>
      </c>
      <c r="D34" s="1831">
        <v>0.55000000000000004</v>
      </c>
      <c r="E34" s="1831">
        <v>1.04</v>
      </c>
      <c r="F34" s="1825">
        <v>0</v>
      </c>
      <c r="G34" s="1831">
        <v>0</v>
      </c>
      <c r="H34" s="1831">
        <v>1.04</v>
      </c>
      <c r="I34" s="1831"/>
      <c r="J34" s="1829" t="s">
        <v>3566</v>
      </c>
      <c r="K34" s="1829" t="s">
        <v>3566</v>
      </c>
      <c r="L34" s="1122">
        <v>57.782564746760997</v>
      </c>
      <c r="M34" s="1122">
        <v>36.630738308910203</v>
      </c>
    </row>
    <row r="35" spans="1:13" x14ac:dyDescent="0.25">
      <c r="A35" s="1829" t="s">
        <v>928</v>
      </c>
      <c r="B35" s="1829">
        <v>1983</v>
      </c>
      <c r="C35" s="1830">
        <v>2.5</v>
      </c>
      <c r="D35" s="1831">
        <v>0.22</v>
      </c>
      <c r="E35" s="1831">
        <v>0.67</v>
      </c>
      <c r="F35" s="1825">
        <v>0</v>
      </c>
      <c r="G35" s="1831">
        <v>0</v>
      </c>
      <c r="H35" s="1831">
        <v>0.67</v>
      </c>
      <c r="I35" s="1831"/>
      <c r="J35" s="1829" t="s">
        <v>3566</v>
      </c>
      <c r="K35" s="1829" t="s">
        <v>3566</v>
      </c>
      <c r="L35" s="1122">
        <v>57.708587303994101</v>
      </c>
      <c r="M35" s="1122">
        <v>36.505252512965001</v>
      </c>
    </row>
    <row r="36" spans="1:13" x14ac:dyDescent="0.25">
      <c r="A36" s="1829" t="s">
        <v>929</v>
      </c>
      <c r="B36" s="1829">
        <v>1978</v>
      </c>
      <c r="C36" s="1830">
        <v>2.5</v>
      </c>
      <c r="D36" s="1831">
        <v>0.82</v>
      </c>
      <c r="E36" s="1831">
        <v>3.0000000000000027E-2</v>
      </c>
      <c r="F36" s="1825">
        <v>0</v>
      </c>
      <c r="G36" s="1831">
        <v>0</v>
      </c>
      <c r="H36" s="1831">
        <v>3.0000000000000027E-2</v>
      </c>
      <c r="I36" s="1831"/>
      <c r="J36" s="1829" t="s">
        <v>3566</v>
      </c>
      <c r="K36" s="1829" t="s">
        <v>3566</v>
      </c>
      <c r="L36" s="1122">
        <v>57.830694932763102</v>
      </c>
      <c r="M36" s="1122">
        <v>35.631129064387302</v>
      </c>
    </row>
    <row r="37" spans="1:13" x14ac:dyDescent="0.25">
      <c r="A37" s="1829" t="s">
        <v>930</v>
      </c>
      <c r="B37" s="1829">
        <v>1998</v>
      </c>
      <c r="C37" s="1830">
        <v>16</v>
      </c>
      <c r="D37" s="1831">
        <v>1.97</v>
      </c>
      <c r="E37" s="1831">
        <v>1.0000000000000002</v>
      </c>
      <c r="F37" s="1825">
        <v>0</v>
      </c>
      <c r="G37" s="1831">
        <v>0</v>
      </c>
      <c r="H37" s="1831">
        <v>1.0000000000000002</v>
      </c>
      <c r="I37" s="1831"/>
      <c r="J37" s="1829" t="s">
        <v>3566</v>
      </c>
      <c r="K37" s="1829" t="s">
        <v>3566</v>
      </c>
      <c r="L37" s="1122">
        <v>57.776523504667999</v>
      </c>
      <c r="M37" s="1122">
        <v>36.718058575477002</v>
      </c>
    </row>
    <row r="38" spans="1:13" ht="19.5" customHeight="1" x14ac:dyDescent="0.25">
      <c r="A38" s="1829" t="s">
        <v>931</v>
      </c>
      <c r="B38" s="1829">
        <v>1981</v>
      </c>
      <c r="C38" s="1830">
        <v>10</v>
      </c>
      <c r="D38" s="1831">
        <v>5.76</v>
      </c>
      <c r="E38" s="1831">
        <v>-0.75999999999999979</v>
      </c>
      <c r="F38" s="1825">
        <v>6.25E-2</v>
      </c>
      <c r="G38" s="1831">
        <v>4.6875E-2</v>
      </c>
      <c r="H38" s="1831">
        <v>0</v>
      </c>
      <c r="I38" s="1831"/>
      <c r="J38" s="1829" t="s">
        <v>3566</v>
      </c>
      <c r="K38" s="1829" t="s">
        <v>3409</v>
      </c>
      <c r="L38" s="1122">
        <v>57.780753789986697</v>
      </c>
      <c r="M38" s="1122">
        <v>37.171410467278399</v>
      </c>
    </row>
    <row r="39" spans="1:13" ht="19.5" customHeight="1" x14ac:dyDescent="0.25">
      <c r="A39" s="1829" t="s">
        <v>932</v>
      </c>
      <c r="B39" s="1829">
        <v>1979</v>
      </c>
      <c r="C39" s="1830">
        <v>6.3</v>
      </c>
      <c r="D39" s="1831">
        <v>1.1200000000000001</v>
      </c>
      <c r="E39" s="1831">
        <v>-0.94</v>
      </c>
      <c r="F39" s="1825">
        <v>0</v>
      </c>
      <c r="G39" s="1831">
        <v>0</v>
      </c>
      <c r="H39" s="1831">
        <v>0</v>
      </c>
      <c r="I39" s="1831"/>
      <c r="J39" s="1829" t="s">
        <v>3566</v>
      </c>
      <c r="K39" s="1829" t="s">
        <v>3409</v>
      </c>
      <c r="L39" s="1122">
        <v>58.547368724877003</v>
      </c>
      <c r="M39" s="1122">
        <v>37.081294891711501</v>
      </c>
    </row>
    <row r="40" spans="1:13" ht="20.100000000000001" customHeight="1" x14ac:dyDescent="0.25">
      <c r="A40" s="1829" t="s">
        <v>933</v>
      </c>
      <c r="B40" s="1829">
        <v>1980</v>
      </c>
      <c r="C40" s="1830">
        <v>6.3</v>
      </c>
      <c r="D40" s="1831">
        <v>0.79</v>
      </c>
      <c r="E40" s="1831">
        <v>-0.06</v>
      </c>
      <c r="F40" s="1825">
        <v>0</v>
      </c>
      <c r="G40" s="1831">
        <v>0</v>
      </c>
      <c r="H40" s="1831">
        <v>0</v>
      </c>
      <c r="I40" s="1831"/>
      <c r="J40" s="1829" t="s">
        <v>3566</v>
      </c>
      <c r="K40" s="1829" t="s">
        <v>3409</v>
      </c>
      <c r="L40" s="1122">
        <v>58.413755079792601</v>
      </c>
      <c r="M40" s="1122">
        <v>37.073295478038403</v>
      </c>
    </row>
    <row r="41" spans="1:13" ht="20.100000000000001" customHeight="1" x14ac:dyDescent="0.25">
      <c r="A41" s="1829" t="s">
        <v>934</v>
      </c>
      <c r="B41" s="1829">
        <v>1966</v>
      </c>
      <c r="C41" s="1830">
        <v>5.6</v>
      </c>
      <c r="D41" s="1831">
        <v>0.68</v>
      </c>
      <c r="E41" s="1831">
        <v>-0.22</v>
      </c>
      <c r="F41" s="1825">
        <v>0</v>
      </c>
      <c r="G41" s="1831">
        <v>0</v>
      </c>
      <c r="H41" s="1831">
        <v>0</v>
      </c>
      <c r="I41" s="1831"/>
      <c r="J41" s="1829" t="s">
        <v>3566</v>
      </c>
      <c r="K41" s="1829" t="s">
        <v>3409</v>
      </c>
      <c r="L41" s="1122">
        <v>57.564684502073497</v>
      </c>
      <c r="M41" s="1122">
        <v>36.316230032992799</v>
      </c>
    </row>
    <row r="42" spans="1:13" x14ac:dyDescent="0.25">
      <c r="A42" s="1829" t="s">
        <v>935</v>
      </c>
      <c r="B42" s="1829">
        <v>1967</v>
      </c>
      <c r="C42" s="1830">
        <v>6.3</v>
      </c>
      <c r="D42" s="1831">
        <v>2.3199999999999998</v>
      </c>
      <c r="E42" s="1831">
        <v>0.7</v>
      </c>
      <c r="F42" s="1825">
        <v>0.36162499999999997</v>
      </c>
      <c r="G42" s="1831">
        <v>0.27121874999999995</v>
      </c>
      <c r="H42" s="1831">
        <v>0.7</v>
      </c>
      <c r="I42" s="1831"/>
      <c r="J42" s="1829" t="s">
        <v>3566</v>
      </c>
      <c r="K42" s="1829" t="s">
        <v>3566</v>
      </c>
      <c r="L42" s="1122">
        <v>58.2898085836852</v>
      </c>
      <c r="M42" s="1122">
        <v>36.138191362349801</v>
      </c>
    </row>
    <row r="43" spans="1:13" x14ac:dyDescent="0.25">
      <c r="A43" s="1829" t="s">
        <v>936</v>
      </c>
      <c r="B43" s="1829">
        <v>1990</v>
      </c>
      <c r="C43" s="1830">
        <f>1+1</f>
        <v>2</v>
      </c>
      <c r="D43" s="1831">
        <v>0.1</v>
      </c>
      <c r="E43" s="1831">
        <v>1.6400000000000001</v>
      </c>
      <c r="F43" s="1825">
        <v>0</v>
      </c>
      <c r="G43" s="1831">
        <v>0</v>
      </c>
      <c r="H43" s="1831">
        <v>1.6400000000000001</v>
      </c>
      <c r="I43" s="1831"/>
      <c r="J43" s="1829" t="s">
        <v>3566</v>
      </c>
      <c r="K43" s="1829" t="s">
        <v>3566</v>
      </c>
      <c r="L43" s="1122">
        <v>58.285012691051499</v>
      </c>
      <c r="M43" s="1122">
        <v>36.678206871206797</v>
      </c>
    </row>
    <row r="44" spans="1:13" x14ac:dyDescent="0.25">
      <c r="A44" s="1829" t="s">
        <v>937</v>
      </c>
      <c r="B44" s="1829" t="s">
        <v>3550</v>
      </c>
      <c r="C44" s="1830">
        <f>2.5+4</f>
        <v>6.5</v>
      </c>
      <c r="D44" s="1831">
        <v>2.23</v>
      </c>
      <c r="E44" s="1831">
        <v>1.7550000000000001</v>
      </c>
      <c r="F44" s="1825">
        <v>0.36162499999999997</v>
      </c>
      <c r="G44" s="1831">
        <v>0.27121874999999995</v>
      </c>
      <c r="H44" s="1831">
        <v>1.393375</v>
      </c>
      <c r="I44" s="1831"/>
      <c r="J44" s="1829" t="s">
        <v>3566</v>
      </c>
      <c r="K44" s="1829" t="s">
        <v>3566</v>
      </c>
      <c r="L44" s="1122">
        <v>58.2957611052909</v>
      </c>
      <c r="M44" s="1122">
        <v>35.522793476085099</v>
      </c>
    </row>
    <row r="45" spans="1:13" x14ac:dyDescent="0.25">
      <c r="A45" s="1829" t="s">
        <v>938</v>
      </c>
      <c r="B45" s="1829" t="s">
        <v>3551</v>
      </c>
      <c r="C45" s="1830">
        <f>6.3+4</f>
        <v>10.3</v>
      </c>
      <c r="D45" s="1831">
        <v>5.56</v>
      </c>
      <c r="E45" s="1831">
        <v>0.28000000000000025</v>
      </c>
      <c r="F45" s="1825">
        <v>0.29374999999999996</v>
      </c>
      <c r="G45" s="1831">
        <v>0.22031249999999997</v>
      </c>
      <c r="H45" s="1831">
        <v>0</v>
      </c>
      <c r="I45" s="1831"/>
      <c r="J45" s="1829" t="s">
        <v>3566</v>
      </c>
      <c r="K45" s="1829" t="s">
        <v>3409</v>
      </c>
      <c r="L45" s="1122">
        <v>57.775240333090302</v>
      </c>
      <c r="M45" s="1122">
        <v>35.932209388654101</v>
      </c>
    </row>
    <row r="46" spans="1:13" x14ac:dyDescent="0.25">
      <c r="A46" s="1829" t="s">
        <v>939</v>
      </c>
      <c r="B46" s="1829">
        <v>1961</v>
      </c>
      <c r="C46" s="1830">
        <f>2.5+4</f>
        <v>6.5</v>
      </c>
      <c r="D46" s="1831">
        <v>1.93</v>
      </c>
      <c r="E46" s="1831">
        <v>2.4450000000000003</v>
      </c>
      <c r="F46" s="1825">
        <v>2.5000000000000005E-2</v>
      </c>
      <c r="G46" s="1831">
        <v>1.8750000000000003E-2</v>
      </c>
      <c r="H46" s="1831">
        <v>2.42</v>
      </c>
      <c r="I46" s="1831"/>
      <c r="J46" s="1829" t="s">
        <v>3566</v>
      </c>
      <c r="K46" s="1829" t="s">
        <v>3566</v>
      </c>
      <c r="L46" s="1122">
        <v>58.149503084579898</v>
      </c>
      <c r="M46" s="1122">
        <v>36.754327949918697</v>
      </c>
    </row>
    <row r="47" spans="1:13" x14ac:dyDescent="0.25">
      <c r="A47" s="1829" t="s">
        <v>940</v>
      </c>
      <c r="B47" s="1829">
        <v>1978</v>
      </c>
      <c r="C47" s="1830">
        <f>2.5+2.5</f>
        <v>5</v>
      </c>
      <c r="D47" s="1831">
        <v>0.14000000000000001</v>
      </c>
      <c r="E47" s="1831">
        <v>2.4849999999999999</v>
      </c>
      <c r="F47" s="1825">
        <v>0</v>
      </c>
      <c r="G47" s="1831">
        <v>0</v>
      </c>
      <c r="H47" s="1831">
        <v>2.4849999999999999</v>
      </c>
      <c r="I47" s="1831"/>
      <c r="J47" s="1829" t="s">
        <v>3566</v>
      </c>
      <c r="K47" s="1829" t="s">
        <v>3566</v>
      </c>
      <c r="L47" s="1122">
        <v>58.064675135796001</v>
      </c>
      <c r="M47" s="1122">
        <v>36.619704493160597</v>
      </c>
    </row>
    <row r="48" spans="1:13" x14ac:dyDescent="0.25">
      <c r="A48" s="1829" t="s">
        <v>941</v>
      </c>
      <c r="B48" s="1829">
        <v>1975</v>
      </c>
      <c r="C48" s="1830">
        <f>1.6+2.5</f>
        <v>4.0999999999999996</v>
      </c>
      <c r="D48" s="1831">
        <v>1.1499999999999999</v>
      </c>
      <c r="E48" s="1831">
        <v>1.9600000000000002</v>
      </c>
      <c r="F48" s="1825">
        <v>0</v>
      </c>
      <c r="G48" s="1831">
        <v>0</v>
      </c>
      <c r="H48" s="1831">
        <v>1.9600000000000002</v>
      </c>
      <c r="I48" s="1831"/>
      <c r="J48" s="1829" t="s">
        <v>3566</v>
      </c>
      <c r="K48" s="1829" t="s">
        <v>3566</v>
      </c>
      <c r="L48" s="1122">
        <v>57.632090002592399</v>
      </c>
      <c r="M48" s="1122">
        <v>35.908846469797197</v>
      </c>
    </row>
    <row r="49" spans="1:13" x14ac:dyDescent="0.25">
      <c r="A49" s="1829" t="s">
        <v>942</v>
      </c>
      <c r="B49" s="1829">
        <v>1961</v>
      </c>
      <c r="C49" s="1830">
        <f>4+3.2</f>
        <v>7.2</v>
      </c>
      <c r="D49" s="1831">
        <v>4.63</v>
      </c>
      <c r="E49" s="1831">
        <v>0.52000000000000046</v>
      </c>
      <c r="F49" s="1825">
        <v>6.25E-2</v>
      </c>
      <c r="G49" s="1831">
        <v>4.6875E-2</v>
      </c>
      <c r="H49" s="1831">
        <v>0.45750000000000046</v>
      </c>
      <c r="I49" s="1831"/>
      <c r="J49" s="1829" t="s">
        <v>3566</v>
      </c>
      <c r="K49" s="1829" t="s">
        <v>3566</v>
      </c>
      <c r="L49" s="1122">
        <v>57.781191947557701</v>
      </c>
      <c r="M49" s="1122">
        <v>37.158502657856097</v>
      </c>
    </row>
    <row r="50" spans="1:13" ht="30" customHeight="1" x14ac:dyDescent="0.25">
      <c r="A50" s="1829" t="s">
        <v>943</v>
      </c>
      <c r="B50" s="1829">
        <v>1983</v>
      </c>
      <c r="C50" s="1830">
        <f>1.6+2.5</f>
        <v>4.0999999999999996</v>
      </c>
      <c r="D50" s="1831">
        <v>0.56999999999999995</v>
      </c>
      <c r="E50" s="1831">
        <v>1.8000000000000003</v>
      </c>
      <c r="F50" s="1825">
        <v>0</v>
      </c>
      <c r="G50" s="1831">
        <v>0</v>
      </c>
      <c r="H50" s="1831">
        <v>1.8000000000000003</v>
      </c>
      <c r="I50" s="1831"/>
      <c r="J50" s="1829" t="s">
        <v>3566</v>
      </c>
      <c r="K50" s="1829" t="s">
        <v>3566</v>
      </c>
      <c r="L50" s="1122">
        <v>57.966819952449299</v>
      </c>
      <c r="M50" s="1122">
        <v>36.8193100945184</v>
      </c>
    </row>
    <row r="51" spans="1:13" x14ac:dyDescent="0.25">
      <c r="A51" s="1829" t="s">
        <v>944</v>
      </c>
      <c r="B51" s="1829">
        <v>1975</v>
      </c>
      <c r="C51" s="1830">
        <f>6.3+6.3</f>
        <v>12.6</v>
      </c>
      <c r="D51" s="1831">
        <v>0.68</v>
      </c>
      <c r="E51" s="1831">
        <v>6.875</v>
      </c>
      <c r="F51" s="1825">
        <v>3.6312499999999996</v>
      </c>
      <c r="G51" s="1831">
        <v>2.7234374999999997</v>
      </c>
      <c r="H51" s="1831">
        <v>3.2437500000000008</v>
      </c>
      <c r="I51" s="1831"/>
      <c r="J51" s="1829" t="s">
        <v>3566</v>
      </c>
      <c r="K51" s="1829" t="s">
        <v>3566</v>
      </c>
      <c r="L51" s="1122">
        <v>57.793758057565199</v>
      </c>
      <c r="M51" s="1122">
        <v>36.461193560361203</v>
      </c>
    </row>
    <row r="52" spans="1:13" ht="15" customHeight="1" x14ac:dyDescent="0.25">
      <c r="A52" s="1829" t="s">
        <v>945</v>
      </c>
      <c r="B52" s="1829">
        <v>1978</v>
      </c>
      <c r="C52" s="1830">
        <f>6.3+6.3</f>
        <v>12.6</v>
      </c>
      <c r="D52" s="1831">
        <v>4.79</v>
      </c>
      <c r="E52" s="1831">
        <v>1.8250000000000002</v>
      </c>
      <c r="F52" s="1825">
        <v>2.0175000000000001</v>
      </c>
      <c r="G52" s="1831">
        <v>1.5131250000000001</v>
      </c>
      <c r="H52" s="1831">
        <v>0.22750000000000004</v>
      </c>
      <c r="I52" s="1831"/>
      <c r="J52" s="1829" t="s">
        <v>3566</v>
      </c>
      <c r="K52" s="1829" t="s">
        <v>3566</v>
      </c>
      <c r="L52" s="1122">
        <v>58.650946279156003</v>
      </c>
      <c r="M52" s="1122">
        <v>37.250127302002099</v>
      </c>
    </row>
    <row r="53" spans="1:13" x14ac:dyDescent="0.25">
      <c r="A53" s="1829" t="s">
        <v>946</v>
      </c>
      <c r="B53" s="1829">
        <v>1990</v>
      </c>
      <c r="C53" s="1830">
        <f>25+25</f>
        <v>50</v>
      </c>
      <c r="D53" s="1831">
        <v>9.75</v>
      </c>
      <c r="E53" s="1831">
        <v>19</v>
      </c>
      <c r="F53" s="1825">
        <v>0</v>
      </c>
      <c r="G53" s="1831">
        <v>0</v>
      </c>
      <c r="H53" s="1831">
        <v>19</v>
      </c>
      <c r="I53" s="1831"/>
      <c r="J53" s="1829" t="s">
        <v>3566</v>
      </c>
      <c r="K53" s="1829" t="s">
        <v>3566</v>
      </c>
      <c r="L53" s="1122">
        <v>57.8020291616387</v>
      </c>
      <c r="M53" s="1122">
        <v>35.903628854152899</v>
      </c>
    </row>
    <row r="54" spans="1:13" x14ac:dyDescent="0.25">
      <c r="A54" s="1829" t="s">
        <v>947</v>
      </c>
      <c r="B54" s="1829">
        <v>1984</v>
      </c>
      <c r="C54" s="1830">
        <f>10+10</f>
        <v>20</v>
      </c>
      <c r="D54" s="1831">
        <v>5.7</v>
      </c>
      <c r="E54" s="1831">
        <v>4.32</v>
      </c>
      <c r="F54" s="1825">
        <v>0.20374999999999999</v>
      </c>
      <c r="G54" s="1831">
        <v>0.15281249999999999</v>
      </c>
      <c r="H54" s="1831">
        <v>4.11625</v>
      </c>
      <c r="I54" s="1831"/>
      <c r="J54" s="1829" t="s">
        <v>3566</v>
      </c>
      <c r="K54" s="1829" t="s">
        <v>3566</v>
      </c>
      <c r="L54" s="1122">
        <v>58.075610974762903</v>
      </c>
      <c r="M54" s="1122">
        <v>37.131743667775297</v>
      </c>
    </row>
    <row r="55" spans="1:13" x14ac:dyDescent="0.25">
      <c r="A55" s="1829" t="s">
        <v>948</v>
      </c>
      <c r="B55" s="1829">
        <v>1960</v>
      </c>
      <c r="C55" s="1830">
        <f>6.3+6.3</f>
        <v>12.6</v>
      </c>
      <c r="D55" s="1831">
        <v>2.97</v>
      </c>
      <c r="E55" s="1831">
        <v>6.415</v>
      </c>
      <c r="F55" s="1825">
        <v>2.5000000000000005E-2</v>
      </c>
      <c r="G55" s="1831">
        <v>1.8750000000000003E-2</v>
      </c>
      <c r="H55" s="1831">
        <v>6.415</v>
      </c>
      <c r="I55" s="1831"/>
      <c r="J55" s="1829" t="s">
        <v>3566</v>
      </c>
      <c r="K55" s="1829" t="s">
        <v>3566</v>
      </c>
      <c r="L55" s="1122">
        <v>58.030151237087701</v>
      </c>
      <c r="M55" s="1122">
        <v>36.425569565154298</v>
      </c>
    </row>
    <row r="56" spans="1:13" x14ac:dyDescent="0.25">
      <c r="A56" s="1829" t="s">
        <v>949</v>
      </c>
      <c r="B56" s="1829">
        <v>1964</v>
      </c>
      <c r="C56" s="1830">
        <f>10+10</f>
        <v>20</v>
      </c>
      <c r="D56" s="1831">
        <v>6.6</v>
      </c>
      <c r="E56" s="1831">
        <v>7.7200000000000006</v>
      </c>
      <c r="F56" s="1825">
        <v>3.7499999999999999E-2</v>
      </c>
      <c r="G56" s="1831">
        <v>2.8124999999999997E-2</v>
      </c>
      <c r="H56" s="1831">
        <v>7.682500000000001</v>
      </c>
      <c r="I56" s="1831"/>
      <c r="J56" s="1829" t="s">
        <v>3566</v>
      </c>
      <c r="K56" s="1829" t="s">
        <v>3566</v>
      </c>
      <c r="L56" s="1122">
        <v>58.448470562256297</v>
      </c>
      <c r="M56" s="1122">
        <v>36.413952207882701</v>
      </c>
    </row>
    <row r="57" spans="1:13" x14ac:dyDescent="0.25">
      <c r="A57" s="1829" t="s">
        <v>950</v>
      </c>
      <c r="B57" s="1829">
        <v>1960</v>
      </c>
      <c r="C57" s="1830">
        <f>25+25</f>
        <v>50</v>
      </c>
      <c r="D57" s="1831">
        <v>15.09</v>
      </c>
      <c r="E57" s="1831">
        <v>15.66</v>
      </c>
      <c r="F57" s="1825">
        <v>0</v>
      </c>
      <c r="G57" s="1831">
        <v>0</v>
      </c>
      <c r="H57" s="1831">
        <v>15.66</v>
      </c>
      <c r="I57" s="1831"/>
      <c r="J57" s="1829" t="s">
        <v>3566</v>
      </c>
      <c r="K57" s="1829" t="s">
        <v>3566</v>
      </c>
      <c r="L57" s="1122">
        <v>57.810277826926203</v>
      </c>
      <c r="M57" s="1122">
        <v>36.710883336967399</v>
      </c>
    </row>
    <row r="58" spans="1:13" ht="20.100000000000001" customHeight="1" x14ac:dyDescent="0.25">
      <c r="A58" s="1829" t="s">
        <v>951</v>
      </c>
      <c r="B58" s="1829">
        <v>1979</v>
      </c>
      <c r="C58" s="1830">
        <v>4</v>
      </c>
      <c r="D58" s="1831">
        <v>0.23</v>
      </c>
      <c r="E58" s="1831">
        <v>-0.22</v>
      </c>
      <c r="F58" s="1825">
        <v>0</v>
      </c>
      <c r="G58" s="1831">
        <v>0</v>
      </c>
      <c r="H58" s="1831">
        <v>0</v>
      </c>
      <c r="I58" s="1831"/>
      <c r="J58" s="1829" t="s">
        <v>3566</v>
      </c>
      <c r="K58" s="1829" t="s">
        <v>3409</v>
      </c>
      <c r="L58" s="1122">
        <v>57.734708803120498</v>
      </c>
      <c r="M58" s="1122">
        <v>34.251455634969801</v>
      </c>
    </row>
    <row r="59" spans="1:13" x14ac:dyDescent="0.25">
      <c r="A59" s="1829" t="s">
        <v>952</v>
      </c>
      <c r="B59" s="1829">
        <v>1984</v>
      </c>
      <c r="C59" s="1830">
        <v>1.6</v>
      </c>
      <c r="D59" s="1831">
        <v>0.23</v>
      </c>
      <c r="E59" s="1831">
        <v>1.999999999999999E-2</v>
      </c>
      <c r="F59" s="1825">
        <v>0</v>
      </c>
      <c r="G59" s="1831">
        <v>0</v>
      </c>
      <c r="H59" s="1831">
        <v>1.999999999999999E-2</v>
      </c>
      <c r="I59" s="1831"/>
      <c r="J59" s="1829" t="s">
        <v>3566</v>
      </c>
      <c r="K59" s="1829" t="s">
        <v>3566</v>
      </c>
      <c r="L59" s="1122">
        <v>57.337287818827299</v>
      </c>
      <c r="M59" s="1122">
        <v>33.695109920522803</v>
      </c>
    </row>
    <row r="60" spans="1:13" ht="20.100000000000001" customHeight="1" x14ac:dyDescent="0.25">
      <c r="A60" s="1829" t="s">
        <v>953</v>
      </c>
      <c r="B60" s="1829">
        <v>1980</v>
      </c>
      <c r="C60" s="1830">
        <v>1.8</v>
      </c>
      <c r="D60" s="1831">
        <v>0.22</v>
      </c>
      <c r="E60" s="1831">
        <v>-0.22</v>
      </c>
      <c r="F60" s="1825">
        <v>0.3125</v>
      </c>
      <c r="G60" s="1831">
        <v>0.234375</v>
      </c>
      <c r="H60" s="1831">
        <v>0</v>
      </c>
      <c r="I60" s="1831"/>
      <c r="J60" s="1829" t="s">
        <v>3566</v>
      </c>
      <c r="K60" s="1829" t="s">
        <v>3409</v>
      </c>
      <c r="L60" s="1122">
        <v>57.543570844495598</v>
      </c>
      <c r="M60" s="1122">
        <v>34.200940354594699</v>
      </c>
    </row>
    <row r="61" spans="1:13" x14ac:dyDescent="0.25">
      <c r="A61" s="1829" t="s">
        <v>954</v>
      </c>
      <c r="B61" s="1829">
        <v>1980</v>
      </c>
      <c r="C61" s="1830">
        <v>1.6</v>
      </c>
      <c r="D61" s="1831">
        <v>0.42</v>
      </c>
      <c r="E61" s="1831">
        <v>0</v>
      </c>
      <c r="F61" s="1825">
        <v>0</v>
      </c>
      <c r="G61" s="1831">
        <v>0</v>
      </c>
      <c r="H61" s="1831">
        <v>0</v>
      </c>
      <c r="I61" s="1831"/>
      <c r="J61" s="1829" t="s">
        <v>3566</v>
      </c>
      <c r="K61" s="1829" t="s">
        <v>3566</v>
      </c>
      <c r="L61" s="1122">
        <v>57.903337170375103</v>
      </c>
      <c r="M61" s="1122">
        <v>34.781156242278399</v>
      </c>
    </row>
    <row r="62" spans="1:13" x14ac:dyDescent="0.25">
      <c r="A62" s="1829" t="s">
        <v>955</v>
      </c>
      <c r="B62" s="1829">
        <v>1983</v>
      </c>
      <c r="C62" s="1830">
        <v>1.6</v>
      </c>
      <c r="D62" s="1831">
        <v>0.66</v>
      </c>
      <c r="E62" s="1831">
        <v>0</v>
      </c>
      <c r="F62" s="1825">
        <v>6.25E-2</v>
      </c>
      <c r="G62" s="1831">
        <v>4.6875E-2</v>
      </c>
      <c r="H62" s="1831">
        <v>0</v>
      </c>
      <c r="I62" s="1831"/>
      <c r="J62" s="1829" t="s">
        <v>3566</v>
      </c>
      <c r="K62" s="1829" t="s">
        <v>3409</v>
      </c>
      <c r="L62" s="1122">
        <v>57.681961743865799</v>
      </c>
      <c r="M62" s="1122">
        <v>35.215466072650798</v>
      </c>
    </row>
    <row r="63" spans="1:13" x14ac:dyDescent="0.25">
      <c r="A63" s="1829" t="s">
        <v>956</v>
      </c>
      <c r="B63" s="1829">
        <v>1984</v>
      </c>
      <c r="C63" s="1830">
        <v>2.5</v>
      </c>
      <c r="D63" s="1831">
        <v>0.21</v>
      </c>
      <c r="E63" s="1831">
        <v>0</v>
      </c>
      <c r="F63" s="1825">
        <v>0</v>
      </c>
      <c r="G63" s="1831">
        <v>0</v>
      </c>
      <c r="H63" s="1831">
        <v>0</v>
      </c>
      <c r="I63" s="1831"/>
      <c r="J63" s="1829" t="s">
        <v>3566</v>
      </c>
      <c r="K63" s="1829" t="s">
        <v>3566</v>
      </c>
      <c r="L63" s="1122">
        <v>57.3974539559403</v>
      </c>
      <c r="M63" s="1122">
        <v>34.1217816220665</v>
      </c>
    </row>
    <row r="64" spans="1:13" ht="20.100000000000001" customHeight="1" x14ac:dyDescent="0.25">
      <c r="A64" s="1829" t="s">
        <v>957</v>
      </c>
      <c r="B64" s="1829" t="s">
        <v>3552</v>
      </c>
      <c r="C64" s="1830">
        <v>2.5</v>
      </c>
      <c r="D64" s="1831">
        <v>0.08</v>
      </c>
      <c r="E64" s="1831">
        <v>0</v>
      </c>
      <c r="F64" s="1825">
        <v>0</v>
      </c>
      <c r="G64" s="1831">
        <v>0</v>
      </c>
      <c r="H64" s="1831">
        <v>0</v>
      </c>
      <c r="I64" s="1831"/>
      <c r="J64" s="1829" t="s">
        <v>3566</v>
      </c>
      <c r="K64" s="1829" t="s">
        <v>3566</v>
      </c>
      <c r="L64" s="1122">
        <v>57.979977683273901</v>
      </c>
      <c r="M64" s="1122">
        <v>33.650923326913897</v>
      </c>
    </row>
    <row r="65" spans="1:13" ht="30" customHeight="1" x14ac:dyDescent="0.25">
      <c r="A65" s="1829" t="s">
        <v>958</v>
      </c>
      <c r="B65" s="1829">
        <v>1989</v>
      </c>
      <c r="C65" s="1830">
        <v>25</v>
      </c>
      <c r="D65" s="1831">
        <v>0.72</v>
      </c>
      <c r="E65" s="1831">
        <v>0</v>
      </c>
      <c r="F65" s="1825">
        <v>0</v>
      </c>
      <c r="G65" s="1831">
        <v>0</v>
      </c>
      <c r="H65" s="1831">
        <v>0</v>
      </c>
      <c r="I65" s="1831"/>
      <c r="J65" s="1829" t="s">
        <v>3566</v>
      </c>
      <c r="K65" s="1829" t="s">
        <v>3566</v>
      </c>
      <c r="L65" s="1122">
        <v>57.280755054760697</v>
      </c>
      <c r="M65" s="1122">
        <v>34.229776902529103</v>
      </c>
    </row>
    <row r="66" spans="1:13" ht="20.100000000000001" customHeight="1" x14ac:dyDescent="0.25">
      <c r="A66" s="1829" t="s">
        <v>959</v>
      </c>
      <c r="B66" s="1829">
        <v>1962</v>
      </c>
      <c r="C66" s="1830">
        <v>1</v>
      </c>
      <c r="D66" s="1831">
        <v>0.28999999999999998</v>
      </c>
      <c r="E66" s="1831">
        <v>0</v>
      </c>
      <c r="F66" s="1825">
        <v>0</v>
      </c>
      <c r="G66" s="1831">
        <v>0</v>
      </c>
      <c r="H66" s="1831">
        <v>0</v>
      </c>
      <c r="I66" s="1831"/>
      <c r="J66" s="1829" t="s">
        <v>3566</v>
      </c>
      <c r="K66" s="1829" t="s">
        <v>3566</v>
      </c>
      <c r="L66" s="1122">
        <v>57.950902775863199</v>
      </c>
      <c r="M66" s="1122">
        <v>35.015180866362698</v>
      </c>
    </row>
    <row r="67" spans="1:13" ht="20.100000000000001" customHeight="1" x14ac:dyDescent="0.25">
      <c r="A67" s="1829" t="s">
        <v>960</v>
      </c>
      <c r="B67" s="1829">
        <v>1970</v>
      </c>
      <c r="C67" s="1830">
        <v>4</v>
      </c>
      <c r="D67" s="1831">
        <v>2.56</v>
      </c>
      <c r="E67" s="1831">
        <v>-1.6600000000000001</v>
      </c>
      <c r="F67" s="1825">
        <v>0</v>
      </c>
      <c r="G67" s="1831">
        <v>0</v>
      </c>
      <c r="H67" s="1831">
        <v>0</v>
      </c>
      <c r="I67" s="1831"/>
      <c r="J67" s="1829" t="s">
        <v>3566</v>
      </c>
      <c r="K67" s="1829" t="s">
        <v>3409</v>
      </c>
      <c r="L67" s="1122">
        <v>57.604268408936399</v>
      </c>
      <c r="M67" s="1122">
        <v>34.597035020600103</v>
      </c>
    </row>
    <row r="68" spans="1:13" x14ac:dyDescent="0.25">
      <c r="A68" s="1829" t="s">
        <v>961</v>
      </c>
      <c r="B68" s="1829">
        <v>1972</v>
      </c>
      <c r="C68" s="1830">
        <f>1+1.6</f>
        <v>2.6</v>
      </c>
      <c r="D68" s="1831">
        <v>0.62</v>
      </c>
      <c r="E68" s="1831">
        <v>0.43000000000000005</v>
      </c>
      <c r="F68" s="1825">
        <v>0</v>
      </c>
      <c r="G68" s="1831">
        <v>0</v>
      </c>
      <c r="H68" s="1831">
        <v>0.43000000000000005</v>
      </c>
      <c r="I68" s="1831"/>
      <c r="J68" s="1829" t="s">
        <v>3566</v>
      </c>
      <c r="K68" s="1829" t="s">
        <v>3566</v>
      </c>
      <c r="L68" s="1122">
        <v>57.872847658966101</v>
      </c>
      <c r="M68" s="1122">
        <v>33.584345984605797</v>
      </c>
    </row>
    <row r="69" spans="1:13" x14ac:dyDescent="0.25">
      <c r="A69" s="1829" t="s">
        <v>962</v>
      </c>
      <c r="B69" s="1829">
        <v>1985</v>
      </c>
      <c r="C69" s="1830">
        <f>6.3+10</f>
        <v>16.3</v>
      </c>
      <c r="D69" s="1831">
        <v>4.5</v>
      </c>
      <c r="E69" s="1831">
        <v>2.1150000000000002</v>
      </c>
      <c r="F69" s="1825">
        <v>0</v>
      </c>
      <c r="G69" s="1831">
        <v>0</v>
      </c>
      <c r="H69" s="1831">
        <v>2.1150000000000002</v>
      </c>
      <c r="I69" s="1831"/>
      <c r="J69" s="1829" t="s">
        <v>3566</v>
      </c>
      <c r="K69" s="1829" t="s">
        <v>3566</v>
      </c>
      <c r="L69" s="1122">
        <v>57.583092008346497</v>
      </c>
      <c r="M69" s="1122">
        <v>34.519063126938597</v>
      </c>
    </row>
    <row r="70" spans="1:13" x14ac:dyDescent="0.25">
      <c r="A70" s="1829" t="s">
        <v>963</v>
      </c>
      <c r="B70" s="1829">
        <v>1986</v>
      </c>
      <c r="C70" s="1830">
        <f>3.2+4</f>
        <v>7.2</v>
      </c>
      <c r="D70" s="1831">
        <v>1.26</v>
      </c>
      <c r="E70" s="1831">
        <v>2.3000000000000003</v>
      </c>
      <c r="F70" s="1825">
        <v>0</v>
      </c>
      <c r="G70" s="1831">
        <v>0</v>
      </c>
      <c r="H70" s="1831">
        <v>2.1000000000000005</v>
      </c>
      <c r="I70" s="1831"/>
      <c r="J70" s="1829" t="s">
        <v>3566</v>
      </c>
      <c r="K70" s="1829" t="s">
        <v>3566</v>
      </c>
      <c r="L70" s="1122">
        <v>57.711664222731898</v>
      </c>
      <c r="M70" s="1122">
        <v>34.308029350708203</v>
      </c>
    </row>
    <row r="71" spans="1:13" x14ac:dyDescent="0.25">
      <c r="A71" s="1829" t="s">
        <v>964</v>
      </c>
      <c r="B71" s="1829">
        <v>1968</v>
      </c>
      <c r="C71" s="1830">
        <f>1+1.8</f>
        <v>2.8</v>
      </c>
      <c r="D71" s="1831">
        <v>0.02</v>
      </c>
      <c r="E71" s="1831">
        <v>1.03</v>
      </c>
      <c r="F71" s="1825">
        <v>0.16250000000000001</v>
      </c>
      <c r="G71" s="1831">
        <v>0.12187500000000001</v>
      </c>
      <c r="H71" s="1831">
        <v>0.86750000000000005</v>
      </c>
      <c r="I71" s="1831"/>
      <c r="J71" s="1829" t="s">
        <v>3566</v>
      </c>
      <c r="K71" s="1829" t="s">
        <v>3566</v>
      </c>
      <c r="L71" s="1122">
        <v>57.8240221041303</v>
      </c>
      <c r="M71" s="1122">
        <v>33.545197760664401</v>
      </c>
    </row>
    <row r="72" spans="1:13" x14ac:dyDescent="0.25">
      <c r="A72" s="1829" t="s">
        <v>2680</v>
      </c>
      <c r="B72" s="1829">
        <v>1986</v>
      </c>
      <c r="C72" s="1830">
        <f>10+10</f>
        <v>20</v>
      </c>
      <c r="D72" s="1831">
        <v>5.04</v>
      </c>
      <c r="E72" s="1831">
        <v>5.46</v>
      </c>
      <c r="F72" s="1825">
        <v>3.7499999999999999E-2</v>
      </c>
      <c r="G72" s="1831">
        <v>2.8124999999999997E-2</v>
      </c>
      <c r="H72" s="1831">
        <v>5.4225000000000003</v>
      </c>
      <c r="I72" s="1831"/>
      <c r="J72" s="1829" t="s">
        <v>3566</v>
      </c>
      <c r="K72" s="1829" t="s">
        <v>3566</v>
      </c>
      <c r="L72" s="1122">
        <v>57.868926338664501</v>
      </c>
      <c r="M72" s="1122">
        <v>33.678183903363703</v>
      </c>
    </row>
    <row r="73" spans="1:13" ht="20.100000000000001" customHeight="1" x14ac:dyDescent="0.25">
      <c r="A73" s="1829" t="s">
        <v>965</v>
      </c>
      <c r="B73" s="1829">
        <v>1960</v>
      </c>
      <c r="C73" s="1830">
        <f>3.2+3.2</f>
        <v>6.4</v>
      </c>
      <c r="D73" s="1831">
        <v>2.5499999999999998</v>
      </c>
      <c r="E73" s="1831">
        <v>0.8100000000000005</v>
      </c>
      <c r="F73" s="1825">
        <v>0</v>
      </c>
      <c r="G73" s="1831">
        <v>0</v>
      </c>
      <c r="H73" s="1831">
        <v>0.8100000000000005</v>
      </c>
      <c r="I73" s="1831"/>
      <c r="J73" s="1829" t="s">
        <v>3566</v>
      </c>
      <c r="K73" s="1829" t="s">
        <v>3566</v>
      </c>
      <c r="L73" s="1122">
        <v>57.670826900589198</v>
      </c>
      <c r="M73" s="1122">
        <v>34.143911100993201</v>
      </c>
    </row>
    <row r="74" spans="1:13" x14ac:dyDescent="0.25">
      <c r="A74" s="1829" t="s">
        <v>966</v>
      </c>
      <c r="B74" s="1829">
        <v>1979</v>
      </c>
      <c r="C74" s="1830">
        <f>2.5+2.5</f>
        <v>5</v>
      </c>
      <c r="D74" s="1831">
        <v>0.55000000000000004</v>
      </c>
      <c r="E74" s="1831">
        <v>2.2749999999999999</v>
      </c>
      <c r="F74" s="1825">
        <v>0</v>
      </c>
      <c r="G74" s="1831">
        <v>0</v>
      </c>
      <c r="H74" s="1831">
        <v>2.2749999999999999</v>
      </c>
      <c r="I74" s="1831"/>
      <c r="J74" s="1829" t="s">
        <v>3566</v>
      </c>
      <c r="K74" s="1829" t="s">
        <v>3566</v>
      </c>
      <c r="L74" s="1122">
        <v>57.7721481817238</v>
      </c>
      <c r="M74" s="1122">
        <v>34.383550362481301</v>
      </c>
    </row>
    <row r="75" spans="1:13" x14ac:dyDescent="0.25">
      <c r="A75" s="1829" t="s">
        <v>967</v>
      </c>
      <c r="B75" s="1829">
        <v>1988</v>
      </c>
      <c r="C75" s="1830">
        <f t="shared" ref="C75:C76" si="0">6.3+6.3</f>
        <v>12.6</v>
      </c>
      <c r="D75" s="1831">
        <v>0.42</v>
      </c>
      <c r="E75" s="1831">
        <v>6.1950000000000003</v>
      </c>
      <c r="F75" s="1825">
        <v>0</v>
      </c>
      <c r="G75" s="1831">
        <v>0</v>
      </c>
      <c r="H75" s="1831">
        <v>6.1950000000000003</v>
      </c>
      <c r="I75" s="1831"/>
      <c r="J75" s="1829" t="s">
        <v>3566</v>
      </c>
      <c r="K75" s="1829" t="s">
        <v>3566</v>
      </c>
      <c r="L75" s="1122">
        <v>57.8442779260156</v>
      </c>
      <c r="M75" s="1122">
        <v>34.162693792070002</v>
      </c>
    </row>
    <row r="76" spans="1:13" ht="30" customHeight="1" x14ac:dyDescent="0.25">
      <c r="A76" s="1829" t="s">
        <v>968</v>
      </c>
      <c r="B76" s="1829">
        <v>1975</v>
      </c>
      <c r="C76" s="1830">
        <f t="shared" si="0"/>
        <v>12.6</v>
      </c>
      <c r="D76" s="1831">
        <v>1.29</v>
      </c>
      <c r="E76" s="1831">
        <v>5.3250000000000002</v>
      </c>
      <c r="F76" s="1825">
        <v>0.5</v>
      </c>
      <c r="G76" s="1831">
        <v>0.375</v>
      </c>
      <c r="H76" s="1831">
        <v>4.8250000000000002</v>
      </c>
      <c r="I76" s="1831"/>
      <c r="J76" s="1829" t="s">
        <v>3566</v>
      </c>
      <c r="K76" s="1829" t="s">
        <v>3566</v>
      </c>
      <c r="L76" s="1122">
        <v>57.442031982207403</v>
      </c>
      <c r="M76" s="1122">
        <v>33.814412439192097</v>
      </c>
    </row>
    <row r="77" spans="1:13" x14ac:dyDescent="0.25">
      <c r="A77" s="1829" t="s">
        <v>969</v>
      </c>
      <c r="B77" s="1829">
        <v>1979</v>
      </c>
      <c r="C77" s="1830">
        <f>2.5+1.6</f>
        <v>4.0999999999999996</v>
      </c>
      <c r="D77" s="1831">
        <v>0.76</v>
      </c>
      <c r="E77" s="1831">
        <v>0.92000000000000015</v>
      </c>
      <c r="F77" s="1825">
        <v>0</v>
      </c>
      <c r="G77" s="1831">
        <v>0</v>
      </c>
      <c r="H77" s="1831">
        <v>0.92000000000000015</v>
      </c>
      <c r="I77" s="1831"/>
      <c r="J77" s="1829" t="s">
        <v>3566</v>
      </c>
      <c r="K77" s="1829" t="s">
        <v>3566</v>
      </c>
      <c r="L77" s="1122">
        <v>57.3579252791329</v>
      </c>
      <c r="M77" s="1122">
        <v>34.836595533239702</v>
      </c>
    </row>
    <row r="78" spans="1:13" x14ac:dyDescent="0.25">
      <c r="A78" s="1829" t="s">
        <v>970</v>
      </c>
      <c r="B78" s="1829">
        <v>1990</v>
      </c>
      <c r="C78" s="1830">
        <f>2.5+1.6</f>
        <v>4.0999999999999996</v>
      </c>
      <c r="D78" s="1831">
        <v>0.5</v>
      </c>
      <c r="E78" s="1831">
        <v>1.58</v>
      </c>
      <c r="F78" s="1825">
        <v>0</v>
      </c>
      <c r="G78" s="1831">
        <v>0</v>
      </c>
      <c r="H78" s="1831">
        <v>1.58</v>
      </c>
      <c r="I78" s="1831"/>
      <c r="J78" s="1829" t="s">
        <v>3566</v>
      </c>
      <c r="K78" s="1829" t="s">
        <v>3566</v>
      </c>
      <c r="L78" s="1122">
        <v>57.767868441990103</v>
      </c>
      <c r="M78" s="1122">
        <v>34.892569280207297</v>
      </c>
    </row>
    <row r="79" spans="1:13" x14ac:dyDescent="0.25">
      <c r="A79" s="1829" t="s">
        <v>2421</v>
      </c>
      <c r="B79" s="1829">
        <v>1989</v>
      </c>
      <c r="C79" s="1830">
        <f>1.6+1.6</f>
        <v>3.2</v>
      </c>
      <c r="D79" s="1831">
        <v>0.3</v>
      </c>
      <c r="E79" s="1831">
        <v>1.3800000000000001</v>
      </c>
      <c r="F79" s="1825">
        <v>0</v>
      </c>
      <c r="G79" s="1831">
        <v>0</v>
      </c>
      <c r="H79" s="1831">
        <v>1.3800000000000001</v>
      </c>
      <c r="I79" s="1831"/>
      <c r="J79" s="1829" t="s">
        <v>3566</v>
      </c>
      <c r="K79" s="1829" t="s">
        <v>3566</v>
      </c>
      <c r="L79" s="1122">
        <v>57.488246932443701</v>
      </c>
      <c r="M79" s="1122">
        <v>35.123287080946</v>
      </c>
    </row>
    <row r="80" spans="1:13" x14ac:dyDescent="0.25">
      <c r="A80" s="1829" t="s">
        <v>971</v>
      </c>
      <c r="B80" s="1829">
        <v>1980</v>
      </c>
      <c r="C80" s="1832">
        <f>4+4</f>
        <v>8</v>
      </c>
      <c r="D80" s="1831">
        <v>4.3899999999999997</v>
      </c>
      <c r="E80" s="1831">
        <v>-0.1899999999999995</v>
      </c>
      <c r="F80" s="1825">
        <v>0</v>
      </c>
      <c r="G80" s="1831">
        <v>0</v>
      </c>
      <c r="H80" s="1831">
        <v>0</v>
      </c>
      <c r="I80" s="1833">
        <v>2018</v>
      </c>
      <c r="J80" s="1829" t="s">
        <v>3409</v>
      </c>
      <c r="K80" s="1829" t="s">
        <v>3409</v>
      </c>
      <c r="L80" s="1122">
        <v>57.629632543282298</v>
      </c>
      <c r="M80" s="1122">
        <v>34.495544901883001</v>
      </c>
    </row>
    <row r="81" spans="1:13" x14ac:dyDescent="0.25">
      <c r="A81" s="1829" t="s">
        <v>972</v>
      </c>
      <c r="B81" s="1829">
        <v>1979</v>
      </c>
      <c r="C81" s="1830">
        <f>1.6+1.6</f>
        <v>3.2</v>
      </c>
      <c r="D81" s="1831">
        <v>0.54</v>
      </c>
      <c r="E81" s="1831">
        <v>1.1400000000000001</v>
      </c>
      <c r="F81" s="1825">
        <v>0</v>
      </c>
      <c r="G81" s="1831">
        <v>0</v>
      </c>
      <c r="H81" s="1831">
        <v>1.1400000000000001</v>
      </c>
      <c r="I81" s="1831"/>
      <c r="J81" s="1829" t="s">
        <v>3566</v>
      </c>
      <c r="K81" s="1829" t="s">
        <v>3566</v>
      </c>
      <c r="L81" s="1122">
        <v>57.699834256032702</v>
      </c>
      <c r="M81" s="1122">
        <v>34.772205230770801</v>
      </c>
    </row>
    <row r="82" spans="1:13" x14ac:dyDescent="0.25">
      <c r="A82" s="1829" t="s">
        <v>973</v>
      </c>
      <c r="B82" s="1829">
        <v>1979</v>
      </c>
      <c r="C82" s="1830">
        <f>1.8+2.5</f>
        <v>4.3</v>
      </c>
      <c r="D82" s="1831">
        <v>1.02</v>
      </c>
      <c r="E82" s="1831">
        <v>0.87000000000000011</v>
      </c>
      <c r="F82" s="1825">
        <v>0</v>
      </c>
      <c r="G82" s="1831">
        <v>0</v>
      </c>
      <c r="H82" s="1831">
        <v>0.87000000000000011</v>
      </c>
      <c r="I82" s="1831"/>
      <c r="J82" s="1829" t="s">
        <v>3566</v>
      </c>
      <c r="K82" s="1829" t="s">
        <v>3566</v>
      </c>
      <c r="L82" s="1122">
        <v>57.279388593644498</v>
      </c>
      <c r="M82" s="1122">
        <v>34.2263674343438</v>
      </c>
    </row>
    <row r="83" spans="1:13" x14ac:dyDescent="0.25">
      <c r="A83" s="1829" t="s">
        <v>974</v>
      </c>
      <c r="B83" s="1829" t="s">
        <v>3553</v>
      </c>
      <c r="C83" s="1830">
        <f>2.5+2.5</f>
        <v>5</v>
      </c>
      <c r="D83" s="1831">
        <v>0.41</v>
      </c>
      <c r="E83" s="1831">
        <v>2.2149999999999999</v>
      </c>
      <c r="F83" s="1825">
        <v>0.25</v>
      </c>
      <c r="G83" s="1831">
        <v>0.1875</v>
      </c>
      <c r="H83" s="1831">
        <v>1.9650000000000001</v>
      </c>
      <c r="I83" s="1831"/>
      <c r="J83" s="1829" t="s">
        <v>3566</v>
      </c>
      <c r="K83" s="1829" t="s">
        <v>3566</v>
      </c>
      <c r="L83" s="1122">
        <v>57.573525012778198</v>
      </c>
      <c r="M83" s="1122">
        <v>34.580709108756601</v>
      </c>
    </row>
    <row r="84" spans="1:13" x14ac:dyDescent="0.25">
      <c r="A84" s="1829" t="s">
        <v>975</v>
      </c>
      <c r="B84" s="1829">
        <v>1985</v>
      </c>
      <c r="C84" s="1830">
        <f>6.3+6.3</f>
        <v>12.6</v>
      </c>
      <c r="D84" s="1831">
        <v>1.48</v>
      </c>
      <c r="E84" s="1831">
        <v>5.335</v>
      </c>
      <c r="F84" s="1825">
        <v>0</v>
      </c>
      <c r="G84" s="1831">
        <v>0</v>
      </c>
      <c r="H84" s="1831">
        <v>5.335</v>
      </c>
      <c r="I84" s="1831"/>
      <c r="J84" s="1829" t="s">
        <v>3566</v>
      </c>
      <c r="K84" s="1829" t="s">
        <v>3566</v>
      </c>
      <c r="L84" s="1122">
        <v>57.857132786891199</v>
      </c>
      <c r="M84" s="1122">
        <v>34.0446356018983</v>
      </c>
    </row>
    <row r="85" spans="1:13" x14ac:dyDescent="0.25">
      <c r="A85" s="1829" t="s">
        <v>976</v>
      </c>
      <c r="B85" s="1829">
        <v>1981</v>
      </c>
      <c r="C85" s="1830">
        <f>2.5+2.5</f>
        <v>5</v>
      </c>
      <c r="D85" s="1831">
        <v>0.61</v>
      </c>
      <c r="E85" s="1831">
        <v>2.625</v>
      </c>
      <c r="F85" s="1825">
        <v>0</v>
      </c>
      <c r="G85" s="1831">
        <v>0</v>
      </c>
      <c r="H85" s="1831">
        <v>2.625</v>
      </c>
      <c r="I85" s="1831"/>
      <c r="J85" s="1829" t="s">
        <v>3566</v>
      </c>
      <c r="K85" s="1829" t="s">
        <v>3566</v>
      </c>
      <c r="L85" s="1122">
        <v>57.303848389370401</v>
      </c>
      <c r="M85" s="1122">
        <v>34.585047065027197</v>
      </c>
    </row>
    <row r="86" spans="1:13" x14ac:dyDescent="0.25">
      <c r="A86" s="1829" t="s">
        <v>977</v>
      </c>
      <c r="B86" s="1829">
        <v>1972</v>
      </c>
      <c r="C86" s="1830">
        <f>1.8+4</f>
        <v>5.8</v>
      </c>
      <c r="D86" s="1831">
        <v>0.81</v>
      </c>
      <c r="E86" s="1831">
        <v>1.08</v>
      </c>
      <c r="F86" s="1825">
        <v>0</v>
      </c>
      <c r="G86" s="1831">
        <v>0</v>
      </c>
      <c r="H86" s="1831">
        <v>1.08</v>
      </c>
      <c r="I86" s="1831"/>
      <c r="J86" s="1829" t="s">
        <v>3566</v>
      </c>
      <c r="K86" s="1829" t="s">
        <v>3566</v>
      </c>
      <c r="L86" s="1122">
        <v>57.585976239644701</v>
      </c>
      <c r="M86" s="1122">
        <v>35.472571930240903</v>
      </c>
    </row>
    <row r="87" spans="1:13" x14ac:dyDescent="0.25">
      <c r="A87" s="1829" t="s">
        <v>978</v>
      </c>
      <c r="B87" s="1829">
        <v>1973</v>
      </c>
      <c r="C87" s="1830">
        <f>1.6+1.8</f>
        <v>3.4000000000000004</v>
      </c>
      <c r="D87" s="1831">
        <v>0.44</v>
      </c>
      <c r="E87" s="1831">
        <v>1.2400000000000002</v>
      </c>
      <c r="F87" s="1825">
        <v>0</v>
      </c>
      <c r="G87" s="1831">
        <v>0</v>
      </c>
      <c r="H87" s="1831">
        <v>1.2400000000000002</v>
      </c>
      <c r="I87" s="1831"/>
      <c r="J87" s="1829" t="s">
        <v>3566</v>
      </c>
      <c r="K87" s="1829" t="s">
        <v>3566</v>
      </c>
      <c r="L87" s="1122">
        <v>57.421972539744097</v>
      </c>
      <c r="M87" s="1122">
        <v>35.203476168952598</v>
      </c>
    </row>
    <row r="88" spans="1:13" x14ac:dyDescent="0.25">
      <c r="A88" s="1829" t="s">
        <v>979</v>
      </c>
      <c r="B88" s="1829">
        <v>1991</v>
      </c>
      <c r="C88" s="1830">
        <f>10+10</f>
        <v>20</v>
      </c>
      <c r="D88" s="1831">
        <v>2.78</v>
      </c>
      <c r="E88" s="1831">
        <v>7.7200000000000006</v>
      </c>
      <c r="F88" s="1825">
        <v>0</v>
      </c>
      <c r="G88" s="1831">
        <v>0</v>
      </c>
      <c r="H88" s="1831">
        <v>7.7200000000000006</v>
      </c>
      <c r="I88" s="1831"/>
      <c r="J88" s="1829" t="s">
        <v>3566</v>
      </c>
      <c r="K88" s="1829" t="s">
        <v>3566</v>
      </c>
      <c r="L88" s="1122">
        <v>57.633773826808799</v>
      </c>
      <c r="M88" s="1122">
        <v>34.398878344159797</v>
      </c>
    </row>
    <row r="89" spans="1:13" x14ac:dyDescent="0.25">
      <c r="A89" s="1829" t="s">
        <v>980</v>
      </c>
      <c r="B89" s="1829" t="s">
        <v>3554</v>
      </c>
      <c r="C89" s="1830">
        <f>2.5+3.2</f>
        <v>5.7</v>
      </c>
      <c r="D89" s="1831">
        <v>1.8</v>
      </c>
      <c r="E89" s="1831">
        <v>1.0249999999999999</v>
      </c>
      <c r="F89" s="1825">
        <v>0.19999999999999998</v>
      </c>
      <c r="G89" s="1831">
        <v>0.15</v>
      </c>
      <c r="H89" s="1831">
        <v>0.82499999999999996</v>
      </c>
      <c r="I89" s="1831"/>
      <c r="J89" s="1829" t="s">
        <v>3566</v>
      </c>
      <c r="K89" s="1829" t="s">
        <v>3566</v>
      </c>
      <c r="L89" s="1122">
        <v>57.722189315239497</v>
      </c>
      <c r="M89" s="1122">
        <v>33.950545503123301</v>
      </c>
    </row>
    <row r="90" spans="1:13" x14ac:dyDescent="0.25">
      <c r="A90" s="1829" t="s">
        <v>981</v>
      </c>
      <c r="B90" s="1829">
        <v>1981</v>
      </c>
      <c r="C90" s="1830">
        <f>2.5+1.6</f>
        <v>4.0999999999999996</v>
      </c>
      <c r="D90" s="1831">
        <v>0.28999999999999998</v>
      </c>
      <c r="E90" s="1831">
        <v>1.3900000000000001</v>
      </c>
      <c r="F90" s="1825">
        <v>0</v>
      </c>
      <c r="G90" s="1831">
        <v>0</v>
      </c>
      <c r="H90" s="1831">
        <v>1.3900000000000001</v>
      </c>
      <c r="I90" s="1831"/>
      <c r="J90" s="1829" t="s">
        <v>3566</v>
      </c>
      <c r="K90" s="1829" t="s">
        <v>3566</v>
      </c>
      <c r="L90" s="1122">
        <v>57.637077174942597</v>
      </c>
      <c r="M90" s="1122">
        <v>34.931955344256302</v>
      </c>
    </row>
    <row r="91" spans="1:13" x14ac:dyDescent="0.25">
      <c r="A91" s="1829" t="s">
        <v>982</v>
      </c>
      <c r="B91" s="1829">
        <v>1998</v>
      </c>
      <c r="C91" s="1830">
        <f>4+4</f>
        <v>8</v>
      </c>
      <c r="D91" s="1831">
        <v>1.23</v>
      </c>
      <c r="E91" s="1831">
        <v>3.0700000000000003</v>
      </c>
      <c r="F91" s="1825">
        <v>0</v>
      </c>
      <c r="G91" s="1831">
        <v>0</v>
      </c>
      <c r="H91" s="1831">
        <v>3.0700000000000003</v>
      </c>
      <c r="I91" s="1831"/>
      <c r="J91" s="1829" t="s">
        <v>3566</v>
      </c>
      <c r="K91" s="1829" t="s">
        <v>3566</v>
      </c>
      <c r="L91" s="1122">
        <v>57.815930789930697</v>
      </c>
      <c r="M91" s="1122">
        <v>33.846530989388803</v>
      </c>
    </row>
    <row r="92" spans="1:13" x14ac:dyDescent="0.25">
      <c r="A92" s="1829" t="s">
        <v>983</v>
      </c>
      <c r="B92" s="1829">
        <v>1983</v>
      </c>
      <c r="C92" s="1830">
        <f>2.5+2.5</f>
        <v>5</v>
      </c>
      <c r="D92" s="1831">
        <v>0.44</v>
      </c>
      <c r="E92" s="1831">
        <v>2.1850000000000001</v>
      </c>
      <c r="F92" s="1825">
        <v>0</v>
      </c>
      <c r="G92" s="1831">
        <v>0</v>
      </c>
      <c r="H92" s="1831">
        <v>2.1850000000000001</v>
      </c>
      <c r="I92" s="1831"/>
      <c r="J92" s="1829" t="s">
        <v>3566</v>
      </c>
      <c r="K92" s="1829" t="s">
        <v>3566</v>
      </c>
      <c r="L92" s="1122">
        <v>57.901759317155197</v>
      </c>
      <c r="M92" s="1122">
        <v>34.548969215896904</v>
      </c>
    </row>
    <row r="93" spans="1:13" x14ac:dyDescent="0.25">
      <c r="A93" s="1829" t="s">
        <v>984</v>
      </c>
      <c r="B93" s="1829">
        <v>1981</v>
      </c>
      <c r="C93" s="1830">
        <f>1+1</f>
        <v>2</v>
      </c>
      <c r="D93" s="1831">
        <v>0.6</v>
      </c>
      <c r="E93" s="1831">
        <v>1.05</v>
      </c>
      <c r="F93" s="1825">
        <v>0</v>
      </c>
      <c r="G93" s="1831">
        <v>0</v>
      </c>
      <c r="H93" s="1831">
        <v>1.05</v>
      </c>
      <c r="I93" s="1831"/>
      <c r="J93" s="1829" t="s">
        <v>3566</v>
      </c>
      <c r="K93" s="1829" t="s">
        <v>3566</v>
      </c>
      <c r="L93" s="1122">
        <v>57.7248395461474</v>
      </c>
      <c r="M93" s="1122">
        <v>35.269410953925501</v>
      </c>
    </row>
    <row r="94" spans="1:13" ht="30" customHeight="1" x14ac:dyDescent="0.25">
      <c r="A94" s="1829" t="s">
        <v>985</v>
      </c>
      <c r="B94" s="1829">
        <v>1972</v>
      </c>
      <c r="C94" s="1830">
        <f>1+1</f>
        <v>2</v>
      </c>
      <c r="D94" s="1831">
        <v>0.56000000000000005</v>
      </c>
      <c r="E94" s="1831">
        <v>1.05</v>
      </c>
      <c r="F94" s="1825">
        <v>0</v>
      </c>
      <c r="G94" s="1831">
        <v>0</v>
      </c>
      <c r="H94" s="1831">
        <v>1.05</v>
      </c>
      <c r="I94" s="1831"/>
      <c r="J94" s="1829" t="s">
        <v>3566</v>
      </c>
      <c r="K94" s="1829" t="s">
        <v>3566</v>
      </c>
      <c r="L94" s="1122">
        <v>58.0618745669615</v>
      </c>
      <c r="M94" s="1122">
        <v>34.940325847982102</v>
      </c>
    </row>
    <row r="95" spans="1:13" x14ac:dyDescent="0.25">
      <c r="A95" s="1829" t="s">
        <v>2679</v>
      </c>
      <c r="B95" s="1829">
        <v>1983</v>
      </c>
      <c r="C95" s="1830">
        <f>2.5+1.6</f>
        <v>4.0999999999999996</v>
      </c>
      <c r="D95" s="1831">
        <v>0.37</v>
      </c>
      <c r="E95" s="1831">
        <v>1.31</v>
      </c>
      <c r="F95" s="1825">
        <v>0</v>
      </c>
      <c r="G95" s="1831">
        <v>0</v>
      </c>
      <c r="H95" s="1831">
        <v>1.31</v>
      </c>
      <c r="I95" s="1831"/>
      <c r="J95" s="1829" t="s">
        <v>3566</v>
      </c>
      <c r="K95" s="1829" t="s">
        <v>3566</v>
      </c>
      <c r="L95" s="1122">
        <v>57.710523908072098</v>
      </c>
      <c r="M95" s="1122">
        <v>35.002795604796397</v>
      </c>
    </row>
    <row r="96" spans="1:13" x14ac:dyDescent="0.25">
      <c r="A96" s="1829" t="s">
        <v>986</v>
      </c>
      <c r="B96" s="1829" t="s">
        <v>3555</v>
      </c>
      <c r="C96" s="1830">
        <f>2.5+2.5</f>
        <v>5</v>
      </c>
      <c r="D96" s="1831">
        <v>2.0299999999999998</v>
      </c>
      <c r="E96" s="1831">
        <v>2.625</v>
      </c>
      <c r="F96" s="1825">
        <v>0</v>
      </c>
      <c r="G96" s="1831">
        <v>0</v>
      </c>
      <c r="H96" s="1831">
        <v>2.625</v>
      </c>
      <c r="I96" s="1831"/>
      <c r="J96" s="1829" t="s">
        <v>3566</v>
      </c>
      <c r="K96" s="1829" t="s">
        <v>3566</v>
      </c>
      <c r="L96" s="1122">
        <v>57.577173367643901</v>
      </c>
      <c r="M96" s="1122">
        <v>34.595558134151197</v>
      </c>
    </row>
    <row r="97" spans="1:13" x14ac:dyDescent="0.25">
      <c r="A97" s="1829" t="s">
        <v>987</v>
      </c>
      <c r="B97" s="1829">
        <v>1983</v>
      </c>
      <c r="C97" s="1830">
        <f>1.8+1.6</f>
        <v>3.4000000000000004</v>
      </c>
      <c r="D97" s="1831">
        <v>0.3</v>
      </c>
      <c r="E97" s="1831">
        <v>1.3800000000000001</v>
      </c>
      <c r="F97" s="1825">
        <v>0.25</v>
      </c>
      <c r="G97" s="1831">
        <v>0.1875</v>
      </c>
      <c r="H97" s="1831">
        <v>1.1300000000000001</v>
      </c>
      <c r="I97" s="1831"/>
      <c r="J97" s="1829" t="s">
        <v>3566</v>
      </c>
      <c r="K97" s="1829" t="s">
        <v>3566</v>
      </c>
      <c r="L97" s="1122">
        <v>57.386806507304101</v>
      </c>
      <c r="M97" s="1122">
        <v>34.345181794732802</v>
      </c>
    </row>
    <row r="98" spans="1:13" x14ac:dyDescent="0.25">
      <c r="A98" s="1829" t="s">
        <v>988</v>
      </c>
      <c r="B98" s="1829">
        <v>1983</v>
      </c>
      <c r="C98" s="1830">
        <f>1+1</f>
        <v>2</v>
      </c>
      <c r="D98" s="1831">
        <v>0.21</v>
      </c>
      <c r="E98" s="1831">
        <v>0.84000000000000008</v>
      </c>
      <c r="F98" s="1825">
        <v>0</v>
      </c>
      <c r="G98" s="1831">
        <v>0</v>
      </c>
      <c r="H98" s="1831">
        <v>0.84000000000000008</v>
      </c>
      <c r="I98" s="1831"/>
      <c r="J98" s="1829" t="s">
        <v>3566</v>
      </c>
      <c r="K98" s="1829" t="s">
        <v>3566</v>
      </c>
      <c r="L98" s="1122">
        <v>57.953110991655997</v>
      </c>
      <c r="M98" s="1122">
        <v>35.393933005018702</v>
      </c>
    </row>
    <row r="99" spans="1:13" x14ac:dyDescent="0.25">
      <c r="A99" s="1829" t="s">
        <v>989</v>
      </c>
      <c r="B99" s="1829">
        <v>1983</v>
      </c>
      <c r="C99" s="1830">
        <f t="shared" ref="C99:C101" si="1">2.5+2.5</f>
        <v>5</v>
      </c>
      <c r="D99" s="1831">
        <v>1.87</v>
      </c>
      <c r="E99" s="1831">
        <v>1.4549999999999998</v>
      </c>
      <c r="F99" s="1825">
        <v>6.25E-2</v>
      </c>
      <c r="G99" s="1831">
        <v>4.6875E-2</v>
      </c>
      <c r="H99" s="1831">
        <v>1.3924999999999998</v>
      </c>
      <c r="I99" s="1831"/>
      <c r="J99" s="1829" t="s">
        <v>3566</v>
      </c>
      <c r="K99" s="1829" t="s">
        <v>3566</v>
      </c>
      <c r="L99" s="1122">
        <v>57.662026497903398</v>
      </c>
      <c r="M99" s="1122">
        <v>34.466291824711</v>
      </c>
    </row>
    <row r="100" spans="1:13" x14ac:dyDescent="0.25">
      <c r="A100" s="1829" t="s">
        <v>990</v>
      </c>
      <c r="B100" s="1829">
        <v>1987</v>
      </c>
      <c r="C100" s="1830">
        <f t="shared" si="1"/>
        <v>5</v>
      </c>
      <c r="D100" s="1831">
        <v>0.32</v>
      </c>
      <c r="E100" s="1831">
        <v>2.3050000000000002</v>
      </c>
      <c r="F100" s="1825">
        <v>0</v>
      </c>
      <c r="G100" s="1831">
        <v>0</v>
      </c>
      <c r="H100" s="1831">
        <v>2.3050000000000002</v>
      </c>
      <c r="I100" s="1831"/>
      <c r="J100" s="1829" t="s">
        <v>3566</v>
      </c>
      <c r="K100" s="1829" t="s">
        <v>3566</v>
      </c>
      <c r="L100" s="1122">
        <v>57.5990458402567</v>
      </c>
      <c r="M100" s="1122">
        <v>33.802564181866003</v>
      </c>
    </row>
    <row r="101" spans="1:13" x14ac:dyDescent="0.25">
      <c r="A101" s="1829" t="s">
        <v>991</v>
      </c>
      <c r="B101" s="1829">
        <v>1983</v>
      </c>
      <c r="C101" s="1830">
        <f t="shared" si="1"/>
        <v>5</v>
      </c>
      <c r="D101" s="1831">
        <v>0.4</v>
      </c>
      <c r="E101" s="1831">
        <v>2.5249999999999999</v>
      </c>
      <c r="F101" s="1825">
        <v>0</v>
      </c>
      <c r="G101" s="1831">
        <v>0</v>
      </c>
      <c r="H101" s="1831">
        <v>2.5249999999999999</v>
      </c>
      <c r="I101" s="1831"/>
      <c r="J101" s="1829" t="s">
        <v>3566</v>
      </c>
      <c r="K101" s="1829" t="s">
        <v>3566</v>
      </c>
      <c r="L101" s="1122">
        <v>57.945300577811103</v>
      </c>
      <c r="M101" s="1122">
        <v>35.069401232814897</v>
      </c>
    </row>
    <row r="102" spans="1:13" x14ac:dyDescent="0.25">
      <c r="A102" s="1829" t="s">
        <v>992</v>
      </c>
      <c r="B102" s="1829">
        <v>1981</v>
      </c>
      <c r="C102" s="1830">
        <f>1.6+1.6</f>
        <v>3.2</v>
      </c>
      <c r="D102" s="1831">
        <v>0.52</v>
      </c>
      <c r="E102" s="1831">
        <v>1.1600000000000001</v>
      </c>
      <c r="F102" s="1825">
        <v>2.8749999999999998E-2</v>
      </c>
      <c r="G102" s="1831">
        <v>2.1562499999999998E-2</v>
      </c>
      <c r="H102" s="1831">
        <v>1.1312500000000001</v>
      </c>
      <c r="I102" s="1831"/>
      <c r="J102" s="1829" t="s">
        <v>3566</v>
      </c>
      <c r="K102" s="1829" t="s">
        <v>3566</v>
      </c>
      <c r="L102" s="1122">
        <v>58.0205494510083</v>
      </c>
      <c r="M102" s="1122">
        <v>34.479960034719802</v>
      </c>
    </row>
    <row r="103" spans="1:13" x14ac:dyDescent="0.25">
      <c r="A103" s="1829" t="s">
        <v>993</v>
      </c>
      <c r="B103" s="1829">
        <v>1985</v>
      </c>
      <c r="C103" s="1830">
        <f>2.5+2.5</f>
        <v>5</v>
      </c>
      <c r="D103" s="1831">
        <v>0.49</v>
      </c>
      <c r="E103" s="1831">
        <v>2.1349999999999998</v>
      </c>
      <c r="F103" s="1825">
        <v>0</v>
      </c>
      <c r="G103" s="1831">
        <v>0</v>
      </c>
      <c r="H103" s="1831">
        <v>2.1349999999999998</v>
      </c>
      <c r="I103" s="1831"/>
      <c r="J103" s="1829" t="s">
        <v>3566</v>
      </c>
      <c r="K103" s="1829" t="s">
        <v>3566</v>
      </c>
      <c r="L103" s="1122">
        <v>57.615550915135103</v>
      </c>
      <c r="M103" s="1122">
        <v>34.601271753156297</v>
      </c>
    </row>
    <row r="104" spans="1:13" x14ac:dyDescent="0.25">
      <c r="A104" s="1829" t="s">
        <v>994</v>
      </c>
      <c r="B104" s="1829">
        <v>1987</v>
      </c>
      <c r="C104" s="1830">
        <f t="shared" ref="C104:C105" si="2">1.6+1.6</f>
        <v>3.2</v>
      </c>
      <c r="D104" s="1831">
        <v>0.78</v>
      </c>
      <c r="E104" s="1831">
        <v>1.6800000000000002</v>
      </c>
      <c r="F104" s="1825">
        <v>0</v>
      </c>
      <c r="G104" s="1831">
        <v>0</v>
      </c>
      <c r="H104" s="1831">
        <v>1.6800000000000002</v>
      </c>
      <c r="I104" s="1831"/>
      <c r="J104" s="1829" t="s">
        <v>3566</v>
      </c>
      <c r="K104" s="1829" t="s">
        <v>3566</v>
      </c>
      <c r="L104" s="1122">
        <v>57.563012031619103</v>
      </c>
      <c r="M104" s="1122">
        <v>34.732428906605399</v>
      </c>
    </row>
    <row r="105" spans="1:13" x14ac:dyDescent="0.25">
      <c r="A105" s="1829" t="s">
        <v>995</v>
      </c>
      <c r="B105" s="1829">
        <v>1978</v>
      </c>
      <c r="C105" s="1830">
        <f t="shared" si="2"/>
        <v>3.2</v>
      </c>
      <c r="D105" s="1831">
        <v>1.08</v>
      </c>
      <c r="E105" s="1831">
        <v>0.60000000000000009</v>
      </c>
      <c r="F105" s="1825">
        <v>0</v>
      </c>
      <c r="G105" s="1831">
        <v>0</v>
      </c>
      <c r="H105" s="1831">
        <v>0.60000000000000009</v>
      </c>
      <c r="I105" s="1831"/>
      <c r="J105" s="1829" t="s">
        <v>3566</v>
      </c>
      <c r="K105" s="1829" t="s">
        <v>3566</v>
      </c>
      <c r="L105" s="1122">
        <v>58.004625137083501</v>
      </c>
      <c r="M105" s="1122">
        <v>34.259169822107403</v>
      </c>
    </row>
    <row r="106" spans="1:13" x14ac:dyDescent="0.25">
      <c r="A106" s="1829" t="s">
        <v>996</v>
      </c>
      <c r="B106" s="1829">
        <v>1985</v>
      </c>
      <c r="C106" s="1830">
        <f>2.5+2.5</f>
        <v>5</v>
      </c>
      <c r="D106" s="1831">
        <v>2.16</v>
      </c>
      <c r="E106" s="1831">
        <v>2.625</v>
      </c>
      <c r="F106" s="1825">
        <v>0</v>
      </c>
      <c r="G106" s="1831">
        <v>0</v>
      </c>
      <c r="H106" s="1831">
        <v>2.625</v>
      </c>
      <c r="I106" s="1831"/>
      <c r="J106" s="1829" t="s">
        <v>3566</v>
      </c>
      <c r="K106" s="1829" t="s">
        <v>3566</v>
      </c>
      <c r="L106" s="1122">
        <v>57.466965577883599</v>
      </c>
      <c r="M106" s="1122">
        <v>33.685654540797998</v>
      </c>
    </row>
    <row r="107" spans="1:13" x14ac:dyDescent="0.25">
      <c r="A107" s="1829" t="s">
        <v>997</v>
      </c>
      <c r="B107" s="1829">
        <v>1974</v>
      </c>
      <c r="C107" s="1830">
        <f>7.5+10</f>
        <v>17.5</v>
      </c>
      <c r="D107" s="1831">
        <v>7.32</v>
      </c>
      <c r="E107" s="1831">
        <v>1.4550000000000001</v>
      </c>
      <c r="F107" s="1825">
        <v>0.39999999999999997</v>
      </c>
      <c r="G107" s="1831">
        <v>0.3</v>
      </c>
      <c r="H107" s="1831">
        <v>1.0549999999999997</v>
      </c>
      <c r="I107" s="1831"/>
      <c r="J107" s="1829" t="s">
        <v>3566</v>
      </c>
      <c r="K107" s="1829" t="s">
        <v>3566</v>
      </c>
      <c r="L107" s="1122">
        <v>57.586412116685999</v>
      </c>
      <c r="M107" s="1122">
        <v>34.539257743638998</v>
      </c>
    </row>
    <row r="108" spans="1:13" x14ac:dyDescent="0.25">
      <c r="A108" s="1829" t="s">
        <v>998</v>
      </c>
      <c r="B108" s="1829">
        <v>1984</v>
      </c>
      <c r="C108" s="1830">
        <f>2.5+2.5</f>
        <v>5</v>
      </c>
      <c r="D108" s="1831">
        <v>0.28999999999999998</v>
      </c>
      <c r="E108" s="1831">
        <v>2.5049999999999999</v>
      </c>
      <c r="F108" s="1825">
        <v>0</v>
      </c>
      <c r="G108" s="1831">
        <v>0</v>
      </c>
      <c r="H108" s="1831">
        <v>2.5049999999999999</v>
      </c>
      <c r="I108" s="1831"/>
      <c r="J108" s="1829" t="s">
        <v>3566</v>
      </c>
      <c r="K108" s="1829" t="s">
        <v>3566</v>
      </c>
      <c r="L108" s="1122">
        <v>57.462721817982199</v>
      </c>
      <c r="M108" s="1122">
        <v>34.072403200208498</v>
      </c>
    </row>
    <row r="109" spans="1:13" x14ac:dyDescent="0.25">
      <c r="A109" s="1829" t="s">
        <v>999</v>
      </c>
      <c r="B109" s="1829">
        <v>1982</v>
      </c>
      <c r="C109" s="1830">
        <f t="shared" ref="C109:C110" si="3">10+10</f>
        <v>20</v>
      </c>
      <c r="D109" s="1831">
        <v>1.94</v>
      </c>
      <c r="E109" s="1831">
        <v>10.5</v>
      </c>
      <c r="F109" s="1825">
        <v>2.3375E-2</v>
      </c>
      <c r="G109" s="1831">
        <v>1.7531249999999998E-2</v>
      </c>
      <c r="H109" s="1831">
        <v>10.5</v>
      </c>
      <c r="I109" s="1831"/>
      <c r="J109" s="1829" t="s">
        <v>3566</v>
      </c>
      <c r="K109" s="1829" t="s">
        <v>3566</v>
      </c>
      <c r="L109" s="1122">
        <v>57.8456706899387</v>
      </c>
      <c r="M109" s="1122">
        <v>35.396921230622802</v>
      </c>
    </row>
    <row r="110" spans="1:13" x14ac:dyDescent="0.25">
      <c r="A110" s="1829" t="s">
        <v>1000</v>
      </c>
      <c r="B110" s="1829">
        <v>1972</v>
      </c>
      <c r="C110" s="1830">
        <f t="shared" si="3"/>
        <v>20</v>
      </c>
      <c r="D110" s="1831">
        <v>6.46</v>
      </c>
      <c r="E110" s="1831">
        <v>9.0820000000000007</v>
      </c>
      <c r="F110" s="1825">
        <v>0.24625</v>
      </c>
      <c r="G110" s="1831">
        <v>0.1846875</v>
      </c>
      <c r="H110" s="1831">
        <v>8.8357500000000009</v>
      </c>
      <c r="I110" s="1831"/>
      <c r="J110" s="1829" t="s">
        <v>3566</v>
      </c>
      <c r="K110" s="1829" t="s">
        <v>3566</v>
      </c>
      <c r="L110" s="1122">
        <v>57.894637354718498</v>
      </c>
      <c r="M110" s="1122">
        <v>33.661370068374403</v>
      </c>
    </row>
    <row r="111" spans="1:13" x14ac:dyDescent="0.25">
      <c r="A111" s="1829" t="s">
        <v>1001</v>
      </c>
      <c r="B111" s="1829">
        <v>1957</v>
      </c>
      <c r="C111" s="1830">
        <f>40+40</f>
        <v>80</v>
      </c>
      <c r="D111" s="1831">
        <v>31.07</v>
      </c>
      <c r="E111" s="1831">
        <v>28.400000000000002</v>
      </c>
      <c r="F111" s="1825">
        <v>0.52499999999999991</v>
      </c>
      <c r="G111" s="1831">
        <v>0.39374999999999993</v>
      </c>
      <c r="H111" s="1831">
        <v>27.875000000000004</v>
      </c>
      <c r="I111" s="1831"/>
      <c r="J111" s="1829" t="s">
        <v>3566</v>
      </c>
      <c r="K111" s="1829" t="s">
        <v>3566</v>
      </c>
      <c r="L111" s="1122">
        <v>57.600507797324703</v>
      </c>
      <c r="M111" s="1122">
        <v>34.507950699587497</v>
      </c>
    </row>
    <row r="112" spans="1:13" x14ac:dyDescent="0.25">
      <c r="A112" s="1829" t="s">
        <v>1002</v>
      </c>
      <c r="B112" s="1829">
        <v>1974</v>
      </c>
      <c r="C112" s="1830">
        <f>25+20</f>
        <v>45</v>
      </c>
      <c r="D112" s="1831">
        <v>11.1</v>
      </c>
      <c r="E112" s="1831">
        <v>18.488999999999997</v>
      </c>
      <c r="F112" s="1825">
        <v>0.25</v>
      </c>
      <c r="G112" s="1831">
        <v>0.1875</v>
      </c>
      <c r="H112" s="1831">
        <v>18.238999999999997</v>
      </c>
      <c r="I112" s="1831"/>
      <c r="J112" s="1829" t="s">
        <v>3566</v>
      </c>
      <c r="K112" s="1829" t="s">
        <v>3566</v>
      </c>
      <c r="L112" s="1122">
        <v>57.561058143833897</v>
      </c>
      <c r="M112" s="1122">
        <v>34.552623945873101</v>
      </c>
    </row>
    <row r="113" spans="1:13" x14ac:dyDescent="0.25">
      <c r="A113" s="1829" t="s">
        <v>1003</v>
      </c>
      <c r="B113" s="1829">
        <v>1989</v>
      </c>
      <c r="C113" s="1830">
        <f>16+16</f>
        <v>32</v>
      </c>
      <c r="D113" s="1831">
        <v>5.31</v>
      </c>
      <c r="E113" s="1831">
        <v>13.163</v>
      </c>
      <c r="F113" s="1825">
        <v>0</v>
      </c>
      <c r="G113" s="1831">
        <v>0</v>
      </c>
      <c r="H113" s="1831">
        <v>13.163</v>
      </c>
      <c r="I113" s="1831"/>
      <c r="J113" s="1829" t="s">
        <v>3566</v>
      </c>
      <c r="K113" s="1829" t="s">
        <v>3566</v>
      </c>
      <c r="L113" s="1122">
        <v>57.424520442148101</v>
      </c>
      <c r="M113" s="1122">
        <v>35.000676085974902</v>
      </c>
    </row>
    <row r="114" spans="1:13" x14ac:dyDescent="0.25">
      <c r="A114" s="1829" t="s">
        <v>1004</v>
      </c>
      <c r="B114" s="1829">
        <v>1976</v>
      </c>
      <c r="C114" s="1830">
        <f>16+16</f>
        <v>32</v>
      </c>
      <c r="D114" s="1831">
        <v>3.74</v>
      </c>
      <c r="E114" s="1831">
        <v>16.66</v>
      </c>
      <c r="F114" s="1825">
        <v>0.5</v>
      </c>
      <c r="G114" s="1831">
        <v>0.375</v>
      </c>
      <c r="H114" s="1831">
        <v>16.3</v>
      </c>
      <c r="I114" s="1831"/>
      <c r="J114" s="1829" t="s">
        <v>3566</v>
      </c>
      <c r="K114" s="1829" t="s">
        <v>3566</v>
      </c>
      <c r="L114" s="1122">
        <v>57.5990178775236</v>
      </c>
      <c r="M114" s="1122">
        <v>33.975736921093798</v>
      </c>
    </row>
    <row r="115" spans="1:13" x14ac:dyDescent="0.25">
      <c r="A115" s="1829" t="s">
        <v>1005</v>
      </c>
      <c r="B115" s="1829">
        <v>1982</v>
      </c>
      <c r="C115" s="1830">
        <f>25+25</f>
        <v>50</v>
      </c>
      <c r="D115" s="1831">
        <v>16.572000000000003</v>
      </c>
      <c r="E115" s="1831">
        <v>25.838000000000001</v>
      </c>
      <c r="F115" s="1825">
        <v>2.13225</v>
      </c>
      <c r="G115" s="1831">
        <v>1.5991875</v>
      </c>
      <c r="H115" s="1831">
        <v>23.705749999999998</v>
      </c>
      <c r="I115" s="1831"/>
      <c r="J115" s="1829" t="s">
        <v>3566</v>
      </c>
      <c r="K115" s="1829" t="s">
        <v>3566</v>
      </c>
      <c r="L115" s="1122">
        <v>57.866844936852402</v>
      </c>
      <c r="M115" s="1122">
        <v>35.008621730403597</v>
      </c>
    </row>
    <row r="116" spans="1:13" x14ac:dyDescent="0.25">
      <c r="A116" s="1829" t="s">
        <v>1006</v>
      </c>
      <c r="B116" s="1829">
        <v>1974</v>
      </c>
      <c r="C116" s="1830">
        <f>6.3+6.3</f>
        <v>12.6</v>
      </c>
      <c r="D116" s="1831">
        <v>4.04</v>
      </c>
      <c r="E116" s="1831">
        <v>5.0660000000000007</v>
      </c>
      <c r="F116" s="1825">
        <v>0</v>
      </c>
      <c r="G116" s="1831">
        <v>0</v>
      </c>
      <c r="H116" s="1831">
        <v>5.0660000000000007</v>
      </c>
      <c r="I116" s="1831"/>
      <c r="J116" s="1829" t="s">
        <v>3566</v>
      </c>
      <c r="K116" s="1829" t="s">
        <v>3566</v>
      </c>
      <c r="L116" s="1122">
        <v>57.468765872844202</v>
      </c>
      <c r="M116" s="1122">
        <v>34.716617163861798</v>
      </c>
    </row>
    <row r="117" spans="1:13" x14ac:dyDescent="0.25">
      <c r="A117" s="1829" t="s">
        <v>1007</v>
      </c>
      <c r="B117" s="1829">
        <v>1959</v>
      </c>
      <c r="C117" s="1830">
        <f>25+25</f>
        <v>50</v>
      </c>
      <c r="D117" s="1831">
        <v>6.78</v>
      </c>
      <c r="E117" s="1831">
        <v>24.015999999999998</v>
      </c>
      <c r="F117" s="1825">
        <v>0</v>
      </c>
      <c r="G117" s="1831">
        <v>0</v>
      </c>
      <c r="H117" s="1831">
        <v>24.015999999999998</v>
      </c>
      <c r="I117" s="1831"/>
      <c r="J117" s="1829" t="s">
        <v>3566</v>
      </c>
      <c r="K117" s="1829" t="s">
        <v>3566</v>
      </c>
      <c r="L117" s="1122">
        <v>57.637373082097099</v>
      </c>
      <c r="M117" s="1122">
        <v>34.465650829909301</v>
      </c>
    </row>
    <row r="118" spans="1:13" x14ac:dyDescent="0.25">
      <c r="A118" s="1834" t="s">
        <v>1008</v>
      </c>
      <c r="B118" s="1829">
        <v>1980</v>
      </c>
      <c r="C118" s="1830">
        <v>6.3</v>
      </c>
      <c r="D118" s="1831">
        <v>2.89</v>
      </c>
      <c r="E118" s="1831">
        <v>-2.02</v>
      </c>
      <c r="F118" s="1825">
        <v>1.9824999999999999</v>
      </c>
      <c r="G118" s="1831">
        <v>1.4868749999999999</v>
      </c>
      <c r="H118" s="1831">
        <v>0</v>
      </c>
      <c r="I118" s="1831"/>
      <c r="J118" s="1829" t="s">
        <v>3566</v>
      </c>
      <c r="K118" s="1829" t="s">
        <v>3409</v>
      </c>
      <c r="L118" s="1122">
        <v>56.888055490109899</v>
      </c>
      <c r="M118" s="1122">
        <v>37.371419727633999</v>
      </c>
    </row>
    <row r="119" spans="1:13" x14ac:dyDescent="0.25">
      <c r="A119" s="1834" t="s">
        <v>1009</v>
      </c>
      <c r="B119" s="1829">
        <v>1977</v>
      </c>
      <c r="C119" s="1830">
        <f>2.5+2.5</f>
        <v>5</v>
      </c>
      <c r="D119" s="1831">
        <v>1.07</v>
      </c>
      <c r="E119" s="1831">
        <v>1.5549999999999999</v>
      </c>
      <c r="F119" s="1825">
        <v>2.0324999999999998</v>
      </c>
      <c r="G119" s="1831">
        <v>1.5243749999999998</v>
      </c>
      <c r="H119" s="1831">
        <v>0</v>
      </c>
      <c r="I119" s="1831"/>
      <c r="J119" s="1829" t="s">
        <v>3566</v>
      </c>
      <c r="K119" s="1829" t="s">
        <v>3409</v>
      </c>
      <c r="L119" s="1122">
        <v>57.244514696535497</v>
      </c>
      <c r="M119" s="1122">
        <v>37.584015705671703</v>
      </c>
    </row>
    <row r="120" spans="1:13" x14ac:dyDescent="0.25">
      <c r="A120" s="1834" t="s">
        <v>2682</v>
      </c>
      <c r="B120" s="1829">
        <v>1963</v>
      </c>
      <c r="C120" s="1830">
        <f>5.6+6.3</f>
        <v>11.899999999999999</v>
      </c>
      <c r="D120" s="1831">
        <v>2.97</v>
      </c>
      <c r="E120" s="1831">
        <v>2.9099999999999997</v>
      </c>
      <c r="F120" s="1825">
        <v>2.1274999999999999</v>
      </c>
      <c r="G120" s="1831">
        <v>1.5956250000000001</v>
      </c>
      <c r="H120" s="1831">
        <v>0.78249999999999975</v>
      </c>
      <c r="I120" s="1831"/>
      <c r="J120" s="1829" t="s">
        <v>3566</v>
      </c>
      <c r="K120" s="1829" t="s">
        <v>3566</v>
      </c>
      <c r="L120" s="1122">
        <v>56.959902731357602</v>
      </c>
      <c r="M120" s="1122">
        <v>37.513246034750402</v>
      </c>
    </row>
    <row r="121" spans="1:13" x14ac:dyDescent="0.25">
      <c r="A121" s="1834" t="s">
        <v>1010</v>
      </c>
      <c r="B121" s="1829">
        <v>1988</v>
      </c>
      <c r="C121" s="1830">
        <f>2.5+2.5</f>
        <v>5</v>
      </c>
      <c r="D121" s="1831">
        <v>0.85</v>
      </c>
      <c r="E121" s="1831">
        <v>1.7749999999999999</v>
      </c>
      <c r="F121" s="1825">
        <v>0.63624999999999998</v>
      </c>
      <c r="G121" s="1831">
        <v>0.47718749999999999</v>
      </c>
      <c r="H121" s="1831">
        <v>1.1387499999999999</v>
      </c>
      <c r="I121" s="1831"/>
      <c r="J121" s="1829" t="s">
        <v>3566</v>
      </c>
      <c r="K121" s="1829" t="s">
        <v>3566</v>
      </c>
      <c r="L121" s="1122">
        <v>57.242480311326098</v>
      </c>
      <c r="M121" s="1122">
        <v>37.884221681446903</v>
      </c>
    </row>
    <row r="122" spans="1:13" x14ac:dyDescent="0.25">
      <c r="A122" s="1834" t="s">
        <v>1011</v>
      </c>
      <c r="B122" s="1829">
        <v>1992</v>
      </c>
      <c r="C122" s="1830">
        <f>6.3+6.3</f>
        <v>12.6</v>
      </c>
      <c r="D122" s="1831">
        <v>5.58</v>
      </c>
      <c r="E122" s="1831">
        <v>1.0350000000000001</v>
      </c>
      <c r="F122" s="1825">
        <v>0</v>
      </c>
      <c r="G122" s="1831">
        <v>0</v>
      </c>
      <c r="H122" s="1831">
        <v>1.0350000000000001</v>
      </c>
      <c r="I122" s="1831"/>
      <c r="J122" s="1829" t="s">
        <v>3566</v>
      </c>
      <c r="K122" s="1829" t="s">
        <v>3566</v>
      </c>
      <c r="L122" s="1122">
        <v>56.848672463074998</v>
      </c>
      <c r="M122" s="1122">
        <v>37.379829413867697</v>
      </c>
    </row>
    <row r="123" spans="1:13" x14ac:dyDescent="0.25">
      <c r="A123" s="1834" t="s">
        <v>1012</v>
      </c>
      <c r="B123" s="1829">
        <v>1960</v>
      </c>
      <c r="C123" s="1830">
        <f>4+2.5</f>
        <v>6.5</v>
      </c>
      <c r="D123" s="1831">
        <v>2</v>
      </c>
      <c r="E123" s="1831">
        <v>0.625</v>
      </c>
      <c r="F123" s="1825">
        <v>0.39999999999999997</v>
      </c>
      <c r="G123" s="1831">
        <v>0.3</v>
      </c>
      <c r="H123" s="1831">
        <v>0.22500000000000009</v>
      </c>
      <c r="I123" s="1831"/>
      <c r="J123" s="1829" t="s">
        <v>3566</v>
      </c>
      <c r="K123" s="1829" t="s">
        <v>3566</v>
      </c>
      <c r="L123" s="1122">
        <v>56.947236572806403</v>
      </c>
      <c r="M123" s="1122">
        <v>37.166472023563799</v>
      </c>
    </row>
    <row r="124" spans="1:13" ht="20.100000000000001" customHeight="1" x14ac:dyDescent="0.25">
      <c r="A124" s="1834" t="s">
        <v>1013</v>
      </c>
      <c r="B124" s="1829">
        <v>1972</v>
      </c>
      <c r="C124" s="1830">
        <f>6.3+6.3</f>
        <v>12.6</v>
      </c>
      <c r="D124" s="1831">
        <v>5.2</v>
      </c>
      <c r="E124" s="1831">
        <v>1.415</v>
      </c>
      <c r="F124" s="1825">
        <v>0.5149999999999999</v>
      </c>
      <c r="G124" s="1831">
        <v>0.38624999999999993</v>
      </c>
      <c r="H124" s="1831">
        <v>0.90000000000000036</v>
      </c>
      <c r="I124" s="1831"/>
      <c r="J124" s="1829" t="s">
        <v>3566</v>
      </c>
      <c r="K124" s="1829" t="s">
        <v>3566</v>
      </c>
      <c r="L124" s="1122">
        <v>57.2325275754039</v>
      </c>
      <c r="M124" s="1122">
        <v>37.856639171112803</v>
      </c>
    </row>
    <row r="125" spans="1:13" x14ac:dyDescent="0.25">
      <c r="A125" s="1834" t="s">
        <v>1014</v>
      </c>
      <c r="B125" s="1829">
        <v>1954</v>
      </c>
      <c r="C125" s="1830">
        <f>16+16</f>
        <v>32</v>
      </c>
      <c r="D125" s="1831">
        <v>8.3699999999999992</v>
      </c>
      <c r="E125" s="1831">
        <v>8.4300000000000015</v>
      </c>
      <c r="F125" s="1825">
        <v>0</v>
      </c>
      <c r="G125" s="1831">
        <v>0</v>
      </c>
      <c r="H125" s="1831">
        <v>8.4300000000000015</v>
      </c>
      <c r="I125" s="1831"/>
      <c r="J125" s="1829" t="s">
        <v>3566</v>
      </c>
      <c r="K125" s="1829" t="s">
        <v>3566</v>
      </c>
      <c r="L125" s="1122">
        <v>56.851855272636001</v>
      </c>
      <c r="M125" s="1122">
        <v>37.355667217227797</v>
      </c>
    </row>
    <row r="126" spans="1:13" ht="30" customHeight="1" x14ac:dyDescent="0.25">
      <c r="A126" s="1834" t="s">
        <v>1015</v>
      </c>
      <c r="B126" s="1829">
        <v>1981</v>
      </c>
      <c r="C126" s="1830">
        <f>2.5+2.5</f>
        <v>5</v>
      </c>
      <c r="D126" s="1831">
        <v>0.46</v>
      </c>
      <c r="E126" s="1831">
        <v>2.165</v>
      </c>
      <c r="F126" s="1825">
        <v>0</v>
      </c>
      <c r="G126" s="1831">
        <v>0</v>
      </c>
      <c r="H126" s="1831">
        <v>2.165</v>
      </c>
      <c r="I126" s="1831"/>
      <c r="J126" s="1829" t="s">
        <v>3566</v>
      </c>
      <c r="K126" s="1829" t="s">
        <v>3566</v>
      </c>
      <c r="L126" s="1122">
        <v>57.487016724667797</v>
      </c>
      <c r="M126" s="1122">
        <v>37.667822676991896</v>
      </c>
    </row>
    <row r="127" spans="1:13" x14ac:dyDescent="0.25">
      <c r="A127" s="1834" t="s">
        <v>1016</v>
      </c>
      <c r="B127" s="1829">
        <v>1987</v>
      </c>
      <c r="C127" s="1830">
        <f>4+4</f>
        <v>8</v>
      </c>
      <c r="D127" s="1831">
        <v>3.32</v>
      </c>
      <c r="E127" s="1831">
        <v>0.88000000000000034</v>
      </c>
      <c r="F127" s="1825">
        <v>0</v>
      </c>
      <c r="G127" s="1831">
        <v>0</v>
      </c>
      <c r="H127" s="1831">
        <v>0.88000000000000034</v>
      </c>
      <c r="I127" s="1831"/>
      <c r="J127" s="1829" t="s">
        <v>3566</v>
      </c>
      <c r="K127" s="1829" t="s">
        <v>3566</v>
      </c>
      <c r="L127" s="1122">
        <v>57.365484080460902</v>
      </c>
      <c r="M127" s="1122">
        <v>37.609359391820099</v>
      </c>
    </row>
    <row r="128" spans="1:13" x14ac:dyDescent="0.25">
      <c r="A128" s="1834" t="s">
        <v>1017</v>
      </c>
      <c r="B128" s="1829">
        <v>1977</v>
      </c>
      <c r="C128" s="1830">
        <f>6.3+6.3</f>
        <v>12.6</v>
      </c>
      <c r="D128" s="1831">
        <v>5.88</v>
      </c>
      <c r="E128" s="1831">
        <v>0.73500000000000032</v>
      </c>
      <c r="F128" s="1825">
        <v>0</v>
      </c>
      <c r="G128" s="1831">
        <v>0</v>
      </c>
      <c r="H128" s="1831">
        <v>0.73500000000000032</v>
      </c>
      <c r="I128" s="1831"/>
      <c r="J128" s="1829" t="s">
        <v>3566</v>
      </c>
      <c r="K128" s="1829" t="s">
        <v>3566</v>
      </c>
      <c r="L128" s="1122">
        <v>56.885961433885598</v>
      </c>
      <c r="M128" s="1122">
        <v>37.382196841384498</v>
      </c>
    </row>
    <row r="129" spans="1:13" ht="30" customHeight="1" x14ac:dyDescent="0.25">
      <c r="A129" s="1834" t="s">
        <v>1018</v>
      </c>
      <c r="B129" s="1829">
        <v>1980</v>
      </c>
      <c r="C129" s="1830">
        <f>4+4</f>
        <v>8</v>
      </c>
      <c r="D129" s="1831">
        <v>3.46</v>
      </c>
      <c r="E129" s="1831">
        <v>0.74000000000000021</v>
      </c>
      <c r="F129" s="1825">
        <v>3.7499999999999999E-2</v>
      </c>
      <c r="G129" s="1831">
        <v>2.8124999999999997E-2</v>
      </c>
      <c r="H129" s="1831">
        <v>0.70250000000000012</v>
      </c>
      <c r="I129" s="1831"/>
      <c r="J129" s="1829" t="s">
        <v>3566</v>
      </c>
      <c r="K129" s="1829" t="s">
        <v>3566</v>
      </c>
      <c r="L129" s="1122">
        <v>56.888055490109899</v>
      </c>
      <c r="M129" s="1122">
        <v>37.371419727633999</v>
      </c>
    </row>
    <row r="130" spans="1:13" x14ac:dyDescent="0.25">
      <c r="A130" s="1834" t="s">
        <v>2683</v>
      </c>
      <c r="B130" s="1829">
        <v>1977</v>
      </c>
      <c r="C130" s="1830">
        <f>2.5+1.8</f>
        <v>4.3</v>
      </c>
      <c r="D130" s="1831">
        <v>0.67</v>
      </c>
      <c r="E130" s="1831">
        <v>1.2200000000000002</v>
      </c>
      <c r="F130" s="1825">
        <v>0.43999999999999995</v>
      </c>
      <c r="G130" s="1831">
        <v>0.32999999999999996</v>
      </c>
      <c r="H130" s="1831">
        <v>0.78000000000000025</v>
      </c>
      <c r="I130" s="1831"/>
      <c r="J130" s="1829" t="s">
        <v>3566</v>
      </c>
      <c r="K130" s="1829" t="s">
        <v>3566</v>
      </c>
      <c r="L130" s="1122">
        <v>56.911075359962503</v>
      </c>
      <c r="M130" s="1122">
        <v>38.091555987739802</v>
      </c>
    </row>
    <row r="131" spans="1:13" ht="20.100000000000001" customHeight="1" x14ac:dyDescent="0.25">
      <c r="A131" s="1834" t="s">
        <v>2684</v>
      </c>
      <c r="B131" s="1829">
        <v>1962</v>
      </c>
      <c r="C131" s="1830">
        <f>1.6+1.6</f>
        <v>3.2</v>
      </c>
      <c r="D131" s="1831">
        <v>1.5</v>
      </c>
      <c r="E131" s="1831">
        <v>0.18000000000000016</v>
      </c>
      <c r="F131" s="1825">
        <v>1.2262499999999998</v>
      </c>
      <c r="G131" s="1831">
        <v>0.91968749999999988</v>
      </c>
      <c r="H131" s="1831">
        <v>0</v>
      </c>
      <c r="I131" s="1831"/>
      <c r="J131" s="1829" t="s">
        <v>3566</v>
      </c>
      <c r="K131" s="1829" t="s">
        <v>3409</v>
      </c>
      <c r="L131" s="1122">
        <v>57.143513457773402</v>
      </c>
      <c r="M131" s="1122">
        <v>37.344154651262798</v>
      </c>
    </row>
    <row r="132" spans="1:13" x14ac:dyDescent="0.25">
      <c r="A132" s="1834" t="s">
        <v>2685</v>
      </c>
      <c r="B132" s="1829">
        <v>1976</v>
      </c>
      <c r="C132" s="1830">
        <f>4+2.5</f>
        <v>6.5</v>
      </c>
      <c r="D132" s="1831">
        <v>1.52</v>
      </c>
      <c r="E132" s="1831">
        <v>1.105</v>
      </c>
      <c r="F132" s="1825">
        <v>1.1774999999999998</v>
      </c>
      <c r="G132" s="1831">
        <v>0.88312499999999983</v>
      </c>
      <c r="H132" s="1831">
        <v>0</v>
      </c>
      <c r="I132" s="1831"/>
      <c r="J132" s="1829" t="s">
        <v>3566</v>
      </c>
      <c r="K132" s="1829" t="s">
        <v>3409</v>
      </c>
      <c r="L132" s="1122">
        <v>57.040704268934398</v>
      </c>
      <c r="M132" s="1122">
        <v>37.980212651178803</v>
      </c>
    </row>
    <row r="133" spans="1:13" x14ac:dyDescent="0.25">
      <c r="A133" s="1834" t="s">
        <v>1019</v>
      </c>
      <c r="B133" s="1829">
        <v>1983</v>
      </c>
      <c r="C133" s="1830">
        <f t="shared" ref="C133:C134" si="4">2.5+2.5</f>
        <v>5</v>
      </c>
      <c r="D133" s="1831">
        <v>2.54</v>
      </c>
      <c r="E133" s="1831">
        <v>8.4999999999999964E-2</v>
      </c>
      <c r="F133" s="1825">
        <v>1.1612499999999999</v>
      </c>
      <c r="G133" s="1831">
        <v>0.87093749999999992</v>
      </c>
      <c r="H133" s="1831">
        <v>0</v>
      </c>
      <c r="I133" s="1831"/>
      <c r="J133" s="1829" t="s">
        <v>3566</v>
      </c>
      <c r="K133" s="1829" t="s">
        <v>3409</v>
      </c>
      <c r="L133" s="1122">
        <v>57.113641995156897</v>
      </c>
      <c r="M133" s="1122">
        <v>37.869835747962298</v>
      </c>
    </row>
    <row r="134" spans="1:13" x14ac:dyDescent="0.25">
      <c r="A134" s="1834" t="s">
        <v>1020</v>
      </c>
      <c r="B134" s="1829">
        <v>1976</v>
      </c>
      <c r="C134" s="1830">
        <f t="shared" si="4"/>
        <v>5</v>
      </c>
      <c r="D134" s="1831">
        <v>0.26</v>
      </c>
      <c r="E134" s="1831">
        <v>2.3650000000000002</v>
      </c>
      <c r="F134" s="1825">
        <v>0</v>
      </c>
      <c r="G134" s="1831">
        <v>0</v>
      </c>
      <c r="H134" s="1831">
        <v>2.3650000000000002</v>
      </c>
      <c r="I134" s="1831"/>
      <c r="J134" s="1829" t="s">
        <v>3566</v>
      </c>
      <c r="K134" s="1829" t="s">
        <v>3566</v>
      </c>
      <c r="L134" s="1122">
        <v>57.424677325910203</v>
      </c>
      <c r="M134" s="1122">
        <v>37.159661361161703</v>
      </c>
    </row>
    <row r="135" spans="1:13" x14ac:dyDescent="0.25">
      <c r="A135" s="1834" t="s">
        <v>1021</v>
      </c>
      <c r="B135" s="1829">
        <v>1976</v>
      </c>
      <c r="C135" s="1830">
        <f>1.6+2.5</f>
        <v>4.0999999999999996</v>
      </c>
      <c r="D135" s="1831">
        <v>0.43</v>
      </c>
      <c r="E135" s="1831">
        <v>1.2500000000000002</v>
      </c>
      <c r="F135" s="1825">
        <v>0</v>
      </c>
      <c r="G135" s="1831">
        <v>0</v>
      </c>
      <c r="H135" s="1831">
        <v>1.2500000000000002</v>
      </c>
      <c r="I135" s="1831"/>
      <c r="J135" s="1829" t="s">
        <v>3566</v>
      </c>
      <c r="K135" s="1829" t="s">
        <v>3566</v>
      </c>
      <c r="L135" s="1122">
        <v>57.104954332715103</v>
      </c>
      <c r="M135" s="1122">
        <v>37.133904858659001</v>
      </c>
    </row>
    <row r="136" spans="1:13" x14ac:dyDescent="0.25">
      <c r="A136" s="1834" t="s">
        <v>1022</v>
      </c>
      <c r="B136" s="1829">
        <v>1979</v>
      </c>
      <c r="C136" s="1830">
        <f>2.5+2.5</f>
        <v>5</v>
      </c>
      <c r="D136" s="1831">
        <v>0.32</v>
      </c>
      <c r="E136" s="1831">
        <v>2.3050000000000002</v>
      </c>
      <c r="F136" s="1825">
        <v>0</v>
      </c>
      <c r="G136" s="1831">
        <v>0</v>
      </c>
      <c r="H136" s="1831">
        <v>2.3050000000000002</v>
      </c>
      <c r="I136" s="1831"/>
      <c r="J136" s="1829" t="s">
        <v>3566</v>
      </c>
      <c r="K136" s="1829" t="s">
        <v>3566</v>
      </c>
      <c r="L136" s="1122">
        <v>57.010822911731402</v>
      </c>
      <c r="M136" s="1122">
        <v>36.838749029188499</v>
      </c>
    </row>
    <row r="137" spans="1:13" ht="20.100000000000001" customHeight="1" x14ac:dyDescent="0.25">
      <c r="A137" s="1834" t="s">
        <v>133</v>
      </c>
      <c r="B137" s="1829">
        <v>1979</v>
      </c>
      <c r="C137" s="1830">
        <f>1.6+1.6</f>
        <v>3.2</v>
      </c>
      <c r="D137" s="1831">
        <v>1.46</v>
      </c>
      <c r="E137" s="1831">
        <v>0.2200000000000002</v>
      </c>
      <c r="F137" s="1825">
        <v>0.37875000000000003</v>
      </c>
      <c r="G137" s="1831">
        <v>0.2840625</v>
      </c>
      <c r="H137" s="1831">
        <v>0</v>
      </c>
      <c r="I137" s="1831"/>
      <c r="J137" s="1829" t="s">
        <v>3566</v>
      </c>
      <c r="K137" s="1829" t="s">
        <v>3409</v>
      </c>
      <c r="L137" s="1122">
        <v>57.270063332480298</v>
      </c>
      <c r="M137" s="1122">
        <v>38.043739479595203</v>
      </c>
    </row>
    <row r="138" spans="1:13" x14ac:dyDescent="0.25">
      <c r="A138" s="1834" t="s">
        <v>134</v>
      </c>
      <c r="B138" s="1829">
        <v>1982</v>
      </c>
      <c r="C138" s="1830">
        <f>4+4</f>
        <v>8</v>
      </c>
      <c r="D138" s="1831">
        <v>0.28000000000000003</v>
      </c>
      <c r="E138" s="1831">
        <v>3.92</v>
      </c>
      <c r="F138" s="1825">
        <v>0</v>
      </c>
      <c r="G138" s="1831">
        <v>0</v>
      </c>
      <c r="H138" s="1831">
        <v>3.92</v>
      </c>
      <c r="I138" s="1831"/>
      <c r="J138" s="1829" t="s">
        <v>3566</v>
      </c>
      <c r="K138" s="1829" t="s">
        <v>3566</v>
      </c>
      <c r="L138" s="1122">
        <v>57.462203326509403</v>
      </c>
      <c r="M138" s="1122">
        <v>37.240774155752497</v>
      </c>
    </row>
    <row r="139" spans="1:13" x14ac:dyDescent="0.25">
      <c r="A139" s="1834" t="s">
        <v>135</v>
      </c>
      <c r="B139" s="1829">
        <v>1977</v>
      </c>
      <c r="C139" s="1830">
        <f t="shared" ref="C139:C140" si="5">2.5+2.5</f>
        <v>5</v>
      </c>
      <c r="D139" s="1831">
        <v>0.47</v>
      </c>
      <c r="E139" s="1831">
        <v>2.1550000000000002</v>
      </c>
      <c r="F139" s="1825">
        <v>0</v>
      </c>
      <c r="G139" s="1831">
        <v>0</v>
      </c>
      <c r="H139" s="1831">
        <v>2.1550000000000002</v>
      </c>
      <c r="I139" s="1831"/>
      <c r="J139" s="1829" t="s">
        <v>3566</v>
      </c>
      <c r="K139" s="1829" t="s">
        <v>3566</v>
      </c>
      <c r="L139" s="1122">
        <v>57.5999979455177</v>
      </c>
      <c r="M139" s="1122">
        <v>37.4899907307936</v>
      </c>
    </row>
    <row r="140" spans="1:13" x14ac:dyDescent="0.25">
      <c r="A140" s="1834" t="s">
        <v>136</v>
      </c>
      <c r="B140" s="1829">
        <v>1976</v>
      </c>
      <c r="C140" s="1830">
        <f t="shared" si="5"/>
        <v>5</v>
      </c>
      <c r="D140" s="1831">
        <v>0.79</v>
      </c>
      <c r="E140" s="1831">
        <v>1.835</v>
      </c>
      <c r="F140" s="1825">
        <v>0.5099999999999999</v>
      </c>
      <c r="G140" s="1831">
        <v>0.38249999999999995</v>
      </c>
      <c r="H140" s="1831">
        <v>1.3250000000000002</v>
      </c>
      <c r="I140" s="1831"/>
      <c r="J140" s="1829" t="s">
        <v>3566</v>
      </c>
      <c r="K140" s="1829" t="s">
        <v>3566</v>
      </c>
      <c r="L140" s="1122">
        <v>57.317433032703804</v>
      </c>
      <c r="M140" s="1122">
        <v>37.754084161422298</v>
      </c>
    </row>
    <row r="141" spans="1:13" x14ac:dyDescent="0.25">
      <c r="A141" s="1834" t="s">
        <v>137</v>
      </c>
      <c r="B141" s="1829">
        <v>1994</v>
      </c>
      <c r="C141" s="1830">
        <f>10+10</f>
        <v>20</v>
      </c>
      <c r="D141" s="1831">
        <v>0.11</v>
      </c>
      <c r="E141" s="1831">
        <v>10.39</v>
      </c>
      <c r="F141" s="1825">
        <v>0</v>
      </c>
      <c r="G141" s="1831">
        <v>0</v>
      </c>
      <c r="H141" s="1831">
        <v>10.39</v>
      </c>
      <c r="I141" s="1831"/>
      <c r="J141" s="1829" t="s">
        <v>3566</v>
      </c>
      <c r="K141" s="1829" t="s">
        <v>3566</v>
      </c>
      <c r="L141" s="1122">
        <v>56.901222455107998</v>
      </c>
      <c r="M141" s="1122">
        <v>37.041569596253701</v>
      </c>
    </row>
    <row r="142" spans="1:13" x14ac:dyDescent="0.25">
      <c r="A142" s="1834" t="s">
        <v>138</v>
      </c>
      <c r="B142" s="1829">
        <v>1979</v>
      </c>
      <c r="C142" s="1830">
        <f>2.5+2.5</f>
        <v>5</v>
      </c>
      <c r="D142" s="1831">
        <v>0.88</v>
      </c>
      <c r="E142" s="1831">
        <v>1.7450000000000001</v>
      </c>
      <c r="F142" s="1825">
        <v>7.4999999999999997E-2</v>
      </c>
      <c r="G142" s="1831">
        <v>5.6249999999999994E-2</v>
      </c>
      <c r="H142" s="1831">
        <v>1.67</v>
      </c>
      <c r="I142" s="1831"/>
      <c r="J142" s="1829" t="s">
        <v>3566</v>
      </c>
      <c r="K142" s="1829" t="s">
        <v>3566</v>
      </c>
      <c r="L142" s="1122">
        <v>57.3255850846136</v>
      </c>
      <c r="M142" s="1122">
        <v>37.373048823625098</v>
      </c>
    </row>
    <row r="143" spans="1:13" x14ac:dyDescent="0.25">
      <c r="A143" s="1834" t="s">
        <v>139</v>
      </c>
      <c r="B143" s="1829">
        <v>1982</v>
      </c>
      <c r="C143" s="1830">
        <f>25+25</f>
        <v>50</v>
      </c>
      <c r="D143" s="1831">
        <v>0.21</v>
      </c>
      <c r="E143" s="1831">
        <v>26.04</v>
      </c>
      <c r="F143" s="1825">
        <v>0</v>
      </c>
      <c r="G143" s="1831">
        <v>0</v>
      </c>
      <c r="H143" s="1831">
        <v>26.04</v>
      </c>
      <c r="I143" s="1831"/>
      <c r="J143" s="1829" t="s">
        <v>3566</v>
      </c>
      <c r="K143" s="1829" t="s">
        <v>3566</v>
      </c>
      <c r="L143" s="1122">
        <v>57.594402733937599</v>
      </c>
      <c r="M143" s="1122">
        <v>37.209907777282098</v>
      </c>
    </row>
    <row r="144" spans="1:13" x14ac:dyDescent="0.25">
      <c r="A144" s="1834" t="s">
        <v>140</v>
      </c>
      <c r="B144" s="1829">
        <v>1983</v>
      </c>
      <c r="C144" s="1830">
        <f>6.3+6.3</f>
        <v>12.6</v>
      </c>
      <c r="D144" s="1831">
        <v>0.12</v>
      </c>
      <c r="E144" s="1831">
        <v>6.4950000000000001</v>
      </c>
      <c r="F144" s="1825">
        <v>0</v>
      </c>
      <c r="G144" s="1831">
        <v>0</v>
      </c>
      <c r="H144" s="1831">
        <v>6.4950000000000001</v>
      </c>
      <c r="I144" s="1831"/>
      <c r="J144" s="1829" t="s">
        <v>3566</v>
      </c>
      <c r="K144" s="1829" t="s">
        <v>3566</v>
      </c>
      <c r="L144" s="1122">
        <v>56.995250953051503</v>
      </c>
      <c r="M144" s="1122">
        <v>37.062664254766702</v>
      </c>
    </row>
    <row r="145" spans="1:13" x14ac:dyDescent="0.25">
      <c r="A145" s="1834" t="s">
        <v>141</v>
      </c>
      <c r="B145" s="1829">
        <v>1963</v>
      </c>
      <c r="C145" s="1830">
        <f>40+25</f>
        <v>65</v>
      </c>
      <c r="D145" s="1831">
        <v>22.98</v>
      </c>
      <c r="E145" s="1831">
        <v>3.2699999999999996</v>
      </c>
      <c r="F145" s="1825">
        <v>3.1112500000000001</v>
      </c>
      <c r="G145" s="1831">
        <v>2.3334375000000001</v>
      </c>
      <c r="H145" s="1831">
        <v>0.15874999999999773</v>
      </c>
      <c r="I145" s="1831"/>
      <c r="J145" s="1829" t="s">
        <v>3566</v>
      </c>
      <c r="K145" s="1829" t="s">
        <v>3566</v>
      </c>
      <c r="L145" s="1122">
        <v>56.823144738473701</v>
      </c>
      <c r="M145" s="1122">
        <v>37.3579739629226</v>
      </c>
    </row>
    <row r="146" spans="1:13" x14ac:dyDescent="0.25">
      <c r="A146" s="1834" t="s">
        <v>142</v>
      </c>
      <c r="B146" s="1829">
        <v>1960</v>
      </c>
      <c r="C146" s="1830">
        <f t="shared" ref="C146:C147" si="6">6.3+6.3</f>
        <v>12.6</v>
      </c>
      <c r="D146" s="1831">
        <v>2.86</v>
      </c>
      <c r="E146" s="1831">
        <v>4.2750000000000004</v>
      </c>
      <c r="F146" s="1825">
        <v>1.4762499999999998</v>
      </c>
      <c r="G146" s="1831">
        <v>1.1071874999999998</v>
      </c>
      <c r="H146" s="1831">
        <v>4.0250000000000004</v>
      </c>
      <c r="I146" s="1831"/>
      <c r="J146" s="1829" t="s">
        <v>3566</v>
      </c>
      <c r="K146" s="1829" t="s">
        <v>3566</v>
      </c>
      <c r="L146" s="1122">
        <v>57.2552919177947</v>
      </c>
      <c r="M146" s="1122">
        <v>37.140592446362398</v>
      </c>
    </row>
    <row r="147" spans="1:13" x14ac:dyDescent="0.25">
      <c r="A147" s="1834" t="s">
        <v>143</v>
      </c>
      <c r="B147" s="1829">
        <v>1963</v>
      </c>
      <c r="C147" s="1830">
        <f t="shared" si="6"/>
        <v>12.6</v>
      </c>
      <c r="D147" s="1831">
        <v>2.29</v>
      </c>
      <c r="E147" s="1831">
        <v>4.5150000000000006</v>
      </c>
      <c r="F147" s="1825">
        <v>0.92562500000000003</v>
      </c>
      <c r="G147" s="1831">
        <v>0.69421875</v>
      </c>
      <c r="H147" s="1831">
        <v>3.589375</v>
      </c>
      <c r="I147" s="1831"/>
      <c r="J147" s="1829" t="s">
        <v>3566</v>
      </c>
      <c r="K147" s="1829" t="s">
        <v>3566</v>
      </c>
      <c r="L147" s="1122">
        <v>57.156631058685001</v>
      </c>
      <c r="M147" s="1122">
        <v>36.744036796905199</v>
      </c>
    </row>
    <row r="148" spans="1:13" ht="20.100000000000001" customHeight="1" x14ac:dyDescent="0.25">
      <c r="A148" s="1834" t="s">
        <v>144</v>
      </c>
      <c r="B148" s="1829">
        <v>1982</v>
      </c>
      <c r="C148" s="1832">
        <f>16+16</f>
        <v>32</v>
      </c>
      <c r="D148" s="1831">
        <v>18.18</v>
      </c>
      <c r="E148" s="1831">
        <v>-1.379999999999999</v>
      </c>
      <c r="F148" s="1825">
        <v>4.0949999999999998</v>
      </c>
      <c r="G148" s="1831">
        <v>3.07125</v>
      </c>
      <c r="H148" s="1831">
        <v>0</v>
      </c>
      <c r="I148" s="1833">
        <v>2018</v>
      </c>
      <c r="J148" s="1829" t="s">
        <v>3409</v>
      </c>
      <c r="K148" s="1829" t="s">
        <v>3409</v>
      </c>
      <c r="L148" s="1122">
        <v>57.223869448804102</v>
      </c>
      <c r="M148" s="1122">
        <v>37.802553604275602</v>
      </c>
    </row>
    <row r="149" spans="1:13" x14ac:dyDescent="0.25">
      <c r="A149" s="1834" t="s">
        <v>145</v>
      </c>
      <c r="B149" s="1829" t="s">
        <v>3556</v>
      </c>
      <c r="C149" s="1830">
        <f>25+25</f>
        <v>50</v>
      </c>
      <c r="D149" s="1831">
        <v>15.81</v>
      </c>
      <c r="E149" s="1831">
        <v>10.729999999999999</v>
      </c>
      <c r="F149" s="1825">
        <v>3.1862499999999994</v>
      </c>
      <c r="G149" s="1831">
        <v>2.3896874999999995</v>
      </c>
      <c r="H149" s="1831">
        <v>7.5437499999999993</v>
      </c>
      <c r="I149" s="1831"/>
      <c r="J149" s="1829" t="s">
        <v>3566</v>
      </c>
      <c r="K149" s="1829" t="s">
        <v>3566</v>
      </c>
      <c r="L149" s="1122">
        <v>57.351743114366101</v>
      </c>
      <c r="M149" s="1122">
        <v>37.575931682148699</v>
      </c>
    </row>
    <row r="150" spans="1:13" ht="20.100000000000001" customHeight="1" x14ac:dyDescent="0.25">
      <c r="A150" s="1834" t="s">
        <v>146</v>
      </c>
      <c r="B150" s="1829">
        <v>1980</v>
      </c>
      <c r="C150" s="1832">
        <f>40+25</f>
        <v>65</v>
      </c>
      <c r="D150" s="1831">
        <v>32.96</v>
      </c>
      <c r="E150" s="1831">
        <v>-6.5200000000000031</v>
      </c>
      <c r="F150" s="1825">
        <v>6.8831249999999997</v>
      </c>
      <c r="G150" s="1831">
        <v>5.1623437499999998</v>
      </c>
      <c r="H150" s="1831">
        <v>0</v>
      </c>
      <c r="I150" s="1833">
        <v>2018</v>
      </c>
      <c r="J150" s="1829" t="s">
        <v>3409</v>
      </c>
      <c r="K150" s="1829" t="s">
        <v>3409</v>
      </c>
      <c r="L150" s="1122">
        <v>56.853632203928001</v>
      </c>
      <c r="M150" s="1122">
        <v>37.335026857522202</v>
      </c>
    </row>
    <row r="151" spans="1:13" x14ac:dyDescent="0.25">
      <c r="A151" s="1834" t="s">
        <v>147</v>
      </c>
      <c r="B151" s="1829">
        <v>1988</v>
      </c>
      <c r="C151" s="1830">
        <f>10+10</f>
        <v>20</v>
      </c>
      <c r="D151" s="1831">
        <v>4.79</v>
      </c>
      <c r="E151" s="1831">
        <v>5.88</v>
      </c>
      <c r="F151" s="1825">
        <v>0.63624999999999998</v>
      </c>
      <c r="G151" s="1831">
        <v>0.47718749999999999</v>
      </c>
      <c r="H151" s="1831">
        <v>5.2437500000000004</v>
      </c>
      <c r="I151" s="1831"/>
      <c r="J151" s="1829" t="s">
        <v>3566</v>
      </c>
      <c r="K151" s="1829" t="s">
        <v>3566</v>
      </c>
      <c r="L151" s="1122">
        <v>57.595969576016401</v>
      </c>
      <c r="M151" s="1122">
        <v>37.280950339091802</v>
      </c>
    </row>
    <row r="152" spans="1:13" x14ac:dyDescent="0.25">
      <c r="A152" s="1829" t="s">
        <v>1806</v>
      </c>
      <c r="B152" s="1829">
        <v>1979</v>
      </c>
      <c r="C152" s="1830">
        <v>2.5</v>
      </c>
      <c r="D152" s="1831">
        <v>0.18337999999999999</v>
      </c>
      <c r="E152" s="1831">
        <v>1.1766200000000002</v>
      </c>
      <c r="F152" s="1825">
        <v>0</v>
      </c>
      <c r="G152" s="1831">
        <v>0</v>
      </c>
      <c r="H152" s="1831">
        <v>1.1766200000000002</v>
      </c>
      <c r="I152" s="1831"/>
      <c r="J152" s="1829" t="s">
        <v>3566</v>
      </c>
      <c r="K152" s="1829" t="s">
        <v>3566</v>
      </c>
      <c r="L152" s="1122">
        <v>56.389174849860403</v>
      </c>
      <c r="M152" s="1122">
        <v>32.317610468557497</v>
      </c>
    </row>
    <row r="153" spans="1:13" x14ac:dyDescent="0.25">
      <c r="A153" s="1829" t="s">
        <v>1808</v>
      </c>
      <c r="B153" s="1829">
        <v>1969</v>
      </c>
      <c r="C153" s="1830">
        <v>1.6</v>
      </c>
      <c r="D153" s="1831">
        <v>0.43595999999999996</v>
      </c>
      <c r="E153" s="1831">
        <v>0.70404</v>
      </c>
      <c r="F153" s="1825">
        <v>0</v>
      </c>
      <c r="G153" s="1831">
        <v>0</v>
      </c>
      <c r="H153" s="1831">
        <v>0.70404</v>
      </c>
      <c r="I153" s="1831"/>
      <c r="J153" s="1829" t="s">
        <v>3566</v>
      </c>
      <c r="K153" s="1829" t="s">
        <v>3566</v>
      </c>
      <c r="L153" s="1122">
        <v>56.4557735737027</v>
      </c>
      <c r="M153" s="1122">
        <v>31.380672378859799</v>
      </c>
    </row>
    <row r="154" spans="1:13" x14ac:dyDescent="0.25">
      <c r="A154" s="1829" t="s">
        <v>1809</v>
      </c>
      <c r="B154" s="1829">
        <v>1992</v>
      </c>
      <c r="C154" s="1830">
        <v>2.5</v>
      </c>
      <c r="D154" s="1831">
        <v>0.19030000000000002</v>
      </c>
      <c r="E154" s="1831">
        <v>0.77969999999999995</v>
      </c>
      <c r="F154" s="1825">
        <v>0</v>
      </c>
      <c r="G154" s="1831">
        <v>0</v>
      </c>
      <c r="H154" s="1831">
        <v>0.77969999999999995</v>
      </c>
      <c r="I154" s="1831"/>
      <c r="J154" s="1829" t="s">
        <v>3566</v>
      </c>
      <c r="K154" s="1829" t="s">
        <v>3566</v>
      </c>
      <c r="L154" s="1122">
        <v>56.366589376127301</v>
      </c>
      <c r="M154" s="1122">
        <v>31.382266363149299</v>
      </c>
    </row>
    <row r="155" spans="1:13" ht="20.100000000000001" customHeight="1" x14ac:dyDescent="0.25">
      <c r="A155" s="1829" t="s">
        <v>1810</v>
      </c>
      <c r="B155" s="1829">
        <v>1985</v>
      </c>
      <c r="C155" s="1830">
        <v>2.5</v>
      </c>
      <c r="D155" s="1831">
        <v>0.22213199999999997</v>
      </c>
      <c r="E155" s="1831">
        <v>-0.22213199999999997</v>
      </c>
      <c r="F155" s="1825">
        <v>0</v>
      </c>
      <c r="G155" s="1831">
        <v>0</v>
      </c>
      <c r="H155" s="1831">
        <v>0</v>
      </c>
      <c r="I155" s="1831"/>
      <c r="J155" s="1829" t="s">
        <v>3566</v>
      </c>
      <c r="K155" s="1829" t="s">
        <v>3409</v>
      </c>
      <c r="L155" s="1122">
        <v>55.815755702065999</v>
      </c>
      <c r="M155" s="1122">
        <v>31.4666890538183</v>
      </c>
    </row>
    <row r="156" spans="1:13" ht="20.100000000000001" customHeight="1" x14ac:dyDescent="0.25">
      <c r="A156" s="1829" t="s">
        <v>1811</v>
      </c>
      <c r="B156" s="1829">
        <v>1968</v>
      </c>
      <c r="C156" s="1830">
        <v>10</v>
      </c>
      <c r="D156" s="1831">
        <v>2.3614499999999996</v>
      </c>
      <c r="E156" s="1831">
        <v>-2.3614499999999996</v>
      </c>
      <c r="F156" s="1825">
        <v>3.7499999999999999E-2</v>
      </c>
      <c r="G156" s="1831">
        <v>2.8124999999999997E-2</v>
      </c>
      <c r="H156" s="1831">
        <v>0</v>
      </c>
      <c r="I156" s="1831"/>
      <c r="J156" s="1829" t="s">
        <v>3566</v>
      </c>
      <c r="K156" s="1829" t="s">
        <v>3409</v>
      </c>
      <c r="L156" s="1122">
        <v>55.863897874483001</v>
      </c>
      <c r="M156" s="1122">
        <v>32.2785135593817</v>
      </c>
    </row>
    <row r="157" spans="1:13" ht="20.100000000000001" customHeight="1" x14ac:dyDescent="0.25">
      <c r="A157" s="1829" t="s">
        <v>1812</v>
      </c>
      <c r="B157" s="1829">
        <v>1969</v>
      </c>
      <c r="C157" s="1830">
        <v>2.5</v>
      </c>
      <c r="D157" s="1831">
        <v>0.70843499999999993</v>
      </c>
      <c r="E157" s="1831">
        <v>0.79156500000000007</v>
      </c>
      <c r="F157" s="1825">
        <v>0</v>
      </c>
      <c r="G157" s="1831">
        <v>0</v>
      </c>
      <c r="H157" s="1831">
        <v>0.79156500000000007</v>
      </c>
      <c r="I157" s="1831"/>
      <c r="J157" s="1829" t="s">
        <v>3566</v>
      </c>
      <c r="K157" s="1829" t="s">
        <v>3566</v>
      </c>
      <c r="L157" s="1122">
        <v>56.258005847280003</v>
      </c>
      <c r="M157" s="1122">
        <v>32.358977418513398</v>
      </c>
    </row>
    <row r="158" spans="1:13" x14ac:dyDescent="0.25">
      <c r="A158" s="1829" t="s">
        <v>1813</v>
      </c>
      <c r="B158" s="1829">
        <v>1982</v>
      </c>
      <c r="C158" s="1830">
        <v>2.5</v>
      </c>
      <c r="D158" s="1831">
        <v>0.20552400000000004</v>
      </c>
      <c r="E158" s="1831">
        <v>0.24447599999999997</v>
      </c>
      <c r="F158" s="1825">
        <v>0</v>
      </c>
      <c r="G158" s="1831">
        <v>0</v>
      </c>
      <c r="H158" s="1831">
        <v>0.24447599999999997</v>
      </c>
      <c r="I158" s="1831"/>
      <c r="J158" s="1829" t="s">
        <v>3566</v>
      </c>
      <c r="K158" s="1829" t="s">
        <v>3566</v>
      </c>
      <c r="L158" s="1122">
        <v>56.396138368713501</v>
      </c>
      <c r="M158" s="1122">
        <v>32.790010688667003</v>
      </c>
    </row>
    <row r="159" spans="1:13" x14ac:dyDescent="0.25">
      <c r="A159" s="1829" t="s">
        <v>1814</v>
      </c>
      <c r="B159" s="1829">
        <v>1977</v>
      </c>
      <c r="C159" s="1830">
        <v>1.6</v>
      </c>
      <c r="D159" s="1831">
        <v>0.42177399999999993</v>
      </c>
      <c r="E159" s="1831">
        <v>0.34822600000000009</v>
      </c>
      <c r="F159" s="1825">
        <v>0</v>
      </c>
      <c r="G159" s="1831">
        <v>0</v>
      </c>
      <c r="H159" s="1831">
        <v>0.34822600000000009</v>
      </c>
      <c r="I159" s="1831"/>
      <c r="J159" s="1829" t="s">
        <v>3566</v>
      </c>
      <c r="K159" s="1829" t="s">
        <v>3566</v>
      </c>
      <c r="L159" s="1122">
        <v>56.085486214999698</v>
      </c>
      <c r="M159" s="1122">
        <v>31.859428192368</v>
      </c>
    </row>
    <row r="160" spans="1:13" ht="20.100000000000001" customHeight="1" x14ac:dyDescent="0.25">
      <c r="A160" s="1829" t="s">
        <v>1815</v>
      </c>
      <c r="B160" s="1829">
        <v>1969</v>
      </c>
      <c r="C160" s="1830">
        <v>6.3</v>
      </c>
      <c r="D160" s="1831">
        <v>1.19889</v>
      </c>
      <c r="E160" s="1831">
        <v>1.3711099999999998</v>
      </c>
      <c r="F160" s="1825">
        <v>0</v>
      </c>
      <c r="G160" s="1831">
        <v>0</v>
      </c>
      <c r="H160" s="1831">
        <v>1.3711099999999998</v>
      </c>
      <c r="I160" s="1831"/>
      <c r="J160" s="1829" t="s">
        <v>3566</v>
      </c>
      <c r="K160" s="1829" t="s">
        <v>3566</v>
      </c>
      <c r="L160" s="1122">
        <v>56.067237629597599</v>
      </c>
      <c r="M160" s="1122">
        <v>32.8443175433923</v>
      </c>
    </row>
    <row r="161" spans="1:13" ht="20.100000000000001" customHeight="1" x14ac:dyDescent="0.25">
      <c r="A161" s="1829" t="s">
        <v>1816</v>
      </c>
      <c r="B161" s="1829" t="s">
        <v>3557</v>
      </c>
      <c r="C161" s="1830">
        <v>1</v>
      </c>
      <c r="D161" s="1831">
        <v>0.18337999999999999</v>
      </c>
      <c r="E161" s="1831">
        <v>0.45662000000000003</v>
      </c>
      <c r="F161" s="1825">
        <v>0</v>
      </c>
      <c r="G161" s="1831">
        <v>0</v>
      </c>
      <c r="H161" s="1831">
        <v>0.45662000000000003</v>
      </c>
      <c r="I161" s="1831"/>
      <c r="J161" s="1829" t="s">
        <v>3566</v>
      </c>
      <c r="K161" s="1829" t="s">
        <v>3566</v>
      </c>
      <c r="L161" s="1122">
        <v>56.511311336791501</v>
      </c>
      <c r="M161" s="1122">
        <v>31.116721048774298</v>
      </c>
    </row>
    <row r="162" spans="1:13" x14ac:dyDescent="0.25">
      <c r="A162" s="1829" t="s">
        <v>1817</v>
      </c>
      <c r="B162" s="1829">
        <v>1981</v>
      </c>
      <c r="C162" s="1830">
        <v>1.6</v>
      </c>
      <c r="D162" s="1831">
        <v>0.41865999999999998</v>
      </c>
      <c r="E162" s="1831">
        <v>0.30134</v>
      </c>
      <c r="F162" s="1825">
        <v>0</v>
      </c>
      <c r="G162" s="1831">
        <v>0</v>
      </c>
      <c r="H162" s="1831">
        <v>0.30134</v>
      </c>
      <c r="I162" s="1831"/>
      <c r="J162" s="1829" t="s">
        <v>3566</v>
      </c>
      <c r="K162" s="1829" t="s">
        <v>3566</v>
      </c>
      <c r="L162" s="1122">
        <v>56.656234881491301</v>
      </c>
      <c r="M162" s="1122">
        <v>31.40388826337</v>
      </c>
    </row>
    <row r="163" spans="1:13" x14ac:dyDescent="0.25">
      <c r="A163" s="1829" t="s">
        <v>1818</v>
      </c>
      <c r="B163" s="1829">
        <v>1960</v>
      </c>
      <c r="C163" s="1830">
        <v>1.6</v>
      </c>
      <c r="D163" s="1831">
        <v>0.5</v>
      </c>
      <c r="E163" s="1831">
        <v>1.23</v>
      </c>
      <c r="F163" s="1825">
        <v>0</v>
      </c>
      <c r="G163" s="1831">
        <v>0</v>
      </c>
      <c r="H163" s="1831">
        <v>1.23</v>
      </c>
      <c r="I163" s="1831"/>
      <c r="J163" s="1829" t="s">
        <v>3566</v>
      </c>
      <c r="K163" s="1829" t="s">
        <v>3566</v>
      </c>
      <c r="L163" s="1122">
        <v>56.221509931686597</v>
      </c>
      <c r="M163" s="1122">
        <v>32.748808156639399</v>
      </c>
    </row>
    <row r="164" spans="1:13" ht="20.100000000000001" customHeight="1" x14ac:dyDescent="0.25">
      <c r="A164" s="1829" t="s">
        <v>1819</v>
      </c>
      <c r="B164" s="1829">
        <v>1987</v>
      </c>
      <c r="C164" s="1830">
        <v>2.5</v>
      </c>
      <c r="D164" s="1831">
        <v>0.34842199999999995</v>
      </c>
      <c r="E164" s="1831">
        <v>1.9115779999999998</v>
      </c>
      <c r="F164" s="1825">
        <v>0</v>
      </c>
      <c r="G164" s="1831">
        <v>0</v>
      </c>
      <c r="H164" s="1831">
        <v>1.9115779999999998</v>
      </c>
      <c r="I164" s="1831"/>
      <c r="J164" s="1829" t="s">
        <v>3566</v>
      </c>
      <c r="K164" s="1829" t="s">
        <v>3566</v>
      </c>
      <c r="L164" s="1122">
        <v>56.489109448289803</v>
      </c>
      <c r="M164" s="1122">
        <v>31.843254812482002</v>
      </c>
    </row>
    <row r="165" spans="1:13" x14ac:dyDescent="0.25">
      <c r="A165" s="1829" t="s">
        <v>1820</v>
      </c>
      <c r="B165" s="1829">
        <v>1968</v>
      </c>
      <c r="C165" s="1830">
        <v>1</v>
      </c>
      <c r="D165" s="1831">
        <v>0.56311500000000003</v>
      </c>
      <c r="E165" s="1831">
        <v>8.688499999999999E-2</v>
      </c>
      <c r="F165" s="1825">
        <v>7.4999999999999997E-2</v>
      </c>
      <c r="G165" s="1831">
        <v>5.6249999999999994E-2</v>
      </c>
      <c r="H165" s="1831">
        <v>1.1885000000000034E-2</v>
      </c>
      <c r="I165" s="1831"/>
      <c r="J165" s="1829" t="s">
        <v>3566</v>
      </c>
      <c r="K165" s="1829" t="s">
        <v>3566</v>
      </c>
      <c r="L165" s="1122">
        <v>56.898108803443201</v>
      </c>
      <c r="M165" s="1122">
        <v>32.077245840508198</v>
      </c>
    </row>
    <row r="166" spans="1:13" ht="20.100000000000001" customHeight="1" x14ac:dyDescent="0.25">
      <c r="A166" s="1829" t="s">
        <v>1821</v>
      </c>
      <c r="B166" s="1829">
        <v>1980</v>
      </c>
      <c r="C166" s="1830">
        <v>1.6</v>
      </c>
      <c r="D166" s="1831">
        <v>0.31468699999999994</v>
      </c>
      <c r="E166" s="1831">
        <v>-0.31468699999999994</v>
      </c>
      <c r="F166" s="1825">
        <v>0</v>
      </c>
      <c r="G166" s="1831">
        <v>0</v>
      </c>
      <c r="H166" s="1831">
        <v>0</v>
      </c>
      <c r="I166" s="1831"/>
      <c r="J166" s="1829" t="s">
        <v>3566</v>
      </c>
      <c r="K166" s="1829" t="s">
        <v>3409</v>
      </c>
      <c r="L166" s="1122">
        <v>56.275572606468899</v>
      </c>
      <c r="M166" s="1122">
        <v>31.9360874224983</v>
      </c>
    </row>
    <row r="167" spans="1:13" x14ac:dyDescent="0.25">
      <c r="A167" s="1829" t="s">
        <v>1835</v>
      </c>
      <c r="B167" s="1829">
        <v>1979</v>
      </c>
      <c r="C167" s="1830">
        <v>2.5</v>
      </c>
      <c r="D167" s="1831">
        <v>0.18165000000000001</v>
      </c>
      <c r="E167" s="1831">
        <v>1.5483499999999999</v>
      </c>
      <c r="F167" s="1825">
        <v>0</v>
      </c>
      <c r="G167" s="1831">
        <v>0</v>
      </c>
      <c r="H167" s="1831">
        <v>1.5483499999999999</v>
      </c>
      <c r="I167" s="1831"/>
      <c r="J167" s="1829" t="s">
        <v>3566</v>
      </c>
      <c r="K167" s="1829" t="s">
        <v>3566</v>
      </c>
      <c r="L167" s="1122">
        <v>55.801832313897698</v>
      </c>
      <c r="M167" s="1122">
        <v>33.105341542915497</v>
      </c>
    </row>
    <row r="168" spans="1:13" x14ac:dyDescent="0.25">
      <c r="A168" s="1829" t="s">
        <v>1822</v>
      </c>
      <c r="B168" s="1829">
        <v>1969</v>
      </c>
      <c r="C168" s="1830">
        <f>1.6+2.5</f>
        <v>4.0999999999999996</v>
      </c>
      <c r="D168" s="1831">
        <v>0.67210500000000006</v>
      </c>
      <c r="E168" s="1831">
        <v>1.237895</v>
      </c>
      <c r="F168" s="1825">
        <v>0</v>
      </c>
      <c r="G168" s="1831">
        <v>0</v>
      </c>
      <c r="H168" s="1831">
        <v>1.237895</v>
      </c>
      <c r="I168" s="1831"/>
      <c r="J168" s="1829" t="s">
        <v>3566</v>
      </c>
      <c r="K168" s="1829" t="s">
        <v>3566</v>
      </c>
      <c r="L168" s="1122">
        <v>56.888937668135398</v>
      </c>
      <c r="M168" s="1122">
        <v>31.711828797538999</v>
      </c>
    </row>
    <row r="169" spans="1:13" x14ac:dyDescent="0.25">
      <c r="A169" s="1829" t="s">
        <v>1823</v>
      </c>
      <c r="B169" s="1829">
        <v>1967</v>
      </c>
      <c r="C169" s="1830">
        <f>1+2.5</f>
        <v>3.5</v>
      </c>
      <c r="D169" s="1831">
        <v>0.14532</v>
      </c>
      <c r="E169" s="1831">
        <v>1.01468</v>
      </c>
      <c r="F169" s="1825">
        <v>0</v>
      </c>
      <c r="G169" s="1831">
        <v>0</v>
      </c>
      <c r="H169" s="1831">
        <v>1.01468</v>
      </c>
      <c r="I169" s="1831"/>
      <c r="J169" s="1829" t="s">
        <v>3566</v>
      </c>
      <c r="K169" s="1829" t="s">
        <v>3566</v>
      </c>
      <c r="L169" s="1122">
        <v>55.901399261597497</v>
      </c>
      <c r="M169" s="1122">
        <v>33.376600993077801</v>
      </c>
    </row>
    <row r="170" spans="1:13" x14ac:dyDescent="0.25">
      <c r="A170" s="1829" t="s">
        <v>1824</v>
      </c>
      <c r="B170" s="1829">
        <v>1963</v>
      </c>
      <c r="C170" s="1830">
        <f>1.6+1.6</f>
        <v>3.2</v>
      </c>
      <c r="D170" s="1831">
        <v>0.42177399999999993</v>
      </c>
      <c r="E170" s="1831">
        <v>1.6282260000000002</v>
      </c>
      <c r="F170" s="1825">
        <v>0</v>
      </c>
      <c r="G170" s="1831">
        <v>0</v>
      </c>
      <c r="H170" s="1831">
        <v>1.6282260000000002</v>
      </c>
      <c r="I170" s="1831"/>
      <c r="J170" s="1829" t="s">
        <v>3566</v>
      </c>
      <c r="K170" s="1829" t="s">
        <v>3566</v>
      </c>
      <c r="L170" s="1122">
        <v>56.645553124979401</v>
      </c>
      <c r="M170" s="1122">
        <v>31.7581185050953</v>
      </c>
    </row>
    <row r="171" spans="1:13" x14ac:dyDescent="0.25">
      <c r="A171" s="1829" t="s">
        <v>1825</v>
      </c>
      <c r="B171" s="1829">
        <v>1988</v>
      </c>
      <c r="C171" s="1830">
        <f>2.5+2.5</f>
        <v>5</v>
      </c>
      <c r="D171" s="1831">
        <v>1.540392</v>
      </c>
      <c r="E171" s="1831">
        <v>1.304608</v>
      </c>
      <c r="F171" s="1825">
        <v>0</v>
      </c>
      <c r="G171" s="1831">
        <v>0</v>
      </c>
      <c r="H171" s="1831">
        <v>1.304608</v>
      </c>
      <c r="I171" s="1831"/>
      <c r="J171" s="1829" t="s">
        <v>3566</v>
      </c>
      <c r="K171" s="1829" t="s">
        <v>3566</v>
      </c>
      <c r="L171" s="1122">
        <v>56.536975825665102</v>
      </c>
      <c r="M171" s="1122">
        <v>31.6038603641646</v>
      </c>
    </row>
    <row r="172" spans="1:13" x14ac:dyDescent="0.25">
      <c r="A172" s="1829" t="s">
        <v>2785</v>
      </c>
      <c r="B172" s="1829">
        <v>1980</v>
      </c>
      <c r="C172" s="1830">
        <f>25+25</f>
        <v>50</v>
      </c>
      <c r="D172" s="1831">
        <v>3.03</v>
      </c>
      <c r="E172" s="1831">
        <v>23.22</v>
      </c>
      <c r="F172" s="1825">
        <v>0</v>
      </c>
      <c r="G172" s="1831">
        <v>0</v>
      </c>
      <c r="H172" s="1831">
        <v>26.25</v>
      </c>
      <c r="I172" s="1831"/>
      <c r="J172" s="1829" t="s">
        <v>3566</v>
      </c>
      <c r="K172" s="1829" t="s">
        <v>3566</v>
      </c>
      <c r="L172" s="1122">
        <v>56.530764656413403</v>
      </c>
      <c r="M172" s="1122">
        <v>32.178893279207301</v>
      </c>
    </row>
    <row r="173" spans="1:13" x14ac:dyDescent="0.25">
      <c r="A173" s="1829" t="s">
        <v>1826</v>
      </c>
      <c r="B173" s="1829">
        <v>1967</v>
      </c>
      <c r="C173" s="1830">
        <f>1.6+2.5</f>
        <v>4.0999999999999996</v>
      </c>
      <c r="D173" s="1831">
        <v>0.98090999999999995</v>
      </c>
      <c r="E173" s="1831">
        <v>1.1190900000000001</v>
      </c>
      <c r="F173" s="1825">
        <v>0</v>
      </c>
      <c r="G173" s="1831">
        <v>0</v>
      </c>
      <c r="H173" s="1831">
        <v>1.1190900000000001</v>
      </c>
      <c r="I173" s="1831"/>
      <c r="J173" s="1829" t="s">
        <v>3566</v>
      </c>
      <c r="K173" s="1829" t="s">
        <v>3566</v>
      </c>
      <c r="L173" s="1122">
        <v>55.947945073946201</v>
      </c>
      <c r="M173" s="1122">
        <v>31.685826846532901</v>
      </c>
    </row>
    <row r="174" spans="1:13" x14ac:dyDescent="0.25">
      <c r="A174" s="1829" t="s">
        <v>1827</v>
      </c>
      <c r="B174" s="1829" t="s">
        <v>3558</v>
      </c>
      <c r="C174" s="1830">
        <f>3.2+4</f>
        <v>7.2</v>
      </c>
      <c r="D174" s="1831">
        <v>0.85635000000000006</v>
      </c>
      <c r="E174" s="1831">
        <v>3.0036500000000004</v>
      </c>
      <c r="F174" s="1825">
        <v>0</v>
      </c>
      <c r="G174" s="1831">
        <v>0</v>
      </c>
      <c r="H174" s="1831">
        <v>3.0036500000000004</v>
      </c>
      <c r="I174" s="1831"/>
      <c r="J174" s="1829" t="s">
        <v>3566</v>
      </c>
      <c r="K174" s="1829" t="s">
        <v>3566</v>
      </c>
      <c r="L174" s="1122">
        <v>56.786929104754201</v>
      </c>
      <c r="M174" s="1122">
        <v>31.259684304533</v>
      </c>
    </row>
    <row r="175" spans="1:13" x14ac:dyDescent="0.25">
      <c r="A175" s="1829" t="s">
        <v>1828</v>
      </c>
      <c r="B175" s="1829">
        <v>1960</v>
      </c>
      <c r="C175" s="1830">
        <f>5.6+5.6</f>
        <v>11.2</v>
      </c>
      <c r="D175" s="1831">
        <v>3.97</v>
      </c>
      <c r="E175" s="1831">
        <v>2.2299999999999995</v>
      </c>
      <c r="F175" s="1825">
        <v>0</v>
      </c>
      <c r="G175" s="1831">
        <v>0</v>
      </c>
      <c r="H175" s="1831">
        <v>2.2299999999999995</v>
      </c>
      <c r="I175" s="1831"/>
      <c r="J175" s="1829" t="s">
        <v>3566</v>
      </c>
      <c r="K175" s="1829" t="s">
        <v>3566</v>
      </c>
      <c r="L175" s="1122">
        <v>56.221509931686597</v>
      </c>
      <c r="M175" s="1122">
        <v>32.748808156639399</v>
      </c>
    </row>
    <row r="176" spans="1:13" ht="20.100000000000001" customHeight="1" x14ac:dyDescent="0.25">
      <c r="A176" s="1829" t="s">
        <v>1829</v>
      </c>
      <c r="B176" s="1829">
        <v>1964</v>
      </c>
      <c r="C176" s="1830">
        <f>4+4</f>
        <v>8</v>
      </c>
      <c r="D176" s="1831">
        <v>2.25</v>
      </c>
      <c r="E176" s="1831">
        <v>1.9500000000000002</v>
      </c>
      <c r="F176" s="1825">
        <v>0.16375000000000001</v>
      </c>
      <c r="G176" s="1831">
        <v>0.1228125</v>
      </c>
      <c r="H176" s="1831">
        <v>1.7862500000000003</v>
      </c>
      <c r="I176" s="1831"/>
      <c r="J176" s="1829" t="s">
        <v>3566</v>
      </c>
      <c r="K176" s="1829" t="s">
        <v>3566</v>
      </c>
      <c r="L176" s="1122">
        <v>56.2802978042156</v>
      </c>
      <c r="M176" s="1122">
        <v>31.6780277611938</v>
      </c>
    </row>
    <row r="177" spans="1:13" ht="20.100000000000001" customHeight="1" x14ac:dyDescent="0.25">
      <c r="A177" s="1829" t="s">
        <v>1830</v>
      </c>
      <c r="B177" s="1829">
        <v>1966</v>
      </c>
      <c r="C177" s="1830">
        <f>10+10</f>
        <v>20</v>
      </c>
      <c r="D177" s="1831">
        <v>8.7899999999999991</v>
      </c>
      <c r="E177" s="1831">
        <v>2.5100000000000007</v>
      </c>
      <c r="F177" s="1825">
        <v>9.375E-2</v>
      </c>
      <c r="G177" s="1831">
        <v>7.03125E-2</v>
      </c>
      <c r="H177" s="1831">
        <v>2.4162500000000016</v>
      </c>
      <c r="I177" s="1831"/>
      <c r="J177" s="1829" t="s">
        <v>3566</v>
      </c>
      <c r="K177" s="1829" t="s">
        <v>3566</v>
      </c>
      <c r="L177" s="1122">
        <v>56.664000059644898</v>
      </c>
      <c r="M177" s="1122">
        <v>32.2818454985253</v>
      </c>
    </row>
    <row r="178" spans="1:13" x14ac:dyDescent="0.25">
      <c r="A178" s="1829" t="s">
        <v>1831</v>
      </c>
      <c r="B178" s="1829">
        <v>1990</v>
      </c>
      <c r="C178" s="1830">
        <f>16+10</f>
        <v>26</v>
      </c>
      <c r="D178" s="1831">
        <v>5.54</v>
      </c>
      <c r="E178" s="1831">
        <v>6.46</v>
      </c>
      <c r="F178" s="1825">
        <v>0.34207499999999996</v>
      </c>
      <c r="G178" s="1831">
        <v>0.25655624999999999</v>
      </c>
      <c r="H178" s="1831">
        <v>6.1179249999999996</v>
      </c>
      <c r="I178" s="1831"/>
      <c r="J178" s="1829" t="s">
        <v>3566</v>
      </c>
      <c r="K178" s="1829" t="s">
        <v>3566</v>
      </c>
      <c r="L178" s="1122">
        <v>55.866963548747997</v>
      </c>
      <c r="M178" s="1122">
        <v>32.951118740095502</v>
      </c>
    </row>
    <row r="179" spans="1:13" x14ac:dyDescent="0.25">
      <c r="A179" s="1829" t="s">
        <v>1832</v>
      </c>
      <c r="B179" s="1829">
        <v>1962</v>
      </c>
      <c r="C179" s="1830">
        <f>10+10</f>
        <v>20</v>
      </c>
      <c r="D179" s="1831">
        <v>12</v>
      </c>
      <c r="E179" s="1831">
        <v>0.90000000000000036</v>
      </c>
      <c r="F179" s="1825">
        <v>0.20125000000000001</v>
      </c>
      <c r="G179" s="1831">
        <v>0.1509375</v>
      </c>
      <c r="H179" s="1831">
        <v>0.69875000000000043</v>
      </c>
      <c r="I179" s="1831"/>
      <c r="J179" s="1829" t="s">
        <v>3566</v>
      </c>
      <c r="K179" s="1829" t="s">
        <v>3566</v>
      </c>
      <c r="L179" s="1122">
        <v>56.251399351168097</v>
      </c>
      <c r="M179" s="1122">
        <v>32.0903693373739</v>
      </c>
    </row>
    <row r="180" spans="1:13" ht="20.100000000000001" customHeight="1" x14ac:dyDescent="0.25">
      <c r="A180" s="1829" t="s">
        <v>1833</v>
      </c>
      <c r="B180" s="1829" t="s">
        <v>3559</v>
      </c>
      <c r="C180" s="1830">
        <f>25+25</f>
        <v>50</v>
      </c>
      <c r="D180" s="1831">
        <v>20.32</v>
      </c>
      <c r="E180" s="1831">
        <v>8.129999999999999</v>
      </c>
      <c r="F180" s="1825">
        <v>0.39124999999999999</v>
      </c>
      <c r="G180" s="1831">
        <v>0.29343750000000002</v>
      </c>
      <c r="H180" s="1831">
        <v>7.7387499999999996</v>
      </c>
      <c r="I180" s="1831"/>
      <c r="J180" s="1829" t="s">
        <v>3566</v>
      </c>
      <c r="K180" s="1829" t="s">
        <v>3566</v>
      </c>
      <c r="L180" s="1122">
        <v>56.493515565355203</v>
      </c>
      <c r="M180" s="1122">
        <v>31.640055859206502</v>
      </c>
    </row>
    <row r="181" spans="1:13" ht="15.75" customHeight="1" x14ac:dyDescent="0.25">
      <c r="A181" s="1829" t="s">
        <v>149</v>
      </c>
      <c r="B181" s="1829">
        <v>1983</v>
      </c>
      <c r="C181" s="1830">
        <v>2.5</v>
      </c>
      <c r="D181" s="1831">
        <v>0.46557525707485165</v>
      </c>
      <c r="E181" s="1831">
        <v>0.44442474292514839</v>
      </c>
      <c r="F181" s="1825">
        <v>0.25</v>
      </c>
      <c r="G181" s="1831">
        <v>0.1875</v>
      </c>
      <c r="H181" s="1831">
        <v>0.19442474292514833</v>
      </c>
      <c r="I181" s="1831"/>
      <c r="J181" s="1829" t="s">
        <v>3566</v>
      </c>
      <c r="K181" s="1829" t="s">
        <v>3566</v>
      </c>
      <c r="L181" s="1122">
        <v>56.373681951001402</v>
      </c>
      <c r="M181" s="1122">
        <v>34.036245105198198</v>
      </c>
    </row>
    <row r="182" spans="1:13" ht="20.100000000000001" customHeight="1" x14ac:dyDescent="0.25">
      <c r="A182" s="1829" t="s">
        <v>150</v>
      </c>
      <c r="B182" s="1829">
        <v>1981</v>
      </c>
      <c r="C182" s="1830">
        <v>2.5</v>
      </c>
      <c r="D182" s="1831">
        <v>0.14946212828673353</v>
      </c>
      <c r="E182" s="1831">
        <v>5.3787171326646899E-4</v>
      </c>
      <c r="F182" s="1825">
        <v>0</v>
      </c>
      <c r="G182" s="1831">
        <v>0</v>
      </c>
      <c r="H182" s="1831">
        <v>5.3787171326646899E-4</v>
      </c>
      <c r="I182" s="1831"/>
      <c r="J182" s="1829" t="s">
        <v>3566</v>
      </c>
      <c r="K182" s="1829" t="s">
        <v>3566</v>
      </c>
      <c r="L182" s="1122">
        <v>56.0863419334366</v>
      </c>
      <c r="M182" s="1122">
        <v>34.033279301544297</v>
      </c>
    </row>
    <row r="183" spans="1:13" ht="20.100000000000001" customHeight="1" x14ac:dyDescent="0.25">
      <c r="A183" s="1829" t="s">
        <v>148</v>
      </c>
      <c r="B183" s="1829">
        <v>1983</v>
      </c>
      <c r="C183" s="1830">
        <v>1.6</v>
      </c>
      <c r="D183" s="1831">
        <v>0.70972513890904021</v>
      </c>
      <c r="E183" s="1831">
        <v>-0.70972513890904021</v>
      </c>
      <c r="F183" s="1825">
        <v>0.125</v>
      </c>
      <c r="G183" s="1831">
        <v>9.375E-2</v>
      </c>
      <c r="H183" s="1831">
        <v>0</v>
      </c>
      <c r="I183" s="1831"/>
      <c r="J183" s="1829" t="s">
        <v>3566</v>
      </c>
      <c r="K183" s="1829" t="s">
        <v>3409</v>
      </c>
      <c r="L183" s="1122">
        <v>56.012565407189101</v>
      </c>
      <c r="M183" s="1122">
        <v>34.547977153853402</v>
      </c>
    </row>
    <row r="184" spans="1:13" ht="20.100000000000001" customHeight="1" x14ac:dyDescent="0.25">
      <c r="A184" s="1829" t="s">
        <v>152</v>
      </c>
      <c r="B184" s="1829">
        <v>1975</v>
      </c>
      <c r="C184" s="1830">
        <v>2.5</v>
      </c>
      <c r="D184" s="1831">
        <v>2.132778082408096</v>
      </c>
      <c r="E184" s="1831">
        <v>-2.132778082408096</v>
      </c>
      <c r="F184" s="1825">
        <v>0.74564999999999992</v>
      </c>
      <c r="G184" s="1831">
        <v>0.55923749999999994</v>
      </c>
      <c r="H184" s="1831">
        <v>0</v>
      </c>
      <c r="I184" s="1831"/>
      <c r="J184" s="1829" t="s">
        <v>3566</v>
      </c>
      <c r="K184" s="1829" t="s">
        <v>3409</v>
      </c>
      <c r="L184" s="1122">
        <v>56.092405546294501</v>
      </c>
      <c r="M184" s="1122">
        <v>35.237888736973503</v>
      </c>
    </row>
    <row r="185" spans="1:13" ht="15.75" customHeight="1" x14ac:dyDescent="0.25">
      <c r="A185" s="1829" t="s">
        <v>151</v>
      </c>
      <c r="B185" s="1829">
        <v>1979</v>
      </c>
      <c r="C185" s="1830">
        <v>2.5</v>
      </c>
      <c r="D185" s="1831">
        <v>0.8069971122630023</v>
      </c>
      <c r="E185" s="1831">
        <v>-0.8069971122630023</v>
      </c>
      <c r="F185" s="1825">
        <v>0</v>
      </c>
      <c r="G185" s="1831">
        <v>0</v>
      </c>
      <c r="H185" s="1831">
        <v>0</v>
      </c>
      <c r="I185" s="1831"/>
      <c r="J185" s="1829" t="s">
        <v>3566</v>
      </c>
      <c r="K185" s="1829" t="s">
        <v>3409</v>
      </c>
      <c r="L185" s="1122">
        <v>56.280328609213797</v>
      </c>
      <c r="M185" s="1122">
        <v>35.081330928058399</v>
      </c>
    </row>
    <row r="186" spans="1:13" ht="15.75" customHeight="1" x14ac:dyDescent="0.25">
      <c r="A186" s="1829" t="s">
        <v>153</v>
      </c>
      <c r="B186" s="1829">
        <v>1980</v>
      </c>
      <c r="C186" s="1830">
        <v>2.5</v>
      </c>
      <c r="D186" s="1831">
        <v>0.14289419162458833</v>
      </c>
      <c r="E186" s="1831">
        <v>7.1058083754116652E-3</v>
      </c>
      <c r="F186" s="1825">
        <v>0</v>
      </c>
      <c r="G186" s="1831">
        <v>0</v>
      </c>
      <c r="H186" s="1831">
        <v>7.1058083754116652E-3</v>
      </c>
      <c r="I186" s="1831"/>
      <c r="J186" s="1829" t="s">
        <v>3566</v>
      </c>
      <c r="K186" s="1829" t="s">
        <v>3566</v>
      </c>
      <c r="L186" s="1122">
        <v>56.100005884001497</v>
      </c>
      <c r="M186" s="1122">
        <v>33.338437811307998</v>
      </c>
    </row>
    <row r="187" spans="1:13" ht="15.75" customHeight="1" x14ac:dyDescent="0.25">
      <c r="A187" s="1829" t="s">
        <v>154</v>
      </c>
      <c r="B187" s="1829">
        <v>1964</v>
      </c>
      <c r="C187" s="1830">
        <v>2.5</v>
      </c>
      <c r="D187" s="1831">
        <v>0.28370992227995573</v>
      </c>
      <c r="E187" s="1831">
        <v>6.2900777200442515E-3</v>
      </c>
      <c r="F187" s="1825">
        <v>0</v>
      </c>
      <c r="G187" s="1831">
        <v>0</v>
      </c>
      <c r="H187" s="1831">
        <v>6.2900777200442515E-3</v>
      </c>
      <c r="I187" s="1831"/>
      <c r="J187" s="1829" t="s">
        <v>3566</v>
      </c>
      <c r="K187" s="1829" t="s">
        <v>3566</v>
      </c>
      <c r="L187" s="1122">
        <v>56.406923791126303</v>
      </c>
      <c r="M187" s="1122">
        <v>33.605148246052103</v>
      </c>
    </row>
    <row r="188" spans="1:13" ht="15.75" customHeight="1" x14ac:dyDescent="0.25">
      <c r="A188" s="1829" t="s">
        <v>155</v>
      </c>
      <c r="B188" s="1829">
        <v>1982</v>
      </c>
      <c r="C188" s="1830">
        <v>2.5</v>
      </c>
      <c r="D188" s="1831">
        <v>0.22655224563000917</v>
      </c>
      <c r="E188" s="1831">
        <v>3.4477543699908408E-3</v>
      </c>
      <c r="F188" s="1825">
        <v>0</v>
      </c>
      <c r="G188" s="1831">
        <v>0</v>
      </c>
      <c r="H188" s="1831">
        <v>3.4477543699908408E-3</v>
      </c>
      <c r="I188" s="1831"/>
      <c r="J188" s="1829" t="s">
        <v>3566</v>
      </c>
      <c r="K188" s="1829" t="s">
        <v>3566</v>
      </c>
      <c r="L188" s="1122">
        <v>56.341619562858902</v>
      </c>
      <c r="M188" s="1122">
        <v>33.490870341268398</v>
      </c>
    </row>
    <row r="189" spans="1:13" ht="20.100000000000001" customHeight="1" x14ac:dyDescent="0.25">
      <c r="A189" s="1829" t="s">
        <v>156</v>
      </c>
      <c r="B189" s="1829">
        <v>1988</v>
      </c>
      <c r="C189" s="1830">
        <v>1</v>
      </c>
      <c r="D189" s="1831">
        <v>0.20905853247356349</v>
      </c>
      <c r="E189" s="1831">
        <v>9.4146752643650689E-4</v>
      </c>
      <c r="F189" s="1825">
        <v>0</v>
      </c>
      <c r="G189" s="1831">
        <v>0</v>
      </c>
      <c r="H189" s="1831">
        <v>9.4146752643650689E-4</v>
      </c>
      <c r="I189" s="1831"/>
      <c r="J189" s="1829" t="s">
        <v>3566</v>
      </c>
      <c r="K189" s="1829" t="s">
        <v>3566</v>
      </c>
      <c r="L189" s="1122">
        <v>56.413413259235703</v>
      </c>
      <c r="M189" s="1122">
        <v>33.307302681525599</v>
      </c>
    </row>
    <row r="190" spans="1:13" ht="20.100000000000001" customHeight="1" x14ac:dyDescent="0.25">
      <c r="A190" s="1829" t="s">
        <v>157</v>
      </c>
      <c r="B190" s="1829">
        <v>1981</v>
      </c>
      <c r="C190" s="1830">
        <v>2.5</v>
      </c>
      <c r="D190" s="1831">
        <v>0.67078863675584965</v>
      </c>
      <c r="E190" s="1831">
        <v>2.9211363244150301E-2</v>
      </c>
      <c r="F190" s="1825">
        <v>0</v>
      </c>
      <c r="G190" s="1831">
        <v>0</v>
      </c>
      <c r="H190" s="1831">
        <v>2.9211363244150301E-2</v>
      </c>
      <c r="I190" s="1831"/>
      <c r="J190" s="1829" t="s">
        <v>3566</v>
      </c>
      <c r="K190" s="1829" t="s">
        <v>3566</v>
      </c>
      <c r="L190" s="1122">
        <v>56.383859066518198</v>
      </c>
      <c r="M190" s="1122">
        <v>34.902575835611401</v>
      </c>
    </row>
    <row r="191" spans="1:13" ht="15.75" customHeight="1" x14ac:dyDescent="0.25">
      <c r="A191" s="1829" t="s">
        <v>158</v>
      </c>
      <c r="B191" s="1829">
        <v>1979</v>
      </c>
      <c r="C191" s="1830">
        <v>1.6</v>
      </c>
      <c r="D191" s="1831">
        <v>0.64910336064826901</v>
      </c>
      <c r="E191" s="1831">
        <v>-0.60910336064826898</v>
      </c>
      <c r="F191" s="1825">
        <v>0</v>
      </c>
      <c r="G191" s="1831">
        <v>0</v>
      </c>
      <c r="H191" s="1831">
        <v>0</v>
      </c>
      <c r="I191" s="1831"/>
      <c r="J191" s="1829" t="s">
        <v>3566</v>
      </c>
      <c r="K191" s="1829" t="s">
        <v>3409</v>
      </c>
      <c r="L191" s="1122">
        <v>56.674827484590097</v>
      </c>
      <c r="M191" s="1122">
        <v>34.713152769420098</v>
      </c>
    </row>
    <row r="192" spans="1:13" ht="15.75" customHeight="1" x14ac:dyDescent="0.25">
      <c r="A192" s="1829" t="s">
        <v>159</v>
      </c>
      <c r="B192" s="1829">
        <v>1976</v>
      </c>
      <c r="C192" s="1832">
        <f>10+10</f>
        <v>20</v>
      </c>
      <c r="D192" s="1831">
        <v>15.19</v>
      </c>
      <c r="E192" s="1831">
        <v>-1.0700000000000003</v>
      </c>
      <c r="F192" s="1825">
        <v>0.73749999999999993</v>
      </c>
      <c r="G192" s="1831">
        <v>0.55312499999999998</v>
      </c>
      <c r="H192" s="1831">
        <v>0</v>
      </c>
      <c r="I192" s="1833">
        <v>2017</v>
      </c>
      <c r="J192" s="1829" t="s">
        <v>3409</v>
      </c>
      <c r="K192" s="1829" t="s">
        <v>3409</v>
      </c>
      <c r="L192" s="1122">
        <v>56.266524758189703</v>
      </c>
      <c r="M192" s="1122">
        <v>34.270968538802499</v>
      </c>
    </row>
    <row r="193" spans="1:13" ht="20.100000000000001" customHeight="1" x14ac:dyDescent="0.25">
      <c r="A193" s="1829" t="s">
        <v>160</v>
      </c>
      <c r="B193" s="1829">
        <v>1972</v>
      </c>
      <c r="C193" s="1830">
        <f>2.5+2.5</f>
        <v>5</v>
      </c>
      <c r="D193" s="1831">
        <v>0.48</v>
      </c>
      <c r="E193" s="1831">
        <v>2.145</v>
      </c>
      <c r="F193" s="1825">
        <v>0</v>
      </c>
      <c r="G193" s="1831">
        <v>0</v>
      </c>
      <c r="H193" s="1831">
        <v>2.145</v>
      </c>
      <c r="I193" s="1831"/>
      <c r="J193" s="1829" t="s">
        <v>3566</v>
      </c>
      <c r="K193" s="1829" t="s">
        <v>3566</v>
      </c>
      <c r="L193" s="1122">
        <v>56.0238544268759</v>
      </c>
      <c r="M193" s="1122">
        <v>34.311537677285699</v>
      </c>
    </row>
    <row r="194" spans="1:13" ht="15.75" customHeight="1" x14ac:dyDescent="0.25">
      <c r="A194" s="1829" t="s">
        <v>161</v>
      </c>
      <c r="B194" s="1829">
        <v>1960</v>
      </c>
      <c r="C194" s="1830">
        <f>2.5+3.2</f>
        <v>5.7</v>
      </c>
      <c r="D194" s="1831">
        <v>0.78</v>
      </c>
      <c r="E194" s="1831">
        <v>1.845</v>
      </c>
      <c r="F194" s="1825">
        <v>0.28499999999999998</v>
      </c>
      <c r="G194" s="1831">
        <v>0.21375</v>
      </c>
      <c r="H194" s="1831">
        <v>1.56</v>
      </c>
      <c r="I194" s="1831"/>
      <c r="J194" s="1829" t="s">
        <v>3566</v>
      </c>
      <c r="K194" s="1829" t="s">
        <v>3566</v>
      </c>
      <c r="L194" s="1122">
        <v>56.465882846709498</v>
      </c>
      <c r="M194" s="1122">
        <v>34.035018695647601</v>
      </c>
    </row>
    <row r="195" spans="1:13" ht="20.100000000000001" customHeight="1" x14ac:dyDescent="0.25">
      <c r="A195" s="1829" t="s">
        <v>162</v>
      </c>
      <c r="B195" s="1829">
        <v>1973</v>
      </c>
      <c r="C195" s="1830">
        <f>4+4</f>
        <v>8</v>
      </c>
      <c r="D195" s="1831">
        <v>1.24</v>
      </c>
      <c r="E195" s="1831">
        <v>4.1400000000000006</v>
      </c>
      <c r="F195" s="1825">
        <v>2.5</v>
      </c>
      <c r="G195" s="1831">
        <v>1.875</v>
      </c>
      <c r="H195" s="1831">
        <v>1.6399999999999997</v>
      </c>
      <c r="I195" s="1831"/>
      <c r="J195" s="1829" t="s">
        <v>3566</v>
      </c>
      <c r="K195" s="1829" t="s">
        <v>3566</v>
      </c>
      <c r="L195" s="1122">
        <v>56.265401748841903</v>
      </c>
      <c r="M195" s="1122">
        <v>34.4570924679253</v>
      </c>
    </row>
    <row r="196" spans="1:13" ht="15.75" customHeight="1" x14ac:dyDescent="0.25">
      <c r="A196" s="1829" t="s">
        <v>3075</v>
      </c>
      <c r="B196" s="1829">
        <v>1975</v>
      </c>
      <c r="C196" s="1830">
        <f>25+25</f>
        <v>50</v>
      </c>
      <c r="D196" s="1831">
        <v>20.18</v>
      </c>
      <c r="E196" s="1831">
        <v>0</v>
      </c>
      <c r="F196" s="1825">
        <v>1.2774999999999999</v>
      </c>
      <c r="G196" s="1831">
        <v>0.95812499999999989</v>
      </c>
      <c r="H196" s="1831">
        <v>13.3325</v>
      </c>
      <c r="I196" s="1831"/>
      <c r="J196" s="1829" t="s">
        <v>3566</v>
      </c>
      <c r="K196" s="1829" t="s">
        <v>3566</v>
      </c>
      <c r="L196" s="1122">
        <v>56.172469954641201</v>
      </c>
      <c r="M196" s="1122">
        <v>34.5756604961677</v>
      </c>
    </row>
    <row r="197" spans="1:13" ht="15.75" customHeight="1" x14ac:dyDescent="0.25">
      <c r="A197" s="1829" t="s">
        <v>163</v>
      </c>
      <c r="B197" s="1829">
        <v>1975</v>
      </c>
      <c r="C197" s="1830">
        <f>5.6+5.6</f>
        <v>11.2</v>
      </c>
      <c r="D197" s="1831">
        <v>7.14</v>
      </c>
      <c r="E197" s="1831">
        <v>0.53000000000000025</v>
      </c>
      <c r="F197" s="1825">
        <v>0.31574999999999998</v>
      </c>
      <c r="G197" s="1831">
        <v>0.23681249999999998</v>
      </c>
      <c r="H197" s="1831">
        <v>0.21424999999999983</v>
      </c>
      <c r="I197" s="1831"/>
      <c r="J197" s="1829" t="s">
        <v>3566</v>
      </c>
      <c r="K197" s="1829" t="s">
        <v>3566</v>
      </c>
      <c r="L197" s="1122">
        <v>56.132142444197598</v>
      </c>
      <c r="M197" s="1122">
        <v>34.898052747883298</v>
      </c>
    </row>
    <row r="198" spans="1:13" ht="15.75" customHeight="1" x14ac:dyDescent="0.25">
      <c r="A198" s="1829" t="s">
        <v>164</v>
      </c>
      <c r="B198" s="1829">
        <v>1963</v>
      </c>
      <c r="C198" s="1830">
        <f>4+4</f>
        <v>8</v>
      </c>
      <c r="D198" s="1831">
        <v>1.55</v>
      </c>
      <c r="E198" s="1831">
        <v>2.6500000000000004</v>
      </c>
      <c r="F198" s="1825">
        <v>0.39774999999999994</v>
      </c>
      <c r="G198" s="1831">
        <v>0.29831249999999998</v>
      </c>
      <c r="H198" s="1831">
        <v>2.2522500000000001</v>
      </c>
      <c r="I198" s="1831"/>
      <c r="J198" s="1829" t="s">
        <v>3566</v>
      </c>
      <c r="K198" s="1829" t="s">
        <v>3566</v>
      </c>
      <c r="L198" s="1122">
        <v>56.394427552252402</v>
      </c>
      <c r="M198" s="1122">
        <v>35.251126767343401</v>
      </c>
    </row>
    <row r="199" spans="1:13" ht="15.75" customHeight="1" x14ac:dyDescent="0.25">
      <c r="A199" s="1829" t="s">
        <v>165</v>
      </c>
      <c r="B199" s="1829">
        <v>1979</v>
      </c>
      <c r="C199" s="1830">
        <f>2.5+2.5</f>
        <v>5</v>
      </c>
      <c r="D199" s="1831">
        <v>0.64</v>
      </c>
      <c r="E199" s="1831">
        <v>2.605</v>
      </c>
      <c r="F199" s="1825">
        <v>0</v>
      </c>
      <c r="G199" s="1831">
        <v>0</v>
      </c>
      <c r="H199" s="1831">
        <v>2.605</v>
      </c>
      <c r="I199" s="1831"/>
      <c r="J199" s="1829" t="s">
        <v>3566</v>
      </c>
      <c r="K199" s="1829" t="s">
        <v>3566</v>
      </c>
      <c r="L199" s="1122">
        <v>56.591538770162003</v>
      </c>
      <c r="M199" s="1122">
        <v>34.628120493828902</v>
      </c>
    </row>
    <row r="200" spans="1:13" ht="20.100000000000001" customHeight="1" x14ac:dyDescent="0.25">
      <c r="A200" s="1829" t="s">
        <v>166</v>
      </c>
      <c r="B200" s="1829">
        <v>1971</v>
      </c>
      <c r="C200" s="1830">
        <f>4+2.5</f>
        <v>6.5</v>
      </c>
      <c r="D200" s="1831">
        <v>1.22</v>
      </c>
      <c r="E200" s="1831">
        <v>1.405</v>
      </c>
      <c r="F200" s="1825">
        <v>0</v>
      </c>
      <c r="G200" s="1831">
        <v>0</v>
      </c>
      <c r="H200" s="1831">
        <v>1.405</v>
      </c>
      <c r="I200" s="1831"/>
      <c r="J200" s="1829" t="s">
        <v>3566</v>
      </c>
      <c r="K200" s="1829" t="s">
        <v>3566</v>
      </c>
      <c r="L200" s="1122">
        <v>56.652683647502002</v>
      </c>
      <c r="M200" s="1122">
        <v>34.374451510960498</v>
      </c>
    </row>
    <row r="201" spans="1:13" ht="20.100000000000001" customHeight="1" x14ac:dyDescent="0.25">
      <c r="A201" s="1829" t="s">
        <v>167</v>
      </c>
      <c r="B201" s="1829">
        <v>1978</v>
      </c>
      <c r="C201" s="1830">
        <f t="shared" ref="C201:C202" si="7">6.3+6.3</f>
        <v>12.6</v>
      </c>
      <c r="D201" s="1831">
        <v>2.33</v>
      </c>
      <c r="E201" s="1831">
        <v>5.0250000000000004</v>
      </c>
      <c r="F201" s="1825">
        <v>0</v>
      </c>
      <c r="G201" s="1831">
        <v>0</v>
      </c>
      <c r="H201" s="1831">
        <v>5.0250000000000004</v>
      </c>
      <c r="I201" s="1831"/>
      <c r="J201" s="1829" t="s">
        <v>3566</v>
      </c>
      <c r="K201" s="1829" t="s">
        <v>3566</v>
      </c>
      <c r="L201" s="1122">
        <v>56.206704218121203</v>
      </c>
      <c r="M201" s="1122">
        <v>34.214144919244497</v>
      </c>
    </row>
    <row r="202" spans="1:13" ht="20.100000000000001" customHeight="1" x14ac:dyDescent="0.25">
      <c r="A202" s="1829" t="s">
        <v>168</v>
      </c>
      <c r="B202" s="1829">
        <v>1962</v>
      </c>
      <c r="C202" s="1830">
        <f t="shared" si="7"/>
        <v>12.6</v>
      </c>
      <c r="D202" s="1831">
        <v>1.62</v>
      </c>
      <c r="E202" s="1831">
        <v>5.335</v>
      </c>
      <c r="F202" s="1825">
        <v>2.3749999999999997E-2</v>
      </c>
      <c r="G202" s="1831">
        <v>1.7812499999999998E-2</v>
      </c>
      <c r="H202" s="1831">
        <v>5.3112500000000002</v>
      </c>
      <c r="I202" s="1831"/>
      <c r="J202" s="1829" t="s">
        <v>3566</v>
      </c>
      <c r="K202" s="1829" t="s">
        <v>3566</v>
      </c>
      <c r="L202" s="1122">
        <v>56.240181355065701</v>
      </c>
      <c r="M202" s="1122">
        <v>33.158507404212401</v>
      </c>
    </row>
    <row r="203" spans="1:13" x14ac:dyDescent="0.25">
      <c r="A203" s="1829" t="s">
        <v>169</v>
      </c>
      <c r="B203" s="1829">
        <v>1960</v>
      </c>
      <c r="C203" s="1830">
        <f>40.5+40</f>
        <v>80.5</v>
      </c>
      <c r="D203" s="1831">
        <v>32.03</v>
      </c>
      <c r="E203" s="1831">
        <v>15.839017731367363</v>
      </c>
      <c r="F203" s="1825">
        <v>5.21265</v>
      </c>
      <c r="G203" s="1831">
        <v>3.9094875</v>
      </c>
      <c r="H203" s="1831">
        <v>10.626367731367367</v>
      </c>
      <c r="I203" s="1831"/>
      <c r="J203" s="1829" t="s">
        <v>3566</v>
      </c>
      <c r="K203" s="1829" t="s">
        <v>3566</v>
      </c>
      <c r="L203" s="1122">
        <v>56.2411116350114</v>
      </c>
      <c r="M203" s="1122">
        <v>34.312113844013503</v>
      </c>
    </row>
    <row r="204" spans="1:13" x14ac:dyDescent="0.25">
      <c r="A204" s="1829" t="s">
        <v>2681</v>
      </c>
      <c r="B204" s="1829">
        <v>1978</v>
      </c>
      <c r="C204" s="1830">
        <f>5.6+6.3</f>
        <v>11.899999999999999</v>
      </c>
      <c r="D204" s="1831">
        <v>2.02</v>
      </c>
      <c r="E204" s="1831">
        <v>4.7</v>
      </c>
      <c r="F204" s="1825">
        <v>0.138125</v>
      </c>
      <c r="G204" s="1831">
        <v>0.10359375</v>
      </c>
      <c r="H204" s="1831">
        <v>4.5618749999999997</v>
      </c>
      <c r="I204" s="1831"/>
      <c r="J204" s="1829" t="s">
        <v>3566</v>
      </c>
      <c r="K204" s="1829" t="s">
        <v>3566</v>
      </c>
      <c r="L204" s="1122">
        <v>56.206891388101397</v>
      </c>
      <c r="M204" s="1122">
        <v>33.892258534506098</v>
      </c>
    </row>
    <row r="205" spans="1:13" x14ac:dyDescent="0.25">
      <c r="A205" s="1829" t="s">
        <v>170</v>
      </c>
      <c r="B205" s="1829">
        <v>1964</v>
      </c>
      <c r="C205" s="1830">
        <f>16+10</f>
        <v>26</v>
      </c>
      <c r="D205" s="1831">
        <v>7.47</v>
      </c>
      <c r="E205" s="1831">
        <v>3.4107236052880152</v>
      </c>
      <c r="F205" s="1825">
        <v>0.11499999999999999</v>
      </c>
      <c r="G205" s="1831">
        <v>8.6249999999999993E-2</v>
      </c>
      <c r="H205" s="1831">
        <v>3.295723605288015</v>
      </c>
      <c r="I205" s="1831"/>
      <c r="J205" s="1829" t="s">
        <v>3566</v>
      </c>
      <c r="K205" s="1829" t="s">
        <v>3566</v>
      </c>
      <c r="L205" s="1122">
        <v>56.222590712521701</v>
      </c>
      <c r="M205" s="1122">
        <v>33.502481446068401</v>
      </c>
    </row>
    <row r="206" spans="1:13" x14ac:dyDescent="0.25">
      <c r="A206" s="1829" t="s">
        <v>171</v>
      </c>
      <c r="B206" s="1829">
        <v>1961</v>
      </c>
      <c r="C206" s="1830">
        <f>16+16</f>
        <v>32</v>
      </c>
      <c r="D206" s="1831">
        <v>14.48</v>
      </c>
      <c r="E206" s="1831">
        <v>7.7306372045180858</v>
      </c>
      <c r="F206" s="1825">
        <v>3.5006249999999994</v>
      </c>
      <c r="G206" s="1831">
        <v>2.6254687499999996</v>
      </c>
      <c r="H206" s="1831">
        <v>4.2300122045180863</v>
      </c>
      <c r="I206" s="1831"/>
      <c r="J206" s="1829" t="s">
        <v>3566</v>
      </c>
      <c r="K206" s="1829" t="s">
        <v>3566</v>
      </c>
      <c r="L206" s="1122">
        <v>56.498230498297197</v>
      </c>
      <c r="M206" s="1122">
        <v>34.925430104473897</v>
      </c>
    </row>
    <row r="207" spans="1:13" ht="20.100000000000001" customHeight="1" x14ac:dyDescent="0.25">
      <c r="A207" s="1829" t="s">
        <v>172</v>
      </c>
      <c r="B207" s="1829">
        <v>1975</v>
      </c>
      <c r="C207" s="1830">
        <f>6.3+6.3</f>
        <v>12.6</v>
      </c>
      <c r="D207" s="1831">
        <v>2.69</v>
      </c>
      <c r="E207" s="1831">
        <v>3.9250000000000003</v>
      </c>
      <c r="F207" s="1825">
        <v>1.17</v>
      </c>
      <c r="G207" s="1831">
        <v>0.87749999999999995</v>
      </c>
      <c r="H207" s="1831">
        <v>2.7550000000000003</v>
      </c>
      <c r="I207" s="1831"/>
      <c r="J207" s="1829" t="s">
        <v>3566</v>
      </c>
      <c r="K207" s="1829" t="s">
        <v>3566</v>
      </c>
      <c r="L207" s="1122">
        <v>56.593616507818602</v>
      </c>
      <c r="M207" s="1122">
        <v>35.225638740526897</v>
      </c>
    </row>
    <row r="208" spans="1:13" ht="20.100000000000001" customHeight="1" x14ac:dyDescent="0.25">
      <c r="A208" s="1829" t="s">
        <v>173</v>
      </c>
      <c r="B208" s="1829">
        <v>1989</v>
      </c>
      <c r="C208" s="1830">
        <v>2.5</v>
      </c>
      <c r="D208" s="1831">
        <v>1.32345</v>
      </c>
      <c r="E208" s="1831">
        <v>-0.41344999999999998</v>
      </c>
      <c r="F208" s="1825">
        <v>0.47067499999999995</v>
      </c>
      <c r="G208" s="1831">
        <v>0.35300624999999997</v>
      </c>
      <c r="H208" s="1831">
        <v>0</v>
      </c>
      <c r="I208" s="1831"/>
      <c r="J208" s="1829" t="s">
        <v>3566</v>
      </c>
      <c r="K208" s="1829" t="s">
        <v>3409</v>
      </c>
      <c r="L208" s="1122">
        <v>56.818146640964599</v>
      </c>
      <c r="M208" s="1122">
        <v>35.940324736067303</v>
      </c>
    </row>
    <row r="209" spans="1:13" ht="20.100000000000001" customHeight="1" x14ac:dyDescent="0.25">
      <c r="A209" s="1829" t="s">
        <v>174</v>
      </c>
      <c r="B209" s="1829">
        <v>1959</v>
      </c>
      <c r="C209" s="1830">
        <v>1.6</v>
      </c>
      <c r="D209" s="1831">
        <v>1.2954240000000001</v>
      </c>
      <c r="E209" s="1831">
        <v>-1.2954240000000001</v>
      </c>
      <c r="F209" s="1825">
        <v>2.3262499999999999</v>
      </c>
      <c r="G209" s="1831">
        <v>1.7446874999999999</v>
      </c>
      <c r="H209" s="1831">
        <v>0</v>
      </c>
      <c r="I209" s="1831"/>
      <c r="J209" s="1829" t="s">
        <v>3566</v>
      </c>
      <c r="K209" s="1829" t="s">
        <v>3409</v>
      </c>
      <c r="L209" s="1122">
        <v>56.713710650261802</v>
      </c>
      <c r="M209" s="1122">
        <v>35.606964689512203</v>
      </c>
    </row>
    <row r="210" spans="1:13" ht="20.100000000000001" customHeight="1" x14ac:dyDescent="0.25">
      <c r="A210" s="1829" t="s">
        <v>175</v>
      </c>
      <c r="B210" s="1829">
        <v>1970</v>
      </c>
      <c r="C210" s="1830">
        <v>2.5</v>
      </c>
      <c r="D210" s="1831">
        <v>1.6037100000000002</v>
      </c>
      <c r="E210" s="1831">
        <v>-1.6037100000000002</v>
      </c>
      <c r="F210" s="1825">
        <v>0.6875</v>
      </c>
      <c r="G210" s="1831">
        <v>0.515625</v>
      </c>
      <c r="H210" s="1831">
        <v>0</v>
      </c>
      <c r="I210" s="1831"/>
      <c r="J210" s="1829" t="s">
        <v>3566</v>
      </c>
      <c r="K210" s="1829" t="s">
        <v>3409</v>
      </c>
      <c r="L210" s="1122">
        <v>56.776487935509401</v>
      </c>
      <c r="M210" s="1122">
        <v>36.343396986997</v>
      </c>
    </row>
    <row r="211" spans="1:13" ht="20.100000000000001" customHeight="1" x14ac:dyDescent="0.25">
      <c r="A211" s="1829" t="s">
        <v>2992</v>
      </c>
      <c r="B211" s="1829">
        <v>1949</v>
      </c>
      <c r="C211" s="1830">
        <v>1</v>
      </c>
      <c r="D211" s="1831">
        <v>0.14532</v>
      </c>
      <c r="E211" s="1831">
        <v>-0.14532</v>
      </c>
      <c r="F211" s="1825">
        <v>0</v>
      </c>
      <c r="G211" s="1831">
        <v>0</v>
      </c>
      <c r="H211" s="1831">
        <v>0</v>
      </c>
      <c r="I211" s="1831"/>
      <c r="J211" s="1829" t="s">
        <v>3566</v>
      </c>
      <c r="K211" s="1829" t="s">
        <v>3409</v>
      </c>
      <c r="L211" s="1122">
        <v>57.012558196179903</v>
      </c>
      <c r="M211" s="1122">
        <v>36.154382827292402</v>
      </c>
    </row>
    <row r="212" spans="1:13" ht="20.100000000000001" customHeight="1" x14ac:dyDescent="0.25">
      <c r="A212" s="1829" t="s">
        <v>176</v>
      </c>
      <c r="B212" s="1829">
        <v>1939</v>
      </c>
      <c r="C212" s="1830">
        <v>1</v>
      </c>
      <c r="D212" s="1831">
        <v>0.68646400000000007</v>
      </c>
      <c r="E212" s="1831">
        <v>-0.68646400000000007</v>
      </c>
      <c r="F212" s="1825">
        <v>0</v>
      </c>
      <c r="G212" s="1831">
        <v>0</v>
      </c>
      <c r="H212" s="1831">
        <v>0</v>
      </c>
      <c r="I212" s="1831"/>
      <c r="J212" s="1829" t="s">
        <v>3566</v>
      </c>
      <c r="K212" s="1829" t="s">
        <v>3409</v>
      </c>
      <c r="L212" s="1122">
        <v>56.951338158261699</v>
      </c>
      <c r="M212" s="1122">
        <v>35.883388459522102</v>
      </c>
    </row>
    <row r="213" spans="1:13" x14ac:dyDescent="0.25">
      <c r="A213" s="1829" t="s">
        <v>177</v>
      </c>
      <c r="B213" s="1829">
        <v>1939</v>
      </c>
      <c r="C213" s="1830">
        <v>2.5</v>
      </c>
      <c r="D213" s="1831">
        <v>2.2057500000000001</v>
      </c>
      <c r="E213" s="1831">
        <v>-2.2057500000000001</v>
      </c>
      <c r="F213" s="1825">
        <v>1.7650000000000001</v>
      </c>
      <c r="G213" s="1831">
        <v>1.32375</v>
      </c>
      <c r="H213" s="1831">
        <v>0</v>
      </c>
      <c r="I213" s="1831"/>
      <c r="J213" s="1829" t="s">
        <v>3566</v>
      </c>
      <c r="K213" s="1829" t="s">
        <v>3409</v>
      </c>
      <c r="L213" s="1122">
        <v>56.951338158261699</v>
      </c>
      <c r="M213" s="1122">
        <v>35.883388459522102</v>
      </c>
    </row>
    <row r="214" spans="1:13" x14ac:dyDescent="0.25">
      <c r="A214" s="1829" t="s">
        <v>178</v>
      </c>
      <c r="B214" s="1829">
        <v>1955</v>
      </c>
      <c r="C214" s="1830">
        <v>1</v>
      </c>
      <c r="D214" s="1831">
        <v>0.25742400000000004</v>
      </c>
      <c r="E214" s="1831">
        <v>-0.25742400000000004</v>
      </c>
      <c r="F214" s="1825">
        <v>0.65</v>
      </c>
      <c r="G214" s="1831">
        <v>0.48750000000000004</v>
      </c>
      <c r="H214" s="1831">
        <v>0</v>
      </c>
      <c r="I214" s="1831"/>
      <c r="J214" s="1829" t="s">
        <v>3566</v>
      </c>
      <c r="K214" s="1829" t="s">
        <v>3409</v>
      </c>
      <c r="L214" s="1122">
        <v>56.623882070000903</v>
      </c>
      <c r="M214" s="1122">
        <v>35.571417481976802</v>
      </c>
    </row>
    <row r="215" spans="1:13" x14ac:dyDescent="0.25">
      <c r="A215" s="1829" t="s">
        <v>179</v>
      </c>
      <c r="B215" s="1829">
        <v>1955</v>
      </c>
      <c r="C215" s="1830">
        <v>2.5</v>
      </c>
      <c r="D215" s="1831">
        <v>1.1002799999999999</v>
      </c>
      <c r="E215" s="1831">
        <v>-1.1002799999999999</v>
      </c>
      <c r="F215" s="1825">
        <v>0</v>
      </c>
      <c r="G215" s="1831">
        <v>0</v>
      </c>
      <c r="H215" s="1831">
        <v>0</v>
      </c>
      <c r="I215" s="1831"/>
      <c r="J215" s="1829" t="s">
        <v>3566</v>
      </c>
      <c r="K215" s="1829" t="s">
        <v>3409</v>
      </c>
      <c r="L215" s="1122">
        <v>56.623882070000903</v>
      </c>
      <c r="M215" s="1122">
        <v>35.571417481976802</v>
      </c>
    </row>
    <row r="216" spans="1:13" ht="20.100000000000001" customHeight="1" x14ac:dyDescent="0.25">
      <c r="A216" s="1829" t="s">
        <v>180</v>
      </c>
      <c r="B216" s="1829">
        <v>1979</v>
      </c>
      <c r="C216" s="1830">
        <v>2.5</v>
      </c>
      <c r="D216" s="1831">
        <v>0.72192899999999982</v>
      </c>
      <c r="E216" s="1831">
        <v>8.0710000000001614E-3</v>
      </c>
      <c r="F216" s="1825">
        <v>0</v>
      </c>
      <c r="G216" s="1831">
        <v>0</v>
      </c>
      <c r="H216" s="1831">
        <v>8.0710000000001614E-3</v>
      </c>
      <c r="I216" s="1831"/>
      <c r="J216" s="1829" t="s">
        <v>3566</v>
      </c>
      <c r="K216" s="1829" t="s">
        <v>3566</v>
      </c>
      <c r="L216" s="1122">
        <v>57.230938044061901</v>
      </c>
      <c r="M216" s="1122">
        <v>35.6042475573933</v>
      </c>
    </row>
    <row r="217" spans="1:13" ht="20.100000000000001" customHeight="1" x14ac:dyDescent="0.25">
      <c r="A217" s="1829" t="s">
        <v>181</v>
      </c>
      <c r="B217" s="1829">
        <v>1984</v>
      </c>
      <c r="C217" s="1830">
        <v>2.5</v>
      </c>
      <c r="D217" s="1831">
        <v>0.31468699999999994</v>
      </c>
      <c r="E217" s="1831">
        <v>5.3130000000000677E-3</v>
      </c>
      <c r="F217" s="1825">
        <v>0</v>
      </c>
      <c r="G217" s="1831">
        <v>0</v>
      </c>
      <c r="H217" s="1831">
        <v>5.3130000000000677E-3</v>
      </c>
      <c r="I217" s="1831"/>
      <c r="J217" s="1829" t="s">
        <v>3566</v>
      </c>
      <c r="K217" s="1829" t="s">
        <v>3566</v>
      </c>
      <c r="L217" s="1122">
        <v>57.385620055900503</v>
      </c>
      <c r="M217" s="1122">
        <v>35.437352096305403</v>
      </c>
    </row>
    <row r="218" spans="1:13" ht="20.100000000000001" customHeight="1" x14ac:dyDescent="0.25">
      <c r="A218" s="1829" t="s">
        <v>182</v>
      </c>
      <c r="B218" s="1829">
        <v>1979</v>
      </c>
      <c r="C218" s="1830">
        <v>2.5</v>
      </c>
      <c r="D218" s="1831">
        <v>0.59944500000000001</v>
      </c>
      <c r="E218" s="1831">
        <v>5.5499999999997218E-4</v>
      </c>
      <c r="F218" s="1825">
        <v>0</v>
      </c>
      <c r="G218" s="1831">
        <v>0</v>
      </c>
      <c r="H218" s="1831">
        <v>5.5499999999997218E-4</v>
      </c>
      <c r="I218" s="1831"/>
      <c r="J218" s="1829" t="s">
        <v>3566</v>
      </c>
      <c r="K218" s="1829" t="s">
        <v>3566</v>
      </c>
      <c r="L218" s="1122">
        <v>56.956849369037897</v>
      </c>
      <c r="M218" s="1122">
        <v>35.519790738799003</v>
      </c>
    </row>
    <row r="219" spans="1:13" ht="20.100000000000001" customHeight="1" x14ac:dyDescent="0.25">
      <c r="A219" s="1829" t="s">
        <v>183</v>
      </c>
      <c r="B219" s="1829">
        <v>1988</v>
      </c>
      <c r="C219" s="1830">
        <v>1.6</v>
      </c>
      <c r="D219" s="1831">
        <v>0.28544999999999998</v>
      </c>
      <c r="E219" s="1831">
        <v>-0.28544999999999998</v>
      </c>
      <c r="F219" s="1825">
        <v>0</v>
      </c>
      <c r="G219" s="1831">
        <v>0</v>
      </c>
      <c r="H219" s="1831">
        <v>0</v>
      </c>
      <c r="I219" s="1831"/>
      <c r="J219" s="1829" t="s">
        <v>3566</v>
      </c>
      <c r="K219" s="1829" t="s">
        <v>3409</v>
      </c>
      <c r="L219" s="1122">
        <v>57.125073809915101</v>
      </c>
      <c r="M219" s="1122">
        <v>35.672753228089903</v>
      </c>
    </row>
    <row r="220" spans="1:13" x14ac:dyDescent="0.25">
      <c r="A220" s="1829" t="s">
        <v>184</v>
      </c>
      <c r="B220" s="1829">
        <v>1966</v>
      </c>
      <c r="C220" s="1830">
        <v>2.5</v>
      </c>
      <c r="D220" s="1831">
        <v>1.7256749999999998</v>
      </c>
      <c r="E220" s="1831">
        <v>-1.7256749999999998</v>
      </c>
      <c r="F220" s="1825">
        <v>0.23874999999999999</v>
      </c>
      <c r="G220" s="1831">
        <v>0.17906249999999999</v>
      </c>
      <c r="H220" s="1831">
        <v>0</v>
      </c>
      <c r="I220" s="1831"/>
      <c r="J220" s="1829" t="s">
        <v>3566</v>
      </c>
      <c r="K220" s="1829" t="s">
        <v>3409</v>
      </c>
      <c r="L220" s="1122">
        <v>56.662698208776298</v>
      </c>
      <c r="M220" s="1122">
        <v>36.6972146769468</v>
      </c>
    </row>
    <row r="221" spans="1:13" ht="20.100000000000001" customHeight="1" x14ac:dyDescent="0.25">
      <c r="A221" s="1829" t="s">
        <v>185</v>
      </c>
      <c r="B221" s="1829">
        <v>1995</v>
      </c>
      <c r="C221" s="1830">
        <v>2.5</v>
      </c>
      <c r="D221" s="1831">
        <v>1.89954</v>
      </c>
      <c r="E221" s="1831">
        <v>-1.89954</v>
      </c>
      <c r="F221" s="1825">
        <v>0.8128749999999999</v>
      </c>
      <c r="G221" s="1831">
        <v>0.6096562499999999</v>
      </c>
      <c r="H221" s="1831">
        <v>0</v>
      </c>
      <c r="I221" s="1831"/>
      <c r="J221" s="1829" t="s">
        <v>3566</v>
      </c>
      <c r="K221" s="1829" t="s">
        <v>3409</v>
      </c>
      <c r="L221" s="1122">
        <v>56.768694136898397</v>
      </c>
      <c r="M221" s="1122">
        <v>36.275502863553797</v>
      </c>
    </row>
    <row r="222" spans="1:13" x14ac:dyDescent="0.25">
      <c r="A222" s="1829" t="s">
        <v>186</v>
      </c>
      <c r="B222" s="1829">
        <v>1981</v>
      </c>
      <c r="C222" s="1830">
        <v>2.5</v>
      </c>
      <c r="D222" s="1831">
        <v>0.87970500000000007</v>
      </c>
      <c r="E222" s="1831">
        <v>-0.87970500000000007</v>
      </c>
      <c r="F222" s="1825">
        <v>2.7E-2</v>
      </c>
      <c r="G222" s="1831">
        <v>2.0250000000000001E-2</v>
      </c>
      <c r="H222" s="1831">
        <v>0</v>
      </c>
      <c r="I222" s="1831"/>
      <c r="J222" s="1829" t="s">
        <v>3566</v>
      </c>
      <c r="K222" s="1829" t="s">
        <v>3409</v>
      </c>
      <c r="L222" s="1122">
        <v>56.587896602222003</v>
      </c>
      <c r="M222" s="1122">
        <v>36.4910108207308</v>
      </c>
    </row>
    <row r="223" spans="1:13" x14ac:dyDescent="0.25">
      <c r="A223" s="1829" t="s">
        <v>187</v>
      </c>
      <c r="B223" s="1829">
        <v>1979</v>
      </c>
      <c r="C223" s="1830">
        <v>2.5</v>
      </c>
      <c r="D223" s="1831">
        <v>0.91689999999999994</v>
      </c>
      <c r="E223" s="1831">
        <v>1.0000000000010001E-4</v>
      </c>
      <c r="F223" s="1825">
        <v>0.25187500000000002</v>
      </c>
      <c r="G223" s="1831">
        <v>0.18890625</v>
      </c>
      <c r="H223" s="1831">
        <v>0</v>
      </c>
      <c r="I223" s="1831"/>
      <c r="J223" s="1829" t="s">
        <v>3566</v>
      </c>
      <c r="K223" s="1829" t="s">
        <v>3409</v>
      </c>
      <c r="L223" s="1122">
        <v>57.205603589896803</v>
      </c>
      <c r="M223" s="1122">
        <v>36.369147383304998</v>
      </c>
    </row>
    <row r="224" spans="1:13" x14ac:dyDescent="0.25">
      <c r="A224" s="1829" t="s">
        <v>2953</v>
      </c>
      <c r="B224" s="1829">
        <v>1964</v>
      </c>
      <c r="C224" s="1830">
        <v>2.5</v>
      </c>
      <c r="D224" s="1831">
        <v>0.586816</v>
      </c>
      <c r="E224" s="1831">
        <v>-0.586816</v>
      </c>
      <c r="F224" s="1825">
        <v>0</v>
      </c>
      <c r="G224" s="1831">
        <v>0</v>
      </c>
      <c r="H224" s="1831">
        <v>0</v>
      </c>
      <c r="I224" s="1831"/>
      <c r="J224" s="1829" t="s">
        <v>3566</v>
      </c>
      <c r="K224" s="1829" t="s">
        <v>3409</v>
      </c>
      <c r="L224" s="1122">
        <v>57.363755430550597</v>
      </c>
      <c r="M224" s="1122">
        <v>36.599152638130299</v>
      </c>
    </row>
    <row r="225" spans="1:13" x14ac:dyDescent="0.25">
      <c r="A225" s="1829" t="s">
        <v>188</v>
      </c>
      <c r="B225" s="1829">
        <v>1982</v>
      </c>
      <c r="C225" s="1830">
        <v>2.5</v>
      </c>
      <c r="D225" s="1831">
        <v>0.18337999999999999</v>
      </c>
      <c r="E225" s="1831">
        <v>6.6200000000000148E-3</v>
      </c>
      <c r="F225" s="1825">
        <v>0</v>
      </c>
      <c r="G225" s="1831">
        <v>0</v>
      </c>
      <c r="H225" s="1831">
        <v>6.6200000000000148E-3</v>
      </c>
      <c r="I225" s="1831"/>
      <c r="J225" s="1829" t="s">
        <v>3566</v>
      </c>
      <c r="K225" s="1829" t="s">
        <v>3566</v>
      </c>
      <c r="L225" s="1122">
        <v>57.391124969442103</v>
      </c>
      <c r="M225" s="1122">
        <v>36.379972885451103</v>
      </c>
    </row>
    <row r="226" spans="1:13" x14ac:dyDescent="0.25">
      <c r="A226" s="1829" t="s">
        <v>189</v>
      </c>
      <c r="B226" s="1829">
        <v>1985</v>
      </c>
      <c r="C226" s="1830">
        <f>4+4</f>
        <v>8</v>
      </c>
      <c r="D226" s="1831">
        <v>1.0483799999999999</v>
      </c>
      <c r="E226" s="1831">
        <v>3.1516200000000003</v>
      </c>
      <c r="F226" s="1825">
        <v>0.125</v>
      </c>
      <c r="G226" s="1831">
        <v>9.375E-2</v>
      </c>
      <c r="H226" s="1831">
        <v>3.0266200000000003</v>
      </c>
      <c r="I226" s="1831"/>
      <c r="J226" s="1829" t="s">
        <v>3566</v>
      </c>
      <c r="K226" s="1829" t="s">
        <v>3566</v>
      </c>
      <c r="L226" s="1122">
        <v>56.912094781366399</v>
      </c>
      <c r="M226" s="1122">
        <v>36.230996697867603</v>
      </c>
    </row>
    <row r="227" spans="1:13" x14ac:dyDescent="0.25">
      <c r="A227" s="1829" t="s">
        <v>3442</v>
      </c>
      <c r="B227" s="1829">
        <v>1990</v>
      </c>
      <c r="C227" s="1830">
        <f>2.5+6.3</f>
        <v>8.8000000000000007</v>
      </c>
      <c r="D227" s="1831">
        <v>1.473095</v>
      </c>
      <c r="E227" s="1831">
        <v>1.151905</v>
      </c>
      <c r="F227" s="1825">
        <v>3.6477499999999998</v>
      </c>
      <c r="G227" s="1831">
        <v>2.7358124999999998</v>
      </c>
      <c r="H227" s="1831">
        <v>0</v>
      </c>
      <c r="I227" s="1831"/>
      <c r="J227" s="1829" t="s">
        <v>3566</v>
      </c>
      <c r="K227" s="1829" t="s">
        <v>3409</v>
      </c>
      <c r="L227" s="1122">
        <v>56.791632844852899</v>
      </c>
      <c r="M227" s="1122">
        <v>35.7139339625055</v>
      </c>
    </row>
    <row r="228" spans="1:13" ht="20.100000000000001" customHeight="1" x14ac:dyDescent="0.25">
      <c r="A228" s="1829" t="s">
        <v>190</v>
      </c>
      <c r="B228" s="1829">
        <v>1963</v>
      </c>
      <c r="C228" s="1830">
        <f>2.5+2.5</f>
        <v>5</v>
      </c>
      <c r="D228" s="1831">
        <v>1.5985199999999999</v>
      </c>
      <c r="E228" s="1831">
        <v>1.0264800000000001</v>
      </c>
      <c r="F228" s="1825">
        <v>1.9373</v>
      </c>
      <c r="G228" s="1831">
        <v>1.4529749999999999</v>
      </c>
      <c r="H228" s="1831">
        <v>0</v>
      </c>
      <c r="I228" s="1831"/>
      <c r="J228" s="1829" t="s">
        <v>3566</v>
      </c>
      <c r="K228" s="1829" t="s">
        <v>3409</v>
      </c>
      <c r="L228" s="1122">
        <v>57.130553877386397</v>
      </c>
      <c r="M228" s="1122">
        <v>36.075326147215897</v>
      </c>
    </row>
    <row r="229" spans="1:13" ht="20.100000000000001" customHeight="1" x14ac:dyDescent="0.25">
      <c r="A229" s="1829" t="s">
        <v>191</v>
      </c>
      <c r="B229" s="1829">
        <v>1961</v>
      </c>
      <c r="C229" s="1830">
        <f>5.6+5.6</f>
        <v>11.2</v>
      </c>
      <c r="D229" s="1831">
        <v>2.6157599999999999</v>
      </c>
      <c r="E229" s="1831">
        <v>3.26424</v>
      </c>
      <c r="F229" s="1825">
        <v>0.625</v>
      </c>
      <c r="G229" s="1831">
        <v>0.46875</v>
      </c>
      <c r="H229" s="1831">
        <v>2.63924</v>
      </c>
      <c r="I229" s="1831"/>
      <c r="J229" s="1829" t="s">
        <v>3566</v>
      </c>
      <c r="K229" s="1829" t="s">
        <v>3566</v>
      </c>
      <c r="L229" s="1122">
        <v>56.798377183551999</v>
      </c>
      <c r="M229" s="1122">
        <v>36.042172374705899</v>
      </c>
    </row>
    <row r="230" spans="1:13" x14ac:dyDescent="0.25">
      <c r="A230" s="1829" t="s">
        <v>192</v>
      </c>
      <c r="B230" s="1829">
        <v>1947</v>
      </c>
      <c r="C230" s="1830">
        <f>3.2+3.2</f>
        <v>6.4</v>
      </c>
      <c r="D230" s="1831">
        <v>1.7438399999999998</v>
      </c>
      <c r="E230" s="1831">
        <v>1.6161600000000005</v>
      </c>
      <c r="F230" s="1825">
        <v>0</v>
      </c>
      <c r="G230" s="1831">
        <v>0</v>
      </c>
      <c r="H230" s="1831">
        <v>1.6161600000000005</v>
      </c>
      <c r="I230" s="1831"/>
      <c r="J230" s="1829" t="s">
        <v>3566</v>
      </c>
      <c r="K230" s="1829" t="s">
        <v>3566</v>
      </c>
      <c r="L230" s="1122">
        <v>56.812938241620103</v>
      </c>
      <c r="M230" s="1122">
        <v>35.997714520066801</v>
      </c>
    </row>
    <row r="231" spans="1:13" x14ac:dyDescent="0.25">
      <c r="A231" s="1829" t="s">
        <v>193</v>
      </c>
      <c r="B231" s="1829">
        <v>1964</v>
      </c>
      <c r="C231" s="1832">
        <f>10+10</f>
        <v>20</v>
      </c>
      <c r="D231" s="1831">
        <v>13.967328</v>
      </c>
      <c r="E231" s="1831">
        <v>-3.4673280000000002</v>
      </c>
      <c r="F231" s="1825">
        <v>0</v>
      </c>
      <c r="G231" s="1831">
        <v>0</v>
      </c>
      <c r="H231" s="1831">
        <v>0</v>
      </c>
      <c r="I231" s="1833">
        <v>2017</v>
      </c>
      <c r="J231" s="1829" t="s">
        <v>3409</v>
      </c>
      <c r="K231" s="1829" t="s">
        <v>3409</v>
      </c>
      <c r="L231" s="1122">
        <v>56.840788825628401</v>
      </c>
      <c r="M231" s="1122">
        <v>35.936698991917602</v>
      </c>
    </row>
    <row r="232" spans="1:13" x14ac:dyDescent="0.25">
      <c r="A232" s="1829" t="s">
        <v>194</v>
      </c>
      <c r="B232" s="1829">
        <v>1954</v>
      </c>
      <c r="C232" s="1832">
        <f>16+16</f>
        <v>32</v>
      </c>
      <c r="D232" s="1831">
        <v>20.095680000000002</v>
      </c>
      <c r="E232" s="1831">
        <v>-3.2956800000000008</v>
      </c>
      <c r="F232" s="1825">
        <v>0</v>
      </c>
      <c r="G232" s="1831">
        <v>0</v>
      </c>
      <c r="H232" s="1831">
        <v>0</v>
      </c>
      <c r="I232" s="1833">
        <v>2015</v>
      </c>
      <c r="J232" s="1829" t="s">
        <v>3409</v>
      </c>
      <c r="K232" s="1829" t="s">
        <v>3409</v>
      </c>
      <c r="L232" s="1122">
        <v>56.846172344953601</v>
      </c>
      <c r="M232" s="1122">
        <v>35.883674610695302</v>
      </c>
    </row>
    <row r="233" spans="1:13" x14ac:dyDescent="0.25">
      <c r="A233" s="1829" t="s">
        <v>195</v>
      </c>
      <c r="B233" s="1829">
        <v>1966</v>
      </c>
      <c r="C233" s="1830">
        <f t="shared" ref="C233:C234" si="8">10+10</f>
        <v>20</v>
      </c>
      <c r="D233" s="1831">
        <v>3.79908</v>
      </c>
      <c r="E233" s="1831">
        <v>6.70092</v>
      </c>
      <c r="F233" s="1825">
        <v>0</v>
      </c>
      <c r="G233" s="1831">
        <v>0</v>
      </c>
      <c r="H233" s="1831">
        <v>6.70092</v>
      </c>
      <c r="I233" s="1831"/>
      <c r="J233" s="1829" t="s">
        <v>3566</v>
      </c>
      <c r="K233" s="1829" t="s">
        <v>3566</v>
      </c>
      <c r="L233" s="1122">
        <v>56.851808784363598</v>
      </c>
      <c r="M233" s="1122">
        <v>35.871821031209599</v>
      </c>
    </row>
    <row r="234" spans="1:13" x14ac:dyDescent="0.25">
      <c r="A234" s="1829" t="s">
        <v>196</v>
      </c>
      <c r="B234" s="1829">
        <v>1966</v>
      </c>
      <c r="C234" s="1830">
        <f t="shared" si="8"/>
        <v>20</v>
      </c>
      <c r="D234" s="1831">
        <v>6.2210799999999997</v>
      </c>
      <c r="E234" s="1831">
        <v>4.2789200000000003</v>
      </c>
      <c r="F234" s="1825">
        <v>1.24875</v>
      </c>
      <c r="G234" s="1831">
        <v>0.93656249999999996</v>
      </c>
      <c r="H234" s="1831">
        <v>3.03017</v>
      </c>
      <c r="I234" s="1831"/>
      <c r="J234" s="1829" t="s">
        <v>3566</v>
      </c>
      <c r="K234" s="1829" t="s">
        <v>3566</v>
      </c>
      <c r="L234" s="1122">
        <v>56.895222670848298</v>
      </c>
      <c r="M234" s="1122">
        <v>35.8232762968806</v>
      </c>
    </row>
    <row r="235" spans="1:13" ht="20.100000000000001" customHeight="1" x14ac:dyDescent="0.25">
      <c r="A235" s="1829" t="s">
        <v>197</v>
      </c>
      <c r="B235" s="1829">
        <v>1974</v>
      </c>
      <c r="C235" s="1830">
        <f>16+16</f>
        <v>32</v>
      </c>
      <c r="D235" s="1831">
        <v>16.559905999999998</v>
      </c>
      <c r="E235" s="1831">
        <v>0.24009400000000269</v>
      </c>
      <c r="F235" s="1825">
        <v>0.13124999999999998</v>
      </c>
      <c r="G235" s="1831">
        <v>9.8437499999999983E-2</v>
      </c>
      <c r="H235" s="1831">
        <v>0.10884400000000127</v>
      </c>
      <c r="I235" s="1831"/>
      <c r="J235" s="1829" t="s">
        <v>3566</v>
      </c>
      <c r="K235" s="1829" t="s">
        <v>3566</v>
      </c>
      <c r="L235" s="1122">
        <v>56.888644078821699</v>
      </c>
      <c r="M235" s="1122">
        <v>35.898403986443597</v>
      </c>
    </row>
    <row r="236" spans="1:13" ht="20.100000000000001" customHeight="1" x14ac:dyDescent="0.25">
      <c r="A236" s="1829" t="s">
        <v>198</v>
      </c>
      <c r="B236" s="1829">
        <v>1956</v>
      </c>
      <c r="C236" s="1830">
        <f>7.5+10</f>
        <v>17.5</v>
      </c>
      <c r="D236" s="1831">
        <v>6.4849049999999995</v>
      </c>
      <c r="E236" s="1831">
        <v>1.3900950000000005</v>
      </c>
      <c r="F236" s="1825">
        <v>9.3749999999999986E-2</v>
      </c>
      <c r="G236" s="1831">
        <v>7.0312499999999986E-2</v>
      </c>
      <c r="H236" s="1831">
        <v>1.2963450000000005</v>
      </c>
      <c r="I236" s="1831"/>
      <c r="J236" s="1829" t="s">
        <v>3566</v>
      </c>
      <c r="K236" s="1829" t="s">
        <v>3566</v>
      </c>
      <c r="L236" s="1122">
        <v>56.862014870576601</v>
      </c>
      <c r="M236" s="1122">
        <v>35.8548721485312</v>
      </c>
    </row>
    <row r="237" spans="1:13" x14ac:dyDescent="0.25">
      <c r="A237" s="1829" t="s">
        <v>199</v>
      </c>
      <c r="B237" s="1829">
        <v>1986</v>
      </c>
      <c r="C237" s="1832">
        <f>10+10</f>
        <v>20</v>
      </c>
      <c r="D237" s="1831">
        <v>11.29344</v>
      </c>
      <c r="E237" s="1831">
        <v>-0.79344000000000037</v>
      </c>
      <c r="F237" s="1825">
        <v>0</v>
      </c>
      <c r="G237" s="1831">
        <v>0</v>
      </c>
      <c r="H237" s="1831">
        <v>0</v>
      </c>
      <c r="I237" s="1833">
        <v>2015</v>
      </c>
      <c r="J237" s="1829" t="s">
        <v>3409</v>
      </c>
      <c r="K237" s="1829" t="s">
        <v>3409</v>
      </c>
      <c r="L237" s="1122">
        <v>56.845537273625297</v>
      </c>
      <c r="M237" s="1122">
        <v>35.908624623833397</v>
      </c>
    </row>
    <row r="238" spans="1:13" x14ac:dyDescent="0.25">
      <c r="A238" s="1829" t="s">
        <v>200</v>
      </c>
      <c r="B238" s="1829">
        <v>1994</v>
      </c>
      <c r="C238" s="1830">
        <f t="shared" ref="C238:C239" si="9">6.3+6.3</f>
        <v>12.6</v>
      </c>
      <c r="D238" s="1831">
        <v>4.6483369999999997</v>
      </c>
      <c r="E238" s="1831">
        <v>1.9666630000000005</v>
      </c>
      <c r="F238" s="1825">
        <v>0.8778125</v>
      </c>
      <c r="G238" s="1831">
        <v>0.65835937499999997</v>
      </c>
      <c r="H238" s="1831">
        <v>1.0888505000000004</v>
      </c>
      <c r="I238" s="1831"/>
      <c r="J238" s="1829" t="s">
        <v>3566</v>
      </c>
      <c r="K238" s="1829" t="s">
        <v>3566</v>
      </c>
      <c r="L238" s="1122">
        <v>56.834636330887697</v>
      </c>
      <c r="M238" s="1122">
        <v>35.835950487538099</v>
      </c>
    </row>
    <row r="239" spans="1:13" ht="20.100000000000001" customHeight="1" x14ac:dyDescent="0.25">
      <c r="A239" s="1829" t="s">
        <v>201</v>
      </c>
      <c r="B239" s="1829">
        <v>1984</v>
      </c>
      <c r="C239" s="1830">
        <f t="shared" si="9"/>
        <v>12.6</v>
      </c>
      <c r="D239" s="1831">
        <v>6.5393999999999997</v>
      </c>
      <c r="E239" s="1831">
        <v>7.5600000000000556E-2</v>
      </c>
      <c r="F239" s="1825">
        <v>0.48</v>
      </c>
      <c r="G239" s="1831">
        <v>0.36</v>
      </c>
      <c r="H239" s="1831">
        <v>0</v>
      </c>
      <c r="I239" s="1831"/>
      <c r="J239" s="1829" t="s">
        <v>3566</v>
      </c>
      <c r="K239" s="1829" t="s">
        <v>3409</v>
      </c>
      <c r="L239" s="1122">
        <v>56.897833852421002</v>
      </c>
      <c r="M239" s="1122">
        <v>35.936355035922602</v>
      </c>
    </row>
    <row r="240" spans="1:13" ht="30" customHeight="1" x14ac:dyDescent="0.25">
      <c r="A240" s="1829" t="s">
        <v>202</v>
      </c>
      <c r="B240" s="1829">
        <v>1978</v>
      </c>
      <c r="C240" s="1830">
        <f>16+16</f>
        <v>32</v>
      </c>
      <c r="D240" s="1831">
        <v>9.6450959999999988</v>
      </c>
      <c r="E240" s="1831">
        <v>7.1549040000000019</v>
      </c>
      <c r="F240" s="1825">
        <v>0</v>
      </c>
      <c r="G240" s="1831">
        <v>0</v>
      </c>
      <c r="H240" s="1831">
        <v>7.1549040000000019</v>
      </c>
      <c r="I240" s="1831"/>
      <c r="J240" s="1829" t="s">
        <v>3566</v>
      </c>
      <c r="K240" s="1829" t="s">
        <v>3566</v>
      </c>
      <c r="L240" s="1122">
        <v>56.857060398247299</v>
      </c>
      <c r="M240" s="1122">
        <v>35.856128545548501</v>
      </c>
    </row>
    <row r="241" spans="1:13" x14ac:dyDescent="0.25">
      <c r="A241" s="1829" t="s">
        <v>203</v>
      </c>
      <c r="B241" s="1829">
        <v>1964</v>
      </c>
      <c r="C241" s="1830">
        <f>6.3+6.3</f>
        <v>12.6</v>
      </c>
      <c r="D241" s="1831">
        <v>5.2761539999999991</v>
      </c>
      <c r="E241" s="1831">
        <v>1.3388460000000011</v>
      </c>
      <c r="F241" s="1825">
        <v>2.35</v>
      </c>
      <c r="G241" s="1831">
        <v>1.7625000000000002</v>
      </c>
      <c r="H241" s="1831">
        <v>0</v>
      </c>
      <c r="I241" s="1831"/>
      <c r="J241" s="1829" t="s">
        <v>3566</v>
      </c>
      <c r="K241" s="1829" t="s">
        <v>3409</v>
      </c>
      <c r="L241" s="1122">
        <v>56.522345874913398</v>
      </c>
      <c r="M241" s="1122">
        <v>35.965727164471801</v>
      </c>
    </row>
    <row r="242" spans="1:13" x14ac:dyDescent="0.25">
      <c r="A242" s="1829" t="s">
        <v>204</v>
      </c>
      <c r="B242" s="1829" t="s">
        <v>3551</v>
      </c>
      <c r="C242" s="1830">
        <f>4+4</f>
        <v>8</v>
      </c>
      <c r="D242" s="1831">
        <v>3.2696999999999998</v>
      </c>
      <c r="E242" s="1831">
        <v>0.93030000000000035</v>
      </c>
      <c r="F242" s="1825">
        <v>0.44125000000000003</v>
      </c>
      <c r="G242" s="1831">
        <v>0.3309375</v>
      </c>
      <c r="H242" s="1831">
        <v>0.48905000000000021</v>
      </c>
      <c r="I242" s="1831"/>
      <c r="J242" s="1829" t="s">
        <v>3566</v>
      </c>
      <c r="K242" s="1829" t="s">
        <v>3566</v>
      </c>
      <c r="L242" s="1122">
        <v>56.903621345815402</v>
      </c>
      <c r="M242" s="1122">
        <v>36.050582131677899</v>
      </c>
    </row>
    <row r="243" spans="1:13" x14ac:dyDescent="0.25">
      <c r="A243" s="1829" t="s">
        <v>205</v>
      </c>
      <c r="B243" s="1829">
        <v>1965</v>
      </c>
      <c r="C243" s="1830">
        <f>2.5+2.5</f>
        <v>5</v>
      </c>
      <c r="D243" s="1831">
        <v>1.6037100000000002</v>
      </c>
      <c r="E243" s="1831">
        <v>0.70128999999999975</v>
      </c>
      <c r="F243" s="1825">
        <v>2.4187499999999997</v>
      </c>
      <c r="G243" s="1831">
        <v>1.8140624999999999</v>
      </c>
      <c r="H243" s="1831">
        <v>0</v>
      </c>
      <c r="I243" s="1831"/>
      <c r="J243" s="1829" t="s">
        <v>3566</v>
      </c>
      <c r="K243" s="1829" t="s">
        <v>3409</v>
      </c>
      <c r="L243" s="1122">
        <v>56.847192621276001</v>
      </c>
      <c r="M243" s="1122">
        <v>36.591664194611702</v>
      </c>
    </row>
    <row r="244" spans="1:13" x14ac:dyDescent="0.25">
      <c r="A244" s="1829" t="s">
        <v>2197</v>
      </c>
      <c r="B244" s="1829">
        <v>1966</v>
      </c>
      <c r="C244" s="1830">
        <f>2+3.2</f>
        <v>5.2</v>
      </c>
      <c r="D244" s="1831">
        <v>1.952305</v>
      </c>
      <c r="E244" s="1831">
        <v>0.14769500000000013</v>
      </c>
      <c r="F244" s="1825">
        <v>5.4091249999999995</v>
      </c>
      <c r="G244" s="1831">
        <v>4.0568437499999996</v>
      </c>
      <c r="H244" s="1831">
        <v>0</v>
      </c>
      <c r="I244" s="1831"/>
      <c r="J244" s="1829" t="s">
        <v>3566</v>
      </c>
      <c r="K244" s="1829" t="s">
        <v>3409</v>
      </c>
      <c r="L244" s="1122">
        <v>56.901288048079202</v>
      </c>
      <c r="M244" s="1122">
        <v>35.767399663626499</v>
      </c>
    </row>
    <row r="245" spans="1:13" x14ac:dyDescent="0.25">
      <c r="A245" s="1829" t="s">
        <v>206</v>
      </c>
      <c r="B245" s="1829">
        <v>1966</v>
      </c>
      <c r="C245" s="1830">
        <f>4+4</f>
        <v>8</v>
      </c>
      <c r="D245" s="1831">
        <v>1.2580559999999998</v>
      </c>
      <c r="E245" s="1831">
        <v>2.9419440000000003</v>
      </c>
      <c r="F245" s="1825">
        <v>0.22874999999999998</v>
      </c>
      <c r="G245" s="1831">
        <v>0.17156249999999998</v>
      </c>
      <c r="H245" s="1831">
        <v>2.7131940000000005</v>
      </c>
      <c r="I245" s="1831"/>
      <c r="J245" s="1829" t="s">
        <v>3566</v>
      </c>
      <c r="K245" s="1829" t="s">
        <v>3566</v>
      </c>
      <c r="L245" s="1122">
        <v>56.703857298303703</v>
      </c>
      <c r="M245" s="1122">
        <v>35.841024516208599</v>
      </c>
    </row>
    <row r="246" spans="1:13" x14ac:dyDescent="0.25">
      <c r="A246" s="1829" t="s">
        <v>207</v>
      </c>
      <c r="B246" s="1829" t="s">
        <v>3560</v>
      </c>
      <c r="C246" s="1830">
        <f>6.3+6.3</f>
        <v>12.6</v>
      </c>
      <c r="D246" s="1831">
        <v>3.8146499999999999</v>
      </c>
      <c r="E246" s="1831">
        <v>2.8003500000000003</v>
      </c>
      <c r="F246" s="1825">
        <v>0.51074999999999993</v>
      </c>
      <c r="G246" s="1831">
        <v>0.38306249999999997</v>
      </c>
      <c r="H246" s="1831">
        <v>2.2896000000000001</v>
      </c>
      <c r="I246" s="1831"/>
      <c r="J246" s="1829" t="s">
        <v>3566</v>
      </c>
      <c r="K246" s="1829" t="s">
        <v>3566</v>
      </c>
      <c r="L246" s="1122">
        <v>56.875332433910998</v>
      </c>
      <c r="M246" s="1122">
        <v>35.684471769877199</v>
      </c>
    </row>
    <row r="247" spans="1:13" x14ac:dyDescent="0.25">
      <c r="A247" s="1829" t="s">
        <v>208</v>
      </c>
      <c r="B247" s="1829">
        <v>1975</v>
      </c>
      <c r="C247" s="1830">
        <f>4+4</f>
        <v>8</v>
      </c>
      <c r="D247" s="1831">
        <v>2.7607339999999998</v>
      </c>
      <c r="E247" s="1831">
        <v>0.50926600000000033</v>
      </c>
      <c r="F247" s="1825">
        <v>0.245</v>
      </c>
      <c r="G247" s="1831">
        <v>0.18375</v>
      </c>
      <c r="H247" s="1831">
        <v>0.26396599999999992</v>
      </c>
      <c r="I247" s="1831"/>
      <c r="J247" s="1829" t="s">
        <v>3566</v>
      </c>
      <c r="K247" s="1829" t="s">
        <v>3566</v>
      </c>
      <c r="L247" s="1122">
        <v>56.711210032713197</v>
      </c>
      <c r="M247" s="1122">
        <v>35.789848585825297</v>
      </c>
    </row>
    <row r="248" spans="1:13" ht="20.100000000000001" customHeight="1" x14ac:dyDescent="0.25">
      <c r="A248" s="1829" t="s">
        <v>209</v>
      </c>
      <c r="B248" s="1829">
        <v>1969</v>
      </c>
      <c r="C248" s="1830">
        <f>1.6+2.5</f>
        <v>4.0999999999999996</v>
      </c>
      <c r="D248" s="1831">
        <v>1.2116920000000002</v>
      </c>
      <c r="E248" s="1831">
        <v>0.46830799999999995</v>
      </c>
      <c r="F248" s="1825">
        <v>1.8399999999999999</v>
      </c>
      <c r="G248" s="1831">
        <v>1.38</v>
      </c>
      <c r="H248" s="1831">
        <v>0</v>
      </c>
      <c r="I248" s="1831"/>
      <c r="J248" s="1829" t="s">
        <v>3566</v>
      </c>
      <c r="K248" s="1829" t="s">
        <v>3409</v>
      </c>
      <c r="L248" s="1122">
        <v>56.841370892934599</v>
      </c>
      <c r="M248" s="1122">
        <v>36.103829043620003</v>
      </c>
    </row>
    <row r="249" spans="1:13" x14ac:dyDescent="0.25">
      <c r="A249" s="1829" t="s">
        <v>210</v>
      </c>
      <c r="B249" s="1829">
        <v>1978</v>
      </c>
      <c r="C249" s="1830">
        <f>1.6+2.5</f>
        <v>4.0999999999999996</v>
      </c>
      <c r="D249" s="1831">
        <v>1.1245000000000001</v>
      </c>
      <c r="E249" s="1831">
        <v>0.5555000000000001</v>
      </c>
      <c r="F249" s="1825">
        <v>1.415</v>
      </c>
      <c r="G249" s="1831">
        <v>1.06125</v>
      </c>
      <c r="H249" s="1831">
        <v>0</v>
      </c>
      <c r="I249" s="1831"/>
      <c r="J249" s="1829" t="s">
        <v>3566</v>
      </c>
      <c r="K249" s="1829" t="s">
        <v>3409</v>
      </c>
      <c r="L249" s="1122">
        <v>56.936792691974098</v>
      </c>
      <c r="M249" s="1122">
        <v>36.140630189038099</v>
      </c>
    </row>
    <row r="250" spans="1:13" x14ac:dyDescent="0.25">
      <c r="A250" s="1829" t="s">
        <v>211</v>
      </c>
      <c r="B250" s="1829">
        <v>1989</v>
      </c>
      <c r="C250" s="1830">
        <f>2.5+2.5</f>
        <v>5</v>
      </c>
      <c r="D250" s="1831">
        <v>0.71967999999999999</v>
      </c>
      <c r="E250" s="1831">
        <v>1.55932</v>
      </c>
      <c r="F250" s="1825">
        <v>0</v>
      </c>
      <c r="G250" s="1831">
        <v>0</v>
      </c>
      <c r="H250" s="1831">
        <v>1.56392</v>
      </c>
      <c r="I250" s="1831"/>
      <c r="J250" s="1829" t="s">
        <v>3566</v>
      </c>
      <c r="K250" s="1829" t="s">
        <v>3566</v>
      </c>
      <c r="L250" s="1122">
        <v>56.847220438271997</v>
      </c>
      <c r="M250" s="1122">
        <v>36.683607523094999</v>
      </c>
    </row>
    <row r="251" spans="1:13" ht="20.100000000000001" customHeight="1" x14ac:dyDescent="0.25">
      <c r="A251" s="1829" t="s">
        <v>212</v>
      </c>
      <c r="B251" s="1829" t="s">
        <v>3561</v>
      </c>
      <c r="C251" s="1832">
        <f>6.3+6.3</f>
        <v>12.6</v>
      </c>
      <c r="D251" s="1831">
        <v>8.2936200000000007</v>
      </c>
      <c r="E251" s="1831">
        <v>-1.6786200000000004</v>
      </c>
      <c r="F251" s="1825">
        <v>7.5350000000000001</v>
      </c>
      <c r="G251" s="1831">
        <v>5.6512500000000001</v>
      </c>
      <c r="H251" s="1831">
        <v>0</v>
      </c>
      <c r="I251" s="1833">
        <v>2017</v>
      </c>
      <c r="J251" s="1829" t="s">
        <v>3409</v>
      </c>
      <c r="K251" s="1829" t="s">
        <v>3409</v>
      </c>
      <c r="L251" s="1122">
        <v>56.7419028169504</v>
      </c>
      <c r="M251" s="1122">
        <v>35.909505065937502</v>
      </c>
    </row>
    <row r="252" spans="1:13" x14ac:dyDescent="0.25">
      <c r="A252" s="1829" t="s">
        <v>213</v>
      </c>
      <c r="B252" s="1829">
        <v>1939</v>
      </c>
      <c r="C252" s="1830">
        <f>1+1</f>
        <v>2</v>
      </c>
      <c r="D252" s="1831">
        <v>0.75254999999999994</v>
      </c>
      <c r="E252" s="1831">
        <v>0.2974500000000001</v>
      </c>
      <c r="F252" s="1825">
        <v>0</v>
      </c>
      <c r="G252" s="1831">
        <v>0</v>
      </c>
      <c r="H252" s="1831">
        <v>0.2974500000000001</v>
      </c>
      <c r="I252" s="1831"/>
      <c r="J252" s="1829" t="s">
        <v>3566</v>
      </c>
      <c r="K252" s="1829" t="s">
        <v>3566</v>
      </c>
      <c r="L252" s="1122">
        <v>57.011190305104897</v>
      </c>
      <c r="M252" s="1122">
        <v>35.931930719504798</v>
      </c>
    </row>
    <row r="253" spans="1:13" x14ac:dyDescent="0.25">
      <c r="A253" s="1829" t="s">
        <v>214</v>
      </c>
      <c r="B253" s="1829" t="s">
        <v>3549</v>
      </c>
      <c r="C253" s="1830">
        <f>4+6.3</f>
        <v>10.3</v>
      </c>
      <c r="D253" s="1831">
        <v>3.66933</v>
      </c>
      <c r="E253" s="1831">
        <v>0.5306700000000002</v>
      </c>
      <c r="F253" s="1825">
        <v>2.5124999999999997</v>
      </c>
      <c r="G253" s="1831">
        <v>1.8843749999999999</v>
      </c>
      <c r="H253" s="1831">
        <v>0</v>
      </c>
      <c r="I253" s="1831"/>
      <c r="J253" s="1829" t="s">
        <v>3566</v>
      </c>
      <c r="K253" s="1829" t="s">
        <v>3409</v>
      </c>
      <c r="L253" s="1122">
        <v>56.970566408483101</v>
      </c>
      <c r="M253" s="1122">
        <v>35.918041082431003</v>
      </c>
    </row>
    <row r="254" spans="1:13" x14ac:dyDescent="0.25">
      <c r="A254" s="1829" t="s">
        <v>215</v>
      </c>
      <c r="B254" s="1829" t="s">
        <v>3562</v>
      </c>
      <c r="C254" s="1830">
        <f>6.3+6.3</f>
        <v>12.6</v>
      </c>
      <c r="D254" s="1831">
        <v>4.5350219999999988</v>
      </c>
      <c r="E254" s="1831">
        <v>1.1699780000000013</v>
      </c>
      <c r="F254" s="1825">
        <v>0.921875</v>
      </c>
      <c r="G254" s="1831">
        <v>0.69140625</v>
      </c>
      <c r="H254" s="1831">
        <v>1.1581030000000014</v>
      </c>
      <c r="I254" s="1831"/>
      <c r="J254" s="1829" t="s">
        <v>3566</v>
      </c>
      <c r="K254" s="1829" t="s">
        <v>3566</v>
      </c>
      <c r="L254" s="1122">
        <v>56.928153133407697</v>
      </c>
      <c r="M254" s="1122">
        <v>35.464157955222703</v>
      </c>
    </row>
    <row r="255" spans="1:13" ht="20.100000000000001" customHeight="1" x14ac:dyDescent="0.25">
      <c r="A255" s="1829" t="s">
        <v>216</v>
      </c>
      <c r="B255" s="1829">
        <v>1964</v>
      </c>
      <c r="C255" s="1830">
        <f>2.5+1.8</f>
        <v>4.3</v>
      </c>
      <c r="D255" s="1831">
        <v>0.82123100000000004</v>
      </c>
      <c r="E255" s="1831">
        <v>1.0687690000000001</v>
      </c>
      <c r="F255" s="1825">
        <v>0</v>
      </c>
      <c r="G255" s="1831">
        <v>0</v>
      </c>
      <c r="H255" s="1831">
        <v>1.0687690000000001</v>
      </c>
      <c r="I255" s="1831"/>
      <c r="J255" s="1829" t="s">
        <v>3566</v>
      </c>
      <c r="K255" s="1829" t="s">
        <v>3566</v>
      </c>
      <c r="L255" s="1122">
        <v>57.430023748376698</v>
      </c>
      <c r="M255" s="1122">
        <v>35.6699351592261</v>
      </c>
    </row>
    <row r="256" spans="1:13" x14ac:dyDescent="0.25">
      <c r="A256" s="1829" t="s">
        <v>217</v>
      </c>
      <c r="B256" s="1829">
        <v>1984</v>
      </c>
      <c r="C256" s="1830">
        <f>1.8+2.5</f>
        <v>4.3</v>
      </c>
      <c r="D256" s="1831">
        <v>0.43769000000000002</v>
      </c>
      <c r="E256" s="1831">
        <v>1.4523100000000002</v>
      </c>
      <c r="F256" s="1825">
        <v>0.18749999999999997</v>
      </c>
      <c r="G256" s="1831">
        <v>0.14062499999999997</v>
      </c>
      <c r="H256" s="1831">
        <v>1.2648100000000002</v>
      </c>
      <c r="I256" s="1831"/>
      <c r="J256" s="1829" t="s">
        <v>3566</v>
      </c>
      <c r="K256" s="1829" t="s">
        <v>3566</v>
      </c>
      <c r="L256" s="1122">
        <v>57.025748742397603</v>
      </c>
      <c r="M256" s="1122">
        <v>35.412136241075999</v>
      </c>
    </row>
    <row r="257" spans="1:13" ht="20.100000000000001" customHeight="1" x14ac:dyDescent="0.25">
      <c r="A257" s="1829" t="s">
        <v>218</v>
      </c>
      <c r="B257" s="1829">
        <v>1974</v>
      </c>
      <c r="C257" s="1830">
        <f>5.6+4</f>
        <v>9.6</v>
      </c>
      <c r="D257" s="1831">
        <v>2.6811539999999998</v>
      </c>
      <c r="E257" s="1831">
        <v>1.5188460000000004</v>
      </c>
      <c r="F257" s="1825">
        <v>0.18749999999999997</v>
      </c>
      <c r="G257" s="1831">
        <v>0.14062499999999997</v>
      </c>
      <c r="H257" s="1831">
        <v>1.3313460000000004</v>
      </c>
      <c r="I257" s="1831"/>
      <c r="J257" s="1829" t="s">
        <v>3566</v>
      </c>
      <c r="K257" s="1829" t="s">
        <v>3566</v>
      </c>
      <c r="L257" s="1122">
        <v>56.644682001823099</v>
      </c>
      <c r="M257" s="1122">
        <v>36.226998063349001</v>
      </c>
    </row>
    <row r="258" spans="1:13" x14ac:dyDescent="0.25">
      <c r="A258" s="1829" t="s">
        <v>219</v>
      </c>
      <c r="B258" s="1829" t="s">
        <v>3563</v>
      </c>
      <c r="C258" s="1830">
        <f>5.6+6.3</f>
        <v>11.899999999999999</v>
      </c>
      <c r="D258" s="1831">
        <v>5.6418759999999999</v>
      </c>
      <c r="E258" s="1831">
        <v>0.238124</v>
      </c>
      <c r="F258" s="1825">
        <v>0.69925000000000015</v>
      </c>
      <c r="G258" s="1831">
        <v>0.52443750000000011</v>
      </c>
      <c r="H258" s="1831">
        <v>0</v>
      </c>
      <c r="I258" s="1831"/>
      <c r="J258" s="1829" t="s">
        <v>3566</v>
      </c>
      <c r="K258" s="1829" t="s">
        <v>3409</v>
      </c>
      <c r="L258" s="1122">
        <v>56.565187868836702</v>
      </c>
      <c r="M258" s="1122">
        <v>36.444220991006297</v>
      </c>
    </row>
    <row r="259" spans="1:13" ht="20.100000000000001" customHeight="1" x14ac:dyDescent="0.25">
      <c r="A259" s="1829" t="s">
        <v>220</v>
      </c>
      <c r="B259" s="1829">
        <v>1953</v>
      </c>
      <c r="C259" s="1830">
        <f>4+6.3</f>
        <v>10.3</v>
      </c>
      <c r="D259" s="1831">
        <v>3.9914560000000008</v>
      </c>
      <c r="E259" s="1831">
        <v>0.2085439999999994</v>
      </c>
      <c r="F259" s="1825">
        <v>2.8749999999999998E-2</v>
      </c>
      <c r="G259" s="1831">
        <v>2.1562499999999998E-2</v>
      </c>
      <c r="H259" s="1831">
        <v>0.17979399999999934</v>
      </c>
      <c r="I259" s="1831"/>
      <c r="J259" s="1829" t="s">
        <v>3566</v>
      </c>
      <c r="K259" s="1829" t="s">
        <v>3566</v>
      </c>
      <c r="L259" s="1122">
        <v>56.565187868836702</v>
      </c>
      <c r="M259" s="1122">
        <v>36.444220991006297</v>
      </c>
    </row>
    <row r="260" spans="1:13" x14ac:dyDescent="0.25">
      <c r="A260" s="1829" t="s">
        <v>221</v>
      </c>
      <c r="B260" s="1829">
        <v>1946</v>
      </c>
      <c r="C260" s="1830">
        <f>1.8+1.8</f>
        <v>3.6</v>
      </c>
      <c r="D260" s="1831">
        <v>1.4526463999999999</v>
      </c>
      <c r="E260" s="1831">
        <v>0.43735360000000023</v>
      </c>
      <c r="F260" s="1825">
        <v>0.69925000000000015</v>
      </c>
      <c r="G260" s="1831">
        <v>0.52443750000000011</v>
      </c>
      <c r="H260" s="1831">
        <v>0</v>
      </c>
      <c r="I260" s="1831"/>
      <c r="J260" s="1829" t="s">
        <v>3566</v>
      </c>
      <c r="K260" s="1829" t="s">
        <v>3409</v>
      </c>
      <c r="L260" s="1122">
        <v>56.667470282490001</v>
      </c>
      <c r="M260" s="1122">
        <v>36.360492447413797</v>
      </c>
    </row>
    <row r="261" spans="1:13" x14ac:dyDescent="0.25">
      <c r="A261" s="1829" t="s">
        <v>222</v>
      </c>
      <c r="B261" s="1829">
        <v>1966</v>
      </c>
      <c r="C261" s="1830">
        <f>10+6.3</f>
        <v>16.3</v>
      </c>
      <c r="D261" s="1831">
        <v>5.8010359999999999</v>
      </c>
      <c r="E261" s="1831">
        <v>0.81396400000000035</v>
      </c>
      <c r="F261" s="1825">
        <v>0.54625000000000012</v>
      </c>
      <c r="G261" s="1831">
        <v>0.40968750000000009</v>
      </c>
      <c r="H261" s="1831">
        <v>0.26771399999999979</v>
      </c>
      <c r="I261" s="1831"/>
      <c r="J261" s="1829" t="s">
        <v>3566</v>
      </c>
      <c r="K261" s="1829" t="s">
        <v>3566</v>
      </c>
      <c r="L261" s="1122">
        <v>56.518573430220897</v>
      </c>
      <c r="M261" s="1122">
        <v>36.284964491609898</v>
      </c>
    </row>
    <row r="262" spans="1:13" ht="20.100000000000001" customHeight="1" x14ac:dyDescent="0.25">
      <c r="A262" s="1829" t="s">
        <v>223</v>
      </c>
      <c r="B262" s="1829" t="s">
        <v>3556</v>
      </c>
      <c r="C262" s="1830">
        <f>10+10</f>
        <v>20</v>
      </c>
      <c r="D262" s="1831">
        <v>7.2867600000000001</v>
      </c>
      <c r="E262" s="1831">
        <v>3.2132399999999999</v>
      </c>
      <c r="F262" s="1825">
        <v>4.1924999999999999</v>
      </c>
      <c r="G262" s="1831">
        <v>3.1443750000000001</v>
      </c>
      <c r="H262" s="1831">
        <v>0</v>
      </c>
      <c r="I262" s="1831"/>
      <c r="J262" s="1829" t="s">
        <v>3566</v>
      </c>
      <c r="K262" s="1829" t="s">
        <v>3409</v>
      </c>
      <c r="L262" s="1122">
        <v>56.668822529493497</v>
      </c>
      <c r="M262" s="1122">
        <v>36.970460711525803</v>
      </c>
    </row>
    <row r="263" spans="1:13" ht="20.100000000000001" customHeight="1" x14ac:dyDescent="0.25">
      <c r="A263" s="1829" t="s">
        <v>224</v>
      </c>
      <c r="B263" s="1829">
        <v>1971</v>
      </c>
      <c r="C263" s="1830">
        <f>10+16</f>
        <v>26</v>
      </c>
      <c r="D263" s="1831">
        <v>4.7384700000000004</v>
      </c>
      <c r="E263" s="1831">
        <v>5.7615299999999996</v>
      </c>
      <c r="F263" s="1825">
        <v>0.86962499999999998</v>
      </c>
      <c r="G263" s="1831">
        <v>0.65221874999999996</v>
      </c>
      <c r="H263" s="1831">
        <v>4.8919049999999995</v>
      </c>
      <c r="I263" s="1831"/>
      <c r="J263" s="1829" t="s">
        <v>3566</v>
      </c>
      <c r="K263" s="1829" t="s">
        <v>3566</v>
      </c>
      <c r="L263" s="1122">
        <v>56.7116155893235</v>
      </c>
      <c r="M263" s="1122">
        <v>36.792128917853603</v>
      </c>
    </row>
    <row r="264" spans="1:13" x14ac:dyDescent="0.25">
      <c r="A264" s="1829" t="s">
        <v>225</v>
      </c>
      <c r="B264" s="1829">
        <v>1974</v>
      </c>
      <c r="C264" s="1830">
        <f>6.3+6.3</f>
        <v>12.6</v>
      </c>
      <c r="D264" s="1831">
        <v>1.018105</v>
      </c>
      <c r="E264" s="1831">
        <v>5.596895</v>
      </c>
      <c r="F264" s="1825">
        <v>0</v>
      </c>
      <c r="G264" s="1831">
        <v>0</v>
      </c>
      <c r="H264" s="1831">
        <v>5.596895</v>
      </c>
      <c r="I264" s="1831"/>
      <c r="J264" s="1829" t="s">
        <v>3566</v>
      </c>
      <c r="K264" s="1829" t="s">
        <v>3566</v>
      </c>
      <c r="L264" s="1122">
        <v>56.619970187154699</v>
      </c>
      <c r="M264" s="1122">
        <v>36.200217500076903</v>
      </c>
    </row>
    <row r="265" spans="1:13" x14ac:dyDescent="0.25">
      <c r="A265" s="1829" t="s">
        <v>3076</v>
      </c>
      <c r="B265" s="1829">
        <v>1975</v>
      </c>
      <c r="C265" s="1830">
        <f>4+6.3</f>
        <v>10.3</v>
      </c>
      <c r="D265" s="1831">
        <v>2.4588489999999998</v>
      </c>
      <c r="E265" s="1831">
        <v>0.15691100000000002</v>
      </c>
      <c r="F265" s="1825">
        <v>0.63624999999999998</v>
      </c>
      <c r="G265" s="1831">
        <v>0.47718749999999999</v>
      </c>
      <c r="H265" s="1831">
        <v>0</v>
      </c>
      <c r="I265" s="1831"/>
      <c r="J265" s="1829" t="s">
        <v>3566</v>
      </c>
      <c r="K265" s="1829" t="s">
        <v>3409</v>
      </c>
      <c r="L265" s="1122">
        <v>56.6755897009702</v>
      </c>
      <c r="M265" s="1122">
        <v>36.694632804300497</v>
      </c>
    </row>
    <row r="266" spans="1:13" x14ac:dyDescent="0.25">
      <c r="A266" s="1829" t="s">
        <v>226</v>
      </c>
      <c r="B266" s="1829">
        <v>1978</v>
      </c>
      <c r="C266" s="1832">
        <f>2.5+3.2</f>
        <v>5.7</v>
      </c>
      <c r="D266" s="1831">
        <v>2.7437799999999997</v>
      </c>
      <c r="E266" s="1831">
        <v>-0.29577999999999965</v>
      </c>
      <c r="F266" s="1825">
        <v>0.96524999999999994</v>
      </c>
      <c r="G266" s="1831">
        <v>0.7239374999999999</v>
      </c>
      <c r="H266" s="1831">
        <v>0</v>
      </c>
      <c r="I266" s="1833">
        <v>2018</v>
      </c>
      <c r="J266" s="1829" t="s">
        <v>3409</v>
      </c>
      <c r="K266" s="1829" t="s">
        <v>3409</v>
      </c>
      <c r="L266" s="1122">
        <v>56.698820872395601</v>
      </c>
      <c r="M266" s="1122">
        <v>36.307776077415099</v>
      </c>
    </row>
    <row r="267" spans="1:13" x14ac:dyDescent="0.25">
      <c r="A267" s="1829" t="s">
        <v>227</v>
      </c>
      <c r="B267" s="1829">
        <v>1978</v>
      </c>
      <c r="C267" s="1830">
        <f>1.6+2.5</f>
        <v>4.0999999999999996</v>
      </c>
      <c r="D267" s="1831">
        <v>1.3507840000000002</v>
      </c>
      <c r="E267" s="1831">
        <v>0.32921599999999995</v>
      </c>
      <c r="F267" s="1825">
        <v>0.21375</v>
      </c>
      <c r="G267" s="1831">
        <v>0.1603125</v>
      </c>
      <c r="H267" s="1831">
        <v>0.11546600000000007</v>
      </c>
      <c r="I267" s="1831"/>
      <c r="J267" s="1829" t="s">
        <v>3566</v>
      </c>
      <c r="K267" s="1829" t="s">
        <v>3566</v>
      </c>
      <c r="L267" s="1122">
        <v>56.645054053303902</v>
      </c>
      <c r="M267" s="1122">
        <v>36.441536564170796</v>
      </c>
    </row>
    <row r="268" spans="1:13" ht="20.100000000000001" customHeight="1" x14ac:dyDescent="0.25">
      <c r="A268" s="1829" t="s">
        <v>228</v>
      </c>
      <c r="B268" s="1829">
        <v>1981</v>
      </c>
      <c r="C268" s="1830">
        <f>2.5+2.5</f>
        <v>5</v>
      </c>
      <c r="D268" s="1831">
        <v>2.1528119999999999</v>
      </c>
      <c r="E268" s="1831">
        <v>0.47218800000000005</v>
      </c>
      <c r="F268" s="1825">
        <v>0.3</v>
      </c>
      <c r="G268" s="1831">
        <v>0.22499999999999998</v>
      </c>
      <c r="H268" s="1831">
        <v>0.17218800000000023</v>
      </c>
      <c r="I268" s="1831"/>
      <c r="J268" s="1829" t="s">
        <v>3566</v>
      </c>
      <c r="K268" s="1829" t="s">
        <v>3566</v>
      </c>
      <c r="L268" s="1122">
        <v>56.663088887268501</v>
      </c>
      <c r="M268" s="1122">
        <v>36.803259794991298</v>
      </c>
    </row>
    <row r="269" spans="1:13" x14ac:dyDescent="0.25">
      <c r="A269" s="1829" t="s">
        <v>229</v>
      </c>
      <c r="B269" s="1829" t="s">
        <v>3564</v>
      </c>
      <c r="C269" s="1830">
        <f>6.3+10</f>
        <v>16.3</v>
      </c>
      <c r="D269" s="1831">
        <v>5.5251010000000003</v>
      </c>
      <c r="E269" s="1831">
        <v>1.089899</v>
      </c>
      <c r="F269" s="1825">
        <v>2.004</v>
      </c>
      <c r="G269" s="1831">
        <v>1.5030000000000001</v>
      </c>
      <c r="H269" s="1831">
        <v>0</v>
      </c>
      <c r="I269" s="1831"/>
      <c r="J269" s="1829" t="s">
        <v>3566</v>
      </c>
      <c r="K269" s="1829" t="s">
        <v>3409</v>
      </c>
      <c r="L269" s="1122">
        <v>56.583273284638203</v>
      </c>
      <c r="M269" s="1122">
        <v>36.504831719835202</v>
      </c>
    </row>
    <row r="270" spans="1:13" ht="20.100000000000001" customHeight="1" x14ac:dyDescent="0.25">
      <c r="A270" s="1829" t="s">
        <v>230</v>
      </c>
      <c r="B270" s="1829">
        <v>1987</v>
      </c>
      <c r="C270" s="1830">
        <f>4+2.5</f>
        <v>6.5</v>
      </c>
      <c r="D270" s="1831">
        <v>1.388325</v>
      </c>
      <c r="E270" s="1831">
        <v>1.236675</v>
      </c>
      <c r="F270" s="1825">
        <v>0.13749999999999998</v>
      </c>
      <c r="G270" s="1831">
        <v>0.10312499999999999</v>
      </c>
      <c r="H270" s="1831">
        <v>1.099175</v>
      </c>
      <c r="I270" s="1831"/>
      <c r="J270" s="1829" t="s">
        <v>3566</v>
      </c>
      <c r="K270" s="1829" t="s">
        <v>3566</v>
      </c>
      <c r="L270" s="1122">
        <v>56.675776138183203</v>
      </c>
      <c r="M270" s="1122">
        <v>36.681326282337302</v>
      </c>
    </row>
    <row r="271" spans="1:13" x14ac:dyDescent="0.25">
      <c r="A271" s="1829" t="s">
        <v>231</v>
      </c>
      <c r="B271" s="1829" t="s">
        <v>3547</v>
      </c>
      <c r="C271" s="1830">
        <f t="shared" ref="C271:C272" si="10">4+4</f>
        <v>8</v>
      </c>
      <c r="D271" s="1831">
        <v>3.0543149999999994</v>
      </c>
      <c r="E271" s="1831">
        <v>1.1456850000000007</v>
      </c>
      <c r="F271" s="1825">
        <v>0.52124999999999999</v>
      </c>
      <c r="G271" s="1831">
        <v>0.39093749999999999</v>
      </c>
      <c r="H271" s="1831">
        <v>0.62443500000000096</v>
      </c>
      <c r="I271" s="1831"/>
      <c r="J271" s="1829" t="s">
        <v>3566</v>
      </c>
      <c r="K271" s="1829" t="s">
        <v>3566</v>
      </c>
      <c r="L271" s="1122">
        <v>56.771001100550897</v>
      </c>
      <c r="M271" s="1122">
        <v>36.1039893659825</v>
      </c>
    </row>
    <row r="272" spans="1:13" ht="20.100000000000001" customHeight="1" x14ac:dyDescent="0.25">
      <c r="A272" s="1829" t="s">
        <v>232</v>
      </c>
      <c r="B272" s="1829">
        <v>1980</v>
      </c>
      <c r="C272" s="1830">
        <f t="shared" si="10"/>
        <v>8</v>
      </c>
      <c r="D272" s="1831">
        <v>3.8091139999999997</v>
      </c>
      <c r="E272" s="1831">
        <v>0.39088600000000051</v>
      </c>
      <c r="F272" s="1825">
        <v>2.15625</v>
      </c>
      <c r="G272" s="1831">
        <v>1.6171875</v>
      </c>
      <c r="H272" s="1831">
        <v>0</v>
      </c>
      <c r="I272" s="1831"/>
      <c r="J272" s="1829" t="s">
        <v>3566</v>
      </c>
      <c r="K272" s="1829" t="s">
        <v>3409</v>
      </c>
      <c r="L272" s="1122">
        <v>56.711062762274103</v>
      </c>
      <c r="M272" s="1122">
        <v>36.653319898019397</v>
      </c>
    </row>
    <row r="273" spans="1:13" ht="20.100000000000001" customHeight="1" x14ac:dyDescent="0.25">
      <c r="A273" s="1829" t="s">
        <v>233</v>
      </c>
      <c r="B273" s="1829">
        <v>1957</v>
      </c>
      <c r="C273" s="1832">
        <f>10+10+10</f>
        <v>30</v>
      </c>
      <c r="D273" s="1831">
        <v>22.4208</v>
      </c>
      <c r="E273" s="1831">
        <v>-11.9208</v>
      </c>
      <c r="F273" s="1825">
        <v>0</v>
      </c>
      <c r="G273" s="1831">
        <v>0</v>
      </c>
      <c r="H273" s="1831">
        <v>0</v>
      </c>
      <c r="I273" s="1833">
        <v>2018</v>
      </c>
      <c r="J273" s="1829" t="s">
        <v>3409</v>
      </c>
      <c r="K273" s="1829" t="s">
        <v>3409</v>
      </c>
      <c r="L273" s="1122">
        <v>56.837688982167201</v>
      </c>
      <c r="M273" s="1122">
        <v>35.913463446160598</v>
      </c>
    </row>
    <row r="274" spans="1:13" ht="20.100000000000001" customHeight="1" x14ac:dyDescent="0.25">
      <c r="A274" s="1829" t="s">
        <v>234</v>
      </c>
      <c r="B274" s="1829">
        <v>1951</v>
      </c>
      <c r="C274" s="1830">
        <f>10+10+10</f>
        <v>30</v>
      </c>
      <c r="D274" s="1831">
        <v>13.986704</v>
      </c>
      <c r="E274" s="1831">
        <v>7.0132960000000004</v>
      </c>
      <c r="F274" s="1825">
        <v>3.5062499999999996</v>
      </c>
      <c r="G274" s="1831">
        <v>2.6296874999999997</v>
      </c>
      <c r="H274" s="1831">
        <v>3.5070460000000026</v>
      </c>
      <c r="I274" s="1831"/>
      <c r="J274" s="1829" t="s">
        <v>3566</v>
      </c>
      <c r="K274" s="1829" t="s">
        <v>3566</v>
      </c>
      <c r="L274" s="1122">
        <v>56.872738067369099</v>
      </c>
      <c r="M274" s="1122">
        <v>35.962227415706899</v>
      </c>
    </row>
    <row r="275" spans="1:13" x14ac:dyDescent="0.25">
      <c r="A275" s="1829" t="s">
        <v>235</v>
      </c>
      <c r="B275" s="1829">
        <v>1988</v>
      </c>
      <c r="C275" s="1830">
        <v>10</v>
      </c>
      <c r="D275" s="1831">
        <v>2.2585150000000001</v>
      </c>
      <c r="E275" s="1831">
        <v>-2.1685150000000002</v>
      </c>
      <c r="F275" s="1825">
        <v>2.35</v>
      </c>
      <c r="G275" s="1831">
        <v>1.7625000000000002</v>
      </c>
      <c r="H275" s="1831">
        <v>0</v>
      </c>
      <c r="I275" s="1831"/>
      <c r="J275" s="1829" t="s">
        <v>3566</v>
      </c>
      <c r="K275" s="1829" t="s">
        <v>3409</v>
      </c>
      <c r="L275" s="1122">
        <v>56.5843719695498</v>
      </c>
      <c r="M275" s="1122">
        <v>35.7619123136638</v>
      </c>
    </row>
    <row r="276" spans="1:13" x14ac:dyDescent="0.25">
      <c r="A276" s="1829" t="s">
        <v>236</v>
      </c>
      <c r="B276" s="1829">
        <v>1976</v>
      </c>
      <c r="C276" s="1830">
        <f>40+40</f>
        <v>80</v>
      </c>
      <c r="D276" s="1831">
        <v>22.927516999999998</v>
      </c>
      <c r="E276" s="1831">
        <v>9.5342520000000004</v>
      </c>
      <c r="F276" s="1825">
        <v>0</v>
      </c>
      <c r="G276" s="1831">
        <v>0</v>
      </c>
      <c r="H276" s="1831">
        <v>9.5342520000000004</v>
      </c>
      <c r="I276" s="1831"/>
      <c r="J276" s="1829" t="s">
        <v>3566</v>
      </c>
      <c r="K276" s="1829" t="s">
        <v>3566</v>
      </c>
      <c r="L276" s="1122">
        <v>56.838444047844298</v>
      </c>
      <c r="M276" s="1122">
        <v>35.791613740737702</v>
      </c>
    </row>
    <row r="277" spans="1:13" x14ac:dyDescent="0.25">
      <c r="A277" s="1829" t="s">
        <v>237</v>
      </c>
      <c r="B277" s="1829">
        <v>1973</v>
      </c>
      <c r="C277" s="1832">
        <f>40+40</f>
        <v>80</v>
      </c>
      <c r="D277" s="1831">
        <v>53.169404799999995</v>
      </c>
      <c r="E277" s="1831">
        <v>-5.4994047999999935</v>
      </c>
      <c r="F277" s="1825">
        <v>25.929674999999996</v>
      </c>
      <c r="G277" s="1831">
        <v>19.447256249999995</v>
      </c>
      <c r="H277" s="1831">
        <v>0</v>
      </c>
      <c r="I277" s="1833">
        <v>2013</v>
      </c>
      <c r="J277" s="1829" t="s">
        <v>3409</v>
      </c>
      <c r="K277" s="1829" t="s">
        <v>3409</v>
      </c>
      <c r="L277" s="1122">
        <v>56.812352864856102</v>
      </c>
      <c r="M277" s="1122">
        <v>35.875389292921398</v>
      </c>
    </row>
    <row r="278" spans="1:13" x14ac:dyDescent="0.25">
      <c r="A278" s="1829" t="s">
        <v>238</v>
      </c>
      <c r="B278" s="1829">
        <v>1971</v>
      </c>
      <c r="C278" s="1830">
        <f>40+40</f>
        <v>80</v>
      </c>
      <c r="D278" s="1831">
        <v>32.270381999999998</v>
      </c>
      <c r="E278" s="1831">
        <v>11.609618000000001</v>
      </c>
      <c r="F278" s="1825">
        <v>2.0987499999999999</v>
      </c>
      <c r="G278" s="1831">
        <v>1.5740624999999999</v>
      </c>
      <c r="H278" s="1831">
        <v>9.5108680000000021</v>
      </c>
      <c r="I278" s="1831"/>
      <c r="J278" s="1829" t="s">
        <v>3566</v>
      </c>
      <c r="K278" s="1829" t="s">
        <v>3566</v>
      </c>
      <c r="L278" s="1122">
        <v>56.8824720048164</v>
      </c>
      <c r="M278" s="1122">
        <v>35.868557292290099</v>
      </c>
    </row>
    <row r="279" spans="1:13" x14ac:dyDescent="0.25">
      <c r="A279" s="1829" t="s">
        <v>239</v>
      </c>
      <c r="B279" s="1829">
        <v>1971</v>
      </c>
      <c r="C279" s="1832">
        <f>40+40</f>
        <v>80</v>
      </c>
      <c r="D279" s="1831">
        <v>42.885748500000005</v>
      </c>
      <c r="E279" s="1831">
        <v>-0.88574850000000538</v>
      </c>
      <c r="F279" s="1825">
        <v>9.3975000000000009</v>
      </c>
      <c r="G279" s="1831">
        <v>7.0481250000000006</v>
      </c>
      <c r="H279" s="1831">
        <v>0</v>
      </c>
      <c r="I279" s="1833">
        <v>2018</v>
      </c>
      <c r="J279" s="1829" t="s">
        <v>3409</v>
      </c>
      <c r="K279" s="1829" t="s">
        <v>3409</v>
      </c>
      <c r="L279" s="1122">
        <v>56.817318062913998</v>
      </c>
      <c r="M279" s="1122">
        <v>36.000321125689503</v>
      </c>
    </row>
    <row r="280" spans="1:13" x14ac:dyDescent="0.25">
      <c r="A280" s="1829" t="s">
        <v>240</v>
      </c>
      <c r="B280" s="1829">
        <v>1981</v>
      </c>
      <c r="C280" s="1830">
        <f>40+40</f>
        <v>80</v>
      </c>
      <c r="D280" s="1831">
        <v>20.575409000000001</v>
      </c>
      <c r="E280" s="1831">
        <v>4.2323209999999989</v>
      </c>
      <c r="F280" s="1825">
        <v>7.2499999999999991</v>
      </c>
      <c r="G280" s="1831">
        <v>5.4374999999999991</v>
      </c>
      <c r="H280" s="1831">
        <v>4.2323209999999989</v>
      </c>
      <c r="I280" s="1831"/>
      <c r="J280" s="1829" t="s">
        <v>3566</v>
      </c>
      <c r="K280" s="1829" t="s">
        <v>3566</v>
      </c>
      <c r="L280" s="1122">
        <v>56.846325926478499</v>
      </c>
      <c r="M280" s="1122">
        <v>35.943401629587001</v>
      </c>
    </row>
    <row r="281" spans="1:13" x14ac:dyDescent="0.25">
      <c r="A281" s="1829" t="s">
        <v>241</v>
      </c>
      <c r="B281" s="1829">
        <v>1987</v>
      </c>
      <c r="C281" s="1830">
        <f>10+10</f>
        <v>20</v>
      </c>
      <c r="D281" s="1831">
        <v>7.7860379999999996</v>
      </c>
      <c r="E281" s="1831">
        <v>7.8707460000000005</v>
      </c>
      <c r="F281" s="1825">
        <v>7.0729999999999995</v>
      </c>
      <c r="G281" s="1831">
        <v>5.3047499999999994</v>
      </c>
      <c r="H281" s="1831">
        <v>0.80096200000000195</v>
      </c>
      <c r="I281" s="1831"/>
      <c r="J281" s="1829" t="s">
        <v>3566</v>
      </c>
      <c r="K281" s="1829" t="s">
        <v>3566</v>
      </c>
      <c r="L281" s="1122">
        <v>56.940839497052899</v>
      </c>
      <c r="M281" s="1122">
        <v>35.624450234615701</v>
      </c>
    </row>
    <row r="282" spans="1:13" x14ac:dyDescent="0.25">
      <c r="A282" s="1829" t="s">
        <v>242</v>
      </c>
      <c r="B282" s="1829">
        <v>1963</v>
      </c>
      <c r="C282" s="1830">
        <f>25+25</f>
        <v>50</v>
      </c>
      <c r="D282" s="1831">
        <v>15.857872</v>
      </c>
      <c r="E282" s="1831">
        <v>10.741223999999999</v>
      </c>
      <c r="F282" s="1825">
        <v>1.6868749999999997</v>
      </c>
      <c r="G282" s="1831">
        <v>1.2651562499999998</v>
      </c>
      <c r="H282" s="1831">
        <v>9.2418489999999984</v>
      </c>
      <c r="I282" s="1831"/>
      <c r="J282" s="1829" t="s">
        <v>3566</v>
      </c>
      <c r="K282" s="1829" t="s">
        <v>3566</v>
      </c>
      <c r="L282" s="1122">
        <v>57.117744196011202</v>
      </c>
      <c r="M282" s="1122">
        <v>35.474582720060397</v>
      </c>
    </row>
    <row r="283" spans="1:13" x14ac:dyDescent="0.25">
      <c r="A283" s="1829" t="s">
        <v>243</v>
      </c>
      <c r="B283" s="1829">
        <v>1981</v>
      </c>
      <c r="C283" s="1830">
        <f>16+16</f>
        <v>32</v>
      </c>
      <c r="D283" s="1831">
        <v>15.771510399999999</v>
      </c>
      <c r="E283" s="1831">
        <v>1.4278649440000013</v>
      </c>
      <c r="F283" s="1825">
        <v>2.7640000000000002</v>
      </c>
      <c r="G283" s="1831">
        <v>2.0730000000000004</v>
      </c>
      <c r="H283" s="1831">
        <v>0</v>
      </c>
      <c r="I283" s="1831"/>
      <c r="J283" s="1829" t="s">
        <v>3566</v>
      </c>
      <c r="K283" s="1829" t="s">
        <v>3409</v>
      </c>
      <c r="L283" s="1122">
        <v>56.587896602222003</v>
      </c>
      <c r="M283" s="1122">
        <v>36.4910108207308</v>
      </c>
    </row>
    <row r="284" spans="1:13" x14ac:dyDescent="0.25">
      <c r="A284" s="1829" t="s">
        <v>244</v>
      </c>
      <c r="B284" s="1829">
        <v>1957</v>
      </c>
      <c r="C284" s="1830">
        <f>40+40.5</f>
        <v>80.5</v>
      </c>
      <c r="D284" s="1831">
        <v>28.265605000000001</v>
      </c>
      <c r="E284" s="1831">
        <v>8.5038149999999995</v>
      </c>
      <c r="F284" s="1825">
        <v>3.3928750000000001</v>
      </c>
      <c r="G284" s="1831">
        <v>2.5446562500000001</v>
      </c>
      <c r="H284" s="1831">
        <v>5.1109399999999994</v>
      </c>
      <c r="I284" s="1831"/>
      <c r="J284" s="1829" t="s">
        <v>3566</v>
      </c>
      <c r="K284" s="1829" t="s">
        <v>3566</v>
      </c>
      <c r="L284" s="1122">
        <v>56.652821284373097</v>
      </c>
      <c r="M284" s="1122">
        <v>36.286133958084797</v>
      </c>
    </row>
    <row r="285" spans="1:13" x14ac:dyDescent="0.25">
      <c r="A285" s="1829" t="s">
        <v>245</v>
      </c>
      <c r="B285" s="1829">
        <v>1964</v>
      </c>
      <c r="C285" s="1830">
        <f>25+10</f>
        <v>35</v>
      </c>
      <c r="D285" s="1831">
        <v>6.3826619999999998</v>
      </c>
      <c r="E285" s="1831">
        <v>5.404458</v>
      </c>
      <c r="F285" s="1825">
        <v>0.91437500000000005</v>
      </c>
      <c r="G285" s="1831">
        <v>0.68578125000000001</v>
      </c>
      <c r="H285" s="1831">
        <v>4.4900830000000003</v>
      </c>
      <c r="I285" s="1831"/>
      <c r="J285" s="1829" t="s">
        <v>3566</v>
      </c>
      <c r="K285" s="1829" t="s">
        <v>3566</v>
      </c>
      <c r="L285" s="1122">
        <v>57.3406360797293</v>
      </c>
      <c r="M285" s="1122">
        <v>36.047738987915402</v>
      </c>
    </row>
    <row r="286" spans="1:13" x14ac:dyDescent="0.25">
      <c r="A286" s="1829" t="s">
        <v>246</v>
      </c>
      <c r="B286" s="1829">
        <v>1983</v>
      </c>
      <c r="C286" s="1830">
        <f>25+25</f>
        <v>50</v>
      </c>
      <c r="D286" s="1831">
        <v>0.35395800000000005</v>
      </c>
      <c r="E286" s="1831">
        <v>14.451662000000001</v>
      </c>
      <c r="F286" s="1825">
        <v>0</v>
      </c>
      <c r="G286" s="1831">
        <v>0</v>
      </c>
      <c r="H286" s="1831">
        <v>14.444462</v>
      </c>
      <c r="I286" s="1831"/>
      <c r="J286" s="1829" t="s">
        <v>3566</v>
      </c>
      <c r="K286" s="1829" t="s">
        <v>3566</v>
      </c>
      <c r="L286" s="1122">
        <v>57.187139393143099</v>
      </c>
      <c r="M286" s="1122">
        <v>35.854838183759199</v>
      </c>
    </row>
    <row r="287" spans="1:13" x14ac:dyDescent="0.25">
      <c r="A287" s="1835" t="s">
        <v>247</v>
      </c>
      <c r="B287" s="1829">
        <v>1976</v>
      </c>
      <c r="C287" s="1830">
        <v>4</v>
      </c>
      <c r="D287" s="1831">
        <v>0.7</v>
      </c>
      <c r="E287" s="1831">
        <v>0</v>
      </c>
      <c r="F287" s="1825">
        <v>0</v>
      </c>
      <c r="G287" s="1831">
        <v>0</v>
      </c>
      <c r="H287" s="1831">
        <v>0</v>
      </c>
      <c r="I287" s="1831"/>
      <c r="J287" s="1829" t="s">
        <v>3566</v>
      </c>
      <c r="K287" s="1829" t="s">
        <v>3566</v>
      </c>
      <c r="L287" s="1122">
        <v>56.8301746418446</v>
      </c>
      <c r="M287" s="1122">
        <v>34.607680731350698</v>
      </c>
    </row>
    <row r="288" spans="1:13" ht="20.100000000000001" customHeight="1" x14ac:dyDescent="0.25">
      <c r="A288" s="1835" t="s">
        <v>248</v>
      </c>
      <c r="B288" s="1829">
        <v>1990</v>
      </c>
      <c r="C288" s="1830">
        <v>2.5</v>
      </c>
      <c r="D288" s="1831">
        <v>0.2</v>
      </c>
      <c r="E288" s="1831">
        <v>0</v>
      </c>
      <c r="F288" s="1825">
        <v>0.74999999999999989</v>
      </c>
      <c r="G288" s="1831">
        <v>0.56249999999999989</v>
      </c>
      <c r="H288" s="1831">
        <v>0</v>
      </c>
      <c r="I288" s="1831"/>
      <c r="J288" s="1829" t="s">
        <v>3566</v>
      </c>
      <c r="K288" s="1829" t="s">
        <v>3409</v>
      </c>
      <c r="L288" s="1122">
        <v>56.890550852858198</v>
      </c>
      <c r="M288" s="1122">
        <v>34.736810070502301</v>
      </c>
    </row>
    <row r="289" spans="1:13" x14ac:dyDescent="0.25">
      <c r="A289" s="1835" t="s">
        <v>249</v>
      </c>
      <c r="B289" s="1829">
        <v>1970</v>
      </c>
      <c r="C289" s="1830">
        <v>0.56000000000000005</v>
      </c>
      <c r="D289" s="1831">
        <v>0.02</v>
      </c>
      <c r="E289" s="1831">
        <v>0</v>
      </c>
      <c r="F289" s="1825">
        <v>0</v>
      </c>
      <c r="G289" s="1831">
        <v>0</v>
      </c>
      <c r="H289" s="1831">
        <v>0</v>
      </c>
      <c r="I289" s="1831"/>
      <c r="J289" s="1829" t="s">
        <v>3566</v>
      </c>
      <c r="K289" s="1829" t="s">
        <v>3566</v>
      </c>
      <c r="L289" s="1122">
        <v>57.178198819369499</v>
      </c>
      <c r="M289" s="1122">
        <v>33.725861625238501</v>
      </c>
    </row>
    <row r="290" spans="1:13" x14ac:dyDescent="0.25">
      <c r="A290" s="1835" t="s">
        <v>250</v>
      </c>
      <c r="B290" s="1829">
        <v>1991</v>
      </c>
      <c r="C290" s="1830">
        <v>2.5</v>
      </c>
      <c r="D290" s="1831">
        <v>1</v>
      </c>
      <c r="E290" s="1831">
        <v>0</v>
      </c>
      <c r="F290" s="1825">
        <v>0</v>
      </c>
      <c r="G290" s="1831">
        <v>0</v>
      </c>
      <c r="H290" s="1831">
        <v>0</v>
      </c>
      <c r="I290" s="1831"/>
      <c r="J290" s="1829" t="s">
        <v>3566</v>
      </c>
      <c r="K290" s="1829" t="s">
        <v>3566</v>
      </c>
      <c r="L290" s="1122">
        <v>56.9354846584773</v>
      </c>
      <c r="M290" s="1122">
        <v>34.451795016160503</v>
      </c>
    </row>
    <row r="291" spans="1:13" x14ac:dyDescent="0.25">
      <c r="A291" s="1835" t="s">
        <v>251</v>
      </c>
      <c r="B291" s="1829">
        <v>1967</v>
      </c>
      <c r="C291" s="1830">
        <v>1.6</v>
      </c>
      <c r="D291" s="1831">
        <v>0.3</v>
      </c>
      <c r="E291" s="1831">
        <v>-0.3</v>
      </c>
      <c r="F291" s="1825">
        <v>0</v>
      </c>
      <c r="G291" s="1831">
        <v>0</v>
      </c>
      <c r="H291" s="1831">
        <v>0</v>
      </c>
      <c r="I291" s="1831"/>
      <c r="J291" s="1829" t="s">
        <v>3566</v>
      </c>
      <c r="K291" s="1829" t="s">
        <v>3409</v>
      </c>
      <c r="L291" s="1122">
        <v>57.0901837567651</v>
      </c>
      <c r="M291" s="1122">
        <v>34.158526964322803</v>
      </c>
    </row>
    <row r="292" spans="1:13" x14ac:dyDescent="0.25">
      <c r="A292" s="1835" t="s">
        <v>252</v>
      </c>
      <c r="B292" s="1829">
        <v>2005</v>
      </c>
      <c r="C292" s="1830">
        <v>2.5</v>
      </c>
      <c r="D292" s="1831">
        <v>0.1</v>
      </c>
      <c r="E292" s="1831">
        <v>0</v>
      </c>
      <c r="F292" s="1825">
        <v>7.4999999999999997E-2</v>
      </c>
      <c r="G292" s="1831">
        <v>5.6249999999999994E-2</v>
      </c>
      <c r="H292" s="1831">
        <v>0</v>
      </c>
      <c r="I292" s="1831"/>
      <c r="J292" s="1829" t="s">
        <v>3566</v>
      </c>
      <c r="K292" s="1829" t="s">
        <v>3409</v>
      </c>
      <c r="L292" s="1122">
        <v>57.109680251436501</v>
      </c>
      <c r="M292" s="1122">
        <v>33.772291400337799</v>
      </c>
    </row>
    <row r="293" spans="1:13" ht="20.100000000000001" customHeight="1" x14ac:dyDescent="0.25">
      <c r="A293" s="1835" t="s">
        <v>253</v>
      </c>
      <c r="B293" s="1829">
        <v>1967</v>
      </c>
      <c r="C293" s="1830">
        <v>2.5</v>
      </c>
      <c r="D293" s="1831">
        <v>0.6</v>
      </c>
      <c r="E293" s="1831">
        <v>0</v>
      </c>
      <c r="F293" s="1825">
        <v>0</v>
      </c>
      <c r="G293" s="1831">
        <v>0</v>
      </c>
      <c r="H293" s="1831">
        <v>0</v>
      </c>
      <c r="I293" s="1831"/>
      <c r="J293" s="1829" t="s">
        <v>3566</v>
      </c>
      <c r="K293" s="1829" t="s">
        <v>3566</v>
      </c>
      <c r="L293" s="1122">
        <v>56.655166180638801</v>
      </c>
      <c r="M293" s="1122">
        <v>33.265810048735098</v>
      </c>
    </row>
    <row r="294" spans="1:13" ht="20.100000000000001" customHeight="1" x14ac:dyDescent="0.25">
      <c r="A294" s="1835" t="s">
        <v>254</v>
      </c>
      <c r="B294" s="1829">
        <v>1986</v>
      </c>
      <c r="C294" s="1830">
        <v>1.6</v>
      </c>
      <c r="D294" s="1831">
        <v>0.2</v>
      </c>
      <c r="E294" s="1831">
        <v>0</v>
      </c>
      <c r="F294" s="1825">
        <v>0</v>
      </c>
      <c r="G294" s="1831">
        <v>0</v>
      </c>
      <c r="H294" s="1831">
        <v>0</v>
      </c>
      <c r="I294" s="1831"/>
      <c r="J294" s="1829" t="s">
        <v>3566</v>
      </c>
      <c r="K294" s="1829" t="s">
        <v>3566</v>
      </c>
      <c r="L294" s="1122">
        <v>56.799069622315798</v>
      </c>
      <c r="M294" s="1122">
        <v>33.365244784147997</v>
      </c>
    </row>
    <row r="295" spans="1:13" ht="20.100000000000001" customHeight="1" x14ac:dyDescent="0.25">
      <c r="A295" s="1835" t="s">
        <v>255</v>
      </c>
      <c r="B295" s="1829">
        <v>1991</v>
      </c>
      <c r="C295" s="1830">
        <v>1</v>
      </c>
      <c r="D295" s="1831">
        <v>0.3</v>
      </c>
      <c r="E295" s="1831">
        <v>0</v>
      </c>
      <c r="F295" s="1825">
        <v>0</v>
      </c>
      <c r="G295" s="1831">
        <v>0</v>
      </c>
      <c r="H295" s="1831">
        <v>0</v>
      </c>
      <c r="I295" s="1831"/>
      <c r="J295" s="1829" t="s">
        <v>3566</v>
      </c>
      <c r="K295" s="1829" t="s">
        <v>3566</v>
      </c>
      <c r="L295" s="1122">
        <v>56.6577175697605</v>
      </c>
      <c r="M295" s="1122">
        <v>33.471842528405297</v>
      </c>
    </row>
    <row r="296" spans="1:13" ht="20.100000000000001" customHeight="1" x14ac:dyDescent="0.25">
      <c r="A296" s="1835" t="s">
        <v>256</v>
      </c>
      <c r="B296" s="1829">
        <v>1969</v>
      </c>
      <c r="C296" s="1830">
        <v>6.3</v>
      </c>
      <c r="D296" s="1831">
        <v>4.5999999999999996</v>
      </c>
      <c r="E296" s="1831">
        <v>-4.5999999999999996</v>
      </c>
      <c r="F296" s="1825">
        <v>1.17</v>
      </c>
      <c r="G296" s="1831">
        <v>0.87749999999999995</v>
      </c>
      <c r="H296" s="1831">
        <v>0</v>
      </c>
      <c r="I296" s="1831"/>
      <c r="J296" s="1829" t="s">
        <v>3566</v>
      </c>
      <c r="K296" s="1829" t="s">
        <v>3409</v>
      </c>
      <c r="L296" s="1122">
        <v>57.282362313331902</v>
      </c>
      <c r="M296" s="1122">
        <v>32.919448251431298</v>
      </c>
    </row>
    <row r="297" spans="1:13" ht="20.100000000000001" customHeight="1" x14ac:dyDescent="0.25">
      <c r="A297" s="1835" t="s">
        <v>257</v>
      </c>
      <c r="B297" s="1829">
        <v>1974</v>
      </c>
      <c r="C297" s="1830">
        <v>1.6</v>
      </c>
      <c r="D297" s="1831">
        <v>0.2</v>
      </c>
      <c r="E297" s="1831">
        <v>-0.2</v>
      </c>
      <c r="F297" s="1825">
        <v>0</v>
      </c>
      <c r="G297" s="1831">
        <v>0</v>
      </c>
      <c r="H297" s="1831">
        <v>0</v>
      </c>
      <c r="I297" s="1831"/>
      <c r="J297" s="1829" t="s">
        <v>3566</v>
      </c>
      <c r="K297" s="1829" t="s">
        <v>3409</v>
      </c>
      <c r="L297" s="1122">
        <v>56.641229897302701</v>
      </c>
      <c r="M297" s="1122">
        <v>32.847676704850599</v>
      </c>
    </row>
    <row r="298" spans="1:13" x14ac:dyDescent="0.25">
      <c r="A298" s="1835" t="s">
        <v>258</v>
      </c>
      <c r="B298" s="1829">
        <v>1988</v>
      </c>
      <c r="C298" s="1830">
        <v>1</v>
      </c>
      <c r="D298" s="1831">
        <v>0.4</v>
      </c>
      <c r="E298" s="1831">
        <v>-0.4</v>
      </c>
      <c r="F298" s="1825">
        <v>0</v>
      </c>
      <c r="G298" s="1831">
        <v>0</v>
      </c>
      <c r="H298" s="1831">
        <v>0</v>
      </c>
      <c r="I298" s="1831"/>
      <c r="J298" s="1829" t="s">
        <v>3566</v>
      </c>
      <c r="K298" s="1829" t="s">
        <v>3409</v>
      </c>
      <c r="L298" s="1122">
        <v>56.959279923887401</v>
      </c>
      <c r="M298" s="1122">
        <v>32.248864062105298</v>
      </c>
    </row>
    <row r="299" spans="1:13" x14ac:dyDescent="0.25">
      <c r="A299" s="1835" t="s">
        <v>259</v>
      </c>
      <c r="B299" s="1829">
        <v>1968</v>
      </c>
      <c r="C299" s="1830">
        <v>1.6</v>
      </c>
      <c r="D299" s="1831">
        <v>0.6</v>
      </c>
      <c r="E299" s="1831">
        <v>-0.6</v>
      </c>
      <c r="F299" s="1825">
        <v>1.8749999999999999E-2</v>
      </c>
      <c r="G299" s="1831">
        <v>1.4062499999999999E-2</v>
      </c>
      <c r="H299" s="1831">
        <v>0</v>
      </c>
      <c r="I299" s="1831"/>
      <c r="J299" s="1829" t="s">
        <v>3566</v>
      </c>
      <c r="K299" s="1829" t="s">
        <v>3409</v>
      </c>
      <c r="L299" s="1122">
        <v>57.0576360351549</v>
      </c>
      <c r="M299" s="1122">
        <v>32.331043312724397</v>
      </c>
    </row>
    <row r="300" spans="1:13" x14ac:dyDescent="0.25">
      <c r="A300" s="1835" t="s">
        <v>260</v>
      </c>
      <c r="B300" s="1829">
        <v>1970</v>
      </c>
      <c r="C300" s="1832">
        <f>2.5+1.6</f>
        <v>4.0999999999999996</v>
      </c>
      <c r="D300" s="1831">
        <v>1.7</v>
      </c>
      <c r="E300" s="1831">
        <v>-1.9999999999999796E-2</v>
      </c>
      <c r="F300" s="1825">
        <v>0.17</v>
      </c>
      <c r="G300" s="1831">
        <v>0.1275</v>
      </c>
      <c r="H300" s="1831">
        <v>0</v>
      </c>
      <c r="I300" s="1833">
        <v>2014</v>
      </c>
      <c r="J300" s="1829" t="s">
        <v>3409</v>
      </c>
      <c r="K300" s="1829" t="s">
        <v>3409</v>
      </c>
      <c r="L300" s="1122">
        <v>56.835124665264999</v>
      </c>
      <c r="M300" s="1122">
        <v>35.036505971403898</v>
      </c>
    </row>
    <row r="301" spans="1:13" x14ac:dyDescent="0.25">
      <c r="A301" s="1835" t="s">
        <v>261</v>
      </c>
      <c r="B301" s="1829">
        <v>1968</v>
      </c>
      <c r="C301" s="1830">
        <f>4+2.5</f>
        <v>6.5</v>
      </c>
      <c r="D301" s="1831">
        <v>1.1000000000000001</v>
      </c>
      <c r="E301" s="1831">
        <v>1.5249999999999999</v>
      </c>
      <c r="F301" s="1825">
        <v>0.27999999999999997</v>
      </c>
      <c r="G301" s="1831">
        <v>0.20999999999999996</v>
      </c>
      <c r="H301" s="1831">
        <v>1.2449999999999999</v>
      </c>
      <c r="I301" s="1831"/>
      <c r="J301" s="1829" t="s">
        <v>3566</v>
      </c>
      <c r="K301" s="1829" t="s">
        <v>3566</v>
      </c>
      <c r="L301" s="1122">
        <v>56.697932251352903</v>
      </c>
      <c r="M301" s="1122">
        <v>34.906360128343799</v>
      </c>
    </row>
    <row r="302" spans="1:13" x14ac:dyDescent="0.25">
      <c r="A302" s="1835" t="s">
        <v>262</v>
      </c>
      <c r="B302" s="1829">
        <v>1978</v>
      </c>
      <c r="C302" s="1830">
        <f>4+4</f>
        <v>8</v>
      </c>
      <c r="D302" s="1831">
        <v>2.9</v>
      </c>
      <c r="E302" s="1831">
        <v>1.3000000000000003</v>
      </c>
      <c r="F302" s="1825">
        <v>0.74562499999999998</v>
      </c>
      <c r="G302" s="1831">
        <v>0.55921874999999999</v>
      </c>
      <c r="H302" s="1831">
        <v>0.55437500000000028</v>
      </c>
      <c r="I302" s="1831"/>
      <c r="J302" s="1829" t="s">
        <v>3566</v>
      </c>
      <c r="K302" s="1829" t="s">
        <v>3566</v>
      </c>
      <c r="L302" s="1122">
        <v>56.981818912281</v>
      </c>
      <c r="M302" s="1122">
        <v>35.104686451727297</v>
      </c>
    </row>
    <row r="303" spans="1:13" x14ac:dyDescent="0.25">
      <c r="A303" s="1835" t="s">
        <v>263</v>
      </c>
      <c r="B303" s="1829">
        <v>1961</v>
      </c>
      <c r="C303" s="1830">
        <f t="shared" ref="C303:C304" si="11">2.5+2.5</f>
        <v>5</v>
      </c>
      <c r="D303" s="1831">
        <v>0.1</v>
      </c>
      <c r="E303" s="1831">
        <v>2.5249999999999999</v>
      </c>
      <c r="F303" s="1825">
        <v>0.22687499999999999</v>
      </c>
      <c r="G303" s="1831">
        <v>0.17015625000000001</v>
      </c>
      <c r="H303" s="1831">
        <v>2.2981249999999998</v>
      </c>
      <c r="I303" s="1831"/>
      <c r="J303" s="1829" t="s">
        <v>3566</v>
      </c>
      <c r="K303" s="1829" t="s">
        <v>3566</v>
      </c>
      <c r="L303" s="1122">
        <v>57.133121923718498</v>
      </c>
      <c r="M303" s="1122">
        <v>34.672485597217602</v>
      </c>
    </row>
    <row r="304" spans="1:13" x14ac:dyDescent="0.25">
      <c r="A304" s="1835" t="s">
        <v>264</v>
      </c>
      <c r="B304" s="1829">
        <v>1980</v>
      </c>
      <c r="C304" s="1832">
        <f t="shared" si="11"/>
        <v>5</v>
      </c>
      <c r="D304" s="1831">
        <v>2.7</v>
      </c>
      <c r="E304" s="1831">
        <v>-7.5000000000000178E-2</v>
      </c>
      <c r="F304" s="1825">
        <v>1.6499999999999997</v>
      </c>
      <c r="G304" s="1831">
        <v>1.2374999999999998</v>
      </c>
      <c r="H304" s="1831">
        <v>0</v>
      </c>
      <c r="I304" s="1833">
        <v>2013</v>
      </c>
      <c r="J304" s="1829" t="s">
        <v>3409</v>
      </c>
      <c r="K304" s="1829" t="s">
        <v>3409</v>
      </c>
      <c r="L304" s="1122">
        <v>57.204716539039701</v>
      </c>
      <c r="M304" s="1122">
        <v>34.9455300087211</v>
      </c>
    </row>
    <row r="305" spans="1:13" x14ac:dyDescent="0.25">
      <c r="A305" s="1835" t="s">
        <v>265</v>
      </c>
      <c r="B305" s="1829">
        <v>1963</v>
      </c>
      <c r="C305" s="1830">
        <f t="shared" ref="C305:C306" si="12">4+4</f>
        <v>8</v>
      </c>
      <c r="D305" s="1831">
        <v>0.6</v>
      </c>
      <c r="E305" s="1831">
        <v>3.6</v>
      </c>
      <c r="F305" s="1825">
        <v>0.17</v>
      </c>
      <c r="G305" s="1831">
        <v>0.1275</v>
      </c>
      <c r="H305" s="1831">
        <v>3.43</v>
      </c>
      <c r="I305" s="1831"/>
      <c r="J305" s="1829" t="s">
        <v>3566</v>
      </c>
      <c r="K305" s="1829" t="s">
        <v>3566</v>
      </c>
      <c r="L305" s="1122">
        <v>56.665454737939299</v>
      </c>
      <c r="M305" s="1122">
        <v>33.8508383047499</v>
      </c>
    </row>
    <row r="306" spans="1:13" x14ac:dyDescent="0.25">
      <c r="A306" s="1835" t="s">
        <v>266</v>
      </c>
      <c r="B306" s="1829">
        <v>1967</v>
      </c>
      <c r="C306" s="1830">
        <f t="shared" si="12"/>
        <v>8</v>
      </c>
      <c r="D306" s="1831">
        <v>1.9</v>
      </c>
      <c r="E306" s="1831">
        <v>2.3000000000000003</v>
      </c>
      <c r="F306" s="1825">
        <v>0</v>
      </c>
      <c r="G306" s="1831">
        <v>0</v>
      </c>
      <c r="H306" s="1831">
        <v>2.3000000000000003</v>
      </c>
      <c r="I306" s="1831"/>
      <c r="J306" s="1829" t="s">
        <v>3566</v>
      </c>
      <c r="K306" s="1829" t="s">
        <v>3566</v>
      </c>
      <c r="L306" s="1122">
        <v>56.887111041744703</v>
      </c>
      <c r="M306" s="1122">
        <v>33.302604380725498</v>
      </c>
    </row>
    <row r="307" spans="1:13" x14ac:dyDescent="0.25">
      <c r="A307" s="1835" t="s">
        <v>267</v>
      </c>
      <c r="B307" s="1829">
        <v>1973</v>
      </c>
      <c r="C307" s="1830">
        <f>2.5+1.6</f>
        <v>4.0999999999999996</v>
      </c>
      <c r="D307" s="1831">
        <v>1</v>
      </c>
      <c r="E307" s="1831">
        <v>0.68000000000000016</v>
      </c>
      <c r="F307" s="1825">
        <v>0.20374999999999999</v>
      </c>
      <c r="G307" s="1831">
        <v>0.15281249999999999</v>
      </c>
      <c r="H307" s="1831">
        <v>0.47625000000000028</v>
      </c>
      <c r="I307" s="1831"/>
      <c r="J307" s="1829" t="s">
        <v>3566</v>
      </c>
      <c r="K307" s="1829" t="s">
        <v>3566</v>
      </c>
      <c r="L307" s="1122">
        <v>57.262977423873402</v>
      </c>
      <c r="M307" s="1122">
        <v>33.360615571515098</v>
      </c>
    </row>
    <row r="308" spans="1:13" x14ac:dyDescent="0.25">
      <c r="A308" s="1835" t="s">
        <v>268</v>
      </c>
      <c r="B308" s="1829">
        <v>1979</v>
      </c>
      <c r="C308" s="1830">
        <f t="shared" ref="C308:C309" si="13">2.5+2.5</f>
        <v>5</v>
      </c>
      <c r="D308" s="1831">
        <v>0.5</v>
      </c>
      <c r="E308" s="1831">
        <v>2.125</v>
      </c>
      <c r="F308" s="1825">
        <v>0.18749999999999997</v>
      </c>
      <c r="G308" s="1831">
        <v>0.14062499999999997</v>
      </c>
      <c r="H308" s="1831">
        <v>1.9375</v>
      </c>
      <c r="I308" s="1831"/>
      <c r="J308" s="1829" t="s">
        <v>3566</v>
      </c>
      <c r="K308" s="1829" t="s">
        <v>3566</v>
      </c>
      <c r="L308" s="1122">
        <v>57.0472711405613</v>
      </c>
      <c r="M308" s="1122">
        <v>33.375103516095102</v>
      </c>
    </row>
    <row r="309" spans="1:13" x14ac:dyDescent="0.25">
      <c r="A309" s="1835" t="s">
        <v>269</v>
      </c>
      <c r="B309" s="1829">
        <v>1988</v>
      </c>
      <c r="C309" s="1830">
        <f t="shared" si="13"/>
        <v>5</v>
      </c>
      <c r="D309" s="1831">
        <v>1.4</v>
      </c>
      <c r="E309" s="1831">
        <v>1.2250000000000001</v>
      </c>
      <c r="F309" s="1825">
        <v>5.6249999999999994E-2</v>
      </c>
      <c r="G309" s="1831">
        <v>4.2187499999999996E-2</v>
      </c>
      <c r="H309" s="1831">
        <v>1.1687500000000002</v>
      </c>
      <c r="I309" s="1831"/>
      <c r="J309" s="1829" t="s">
        <v>3566</v>
      </c>
      <c r="K309" s="1829" t="s">
        <v>3566</v>
      </c>
      <c r="L309" s="1122">
        <v>57.242949227255899</v>
      </c>
      <c r="M309" s="1122">
        <v>33.090655910757498</v>
      </c>
    </row>
    <row r="310" spans="1:13" x14ac:dyDescent="0.25">
      <c r="A310" s="1835" t="s">
        <v>270</v>
      </c>
      <c r="B310" s="1829">
        <v>1981</v>
      </c>
      <c r="C310" s="1830">
        <f>63+63</f>
        <v>126</v>
      </c>
      <c r="D310" s="1831">
        <v>5.0999999999999996</v>
      </c>
      <c r="E310" s="1831">
        <v>61.050000000000004</v>
      </c>
      <c r="F310" s="1825">
        <v>0</v>
      </c>
      <c r="G310" s="1831">
        <v>0</v>
      </c>
      <c r="H310" s="1831">
        <v>61.050000000000004</v>
      </c>
      <c r="I310" s="1831"/>
      <c r="J310" s="1829" t="s">
        <v>3566</v>
      </c>
      <c r="K310" s="1829" t="s">
        <v>3566</v>
      </c>
      <c r="L310" s="1122">
        <v>57.022266394424797</v>
      </c>
      <c r="M310" s="1122">
        <v>35.013846333166498</v>
      </c>
    </row>
    <row r="311" spans="1:13" ht="30" customHeight="1" x14ac:dyDescent="0.25">
      <c r="A311" s="1835" t="s">
        <v>271</v>
      </c>
      <c r="B311" s="1829">
        <v>1968</v>
      </c>
      <c r="C311" s="1830">
        <f>10+10</f>
        <v>20</v>
      </c>
      <c r="D311" s="1831">
        <v>6.3</v>
      </c>
      <c r="E311" s="1831">
        <v>4.2</v>
      </c>
      <c r="F311" s="1825">
        <v>0.85125000000000006</v>
      </c>
      <c r="G311" s="1831">
        <v>0.63843749999999999</v>
      </c>
      <c r="H311" s="1831">
        <v>3.3487499999999999</v>
      </c>
      <c r="I311" s="1831"/>
      <c r="J311" s="1829" t="s">
        <v>3566</v>
      </c>
      <c r="K311" s="1829" t="s">
        <v>3566</v>
      </c>
      <c r="L311" s="1122">
        <v>57.014514502104603</v>
      </c>
      <c r="M311" s="1122">
        <v>34.987797025961598</v>
      </c>
    </row>
    <row r="312" spans="1:13" x14ac:dyDescent="0.25">
      <c r="A312" s="1835" t="s">
        <v>272</v>
      </c>
      <c r="B312" s="1829">
        <v>1988</v>
      </c>
      <c r="C312" s="1830">
        <f>25+25</f>
        <v>50</v>
      </c>
      <c r="D312" s="1831">
        <v>0.2</v>
      </c>
      <c r="E312" s="1831">
        <v>26.05</v>
      </c>
      <c r="F312" s="1825">
        <v>0</v>
      </c>
      <c r="G312" s="1831">
        <v>0</v>
      </c>
      <c r="H312" s="1831">
        <v>26.05</v>
      </c>
      <c r="I312" s="1831"/>
      <c r="J312" s="1829" t="s">
        <v>3566</v>
      </c>
      <c r="K312" s="1829" t="s">
        <v>3566</v>
      </c>
      <c r="L312" s="1122">
        <v>56.9466971165782</v>
      </c>
      <c r="M312" s="1122">
        <v>34.866265535717403</v>
      </c>
    </row>
    <row r="313" spans="1:13" x14ac:dyDescent="0.25">
      <c r="A313" s="1835" t="s">
        <v>273</v>
      </c>
      <c r="B313" s="1829">
        <v>1978</v>
      </c>
      <c r="C313" s="1830">
        <f>2.5+2.5</f>
        <v>5</v>
      </c>
      <c r="D313" s="1831">
        <v>0.7</v>
      </c>
      <c r="E313" s="1831">
        <v>1.925</v>
      </c>
      <c r="F313" s="1825">
        <v>0.1525</v>
      </c>
      <c r="G313" s="1831">
        <v>0.114375</v>
      </c>
      <c r="H313" s="1831">
        <v>1.7725</v>
      </c>
      <c r="I313" s="1831"/>
      <c r="J313" s="1829" t="s">
        <v>3566</v>
      </c>
      <c r="K313" s="1829" t="s">
        <v>3566</v>
      </c>
      <c r="L313" s="1122">
        <v>57.0263069308048</v>
      </c>
      <c r="M313" s="1122">
        <v>34.638122713710501</v>
      </c>
    </row>
    <row r="314" spans="1:13" x14ac:dyDescent="0.25">
      <c r="A314" s="1835" t="s">
        <v>274</v>
      </c>
      <c r="B314" s="1829">
        <v>1967</v>
      </c>
      <c r="C314" s="1830">
        <f>6.3+6.3</f>
        <v>12.6</v>
      </c>
      <c r="D314" s="1831">
        <v>4</v>
      </c>
      <c r="E314" s="1831">
        <v>2.6150000000000002</v>
      </c>
      <c r="F314" s="1825">
        <v>1.1217499999999998</v>
      </c>
      <c r="G314" s="1831">
        <v>0.84131249999999991</v>
      </c>
      <c r="H314" s="1831">
        <v>1.4932500000000006</v>
      </c>
      <c r="I314" s="1831"/>
      <c r="J314" s="1829" t="s">
        <v>3566</v>
      </c>
      <c r="K314" s="1829" t="s">
        <v>3566</v>
      </c>
      <c r="L314" s="1122">
        <v>56.899474218355699</v>
      </c>
      <c r="M314" s="1122">
        <v>32.731618663198198</v>
      </c>
    </row>
    <row r="315" spans="1:13" x14ac:dyDescent="0.25">
      <c r="A315" s="1835" t="s">
        <v>275</v>
      </c>
      <c r="B315" s="1829">
        <v>1964</v>
      </c>
      <c r="C315" s="1830">
        <f>40+40</f>
        <v>80</v>
      </c>
      <c r="D315" s="1831">
        <v>23.3</v>
      </c>
      <c r="E315" s="1831">
        <v>25.799999999999997</v>
      </c>
      <c r="F315" s="1825">
        <v>3.5740624999999997</v>
      </c>
      <c r="G315" s="1831">
        <v>2.6805468749999997</v>
      </c>
      <c r="H315" s="1831">
        <v>22.225937500000001</v>
      </c>
      <c r="I315" s="1831"/>
      <c r="J315" s="1829" t="s">
        <v>3566</v>
      </c>
      <c r="K315" s="1829" t="s">
        <v>3566</v>
      </c>
      <c r="L315" s="1122">
        <v>57.074295205234499</v>
      </c>
      <c r="M315" s="1122">
        <v>35.000555290347997</v>
      </c>
    </row>
    <row r="316" spans="1:13" x14ac:dyDescent="0.25">
      <c r="A316" s="1835" t="s">
        <v>276</v>
      </c>
      <c r="B316" s="1829">
        <v>1979</v>
      </c>
      <c r="C316" s="1830">
        <f>25+25</f>
        <v>50</v>
      </c>
      <c r="D316" s="1831">
        <v>5</v>
      </c>
      <c r="E316" s="1831">
        <v>21.45</v>
      </c>
      <c r="F316" s="1825">
        <v>1.0468999999999999</v>
      </c>
      <c r="G316" s="1831">
        <v>0.78517499999999996</v>
      </c>
      <c r="H316" s="1831">
        <v>20.403100000000002</v>
      </c>
      <c r="I316" s="1831"/>
      <c r="J316" s="1829" t="s">
        <v>3566</v>
      </c>
      <c r="K316" s="1829" t="s">
        <v>3566</v>
      </c>
      <c r="L316" s="1122">
        <v>57.0221461517501</v>
      </c>
      <c r="M316" s="1122">
        <v>34.952349550117397</v>
      </c>
    </row>
    <row r="317" spans="1:13" x14ac:dyDescent="0.25">
      <c r="A317" s="1835" t="s">
        <v>277</v>
      </c>
      <c r="B317" s="1829" t="s">
        <v>3565</v>
      </c>
      <c r="C317" s="1830">
        <f>40+25</f>
        <v>65</v>
      </c>
      <c r="D317" s="1831">
        <v>14</v>
      </c>
      <c r="E317" s="1831">
        <v>15.35</v>
      </c>
      <c r="F317" s="1825">
        <v>22.5</v>
      </c>
      <c r="G317" s="1831">
        <v>16.875</v>
      </c>
      <c r="H317" s="1831">
        <v>0</v>
      </c>
      <c r="I317" s="1831"/>
      <c r="J317" s="1829" t="s">
        <v>3566</v>
      </c>
      <c r="K317" s="1829" t="s">
        <v>3409</v>
      </c>
      <c r="L317" s="1122">
        <v>57.007873237507198</v>
      </c>
      <c r="M317" s="1122">
        <v>34.173895079503602</v>
      </c>
    </row>
    <row r="318" spans="1:13" x14ac:dyDescent="0.25">
      <c r="A318" s="1835" t="s">
        <v>278</v>
      </c>
      <c r="B318" s="1829">
        <v>1978</v>
      </c>
      <c r="C318" s="1830">
        <f>16+10</f>
        <v>26</v>
      </c>
      <c r="D318" s="1831">
        <v>9.1</v>
      </c>
      <c r="E318" s="1831">
        <v>1.4000000000000004</v>
      </c>
      <c r="F318" s="1825">
        <v>0.16500000000000001</v>
      </c>
      <c r="G318" s="1831">
        <v>0.12375</v>
      </c>
      <c r="H318" s="1831">
        <v>1.2350000000000012</v>
      </c>
      <c r="I318" s="1831"/>
      <c r="J318" s="1829" t="s">
        <v>3566</v>
      </c>
      <c r="K318" s="1829" t="s">
        <v>3566</v>
      </c>
      <c r="L318" s="1122">
        <v>56.853146924655697</v>
      </c>
      <c r="M318" s="1122">
        <v>33.4977328072369</v>
      </c>
    </row>
    <row r="319" spans="1:13" x14ac:dyDescent="0.25">
      <c r="A319" s="1835" t="s">
        <v>279</v>
      </c>
      <c r="B319" s="1829">
        <v>1980</v>
      </c>
      <c r="C319" s="1830">
        <f t="shared" ref="C319:C320" si="14">25+25</f>
        <v>50</v>
      </c>
      <c r="D319" s="1831">
        <v>1.7</v>
      </c>
      <c r="E319" s="1831">
        <v>25.25</v>
      </c>
      <c r="F319" s="1825">
        <v>0.17</v>
      </c>
      <c r="G319" s="1831">
        <v>0.1275</v>
      </c>
      <c r="H319" s="1831">
        <v>25.08</v>
      </c>
      <c r="I319" s="1831"/>
      <c r="J319" s="1829" t="s">
        <v>3566</v>
      </c>
      <c r="K319" s="1829" t="s">
        <v>3566</v>
      </c>
      <c r="L319" s="1122">
        <v>56.7828357560401</v>
      </c>
      <c r="M319" s="1122">
        <v>33.525905056328497</v>
      </c>
    </row>
    <row r="320" spans="1:13" ht="20.100000000000001" customHeight="1" x14ac:dyDescent="0.25">
      <c r="A320" s="1835" t="s">
        <v>280</v>
      </c>
      <c r="B320" s="1829">
        <v>1982</v>
      </c>
      <c r="C320" s="1830">
        <f t="shared" si="14"/>
        <v>50</v>
      </c>
      <c r="D320" s="1831">
        <v>18</v>
      </c>
      <c r="E320" s="1831">
        <v>8.25</v>
      </c>
      <c r="F320" s="1825">
        <v>0.6349999999999999</v>
      </c>
      <c r="G320" s="1831">
        <v>0.47624999999999995</v>
      </c>
      <c r="H320" s="1831">
        <v>7.6149999999999984</v>
      </c>
      <c r="I320" s="1831"/>
      <c r="J320" s="1829" t="s">
        <v>3566</v>
      </c>
      <c r="K320" s="1829" t="s">
        <v>3566</v>
      </c>
      <c r="L320" s="1122">
        <v>57.137287048507098</v>
      </c>
      <c r="M320" s="1122">
        <v>33.1036333908744</v>
      </c>
    </row>
    <row r="321" spans="1:13" x14ac:dyDescent="0.25">
      <c r="A321" s="1835" t="s">
        <v>281</v>
      </c>
      <c r="B321" s="1829">
        <v>1967</v>
      </c>
      <c r="C321" s="1830">
        <f>10+10</f>
        <v>20</v>
      </c>
      <c r="D321" s="1831">
        <v>9.1999999999999993</v>
      </c>
      <c r="E321" s="1831">
        <v>1.3000000000000007</v>
      </c>
      <c r="F321" s="1825">
        <v>1.17</v>
      </c>
      <c r="G321" s="1831">
        <v>0.87749999999999995</v>
      </c>
      <c r="H321" s="1831">
        <v>0.13000000000000078</v>
      </c>
      <c r="I321" s="1831"/>
      <c r="J321" s="1829" t="s">
        <v>3566</v>
      </c>
      <c r="K321" s="1829" t="s">
        <v>3566</v>
      </c>
      <c r="L321" s="1122">
        <v>57.193513743186898</v>
      </c>
      <c r="M321" s="1122">
        <v>33.014034325895501</v>
      </c>
    </row>
    <row r="322" spans="1:13" s="232" customFormat="1" x14ac:dyDescent="0.25">
      <c r="A322" s="1808"/>
      <c r="B322" s="1808"/>
      <c r="C322" s="1816"/>
      <c r="D322" s="1808"/>
      <c r="E322" s="1808"/>
      <c r="F322" s="1808"/>
      <c r="G322" s="1808"/>
      <c r="H322" s="1808"/>
      <c r="I322" s="1824"/>
      <c r="J322" s="1808"/>
      <c r="K322" s="1808"/>
      <c r="L322" s="1807"/>
      <c r="M322" s="1807"/>
    </row>
    <row r="323" spans="1:13" s="232" customFormat="1" x14ac:dyDescent="0.25">
      <c r="A323" s="1808"/>
      <c r="B323" s="1808"/>
      <c r="C323" s="1816"/>
      <c r="D323" s="1808"/>
      <c r="E323" s="1808"/>
      <c r="F323" s="1808"/>
      <c r="G323" s="1808"/>
      <c r="H323" s="1808"/>
      <c r="I323" s="1824"/>
      <c r="J323" s="1808"/>
      <c r="K323" s="1808"/>
      <c r="L323" s="1807"/>
      <c r="M323" s="1807"/>
    </row>
    <row r="324" spans="1:13" s="232" customFormat="1" x14ac:dyDescent="0.25">
      <c r="A324" s="1808"/>
      <c r="B324" s="1808"/>
      <c r="C324" s="1816"/>
      <c r="D324" s="1808"/>
      <c r="E324" s="1808"/>
      <c r="F324" s="1808"/>
      <c r="G324" s="1808"/>
      <c r="H324" s="1808"/>
      <c r="I324" s="1824"/>
      <c r="J324" s="1807"/>
      <c r="K324" s="1807"/>
      <c r="L324" s="1807"/>
      <c r="M324" s="1807"/>
    </row>
    <row r="325" spans="1:13" s="232" customFormat="1" x14ac:dyDescent="0.25">
      <c r="A325" s="1808"/>
      <c r="B325" s="1808"/>
      <c r="C325" s="1816"/>
      <c r="D325" s="1808"/>
      <c r="E325" s="1808"/>
      <c r="F325" s="1808"/>
      <c r="G325" s="1808"/>
      <c r="H325" s="1808"/>
      <c r="I325" s="1824"/>
      <c r="J325" s="1808"/>
      <c r="K325" s="1808"/>
      <c r="L325" s="1807"/>
      <c r="M325" s="1807"/>
    </row>
    <row r="326" spans="1:13" s="232" customFormat="1" x14ac:dyDescent="0.25">
      <c r="A326" s="1808"/>
      <c r="B326" s="1808"/>
      <c r="C326" s="1816"/>
      <c r="D326" s="1808"/>
      <c r="E326" s="1808"/>
      <c r="F326" s="1808"/>
      <c r="G326" s="1808"/>
      <c r="H326" s="1808"/>
      <c r="I326" s="1824"/>
      <c r="J326" s="1808"/>
      <c r="K326" s="1808"/>
      <c r="L326" s="1807"/>
      <c r="M326" s="1807"/>
    </row>
    <row r="327" spans="1:13" s="232" customFormat="1" x14ac:dyDescent="0.25">
      <c r="A327" s="1808"/>
      <c r="B327" s="1808"/>
      <c r="C327" s="1816"/>
      <c r="D327" s="1808"/>
      <c r="E327" s="1808"/>
      <c r="F327" s="1808"/>
      <c r="G327" s="1808"/>
      <c r="H327" s="1808"/>
      <c r="I327" s="1824"/>
      <c r="J327" s="1808"/>
      <c r="K327" s="1808"/>
      <c r="L327" s="1807"/>
      <c r="M327" s="1807"/>
    </row>
    <row r="328" spans="1:13" s="232" customFormat="1" x14ac:dyDescent="0.25">
      <c r="A328" s="1808"/>
      <c r="B328" s="1808"/>
      <c r="C328" s="1816"/>
      <c r="D328" s="1808"/>
      <c r="E328" s="1808"/>
      <c r="F328" s="1808"/>
      <c r="G328" s="1808"/>
      <c r="H328" s="1808"/>
      <c r="I328" s="1824"/>
      <c r="J328" s="1808"/>
      <c r="K328" s="1808"/>
      <c r="L328" s="1807"/>
      <c r="M328" s="1807"/>
    </row>
    <row r="329" spans="1:13" s="232" customFormat="1" x14ac:dyDescent="0.25">
      <c r="A329" s="1808"/>
      <c r="B329" s="1808"/>
      <c r="C329" s="1816"/>
      <c r="D329" s="1808"/>
      <c r="E329" s="1808"/>
      <c r="F329" s="1808"/>
      <c r="G329" s="1808"/>
      <c r="H329" s="1808"/>
      <c r="I329" s="1824"/>
      <c r="J329" s="1808"/>
      <c r="K329" s="1808"/>
      <c r="L329" s="1807"/>
      <c r="M329" s="1807"/>
    </row>
    <row r="330" spans="1:13" s="232" customFormat="1" x14ac:dyDescent="0.25">
      <c r="A330" s="1808"/>
      <c r="B330" s="1808"/>
      <c r="C330" s="1816"/>
      <c r="D330" s="1808"/>
      <c r="E330" s="1808"/>
      <c r="F330" s="1808"/>
      <c r="G330" s="1808"/>
      <c r="H330" s="1808"/>
      <c r="I330" s="1824"/>
      <c r="J330" s="1808"/>
      <c r="K330" s="1808"/>
      <c r="L330" s="1807"/>
      <c r="M330" s="1807"/>
    </row>
    <row r="331" spans="1:13" s="232" customFormat="1" x14ac:dyDescent="0.25">
      <c r="A331" s="1808"/>
      <c r="B331" s="1808"/>
      <c r="C331" s="1816"/>
      <c r="D331" s="1808"/>
      <c r="E331" s="1808"/>
      <c r="F331" s="1808"/>
      <c r="G331" s="1808"/>
      <c r="H331" s="1808"/>
      <c r="I331" s="1824"/>
      <c r="J331" s="1808"/>
      <c r="K331" s="1808"/>
      <c r="L331" s="1807"/>
      <c r="M331" s="1807"/>
    </row>
    <row r="332" spans="1:13" s="232" customFormat="1" x14ac:dyDescent="0.25">
      <c r="A332" s="1808"/>
      <c r="B332" s="1808"/>
      <c r="C332" s="1816"/>
      <c r="D332" s="1808"/>
      <c r="E332" s="1808"/>
      <c r="F332" s="1808"/>
      <c r="G332" s="1808"/>
      <c r="H332" s="1808"/>
      <c r="I332" s="1824"/>
      <c r="J332" s="1808"/>
      <c r="K332" s="1808"/>
      <c r="L332" s="1807"/>
      <c r="M332" s="1807"/>
    </row>
    <row r="333" spans="1:13" s="232" customFormat="1" x14ac:dyDescent="0.25">
      <c r="A333" s="1808"/>
      <c r="B333" s="1808"/>
      <c r="C333" s="1816"/>
      <c r="D333" s="1808"/>
      <c r="E333" s="1808"/>
      <c r="F333" s="1808"/>
      <c r="G333" s="1808"/>
      <c r="H333" s="1808"/>
      <c r="I333" s="1824"/>
      <c r="J333" s="1808"/>
      <c r="K333" s="1808"/>
      <c r="L333" s="1807"/>
      <c r="M333" s="1807"/>
    </row>
    <row r="334" spans="1:13" s="232" customFormat="1" x14ac:dyDescent="0.25">
      <c r="A334" s="1808"/>
      <c r="B334" s="1808"/>
      <c r="C334" s="1816"/>
      <c r="D334" s="1808"/>
      <c r="E334" s="1808"/>
      <c r="F334" s="1808"/>
      <c r="G334" s="1808"/>
      <c r="H334" s="1808"/>
      <c r="I334" s="1824"/>
      <c r="J334" s="1808"/>
      <c r="K334" s="1808"/>
      <c r="L334" s="1807"/>
      <c r="M334" s="1807"/>
    </row>
    <row r="335" spans="1:13" s="232" customFormat="1" x14ac:dyDescent="0.25">
      <c r="A335" s="1808"/>
      <c r="B335" s="1808"/>
      <c r="C335" s="1816"/>
      <c r="D335" s="1808"/>
      <c r="E335" s="1808"/>
      <c r="F335" s="1808"/>
      <c r="G335" s="1808"/>
      <c r="H335" s="1808"/>
      <c r="I335" s="1824"/>
      <c r="J335" s="1808"/>
      <c r="K335" s="1808"/>
      <c r="L335" s="1807"/>
      <c r="M335" s="1807"/>
    </row>
    <row r="336" spans="1:13" s="232" customFormat="1" x14ac:dyDescent="0.25">
      <c r="A336" s="1808"/>
      <c r="B336" s="1808"/>
      <c r="C336" s="1816"/>
      <c r="D336" s="1808"/>
      <c r="E336" s="1808"/>
      <c r="F336" s="1808"/>
      <c r="G336" s="1808"/>
      <c r="H336" s="1808"/>
      <c r="I336" s="1824"/>
      <c r="J336" s="1808"/>
      <c r="K336" s="1808"/>
      <c r="L336" s="1807"/>
      <c r="M336" s="1807"/>
    </row>
    <row r="337" spans="1:13" s="232" customFormat="1" x14ac:dyDescent="0.25">
      <c r="A337" s="1808"/>
      <c r="B337" s="1808"/>
      <c r="C337" s="1816"/>
      <c r="D337" s="1808"/>
      <c r="E337" s="1808"/>
      <c r="F337" s="1808"/>
      <c r="G337" s="1808"/>
      <c r="H337" s="1808"/>
      <c r="I337" s="1824"/>
      <c r="J337" s="1808"/>
      <c r="K337" s="1808"/>
      <c r="L337" s="1807"/>
      <c r="M337" s="1807"/>
    </row>
  </sheetData>
  <conditionalFormatting sqref="L325:M65424 J7:K7 J3:M5 F8:F321 L7:M323 N1:IJ1048576 A6:B7 A338:K65424">
    <cfRule type="cellIs" dxfId="20" priority="19" stopIfTrue="1" operator="equal">
      <formula>0</formula>
    </cfRule>
  </conditionalFormatting>
  <conditionalFormatting sqref="C8:E321 G8:I321">
    <cfRule type="expression" dxfId="19" priority="10" stopIfTrue="1">
      <formula>C8=0</formula>
    </cfRule>
  </conditionalFormatting>
  <conditionalFormatting sqref="C7">
    <cfRule type="cellIs" dxfId="18" priority="1" stopIfTrue="1" operator="equal">
      <formula>0</formula>
    </cfRule>
  </conditionalFormatting>
  <conditionalFormatting sqref="A8:B321">
    <cfRule type="expression" dxfId="0" priority="251" stopIfTrue="1">
      <formula>$AD8="ЦП Закрыт"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AV461"/>
  <sheetViews>
    <sheetView topLeftCell="B1" zoomScale="85" zoomScaleNormal="85" workbookViewId="0">
      <selection activeCell="G452" sqref="G452"/>
    </sheetView>
  </sheetViews>
  <sheetFormatPr defaultRowHeight="15" x14ac:dyDescent="0.25"/>
  <cols>
    <col min="1" max="1" width="8.140625" style="232" hidden="1" customWidth="1"/>
    <col min="2" max="2" width="6" style="233" customWidth="1"/>
    <col min="3" max="3" width="30.85546875" style="233" customWidth="1"/>
    <col min="4" max="4" width="5.7109375" style="233" customWidth="1"/>
    <col min="5" max="5" width="2.28515625" style="233" customWidth="1"/>
    <col min="6" max="6" width="9.5703125" style="233" customWidth="1"/>
    <col min="7" max="7" width="2.28515625" style="233" customWidth="1"/>
    <col min="8" max="8" width="3.85546875" style="233" bestFit="1" customWidth="1"/>
    <col min="9" max="9" width="9.140625" style="232" hidden="1" customWidth="1"/>
    <col min="10" max="10" width="57.140625" style="240" customWidth="1"/>
    <col min="11" max="11" width="15.5703125" style="232" hidden="1" customWidth="1"/>
    <col min="12" max="12" width="12.7109375" style="232" hidden="1" customWidth="1"/>
    <col min="13" max="13" width="9.140625" style="232" hidden="1" customWidth="1"/>
    <col min="14" max="14" width="9.140625" style="233" customWidth="1"/>
    <col min="15" max="16384" width="9.140625" style="233"/>
  </cols>
  <sheetData>
    <row r="1" spans="1:48" ht="15" customHeight="1" x14ac:dyDescent="0.25">
      <c r="A1" s="1436" t="s">
        <v>3508</v>
      </c>
      <c r="B1" s="1437"/>
      <c r="C1" s="1437"/>
      <c r="D1" s="1437"/>
      <c r="E1" s="1437"/>
      <c r="F1" s="1437"/>
      <c r="G1" s="1437"/>
      <c r="H1" s="1437"/>
      <c r="I1" s="1436"/>
      <c r="J1" s="1438"/>
      <c r="K1" s="1437"/>
      <c r="L1" s="1437"/>
      <c r="M1" s="1260"/>
    </row>
    <row r="2" spans="1:48" ht="15.75" customHeight="1" x14ac:dyDescent="0.25">
      <c r="A2" s="1436"/>
      <c r="B2" s="1437"/>
      <c r="C2" s="1437"/>
      <c r="D2" s="1437"/>
      <c r="E2" s="1437"/>
      <c r="F2" s="1437"/>
      <c r="G2" s="1437"/>
      <c r="H2" s="1437"/>
      <c r="I2" s="1436"/>
      <c r="J2" s="1438"/>
      <c r="K2" s="1437"/>
      <c r="L2" s="1437"/>
      <c r="M2" s="1260"/>
    </row>
    <row r="3" spans="1:48" ht="15" customHeight="1" x14ac:dyDescent="0.25">
      <c r="A3" s="1439"/>
      <c r="B3" s="1440"/>
      <c r="C3" s="1440"/>
      <c r="D3" s="1440"/>
      <c r="E3" s="1440"/>
      <c r="F3" s="1440"/>
      <c r="G3" s="1440"/>
      <c r="H3" s="1440"/>
      <c r="I3" s="1439"/>
      <c r="J3" s="1441"/>
      <c r="K3" s="1440"/>
      <c r="L3" s="1440"/>
      <c r="M3" s="1260"/>
    </row>
    <row r="4" spans="1:48" ht="19.5" customHeight="1" x14ac:dyDescent="0.25">
      <c r="A4" s="1445" t="str">
        <f>'Расчет ЦП - общая форма'!B4</f>
        <v>№п/п</v>
      </c>
      <c r="B4" s="1444" t="s">
        <v>786</v>
      </c>
      <c r="C4" s="1444" t="str">
        <f>'Расчет ЦП - общая форма'!C4</f>
        <v>Наименование объекта центра питания, класс напряжения</v>
      </c>
      <c r="D4" s="1445" t="str">
        <f>'Расчет ЦП - общая форма'!D4</f>
        <v xml:space="preserve">Текущий дефицит </v>
      </c>
      <c r="E4" s="1452"/>
      <c r="F4" s="1452"/>
      <c r="G4" s="1452"/>
      <c r="H4" s="1453"/>
      <c r="I4" s="1445"/>
      <c r="J4" s="1454"/>
      <c r="K4" s="1444" t="str">
        <f>'Расчет ЦП - общая форма'!S4</f>
        <v>Примечание</v>
      </c>
      <c r="L4" s="1445" t="str">
        <f>'Расчет ЦП - общая форма'!T4</f>
        <v>Примечание</v>
      </c>
      <c r="M4" s="1444" t="str">
        <f>'Расчет ЦП - общая форма'!U4</f>
        <v>Процент загрузки к номинальной мощности, %</v>
      </c>
    </row>
    <row r="5" spans="1:48" ht="15" customHeight="1" x14ac:dyDescent="0.25">
      <c r="A5" s="1445"/>
      <c r="B5" s="1444"/>
      <c r="C5" s="1444"/>
      <c r="D5" s="1446" t="str">
        <f>'Расчет ЦП - общая форма'!D5</f>
        <v>Установленная мощность трансформаторов Sуст. с указанием их количества, шт/ МВА</v>
      </c>
      <c r="E5" s="1447"/>
      <c r="F5" s="1447"/>
      <c r="G5" s="1447"/>
      <c r="H5" s="1448"/>
      <c r="I5" s="1446" t="str">
        <f>'Расчет ЦП - общая форма'!Q5</f>
        <v>Дефицит/профицит  ЦП, МВА</v>
      </c>
      <c r="J5" s="1455"/>
      <c r="K5" s="1444"/>
      <c r="L5" s="1445"/>
      <c r="M5" s="1444"/>
    </row>
    <row r="6" spans="1:48" x14ac:dyDescent="0.25">
      <c r="A6" s="1445"/>
      <c r="B6" s="1444"/>
      <c r="C6" s="1444"/>
      <c r="D6" s="1449"/>
      <c r="E6" s="1450"/>
      <c r="F6" s="1450"/>
      <c r="G6" s="1450"/>
      <c r="H6" s="1451"/>
      <c r="I6" s="1449"/>
      <c r="J6" s="1456"/>
      <c r="K6" s="1444"/>
      <c r="L6" s="1445"/>
      <c r="M6" s="1444"/>
    </row>
    <row r="7" spans="1:48" s="232" customFormat="1" hidden="1" x14ac:dyDescent="0.25">
      <c r="A7" s="915">
        <f>'Расчет ЦП - общая форма'!B7</f>
        <v>1</v>
      </c>
      <c r="B7" s="916"/>
      <c r="C7" s="880">
        <f>'Расчет ЦП - общая форма'!C7</f>
        <v>2</v>
      </c>
      <c r="D7" s="1457">
        <f>'Расчет ЦП - общая форма'!D7</f>
        <v>3</v>
      </c>
      <c r="E7" s="1458"/>
      <c r="F7" s="1458"/>
      <c r="G7" s="1458"/>
      <c r="H7" s="1459"/>
      <c r="I7" s="916">
        <f>'Расчет ЦП - общая форма'!Q7</f>
        <v>10</v>
      </c>
      <c r="J7" s="918">
        <f>'Расчет ЦП - общая форма'!R7</f>
        <v>11</v>
      </c>
      <c r="K7" s="917">
        <f>'Расчет ЦП - общая форма'!S7</f>
        <v>12</v>
      </c>
      <c r="L7" s="915">
        <f>'Расчет ЦП - общая форма'!T7</f>
        <v>13</v>
      </c>
      <c r="M7" s="916">
        <f>'Расчет ЦП - общая форма'!U7</f>
        <v>13</v>
      </c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</row>
    <row r="8" spans="1:48" s="232" customFormat="1" hidden="1" x14ac:dyDescent="0.25">
      <c r="A8" s="213">
        <f>'Расчет ЦП - общая форма'!A8</f>
        <v>1</v>
      </c>
      <c r="B8" s="213">
        <f>COUNTIFS($C$8:C8,"*ПС*",$L$8:L8,"*закрыт*")</f>
        <v>0</v>
      </c>
      <c r="C8" s="214" t="str">
        <f>'Расчет ЦП - общая форма'!C8</f>
        <v>ПС  35/10 кВ Алексейково</v>
      </c>
      <c r="D8" s="230">
        <f>'Расчет ЦП - общая форма'!D8</f>
        <v>1.6</v>
      </c>
      <c r="E8" s="229">
        <f>'Расчет ЦП - общая форма'!E8</f>
        <v>0</v>
      </c>
      <c r="F8" s="229">
        <f>'Расчет ЦП - общая форма'!F8</f>
        <v>0</v>
      </c>
      <c r="G8" s="229">
        <f>'Расчет ЦП - общая форма'!G8</f>
        <v>0</v>
      </c>
      <c r="H8" s="229">
        <f>'Расчет ЦП - общая форма'!H8</f>
        <v>0</v>
      </c>
      <c r="I8" s="172">
        <f>'Расчет ЦП - общая форма'!Q8</f>
        <v>0.19999999999999996</v>
      </c>
      <c r="J8" s="172">
        <f>'Расчет ЦП - общая форма'!R8</f>
        <v>0.19999999999999996</v>
      </c>
      <c r="K8" s="242" t="str">
        <f>'Расчет ЦП - общая форма'!S8</f>
        <v/>
      </c>
      <c r="L8" s="257" t="str">
        <f>'Расчет ЦП - общая форма'!T8</f>
        <v/>
      </c>
      <c r="M8" s="768">
        <f>'Расчет ЦП - общая форма'!U8</f>
        <v>38.69047619047619</v>
      </c>
      <c r="N8" s="920"/>
      <c r="O8" s="233"/>
    </row>
    <row r="9" spans="1:48" s="232" customFormat="1" hidden="1" x14ac:dyDescent="0.25">
      <c r="A9" s="213">
        <f>'Расчет ЦП - общая форма'!A9</f>
        <v>2</v>
      </c>
      <c r="B9" s="1256">
        <f>COUNTIFS($C$8:C9,"*ПС*",$L$8:L9,"*закрыт*")</f>
        <v>0</v>
      </c>
      <c r="C9" s="213" t="str">
        <f>'Расчет ЦП - общая форма'!C9</f>
        <v xml:space="preserve">ПС 35/10 кВ Беляницы </v>
      </c>
      <c r="D9" s="230">
        <f>'Расчет ЦП - общая форма'!D9</f>
        <v>1.6</v>
      </c>
      <c r="E9" s="229">
        <f>'Расчет ЦП - общая форма'!E9</f>
        <v>0</v>
      </c>
      <c r="F9" s="229">
        <f>'Расчет ЦП - общая форма'!F9</f>
        <v>0</v>
      </c>
      <c r="G9" s="229">
        <f>'Расчет ЦП - общая форма'!G9</f>
        <v>0</v>
      </c>
      <c r="H9" s="229">
        <f>'Расчет ЦП - общая форма'!H9</f>
        <v>0</v>
      </c>
      <c r="I9" s="172">
        <f>'Расчет ЦП - общая форма'!Q9</f>
        <v>0.84</v>
      </c>
      <c r="J9" s="172">
        <f>'Расчет ЦП - общая форма'!R9</f>
        <v>0.84</v>
      </c>
      <c r="K9" s="213" t="str">
        <f>'Расчет ЦП - общая форма'!S9</f>
        <v/>
      </c>
      <c r="L9" s="257" t="str">
        <f>'Расчет ЦП - общая форма'!T9</f>
        <v/>
      </c>
      <c r="M9" s="768">
        <f>'Расчет ЦП - общая форма'!U9</f>
        <v>33.928571428571423</v>
      </c>
      <c r="N9" s="919"/>
      <c r="O9" s="919"/>
      <c r="P9" s="919"/>
    </row>
    <row r="10" spans="1:48" x14ac:dyDescent="0.25">
      <c r="A10" s="213">
        <f>'Расчет ЦП - общая форма'!A10</f>
        <v>3</v>
      </c>
      <c r="B10" s="1256">
        <f>COUNTIFS($C$8:C10,"*ПС*",$L$8:L10,"*закрыт*")</f>
        <v>1</v>
      </c>
      <c r="C10" s="213" t="str">
        <f>'Расчет ЦП - общая форма'!C10</f>
        <v xml:space="preserve">ПС 35/10 кВ Борисовское </v>
      </c>
      <c r="D10" s="230">
        <f>'Расчет ЦП - общая форма'!D10</f>
        <v>1</v>
      </c>
      <c r="E10" s="229">
        <f>'Расчет ЦП - общая форма'!E10</f>
        <v>0</v>
      </c>
      <c r="F10" s="229">
        <f>'Расчет ЦП - общая форма'!F10</f>
        <v>0</v>
      </c>
      <c r="G10" s="229">
        <f>'Расчет ЦП - общая форма'!G10</f>
        <v>0</v>
      </c>
      <c r="H10" s="229">
        <f>'Расчет ЦП - общая форма'!H10</f>
        <v>0</v>
      </c>
      <c r="I10" s="172">
        <f>'Расчет ЦП - общая форма'!Q10</f>
        <v>-0.18</v>
      </c>
      <c r="J10" s="172">
        <f>'Расчет ЦП - общая форма'!R10</f>
        <v>-0.18</v>
      </c>
      <c r="K10" s="213" t="str">
        <f>'Расчет ЦП - общая форма'!S10</f>
        <v>закрыт</v>
      </c>
      <c r="L10" s="257" t="str">
        <f>'Расчет ЦП - общая форма'!T10</f>
        <v>закрыт</v>
      </c>
      <c r="M10" s="768">
        <f>'Расчет ЦП - общая форма'!U10</f>
        <v>17.142857142857142</v>
      </c>
      <c r="N10" s="924"/>
      <c r="O10" s="924"/>
      <c r="P10" s="924"/>
    </row>
    <row r="11" spans="1:48" s="232" customFormat="1" hidden="1" x14ac:dyDescent="0.25">
      <c r="A11" s="213">
        <f>'Расчет ЦП - общая форма'!A11</f>
        <v>4</v>
      </c>
      <c r="B11" s="1256">
        <f>COUNTIFS($C$8:C11,"*ПС*",$L$8:L11,"*закрыт*")</f>
        <v>1</v>
      </c>
      <c r="C11" s="213" t="str">
        <f>'Расчет ЦП - общая форма'!C11</f>
        <v xml:space="preserve">ПС 35/10 кВ Высокуша  </v>
      </c>
      <c r="D11" s="230">
        <f>'Расчет ЦП - общая форма'!D11</f>
        <v>1.6</v>
      </c>
      <c r="E11" s="229">
        <f>'Расчет ЦП - общая форма'!E11</f>
        <v>0</v>
      </c>
      <c r="F11" s="229">
        <f>'Расчет ЦП - общая форма'!F11</f>
        <v>0</v>
      </c>
      <c r="G11" s="229">
        <f>'Расчет ЦП - общая форма'!G11</f>
        <v>0</v>
      </c>
      <c r="H11" s="229">
        <f>'Расчет ЦП - общая форма'!H11</f>
        <v>0</v>
      </c>
      <c r="I11" s="172">
        <f>'Расчет ЦП - общая форма'!Q11</f>
        <v>0.84</v>
      </c>
      <c r="J11" s="172">
        <f>'Расчет ЦП - общая форма'!R11</f>
        <v>0.84</v>
      </c>
      <c r="K11" s="213" t="str">
        <f>'Расчет ЦП - общая форма'!S11</f>
        <v/>
      </c>
      <c r="L11" s="257" t="str">
        <f>'Расчет ЦП - общая форма'!T11</f>
        <v/>
      </c>
      <c r="M11" s="768">
        <f>'Расчет ЦП - общая форма'!U11</f>
        <v>1.7857142857142856</v>
      </c>
      <c r="N11" s="919"/>
      <c r="O11" s="919"/>
      <c r="P11" s="919"/>
    </row>
    <row r="12" spans="1:48" x14ac:dyDescent="0.25">
      <c r="A12" s="213">
        <f>'Расчет ЦП - общая форма'!A12</f>
        <v>5</v>
      </c>
      <c r="B12" s="1256">
        <f>COUNTIFS($C$8:C12,"*ПС*",$L$8:L12,"*закрыт*")</f>
        <v>2</v>
      </c>
      <c r="C12" s="213" t="str">
        <f>'Расчет ЦП - общая форма'!C12</f>
        <v xml:space="preserve">ПС 35/10 кВ Гостиница </v>
      </c>
      <c r="D12" s="230">
        <f>'Расчет ЦП - общая форма'!D12</f>
        <v>1.6</v>
      </c>
      <c r="E12" s="229">
        <f>'Расчет ЦП - общая форма'!E12</f>
        <v>0</v>
      </c>
      <c r="F12" s="229">
        <f>'Расчет ЦП - общая форма'!F12</f>
        <v>0</v>
      </c>
      <c r="G12" s="229">
        <f>'Расчет ЦП - общая форма'!G12</f>
        <v>0</v>
      </c>
      <c r="H12" s="229">
        <f>'Расчет ЦП - общая форма'!H12</f>
        <v>0</v>
      </c>
      <c r="I12" s="172">
        <f>'Расчет ЦП - общая форма'!Q12</f>
        <v>-0.17</v>
      </c>
      <c r="J12" s="172">
        <f>'Расчет ЦП - общая форма'!R12</f>
        <v>-0.17</v>
      </c>
      <c r="K12" s="213" t="str">
        <f>'Расчет ЦП - общая форма'!S12</f>
        <v>закрыт</v>
      </c>
      <c r="L12" s="257" t="str">
        <f>'Расчет ЦП - общая форма'!T12</f>
        <v>закрыт</v>
      </c>
      <c r="M12" s="768">
        <f>'Расчет ЦП - общая форма'!U12</f>
        <v>10.119047619047619</v>
      </c>
      <c r="N12" s="924"/>
      <c r="O12" s="924"/>
      <c r="P12" s="924"/>
    </row>
    <row r="13" spans="1:48" s="232" customFormat="1" ht="15" hidden="1" customHeight="1" x14ac:dyDescent="0.25">
      <c r="A13" s="213">
        <f>'Расчет ЦП - общая форма'!A13</f>
        <v>6</v>
      </c>
      <c r="B13" s="1256">
        <f>COUNTIFS($C$8:C13,"*ПС*",$L$8:L13,"*закрыт*")</f>
        <v>2</v>
      </c>
      <c r="C13" s="213" t="str">
        <f>'Расчет ЦП - общая форма'!C13</f>
        <v xml:space="preserve">ПС  35/10 кВ Григорово </v>
      </c>
      <c r="D13" s="230">
        <f>'Расчет ЦП - общая форма'!D13</f>
        <v>2.5</v>
      </c>
      <c r="E13" s="229">
        <f>'Расчет ЦП - общая форма'!E13</f>
        <v>0</v>
      </c>
      <c r="F13" s="229">
        <f>'Расчет ЦП - общая форма'!F13</f>
        <v>0</v>
      </c>
      <c r="G13" s="229">
        <f>'Расчет ЦП - общая форма'!G13</f>
        <v>0</v>
      </c>
      <c r="H13" s="229">
        <f>'Расчет ЦП - общая форма'!H13</f>
        <v>0</v>
      </c>
      <c r="I13" s="172">
        <f>'Расчет ЦП - общая форма'!Q13</f>
        <v>0.36000000000000004</v>
      </c>
      <c r="J13" s="172">
        <f>'Расчет ЦП - общая форма'!R13</f>
        <v>0.36000000000000004</v>
      </c>
      <c r="K13" s="213" t="str">
        <f>'Расчет ЦП - общая форма'!S13</f>
        <v/>
      </c>
      <c r="L13" s="257" t="str">
        <f>'Расчет ЦП - общая форма'!T13</f>
        <v/>
      </c>
      <c r="M13" s="768">
        <f>'Расчет ЦП - общая форма'!U13</f>
        <v>16</v>
      </c>
      <c r="N13" s="919"/>
      <c r="O13" s="919"/>
      <c r="P13" s="919"/>
    </row>
    <row r="14" spans="1:48" s="232" customFormat="1" ht="15" hidden="1" customHeight="1" x14ac:dyDescent="0.25">
      <c r="A14" s="213">
        <f>'Расчет ЦП - общая форма'!A14</f>
        <v>7</v>
      </c>
      <c r="B14" s="1256">
        <f>COUNTIFS($C$8:C14,"*ПС*",$L$8:L14,"*закрыт*")</f>
        <v>2</v>
      </c>
      <c r="C14" s="213" t="str">
        <f>'Расчет ЦП - общая форма'!C14</f>
        <v xml:space="preserve">ПС 35/10 кВ Деледино </v>
      </c>
      <c r="D14" s="230">
        <f>'Расчет ЦП - общая форма'!D14</f>
        <v>4</v>
      </c>
      <c r="E14" s="229">
        <f>'Расчет ЦП - общая форма'!E14</f>
        <v>0</v>
      </c>
      <c r="F14" s="229">
        <f>'Расчет ЦП - общая форма'!F14</f>
        <v>0</v>
      </c>
      <c r="G14" s="229">
        <f>'Расчет ЦП - общая форма'!G14</f>
        <v>0</v>
      </c>
      <c r="H14" s="229">
        <f>'Расчет ЦП - общая форма'!H14</f>
        <v>0</v>
      </c>
      <c r="I14" s="172">
        <f>'Расчет ЦП - общая форма'!Q14</f>
        <v>0.53</v>
      </c>
      <c r="J14" s="172">
        <f>'Расчет ЦП - общая форма'!R14</f>
        <v>0.53</v>
      </c>
      <c r="K14" s="213" t="str">
        <f>'Расчет ЦП - общая форма'!S14</f>
        <v/>
      </c>
      <c r="L14" s="257" t="str">
        <f>'Расчет ЦП - общая форма'!T14</f>
        <v/>
      </c>
      <c r="M14" s="768">
        <f>'Расчет ЦП - общая форма'!U14</f>
        <v>4.2857142857142856</v>
      </c>
      <c r="N14" s="919"/>
      <c r="O14" s="919"/>
      <c r="P14" s="919"/>
    </row>
    <row r="15" spans="1:48" s="232" customFormat="1" ht="15" hidden="1" customHeight="1" x14ac:dyDescent="0.25">
      <c r="A15" s="213">
        <f>'Расчет ЦП - общая форма'!A15</f>
        <v>8</v>
      </c>
      <c r="B15" s="1256">
        <f>COUNTIFS($C$8:C15,"*ПС*",$L$8:L15,"*закрыт*")</f>
        <v>2</v>
      </c>
      <c r="C15" s="213" t="str">
        <f>'Расчет ЦП - общая форма'!C15</f>
        <v xml:space="preserve">ПС 35/10 кВ Зараменье </v>
      </c>
      <c r="D15" s="230">
        <f>'Расчет ЦП - общая форма'!D15</f>
        <v>1.6</v>
      </c>
      <c r="E15" s="229">
        <f>'Расчет ЦП - общая форма'!E15</f>
        <v>0</v>
      </c>
      <c r="F15" s="229">
        <f>'Расчет ЦП - общая форма'!F15</f>
        <v>0</v>
      </c>
      <c r="G15" s="229">
        <f>'Расчет ЦП - общая форма'!G15</f>
        <v>0</v>
      </c>
      <c r="H15" s="229">
        <f>'Расчет ЦП - общая форма'!H15</f>
        <v>0</v>
      </c>
      <c r="I15" s="172">
        <f>'Расчет ЦП - общая форма'!Q15</f>
        <v>0.79</v>
      </c>
      <c r="J15" s="172">
        <f>'Расчет ЦП - общая форма'!R15</f>
        <v>0.79</v>
      </c>
      <c r="K15" s="213" t="str">
        <f>'Расчет ЦП - общая форма'!S15</f>
        <v/>
      </c>
      <c r="L15" s="257" t="str">
        <f>'Расчет ЦП - общая форма'!T15</f>
        <v/>
      </c>
      <c r="M15" s="768">
        <f>'Расчет ЦП - общая форма'!U15</f>
        <v>11.309523809523808</v>
      </c>
      <c r="N15" s="919"/>
      <c r="O15" s="919"/>
      <c r="P15" s="919"/>
    </row>
    <row r="16" spans="1:48" s="232" customFormat="1" ht="15" hidden="1" customHeight="1" x14ac:dyDescent="0.25">
      <c r="A16" s="213">
        <f>'Расчет ЦП - общая форма'!A16</f>
        <v>9</v>
      </c>
      <c r="B16" s="1256">
        <f>COUNTIFS($C$8:C16,"*ПС*",$L$8:L16,"*закрыт*")</f>
        <v>2</v>
      </c>
      <c r="C16" s="213" t="str">
        <f>'Расчет ЦП - общая форма'!C16</f>
        <v xml:space="preserve">ПС 35/10 кВ Зобы </v>
      </c>
      <c r="D16" s="230">
        <f>'Расчет ЦП - общая форма'!D16</f>
        <v>4</v>
      </c>
      <c r="E16" s="229">
        <f>'Расчет ЦП - общая форма'!E16</f>
        <v>0</v>
      </c>
      <c r="F16" s="229">
        <f>'Расчет ЦП - общая форма'!F16</f>
        <v>0</v>
      </c>
      <c r="G16" s="229">
        <f>'Расчет ЦП - общая форма'!G16</f>
        <v>0</v>
      </c>
      <c r="H16" s="229">
        <f>'Расчет ЦП - общая форма'!H16</f>
        <v>0</v>
      </c>
      <c r="I16" s="172">
        <f>'Расчет ЦП - общая форма'!Q16</f>
        <v>2.6500000000000004</v>
      </c>
      <c r="J16" s="172">
        <f>'Расчет ЦП - общая форма'!R16</f>
        <v>2.6500000000000004</v>
      </c>
      <c r="K16" s="213" t="str">
        <f>'Расчет ЦП - общая форма'!S16</f>
        <v/>
      </c>
      <c r="L16" s="257" t="str">
        <f>'Расчет ЦП - общая форма'!T16</f>
        <v/>
      </c>
      <c r="M16" s="768">
        <f>'Расчет ЦП - общая форма'!U16</f>
        <v>8.0952380952380949</v>
      </c>
      <c r="N16" s="919"/>
      <c r="O16" s="919"/>
      <c r="P16" s="919"/>
    </row>
    <row r="17" spans="1:48" s="232" customFormat="1" ht="15" hidden="1" customHeight="1" x14ac:dyDescent="0.25">
      <c r="A17" s="213">
        <f>'Расчет ЦП - общая форма'!A17</f>
        <v>10</v>
      </c>
      <c r="B17" s="1256">
        <f>COUNTIFS($C$8:C17,"*ПС*",$L$8:L17,"*закрыт*")</f>
        <v>2</v>
      </c>
      <c r="C17" s="213" t="str">
        <f>'Расчет ЦП - общая форма'!C17</f>
        <v xml:space="preserve">ПС 35/10 кВ Кой  </v>
      </c>
      <c r="D17" s="230">
        <f>'Расчет ЦП - общая форма'!D17</f>
        <v>1.8</v>
      </c>
      <c r="E17" s="229">
        <f>'Расчет ЦП - общая форма'!E17</f>
        <v>0</v>
      </c>
      <c r="F17" s="229">
        <f>'Расчет ЦП - общая форма'!F17</f>
        <v>0</v>
      </c>
      <c r="G17" s="229">
        <f>'Расчет ЦП - общая форма'!G17</f>
        <v>0</v>
      </c>
      <c r="H17" s="229">
        <f>'Расчет ЦП - общая форма'!H17</f>
        <v>0</v>
      </c>
      <c r="I17" s="172">
        <f>'Расчет ЦП - общая форма'!Q17</f>
        <v>0.38999999999999996</v>
      </c>
      <c r="J17" s="172">
        <f>'Расчет ЦП - общая форма'!R17</f>
        <v>0.38999999999999996</v>
      </c>
      <c r="K17" s="213" t="str">
        <f>'Расчет ЦП - общая форма'!S17</f>
        <v/>
      </c>
      <c r="L17" s="257" t="str">
        <f>'Расчет ЦП - общая форма'!T17</f>
        <v/>
      </c>
      <c r="M17" s="768">
        <f>'Расчет ЦП - общая форма'!U17</f>
        <v>16.93121693121693</v>
      </c>
      <c r="N17" s="919"/>
      <c r="O17" s="919"/>
      <c r="P17" s="919"/>
    </row>
    <row r="18" spans="1:48" s="232" customFormat="1" ht="15" hidden="1" customHeight="1" x14ac:dyDescent="0.25">
      <c r="A18" s="213">
        <f>'Расчет ЦП - общая форма'!A18</f>
        <v>11</v>
      </c>
      <c r="B18" s="1256">
        <f>COUNTIFS($C$8:C18,"*ПС*",$L$8:L18,"*закрыт*")</f>
        <v>2</v>
      </c>
      <c r="C18" s="213" t="str">
        <f>'Расчет ЦП - общая форма'!C18</f>
        <v xml:space="preserve">ПС 35/10 кВ Ладожское  </v>
      </c>
      <c r="D18" s="230">
        <f>'Расчет ЦП - общая форма'!D18</f>
        <v>1.6</v>
      </c>
      <c r="E18" s="229">
        <f>'Расчет ЦП - общая форма'!E18</f>
        <v>0</v>
      </c>
      <c r="F18" s="229">
        <f>'Расчет ЦП - общая форма'!F18</f>
        <v>0</v>
      </c>
      <c r="G18" s="229">
        <f>'Расчет ЦП - общая форма'!G18</f>
        <v>0</v>
      </c>
      <c r="H18" s="229">
        <f>'Расчет ЦП - общая форма'!H18</f>
        <v>0</v>
      </c>
      <c r="I18" s="172">
        <f>'Расчет ЦП - общая форма'!Q18</f>
        <v>1.23</v>
      </c>
      <c r="J18" s="172">
        <f>'Расчет ЦП - общая форма'!R18</f>
        <v>1.23</v>
      </c>
      <c r="K18" s="213" t="str">
        <f>'Расчет ЦП - общая форма'!S18</f>
        <v/>
      </c>
      <c r="L18" s="257" t="str">
        <f>'Расчет ЦП - общая форма'!T18</f>
        <v/>
      </c>
      <c r="M18" s="768">
        <f>'Расчет ЦП - общая форма'!U18</f>
        <v>6.5476190476190466</v>
      </c>
      <c r="N18" s="919"/>
      <c r="O18" s="919"/>
      <c r="P18" s="919"/>
    </row>
    <row r="19" spans="1:48" s="232" customFormat="1" ht="15" hidden="1" customHeight="1" x14ac:dyDescent="0.25">
      <c r="A19" s="213">
        <f>'Расчет ЦП - общая форма'!A19</f>
        <v>12</v>
      </c>
      <c r="B19" s="1256">
        <f>COUNTIFS($C$8:C19,"*ПС*",$L$8:L19,"*закрыт*")</f>
        <v>2</v>
      </c>
      <c r="C19" s="213" t="str">
        <f>'Расчет ЦП - общая форма'!C19</f>
        <v xml:space="preserve">ПС 35/10 кВ Литвиново </v>
      </c>
      <c r="D19" s="230">
        <f>'Расчет ЦП - общая форма'!D19</f>
        <v>4</v>
      </c>
      <c r="E19" s="229">
        <f>'Расчет ЦП - общая форма'!E19</f>
        <v>0</v>
      </c>
      <c r="F19" s="229">
        <f>'Расчет ЦП - общая форма'!F19</f>
        <v>0</v>
      </c>
      <c r="G19" s="229">
        <f>'Расчет ЦП - общая форма'!G19</f>
        <v>0</v>
      </c>
      <c r="H19" s="229">
        <f>'Расчет ЦП - общая форма'!H19</f>
        <v>0</v>
      </c>
      <c r="I19" s="172">
        <f>'Расчет ЦП - общая форма'!Q19</f>
        <v>0.85000000000000009</v>
      </c>
      <c r="J19" s="172">
        <f>'Расчет ЦП - общая форма'!R19</f>
        <v>0.85000000000000009</v>
      </c>
      <c r="K19" s="213" t="str">
        <f>'Расчет ЦП - общая форма'!S19</f>
        <v/>
      </c>
      <c r="L19" s="257" t="str">
        <f>'Расчет ЦП - общая форма'!T19</f>
        <v/>
      </c>
      <c r="M19" s="768">
        <f>'Расчет ЦП - общая форма'!U19</f>
        <v>1.6666666666666667</v>
      </c>
      <c r="N19" s="919"/>
      <c r="O19" s="919"/>
      <c r="P19" s="919"/>
    </row>
    <row r="20" spans="1:48" s="232" customFormat="1" ht="15" hidden="1" customHeight="1" x14ac:dyDescent="0.25">
      <c r="A20" s="213">
        <f>'Расчет ЦП - общая форма'!A20</f>
        <v>13</v>
      </c>
      <c r="B20" s="1256">
        <f>COUNTIFS($C$8:C20,"*ПС*",$L$8:L20,"*закрыт*")</f>
        <v>2</v>
      </c>
      <c r="C20" s="213" t="str">
        <f>'Расчет ЦП - общая форма'!C20</f>
        <v xml:space="preserve">ПС 35/10 кВ Лощемля  </v>
      </c>
      <c r="D20" s="230">
        <f>'Расчет ЦП - общая форма'!D20</f>
        <v>2.5</v>
      </c>
      <c r="E20" s="229">
        <f>'Расчет ЦП - общая форма'!E20</f>
        <v>0</v>
      </c>
      <c r="F20" s="229">
        <f>'Расчет ЦП - общая форма'!F20</f>
        <v>0</v>
      </c>
      <c r="G20" s="229">
        <f>'Расчет ЦП - общая форма'!G20</f>
        <v>0</v>
      </c>
      <c r="H20" s="229">
        <f>'Расчет ЦП - общая форма'!H20</f>
        <v>0</v>
      </c>
      <c r="I20" s="172">
        <f>'Расчет ЦП - общая форма'!Q20</f>
        <v>0.48000000000000004</v>
      </c>
      <c r="J20" s="172">
        <f>'Расчет ЦП - общая форма'!R20</f>
        <v>0.48000000000000004</v>
      </c>
      <c r="K20" s="213" t="str">
        <f>'Расчет ЦП - общая форма'!S20</f>
        <v/>
      </c>
      <c r="L20" s="257" t="str">
        <f>'Расчет ЦП - общая форма'!T20</f>
        <v/>
      </c>
      <c r="M20" s="768">
        <f>'Расчет ЦП - общая форма'!U20</f>
        <v>12.19047619047619</v>
      </c>
      <c r="N20" s="919"/>
      <c r="O20" s="919"/>
      <c r="P20" s="919"/>
    </row>
    <row r="21" spans="1:48" s="232" customFormat="1" ht="15" hidden="1" customHeight="1" x14ac:dyDescent="0.25">
      <c r="A21" s="213">
        <f>'Расчет ЦП - общая форма'!A21</f>
        <v>14</v>
      </c>
      <c r="B21" s="1256">
        <f>COUNTIFS($C$8:C21,"*ПС*",$L$8:L21,"*закрыт*")</f>
        <v>2</v>
      </c>
      <c r="C21" s="213" t="str">
        <f>'Расчет ЦП - общая форма'!C21</f>
        <v xml:space="preserve">ПС 35/10 кВ Любегощи </v>
      </c>
      <c r="D21" s="230">
        <f>'Расчет ЦП - общая форма'!D21</f>
        <v>1.8</v>
      </c>
      <c r="E21" s="229">
        <f>'Расчет ЦП - общая форма'!E21</f>
        <v>0</v>
      </c>
      <c r="F21" s="229">
        <f>'Расчет ЦП - общая форма'!F21</f>
        <v>0</v>
      </c>
      <c r="G21" s="229">
        <f>'Расчет ЦП - общая форма'!G21</f>
        <v>0</v>
      </c>
      <c r="H21" s="229">
        <f>'Расчет ЦП - общая форма'!H21</f>
        <v>0</v>
      </c>
      <c r="I21" s="172">
        <f>'Расчет ЦП - общая форма'!Q21</f>
        <v>0.97</v>
      </c>
      <c r="J21" s="172">
        <f>'Расчет ЦП - общая форма'!R21</f>
        <v>0.97</v>
      </c>
      <c r="K21" s="213" t="str">
        <f>'Расчет ЦП - общая форма'!S21</f>
        <v/>
      </c>
      <c r="L21" s="257" t="str">
        <f>'Расчет ЦП - общая форма'!T21</f>
        <v/>
      </c>
      <c r="M21" s="768">
        <f>'Расчет ЦП - общая форма'!U21</f>
        <v>17.460317460317459</v>
      </c>
      <c r="N21" s="919"/>
      <c r="O21" s="919"/>
      <c r="P21" s="919"/>
    </row>
    <row r="22" spans="1:48" s="232" customFormat="1" ht="15" hidden="1" customHeight="1" x14ac:dyDescent="0.25">
      <c r="A22" s="213">
        <f>'Расчет ЦП - общая форма'!A22</f>
        <v>15</v>
      </c>
      <c r="B22" s="1256">
        <f>COUNTIFS($C$8:C22,"*ПС*",$L$8:L22,"*закрыт*")</f>
        <v>2</v>
      </c>
      <c r="C22" s="213" t="str">
        <f>'Расчет ЦП - общая форма'!C22</f>
        <v xml:space="preserve">ПС 35/10 кВ Мартыново </v>
      </c>
      <c r="D22" s="230">
        <f>'Расчет ЦП - общая форма'!D22</f>
        <v>1.6</v>
      </c>
      <c r="E22" s="229">
        <f>'Расчет ЦП - общая форма'!E22</f>
        <v>0</v>
      </c>
      <c r="F22" s="229">
        <f>'Расчет ЦП - общая форма'!F22</f>
        <v>0</v>
      </c>
      <c r="G22" s="229">
        <f>'Расчет ЦП - общая форма'!G22</f>
        <v>0</v>
      </c>
      <c r="H22" s="229">
        <f>'Расчет ЦП - общая форма'!H22</f>
        <v>0</v>
      </c>
      <c r="I22" s="172">
        <f>'Расчет ЦП - общая форма'!Q22</f>
        <v>0.65999999999999992</v>
      </c>
      <c r="J22" s="172">
        <f>'Расчет ЦП - общая форма'!R22</f>
        <v>0.65999999999999992</v>
      </c>
      <c r="K22" s="213" t="str">
        <f>'Расчет ЦП - общая форма'!S22</f>
        <v/>
      </c>
      <c r="L22" s="257" t="str">
        <f>'Расчет ЦП - общая форма'!T22</f>
        <v/>
      </c>
      <c r="M22" s="768">
        <f>'Расчет ЦП - общая форма'!U22</f>
        <v>1.7857142857142856</v>
      </c>
      <c r="N22" s="919"/>
      <c r="O22" s="919"/>
      <c r="P22" s="919"/>
    </row>
    <row r="23" spans="1:48" s="232" customFormat="1" ht="15" hidden="1" customHeight="1" x14ac:dyDescent="0.25">
      <c r="A23" s="213">
        <f>'Расчет ЦП - общая форма'!A23</f>
        <v>16</v>
      </c>
      <c r="B23" s="1256">
        <f>COUNTIFS($C$8:C23,"*ПС*",$L$8:L23,"*закрыт*")</f>
        <v>2</v>
      </c>
      <c r="C23" s="213" t="str">
        <f>'Расчет ЦП - общая форма'!C23</f>
        <v xml:space="preserve">ПС 35/10 кВ Михайловское  </v>
      </c>
      <c r="D23" s="230">
        <f>'Расчет ЦП - общая форма'!D23</f>
        <v>2.5</v>
      </c>
      <c r="E23" s="229">
        <f>'Расчет ЦП - общая форма'!E23</f>
        <v>0</v>
      </c>
      <c r="F23" s="229">
        <f>'Расчет ЦП - общая форма'!F23</f>
        <v>0</v>
      </c>
      <c r="G23" s="229">
        <f>'Расчет ЦП - общая форма'!G23</f>
        <v>0</v>
      </c>
      <c r="H23" s="229">
        <f>'Расчет ЦП - общая форма'!H23</f>
        <v>0</v>
      </c>
      <c r="I23" s="172">
        <f>'Расчет ЦП - общая форма'!Q23</f>
        <v>0.83999999999999986</v>
      </c>
      <c r="J23" s="172">
        <f>'Расчет ЦП - общая форма'!R23</f>
        <v>0.83999999999999986</v>
      </c>
      <c r="K23" s="213" t="str">
        <f>'Расчет ЦП - общая форма'!S23</f>
        <v/>
      </c>
      <c r="L23" s="257" t="str">
        <f>'Расчет ЦП - общая форма'!T23</f>
        <v/>
      </c>
      <c r="M23" s="768">
        <f>'Расчет ЦП - общая форма'!U23</f>
        <v>11.047619047619046</v>
      </c>
      <c r="N23" s="919"/>
      <c r="O23" s="919"/>
      <c r="P23" s="919"/>
    </row>
    <row r="24" spans="1:48" s="232" customFormat="1" ht="15" hidden="1" customHeight="1" x14ac:dyDescent="0.25">
      <c r="A24" s="213">
        <f>'Расчет ЦП - общая форма'!A24</f>
        <v>17</v>
      </c>
      <c r="B24" s="1256">
        <f>COUNTIFS($C$8:C24,"*ПС*",$L$8:L24,"*закрыт*")</f>
        <v>2</v>
      </c>
      <c r="C24" s="213" t="str">
        <f>'Расчет ЦП - общая форма'!C24</f>
        <v xml:space="preserve">ПС 35/10 кВ Морозово  </v>
      </c>
      <c r="D24" s="230">
        <f>'Расчет ЦП - общая форма'!D24</f>
        <v>2.5</v>
      </c>
      <c r="E24" s="229">
        <f>'Расчет ЦП - общая форма'!E24</f>
        <v>0</v>
      </c>
      <c r="F24" s="229">
        <f>'Расчет ЦП - общая форма'!F24</f>
        <v>0</v>
      </c>
      <c r="G24" s="229">
        <f>'Расчет ЦП - общая форма'!G24</f>
        <v>0</v>
      </c>
      <c r="H24" s="229">
        <f>'Расчет ЦП - общая форма'!H24</f>
        <v>0</v>
      </c>
      <c r="I24" s="172">
        <f>'Расчет ЦП - общая форма'!Q24</f>
        <v>0.73</v>
      </c>
      <c r="J24" s="172">
        <f>'Расчет ЦП - общая форма'!R24</f>
        <v>0.73</v>
      </c>
      <c r="K24" s="213" t="str">
        <f>'Расчет ЦП - общая форма'!S24</f>
        <v/>
      </c>
      <c r="L24" s="257" t="str">
        <f>'Расчет ЦП - общая форма'!T24</f>
        <v/>
      </c>
      <c r="M24" s="768">
        <f>'Расчет ЦП - общая форма'!U24</f>
        <v>5.3333333333333339</v>
      </c>
      <c r="N24" s="919"/>
      <c r="O24" s="919"/>
      <c r="P24" s="919"/>
    </row>
    <row r="25" spans="1:48" s="232" customFormat="1" ht="15" hidden="1" customHeight="1" x14ac:dyDescent="0.25">
      <c r="A25" s="213">
        <f>'Расчет ЦП - общая форма'!A25</f>
        <v>18</v>
      </c>
      <c r="B25" s="1256">
        <f>COUNTIFS($C$8:C25,"*ПС*",$L$8:L25,"*закрыт*")</f>
        <v>2</v>
      </c>
      <c r="C25" s="213" t="str">
        <f>'Расчет ЦП - общая форма'!C25</f>
        <v xml:space="preserve">ПС 35/10 кВ Поповка </v>
      </c>
      <c r="D25" s="230">
        <f>'Расчет ЦП - общая форма'!D25</f>
        <v>1.6</v>
      </c>
      <c r="E25" s="229">
        <f>'Расчет ЦП - общая форма'!E25</f>
        <v>0</v>
      </c>
      <c r="F25" s="229">
        <f>'Расчет ЦП - общая форма'!F25</f>
        <v>0</v>
      </c>
      <c r="G25" s="229">
        <f>'Расчет ЦП - общая форма'!G25</f>
        <v>0</v>
      </c>
      <c r="H25" s="229">
        <f>'Расчет ЦП - общая форма'!H25</f>
        <v>0</v>
      </c>
      <c r="I25" s="172">
        <f>'Расчет ЦП - общая форма'!Q25</f>
        <v>0.71</v>
      </c>
      <c r="J25" s="172">
        <f>'Расчет ЦП - общая форма'!R25</f>
        <v>0.71</v>
      </c>
      <c r="K25" s="213" t="str">
        <f>'Расчет ЦП - общая форма'!S25</f>
        <v/>
      </c>
      <c r="L25" s="257" t="str">
        <f>'Расчет ЦП - общая форма'!T25</f>
        <v/>
      </c>
      <c r="M25" s="768">
        <f>'Расчет ЦП - общая форма'!U25</f>
        <v>1.1904761904761905</v>
      </c>
      <c r="N25" s="919"/>
      <c r="O25" s="919"/>
      <c r="P25" s="919"/>
    </row>
    <row r="26" spans="1:48" s="232" customFormat="1" ht="15" hidden="1" customHeight="1" x14ac:dyDescent="0.25">
      <c r="A26" s="213">
        <f>'Расчет ЦП - общая форма'!A26</f>
        <v>19</v>
      </c>
      <c r="B26" s="1256">
        <f>COUNTIFS($C$8:C26,"*ПС*",$L$8:L26,"*закрыт*")</f>
        <v>2</v>
      </c>
      <c r="C26" s="213" t="str">
        <f>'Расчет ЦП - общая форма'!C26</f>
        <v xml:space="preserve">ПС 35/10 кВ Романцево </v>
      </c>
      <c r="D26" s="230">
        <f>'Расчет ЦП - общая форма'!D26</f>
        <v>1.6</v>
      </c>
      <c r="E26" s="229">
        <f>'Расчет ЦП - общая форма'!E26</f>
        <v>0</v>
      </c>
      <c r="F26" s="229">
        <f>'Расчет ЦП - общая форма'!F26</f>
        <v>0</v>
      </c>
      <c r="G26" s="229">
        <f>'Расчет ЦП - общая форма'!G26</f>
        <v>0</v>
      </c>
      <c r="H26" s="229">
        <f>'Расчет ЦП - общая форма'!H26</f>
        <v>0</v>
      </c>
      <c r="I26" s="172">
        <f>'Расчет ЦП - общая форма'!Q26</f>
        <v>0.62</v>
      </c>
      <c r="J26" s="172">
        <f>'Расчет ЦП - общая форма'!R26</f>
        <v>0.62</v>
      </c>
      <c r="K26" s="213" t="str">
        <f>'Расчет ЦП - общая форма'!S26</f>
        <v/>
      </c>
      <c r="L26" s="257" t="str">
        <f>'Расчет ЦП - общая форма'!T26</f>
        <v/>
      </c>
      <c r="M26" s="768">
        <f>'Расчет ЦП - общая форма'!U26</f>
        <v>6.5476190476190466</v>
      </c>
      <c r="N26" s="919"/>
      <c r="O26" s="919"/>
      <c r="P26" s="919"/>
    </row>
    <row r="27" spans="1:48" s="232" customFormat="1" ht="30" customHeight="1" x14ac:dyDescent="0.25">
      <c r="A27" s="213">
        <f>'Расчет ЦП - общая форма'!A27</f>
        <v>20</v>
      </c>
      <c r="B27" s="213">
        <f>COUNTIFS($C$8:C27,"*ПС*",$L$8:L27,"*закрыт*")</f>
        <v>3</v>
      </c>
      <c r="C27" s="213" t="str">
        <f>'Расчет ЦП - общая форма'!C27</f>
        <v xml:space="preserve">ПС 35/10 кВ Старое Сандово </v>
      </c>
      <c r="D27" s="230">
        <f>'Расчет ЦП - общая форма'!D27</f>
        <v>2.5</v>
      </c>
      <c r="E27" s="229">
        <f>'Расчет ЦП - общая форма'!E27</f>
        <v>0</v>
      </c>
      <c r="F27" s="229">
        <f>'Расчет ЦП - общая форма'!F27</f>
        <v>0</v>
      </c>
      <c r="G27" s="229">
        <f>'Расчет ЦП - общая форма'!G27</f>
        <v>0</v>
      </c>
      <c r="H27" s="229">
        <f>'Расчет ЦП - общая форма'!H27</f>
        <v>0</v>
      </c>
      <c r="I27" s="172">
        <f>'Расчет ЦП - общая форма'!Q27</f>
        <v>-0.16999999999999993</v>
      </c>
      <c r="J27" s="172">
        <f>'Расчет ЦП - общая форма'!R27</f>
        <v>-0.16999999999999993</v>
      </c>
      <c r="K27" s="213" t="str">
        <f>'Расчет ЦП - общая форма'!S27</f>
        <v>закрыт</v>
      </c>
      <c r="L27" s="257" t="str">
        <f>'Расчет ЦП - общая форма'!T27</f>
        <v>закрыт</v>
      </c>
      <c r="M27" s="768">
        <f>'Расчет ЦП - общая форма'!U27</f>
        <v>32.38095238095238</v>
      </c>
      <c r="N27" s="924"/>
      <c r="O27" s="924"/>
      <c r="P27" s="924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</row>
    <row r="28" spans="1:48" ht="20.100000000000001" hidden="1" customHeight="1" x14ac:dyDescent="0.25">
      <c r="A28" s="213">
        <f>'Расчет ЦП - общая форма'!A28</f>
        <v>21</v>
      </c>
      <c r="B28" s="213">
        <f>COUNTIFS($C$8:C28,"*ПС*",$L$8:L28,"*закрыт*")</f>
        <v>3</v>
      </c>
      <c r="C28" s="213" t="str">
        <f>'Расчет ЦП - общая форма'!C28</f>
        <v xml:space="preserve">ПС 35/10 кВ Сукромны </v>
      </c>
      <c r="D28" s="230">
        <f>'Расчет ЦП - общая форма'!D28</f>
        <v>1.6</v>
      </c>
      <c r="E28" s="229">
        <f>'Расчет ЦП - общая форма'!E28</f>
        <v>0</v>
      </c>
      <c r="F28" s="229">
        <f>'Расчет ЦП - общая форма'!F28</f>
        <v>0</v>
      </c>
      <c r="G28" s="229">
        <f>'Расчет ЦП - общая форма'!G28</f>
        <v>0</v>
      </c>
      <c r="H28" s="229">
        <f>'Расчет ЦП - общая форма'!H28</f>
        <v>0</v>
      </c>
      <c r="I28" s="172">
        <f>'Расчет ЦП - общая форма'!Q28</f>
        <v>0</v>
      </c>
      <c r="J28" s="172">
        <f>'Расчет ЦП - общая форма'!R28</f>
        <v>0</v>
      </c>
      <c r="K28" s="213" t="str">
        <f>'Расчет ЦП - общая форма'!S28</f>
        <v/>
      </c>
      <c r="L28" s="257" t="str">
        <f>'Расчет ЦП - общая форма'!T28</f>
        <v/>
      </c>
      <c r="M28" s="768">
        <f>'Расчет ЦП - общая форма'!U28</f>
        <v>42.857142857142854</v>
      </c>
      <c r="N28" s="924"/>
      <c r="O28" s="924"/>
      <c r="P28" s="924"/>
    </row>
    <row r="29" spans="1:48" s="232" customFormat="1" ht="15" hidden="1" customHeight="1" x14ac:dyDescent="0.25">
      <c r="A29" s="213">
        <f>'Расчет ЦП - общая форма'!A29</f>
        <v>22</v>
      </c>
      <c r="B29" s="213">
        <f>COUNTIFS($C$8:C29,"*ПС*",$L$8:L29,"*закрыт*")</f>
        <v>3</v>
      </c>
      <c r="C29" s="213" t="str">
        <f>'Расчет ЦП - общая форма'!C29</f>
        <v xml:space="preserve">ПС 35/10 кВ Теблеши </v>
      </c>
      <c r="D29" s="230">
        <f>'Расчет ЦП - общая форма'!D29</f>
        <v>2.5</v>
      </c>
      <c r="E29" s="229">
        <f>'Расчет ЦП - общая форма'!E29</f>
        <v>0</v>
      </c>
      <c r="F29" s="229">
        <f>'Расчет ЦП - общая форма'!F29</f>
        <v>0</v>
      </c>
      <c r="G29" s="229">
        <f>'Расчет ЦП - общая форма'!G29</f>
        <v>0</v>
      </c>
      <c r="H29" s="229">
        <f>'Расчет ЦП - общая форма'!H29</f>
        <v>0</v>
      </c>
      <c r="I29" s="172">
        <f>'Расчет ЦП - общая форма'!Q29</f>
        <v>1.1499999999999999</v>
      </c>
      <c r="J29" s="172">
        <f>'Расчет ЦП - общая форма'!R29</f>
        <v>1.1499999999999999</v>
      </c>
      <c r="K29" s="213" t="str">
        <f>'Расчет ЦП - общая форма'!S29</f>
        <v/>
      </c>
      <c r="L29" s="257" t="str">
        <f>'Расчет ЦП - общая форма'!T29</f>
        <v/>
      </c>
      <c r="M29" s="768">
        <f>'Расчет ЦП - общая форма'!U29</f>
        <v>4.1904761904761907</v>
      </c>
      <c r="N29" s="919"/>
      <c r="O29" s="919"/>
      <c r="P29" s="919"/>
    </row>
    <row r="30" spans="1:48" s="232" customFormat="1" ht="15" hidden="1" customHeight="1" x14ac:dyDescent="0.25">
      <c r="A30" s="213">
        <f>'Расчет ЦП - общая форма'!A30</f>
        <v>23</v>
      </c>
      <c r="B30" s="213">
        <f>COUNTIFS($C$8:C30,"*ПС*",$L$8:L30,"*закрыт*")</f>
        <v>3</v>
      </c>
      <c r="C30" s="213" t="str">
        <f>'Расчет ЦП - общая форма'!C30</f>
        <v xml:space="preserve">ПС 35/10 кВ Трестна </v>
      </c>
      <c r="D30" s="230">
        <f>'Расчет ЦП - общая форма'!D30</f>
        <v>2.5</v>
      </c>
      <c r="E30" s="229">
        <f>'Расчет ЦП - общая форма'!E30</f>
        <v>0</v>
      </c>
      <c r="F30" s="229">
        <f>'Расчет ЦП - общая форма'!F30</f>
        <v>0</v>
      </c>
      <c r="G30" s="229">
        <f>'Расчет ЦП - общая форма'!G30</f>
        <v>0</v>
      </c>
      <c r="H30" s="229">
        <f>'Расчет ЦП - общая форма'!H30</f>
        <v>0</v>
      </c>
      <c r="I30" s="172">
        <f>'Расчет ЦП - общая форма'!Q30</f>
        <v>1.24</v>
      </c>
      <c r="J30" s="172">
        <f>'Расчет ЦП - общая форма'!R30</f>
        <v>1.24</v>
      </c>
      <c r="K30" s="213" t="str">
        <f>'Расчет ЦП - общая форма'!S30</f>
        <v/>
      </c>
      <c r="L30" s="257" t="str">
        <f>'Расчет ЦП - общая форма'!T30</f>
        <v/>
      </c>
      <c r="M30" s="768">
        <f>'Расчет ЦП - общая форма'!U30</f>
        <v>5.7142857142857144</v>
      </c>
      <c r="N30" s="919"/>
      <c r="O30" s="919"/>
      <c r="P30" s="919"/>
    </row>
    <row r="31" spans="1:48" s="232" customFormat="1" ht="15" hidden="1" customHeight="1" x14ac:dyDescent="0.25">
      <c r="A31" s="213">
        <f>'Расчет ЦП - общая форма'!A31</f>
        <v>24</v>
      </c>
      <c r="B31" s="213">
        <f>COUNTIFS($C$8:C31,"*ПС*",$L$8:L31,"*закрыт*")</f>
        <v>3</v>
      </c>
      <c r="C31" s="213" t="str">
        <f>'Расчет ЦП - общая форма'!C31</f>
        <v xml:space="preserve">ПС  35/10 кВ Фралёво </v>
      </c>
      <c r="D31" s="230">
        <f>'Расчет ЦП - общая форма'!D31</f>
        <v>4</v>
      </c>
      <c r="E31" s="229">
        <f>'Расчет ЦП - общая форма'!E31</f>
        <v>0</v>
      </c>
      <c r="F31" s="229">
        <f>'Расчет ЦП - общая форма'!F31</f>
        <v>0</v>
      </c>
      <c r="G31" s="229">
        <f>'Расчет ЦП - общая форма'!G31</f>
        <v>0</v>
      </c>
      <c r="H31" s="229">
        <f>'Расчет ЦП - общая форма'!H31</f>
        <v>0</v>
      </c>
      <c r="I31" s="172">
        <f>'Расчет ЦП - общая форма'!Q31</f>
        <v>0.4800000000000002</v>
      </c>
      <c r="J31" s="172">
        <f>'Расчет ЦП - общая форма'!R31</f>
        <v>0.4800000000000002</v>
      </c>
      <c r="K31" s="213" t="str">
        <f>'Расчет ЦП - общая форма'!S31</f>
        <v/>
      </c>
      <c r="L31" s="257" t="str">
        <f>'Расчет ЦП - общая форма'!T31</f>
        <v/>
      </c>
      <c r="M31" s="768">
        <f>'Расчет ЦП - общая форма'!U31</f>
        <v>26.904761904761902</v>
      </c>
      <c r="N31" s="919"/>
      <c r="O31" s="919"/>
      <c r="P31" s="919"/>
    </row>
    <row r="32" spans="1:48" s="232" customFormat="1" ht="30" customHeight="1" x14ac:dyDescent="0.25">
      <c r="A32" s="213">
        <f>'Расчет ЦП - общая форма'!A32</f>
        <v>25</v>
      </c>
      <c r="B32" s="213">
        <f>COUNTIFS($C$8:C32,"*ПС*",$L$8:L32,"*закрыт*")</f>
        <v>4</v>
      </c>
      <c r="C32" s="213" t="str">
        <f>'Расчет ЦП - общая форма'!C32</f>
        <v xml:space="preserve">ПС 35/10 кВ Чамерово </v>
      </c>
      <c r="D32" s="230">
        <f>'Расчет ЦП - общая форма'!D32</f>
        <v>1.8</v>
      </c>
      <c r="E32" s="229">
        <f>'Расчет ЦП - общая форма'!E32</f>
        <v>0</v>
      </c>
      <c r="F32" s="229">
        <f>'Расчет ЦП - общая форма'!F32</f>
        <v>0</v>
      </c>
      <c r="G32" s="229">
        <f>'Расчет ЦП - общая форма'!G32</f>
        <v>0</v>
      </c>
      <c r="H32" s="229">
        <f>'Расчет ЦП - общая форма'!H32</f>
        <v>0</v>
      </c>
      <c r="I32" s="172">
        <f>'Расчет ЦП - общая форма'!Q32</f>
        <v>-0.17000000000000004</v>
      </c>
      <c r="J32" s="172">
        <f>'Расчет ЦП - общая форма'!R32</f>
        <v>-0.17000000000000004</v>
      </c>
      <c r="K32" s="213" t="str">
        <f>'Расчет ЦП - общая форма'!S32</f>
        <v>закрыт</v>
      </c>
      <c r="L32" s="257" t="str">
        <f>'Расчет ЦП - общая форма'!T32</f>
        <v>закрыт</v>
      </c>
      <c r="M32" s="768">
        <f>'Расчет ЦП - общая форма'!U32</f>
        <v>47.619047619047613</v>
      </c>
      <c r="N32" s="924"/>
      <c r="O32" s="924"/>
      <c r="P32" s="924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</row>
    <row r="33" spans="1:48" s="232" customFormat="1" ht="15" hidden="1" customHeight="1" x14ac:dyDescent="0.25">
      <c r="A33" s="213">
        <f>'Расчет ЦП - общая форма'!A33</f>
        <v>26</v>
      </c>
      <c r="B33" s="213">
        <f>COUNTIFS($C$8:C33,"*ПС*",$L$8:L33,"*закрыт*")</f>
        <v>4</v>
      </c>
      <c r="C33" s="213" t="str">
        <f>'Расчет ЦП - общая форма'!C33</f>
        <v xml:space="preserve">ПС 110/10 кВ Ахматово </v>
      </c>
      <c r="D33" s="230">
        <f>'Расчет ЦП - общая форма'!D33</f>
        <v>2.5</v>
      </c>
      <c r="E33" s="229">
        <f>'Расчет ЦП - общая форма'!E33</f>
        <v>0</v>
      </c>
      <c r="F33" s="229">
        <f>'Расчет ЦП - общая форма'!F33</f>
        <v>0</v>
      </c>
      <c r="G33" s="229">
        <f>'Расчет ЦП - общая форма'!G33</f>
        <v>0</v>
      </c>
      <c r="H33" s="229">
        <f>'Расчет ЦП - общая форма'!H33</f>
        <v>0</v>
      </c>
      <c r="I33" s="172">
        <f>'Расчет ЦП - общая форма'!Q33</f>
        <v>0.45999999999999996</v>
      </c>
      <c r="J33" s="172">
        <f>'Расчет ЦП - общая форма'!R33</f>
        <v>0.45999999999999996</v>
      </c>
      <c r="K33" s="213" t="str">
        <f>'Расчет ЦП - общая форма'!S33</f>
        <v/>
      </c>
      <c r="L33" s="257" t="str">
        <f>'Расчет ЦП - общая форма'!T33</f>
        <v/>
      </c>
      <c r="M33" s="768">
        <f>'Расчет ЦП - общая форма'!U33</f>
        <v>9.5238095238095237</v>
      </c>
      <c r="N33" s="919"/>
      <c r="O33" s="919"/>
      <c r="P33" s="919"/>
    </row>
    <row r="34" spans="1:48" s="232" customFormat="1" ht="15" hidden="1" customHeight="1" x14ac:dyDescent="0.25">
      <c r="A34" s="213">
        <f>'Расчет ЦП - общая форма'!A34</f>
        <v>27</v>
      </c>
      <c r="B34" s="213">
        <f>COUNTIFS($C$8:C34,"*ПС*",$L$8:L34,"*закрыт*")</f>
        <v>4</v>
      </c>
      <c r="C34" s="213" t="str">
        <f>'Расчет ЦП - общая форма'!C34</f>
        <v xml:space="preserve">ПС 110/10 кВ Кладово </v>
      </c>
      <c r="D34" s="230">
        <f>'Расчет ЦП - общая форма'!D34</f>
        <v>6.3</v>
      </c>
      <c r="E34" s="229">
        <f>'Расчет ЦП - общая форма'!E34</f>
        <v>0</v>
      </c>
      <c r="F34" s="229">
        <f>'Расчет ЦП - общая форма'!F34</f>
        <v>0</v>
      </c>
      <c r="G34" s="229">
        <f>'Расчет ЦП - общая форма'!G34</f>
        <v>0</v>
      </c>
      <c r="H34" s="229">
        <f>'Расчет ЦП - общая форма'!H34</f>
        <v>0</v>
      </c>
      <c r="I34" s="172">
        <f>'Расчет ЦП - общая форма'!Q34</f>
        <v>1.04</v>
      </c>
      <c r="J34" s="172">
        <f>'Расчет ЦП - общая форма'!R34</f>
        <v>1.04</v>
      </c>
      <c r="K34" s="213" t="str">
        <f>'Расчет ЦП - общая форма'!S34</f>
        <v/>
      </c>
      <c r="L34" s="257" t="str">
        <f>'Расчет ЦП - общая форма'!T34</f>
        <v/>
      </c>
      <c r="M34" s="768">
        <f>'Расчет ЦП - общая форма'!U34</f>
        <v>8.314436885865458</v>
      </c>
      <c r="N34" s="919"/>
      <c r="O34" s="919"/>
      <c r="P34" s="919"/>
    </row>
    <row r="35" spans="1:48" s="232" customFormat="1" ht="15" hidden="1" customHeight="1" x14ac:dyDescent="0.25">
      <c r="A35" s="213">
        <f>'Расчет ЦП - общая форма'!A35</f>
        <v>28</v>
      </c>
      <c r="B35" s="213">
        <f>COUNTIFS($C$8:C35,"*ПС*",$L$8:L35,"*закрыт*")</f>
        <v>4</v>
      </c>
      <c r="C35" s="213" t="str">
        <f>'Расчет ЦП - общая форма'!C35</f>
        <v xml:space="preserve">ПС 110/10 кВ Лаптиха </v>
      </c>
      <c r="D35" s="230">
        <f>'Расчет ЦП - общая форма'!D35</f>
        <v>2.5</v>
      </c>
      <c r="E35" s="229">
        <f>'Расчет ЦП - общая форма'!E35</f>
        <v>0</v>
      </c>
      <c r="F35" s="229">
        <f>'Расчет ЦП - общая форма'!F35</f>
        <v>0</v>
      </c>
      <c r="G35" s="229">
        <f>'Расчет ЦП - общая форма'!G35</f>
        <v>0</v>
      </c>
      <c r="H35" s="229">
        <f>'Расчет ЦП - общая форма'!H35</f>
        <v>0</v>
      </c>
      <c r="I35" s="172">
        <f>'Расчет ЦП - общая форма'!Q35</f>
        <v>0.67</v>
      </c>
      <c r="J35" s="172">
        <f>'Расчет ЦП - общая форма'!R35</f>
        <v>0.67</v>
      </c>
      <c r="K35" s="213" t="str">
        <f>'Расчет ЦП - общая форма'!S35</f>
        <v/>
      </c>
      <c r="L35" s="257" t="str">
        <f>'Расчет ЦП - общая форма'!T35</f>
        <v/>
      </c>
      <c r="M35" s="768">
        <f>'Расчет ЦП - общая форма'!U35</f>
        <v>8.3809523809523814</v>
      </c>
      <c r="N35" s="919"/>
      <c r="O35" s="919"/>
      <c r="P35" s="919"/>
    </row>
    <row r="36" spans="1:48" s="232" customFormat="1" ht="15" hidden="1" customHeight="1" x14ac:dyDescent="0.25">
      <c r="A36" s="213">
        <f>'Расчет ЦП - общая форма'!A36</f>
        <v>29</v>
      </c>
      <c r="B36" s="213">
        <f>COUNTIFS($C$8:C36,"*ПС*",$L$8:L36,"*закрыт*")</f>
        <v>4</v>
      </c>
      <c r="C36" s="213" t="str">
        <f>'Расчет ЦП - общая форма'!C36</f>
        <v xml:space="preserve">ПС 110/10 кВ Малышево </v>
      </c>
      <c r="D36" s="230">
        <f>'Расчет ЦП - общая форма'!D36</f>
        <v>2.5</v>
      </c>
      <c r="E36" s="229">
        <f>'Расчет ЦП - общая форма'!E36</f>
        <v>0</v>
      </c>
      <c r="F36" s="229">
        <f>'Расчет ЦП - общая форма'!F36</f>
        <v>0</v>
      </c>
      <c r="G36" s="229">
        <f>'Расчет ЦП - общая форма'!G36</f>
        <v>0</v>
      </c>
      <c r="H36" s="229">
        <f>'Расчет ЦП - общая форма'!H36</f>
        <v>0</v>
      </c>
      <c r="I36" s="172">
        <f>'Расчет ЦП - общая форма'!Q36</f>
        <v>3.0000000000000027E-2</v>
      </c>
      <c r="J36" s="172">
        <f>'Расчет ЦП - общая форма'!R36</f>
        <v>3.0000000000000027E-2</v>
      </c>
      <c r="K36" s="213" t="str">
        <f>'Расчет ЦП - общая форма'!S36</f>
        <v/>
      </c>
      <c r="L36" s="257" t="str">
        <f>'Расчет ЦП - общая форма'!T36</f>
        <v/>
      </c>
      <c r="M36" s="768">
        <f>'Расчет ЦП - общая форма'!U36</f>
        <v>31.238095238095237</v>
      </c>
      <c r="N36" s="919"/>
      <c r="O36" s="919"/>
      <c r="P36" s="919"/>
    </row>
    <row r="37" spans="1:48" s="232" customFormat="1" ht="15" hidden="1" customHeight="1" x14ac:dyDescent="0.25">
      <c r="A37" s="213">
        <f>'Расчет ЦП - общая форма'!A37</f>
        <v>30</v>
      </c>
      <c r="B37" s="213">
        <f>COUNTIFS($C$8:C37,"*ПС*",$L$8:L37,"*закрыт*")</f>
        <v>4</v>
      </c>
      <c r="C37" s="213" t="str">
        <f>'Расчет ЦП - общая форма'!C37</f>
        <v xml:space="preserve">ПС 110/10 кВ Старт </v>
      </c>
      <c r="D37" s="230">
        <f>'Расчет ЦП - общая форма'!D37</f>
        <v>16</v>
      </c>
      <c r="E37" s="229">
        <f>'Расчет ЦП - общая форма'!E37</f>
        <v>0</v>
      </c>
      <c r="F37" s="229">
        <f>'Расчет ЦП - общая форма'!F37</f>
        <v>0</v>
      </c>
      <c r="G37" s="229">
        <f>'Расчет ЦП - общая форма'!G37</f>
        <v>0</v>
      </c>
      <c r="H37" s="229">
        <f>'Расчет ЦП - общая форма'!H37</f>
        <v>0</v>
      </c>
      <c r="I37" s="172">
        <f>'Расчет ЦП - общая форма'!Q37</f>
        <v>1.0000000000000002</v>
      </c>
      <c r="J37" s="172">
        <f>'Расчет ЦП - общая форма'!R37</f>
        <v>1.0000000000000002</v>
      </c>
      <c r="K37" s="213" t="str">
        <f>'Расчет ЦП - общая форма'!S37</f>
        <v/>
      </c>
      <c r="L37" s="257" t="str">
        <f>'Расчет ЦП - общая форма'!T37</f>
        <v/>
      </c>
      <c r="M37" s="768">
        <f>'Расчет ЦП - общая форма'!U37</f>
        <v>11.726190476190476</v>
      </c>
      <c r="N37" s="919"/>
      <c r="O37" s="919"/>
      <c r="P37" s="919"/>
    </row>
    <row r="38" spans="1:48" s="232" customFormat="1" ht="30" customHeight="1" x14ac:dyDescent="0.25">
      <c r="A38" s="213">
        <f>'Расчет ЦП - общая форма'!A38</f>
        <v>31</v>
      </c>
      <c r="B38" s="213">
        <f>COUNTIFS($C$8:C38,"*ПС*",$L$8:L38,"*закрыт*")</f>
        <v>5</v>
      </c>
      <c r="C38" s="213" t="str">
        <f>'Расчет ЦП - общая форма'!C38</f>
        <v xml:space="preserve">ПС 110/35 кВ Рассвет </v>
      </c>
      <c r="D38" s="230">
        <f>'Расчет ЦП - общая форма'!D38</f>
        <v>10</v>
      </c>
      <c r="E38" s="229">
        <f>'Расчет ЦП - общая форма'!E38</f>
        <v>0</v>
      </c>
      <c r="F38" s="229">
        <f>'Расчет ЦП - общая форма'!F38</f>
        <v>0</v>
      </c>
      <c r="G38" s="229">
        <f>'Расчет ЦП - общая форма'!G38</f>
        <v>0</v>
      </c>
      <c r="H38" s="229">
        <f>'Расчет ЦП - общая форма'!H38</f>
        <v>0</v>
      </c>
      <c r="I38" s="172">
        <f>'Расчет ЦП - общая форма'!Q38</f>
        <v>-0.75999999999999979</v>
      </c>
      <c r="J38" s="172">
        <f>'Расчет ЦП - общая форма'!R38</f>
        <v>-0.75999999999999979</v>
      </c>
      <c r="K38" s="213" t="str">
        <f>'Расчет ЦП - общая форма'!S38</f>
        <v>закрыт</v>
      </c>
      <c r="L38" s="257" t="str">
        <f>'Расчет ЦП - общая форма'!T38</f>
        <v>закрыт</v>
      </c>
      <c r="M38" s="768">
        <f>'Расчет ЦП - общая форма'!U38</f>
        <v>54.857142857142854</v>
      </c>
      <c r="N38" s="924"/>
      <c r="O38" s="924"/>
      <c r="P38" s="924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</row>
    <row r="39" spans="1:48" ht="20.100000000000001" customHeight="1" x14ac:dyDescent="0.25">
      <c r="A39" s="1371">
        <f>'Расчет ЦП - общая форма'!A39</f>
        <v>32</v>
      </c>
      <c r="B39" s="1376">
        <f>COUNTIFS($C$8:C39,"*ПС*",$L$8:L39,"*закрыт*")</f>
        <v>6</v>
      </c>
      <c r="C39" s="213" t="str">
        <f>'Расчет ЦП - общая форма'!C39</f>
        <v xml:space="preserve">ПС 110/35/10 кВ Иваново </v>
      </c>
      <c r="D39" s="230">
        <f>'Расчет ЦП - общая форма'!D39</f>
        <v>6.3</v>
      </c>
      <c r="E39" s="229">
        <f>'Расчет ЦП - общая форма'!E39</f>
        <v>0</v>
      </c>
      <c r="F39" s="229">
        <f>'Расчет ЦП - общая форма'!F39</f>
        <v>0</v>
      </c>
      <c r="G39" s="229">
        <f>'Расчет ЦП - общая форма'!G39</f>
        <v>0</v>
      </c>
      <c r="H39" s="229">
        <f>'Расчет ЦП - общая форма'!H39</f>
        <v>0</v>
      </c>
      <c r="I39" s="172">
        <f>'Расчет ЦП - общая форма'!Q39</f>
        <v>0.25</v>
      </c>
      <c r="J39" s="1364">
        <f>'Расчет ЦП - общая форма'!R39</f>
        <v>-0.94</v>
      </c>
      <c r="K39" s="1376" t="str">
        <f>'Расчет ЦП - общая форма'!S39</f>
        <v>закрыт</v>
      </c>
      <c r="L39" s="257" t="str">
        <f>'Расчет ЦП - общая форма'!T39</f>
        <v>закрыт</v>
      </c>
      <c r="M39" s="1362">
        <f>'Расчет ЦП - общая форма'!U39</f>
        <v>16.931216931216934</v>
      </c>
      <c r="N39" s="924"/>
      <c r="O39" s="924"/>
      <c r="P39" s="924"/>
    </row>
    <row r="40" spans="1:48" ht="20.100000000000001" customHeight="1" x14ac:dyDescent="0.25">
      <c r="A40" s="1371">
        <f>'Расчет ЦП - общая форма'!A40</f>
        <v>0</v>
      </c>
      <c r="B40" s="1393"/>
      <c r="C40" s="213" t="str">
        <f>'Расчет ЦП - общая форма'!C40</f>
        <v xml:space="preserve">Ном. Мощность СН, МВА </v>
      </c>
      <c r="D40" s="230">
        <f>'Расчет ЦП - общая форма'!D40</f>
        <v>6.3</v>
      </c>
      <c r="E40" s="229">
        <f>'Расчет ЦП - общая форма'!E40</f>
        <v>0</v>
      </c>
      <c r="F40" s="229">
        <f>'Расчет ЦП - общая форма'!F40</f>
        <v>0</v>
      </c>
      <c r="G40" s="229">
        <f>'Расчет ЦП - общая форма'!G40</f>
        <v>0</v>
      </c>
      <c r="H40" s="229">
        <f>'Расчет ЦП - общая форма'!H40</f>
        <v>0</v>
      </c>
      <c r="I40" s="172">
        <f>'Расчет ЦП - общая форма'!Q40</f>
        <v>-0.94</v>
      </c>
      <c r="J40" s="1365">
        <f>'Расчет ЦП - общая форма'!R40</f>
        <v>0</v>
      </c>
      <c r="K40" s="1393">
        <f>'Расчет ЦП - общая форма'!S40</f>
        <v>0</v>
      </c>
      <c r="L40" s="257" t="str">
        <f>'Расчет ЦП - общая форма'!T40</f>
        <v>закрыт</v>
      </c>
      <c r="M40" s="1362">
        <f>'Расчет ЦП - общая форма'!U40</f>
        <v>0</v>
      </c>
      <c r="N40" s="924"/>
      <c r="O40" s="924"/>
      <c r="P40" s="924"/>
    </row>
    <row r="41" spans="1:48" ht="20.100000000000001" customHeight="1" x14ac:dyDescent="0.25">
      <c r="A41" s="1371">
        <f>'Расчет ЦП - общая форма'!A41</f>
        <v>0</v>
      </c>
      <c r="B41" s="1394"/>
      <c r="C41" s="213" t="str">
        <f>'Расчет ЦП - общая форма'!C41</f>
        <v>Ном. мощность НН, МВА</v>
      </c>
      <c r="D41" s="230">
        <f>'Расчет ЦП - общая форма'!D41</f>
        <v>6.3</v>
      </c>
      <c r="E41" s="229">
        <f>'Расчет ЦП - общая форма'!E41</f>
        <v>0</v>
      </c>
      <c r="F41" s="229">
        <f>'Расчет ЦП - общая форма'!F41</f>
        <v>0</v>
      </c>
      <c r="G41" s="229">
        <f>'Расчет ЦП - общая форма'!G41</f>
        <v>0</v>
      </c>
      <c r="H41" s="229">
        <f>'Расчет ЦП - общая форма'!H41</f>
        <v>0</v>
      </c>
      <c r="I41" s="172">
        <f>'Расчет ЦП - общая форма'!Q41</f>
        <v>1.1900000000000002</v>
      </c>
      <c r="J41" s="1366">
        <f>'Расчет ЦП - общая форма'!R41</f>
        <v>0</v>
      </c>
      <c r="K41" s="1394">
        <f>'Расчет ЦП - общая форма'!S41</f>
        <v>0</v>
      </c>
      <c r="L41" s="257" t="str">
        <f>'Расчет ЦП - общая форма'!T41</f>
        <v>закрыт</v>
      </c>
      <c r="M41" s="1362">
        <f>'Расчет ЦП - общая форма'!U41</f>
        <v>0</v>
      </c>
      <c r="N41" s="924"/>
      <c r="O41" s="924"/>
      <c r="P41" s="924"/>
    </row>
    <row r="42" spans="1:48" ht="20.100000000000001" customHeight="1" x14ac:dyDescent="0.25">
      <c r="A42" s="1371">
        <f>'Расчет ЦП - общая форма'!A42</f>
        <v>33</v>
      </c>
      <c r="B42" s="1376">
        <f>COUNTIFS($C$8:C42,"*ПС*",$L$8:L42,"*закрыт*")</f>
        <v>7</v>
      </c>
      <c r="C42" s="213" t="str">
        <f>'Расчет ЦП - общая форма'!C42</f>
        <v xml:space="preserve">ПС 110/35/10 кВ Кесьма </v>
      </c>
      <c r="D42" s="230">
        <f>'Расчет ЦП - общая форма'!D42</f>
        <v>6.3</v>
      </c>
      <c r="E42" s="229">
        <f>'Расчет ЦП - общая форма'!E42</f>
        <v>0</v>
      </c>
      <c r="F42" s="229">
        <f>'Расчет ЦП - общая форма'!F42</f>
        <v>0</v>
      </c>
      <c r="G42" s="229">
        <f>'Расчет ЦП - общая форма'!G42</f>
        <v>0</v>
      </c>
      <c r="H42" s="229">
        <f>'Расчет ЦП - общая форма'!H42</f>
        <v>0</v>
      </c>
      <c r="I42" s="172">
        <f>'Расчет ЦП - общая форма'!Q42</f>
        <v>0.67999999999999994</v>
      </c>
      <c r="J42" s="1379">
        <f>'Расчет ЦП - общая форма'!R42</f>
        <v>-0.06</v>
      </c>
      <c r="K42" s="1376" t="str">
        <f>'Расчет ЦП - общая форма'!S42</f>
        <v>закрыт</v>
      </c>
      <c r="L42" s="257" t="str">
        <f>'Расчет ЦП - общая форма'!T42</f>
        <v>закрыт</v>
      </c>
      <c r="M42" s="1362">
        <f>'Расчет ЦП - общая форма'!U42</f>
        <v>11.942554799697657</v>
      </c>
      <c r="N42" s="924"/>
      <c r="O42" s="924"/>
      <c r="P42" s="924"/>
    </row>
    <row r="43" spans="1:48" ht="20.100000000000001" customHeight="1" x14ac:dyDescent="0.25">
      <c r="A43" s="1371">
        <f>'Расчет ЦП - общая форма'!A43</f>
        <v>0</v>
      </c>
      <c r="B43" s="1393"/>
      <c r="C43" s="213" t="str">
        <f>'Расчет ЦП - общая форма'!C43</f>
        <v xml:space="preserve">Ном. Мощность СН, МВА </v>
      </c>
      <c r="D43" s="230">
        <f>'Расчет ЦП - общая форма'!D43</f>
        <v>6.3</v>
      </c>
      <c r="E43" s="229">
        <f>'Расчет ЦП - общая форма'!E43</f>
        <v>0</v>
      </c>
      <c r="F43" s="229">
        <f>'Расчет ЦП - общая форма'!F43</f>
        <v>0</v>
      </c>
      <c r="G43" s="229">
        <f>'Расчет ЦП - общая форма'!G43</f>
        <v>0</v>
      </c>
      <c r="H43" s="229">
        <f>'Расчет ЦП - общая форма'!H43</f>
        <v>0</v>
      </c>
      <c r="I43" s="172">
        <f>'Расчет ЦП - общая форма'!Q43</f>
        <v>-0.06</v>
      </c>
      <c r="J43" s="1379">
        <f>'Расчет ЦП - общая форма'!R43</f>
        <v>0</v>
      </c>
      <c r="K43" s="1393">
        <f>'Расчет ЦП - общая форма'!S43</f>
        <v>0</v>
      </c>
      <c r="L43" s="257" t="str">
        <f>'Расчет ЦП - общая форма'!T43</f>
        <v>закрыт</v>
      </c>
      <c r="M43" s="1362">
        <f>'Расчет ЦП - общая форма'!U43</f>
        <v>0</v>
      </c>
      <c r="N43" s="924"/>
      <c r="O43" s="924"/>
      <c r="P43" s="924"/>
    </row>
    <row r="44" spans="1:48" ht="20.100000000000001" customHeight="1" x14ac:dyDescent="0.25">
      <c r="A44" s="1371">
        <f>'Расчет ЦП - общая форма'!A44</f>
        <v>0</v>
      </c>
      <c r="B44" s="1394"/>
      <c r="C44" s="213" t="str">
        <f>'Расчет ЦП - общая форма'!C44</f>
        <v>Ном. мощность НН, МВА</v>
      </c>
      <c r="D44" s="230">
        <f>'Расчет ЦП - общая форма'!D44</f>
        <v>6.3</v>
      </c>
      <c r="E44" s="229">
        <f>'Расчет ЦП - общая форма'!E44</f>
        <v>0</v>
      </c>
      <c r="F44" s="229">
        <f>'Расчет ЦП - общая форма'!F44</f>
        <v>0</v>
      </c>
      <c r="G44" s="229">
        <f>'Расчет ЦП - общая форма'!G44</f>
        <v>0</v>
      </c>
      <c r="H44" s="229">
        <f>'Расчет ЦП - общая форма'!H44</f>
        <v>0</v>
      </c>
      <c r="I44" s="172">
        <f>'Расчет ЦП - общая форма'!Q44</f>
        <v>0.74</v>
      </c>
      <c r="J44" s="1379">
        <f>'Расчет ЦП - общая форма'!R44</f>
        <v>0</v>
      </c>
      <c r="K44" s="1394">
        <f>'Расчет ЦП - общая форма'!S44</f>
        <v>0</v>
      </c>
      <c r="L44" s="257" t="str">
        <f>'Расчет ЦП - общая форма'!T44</f>
        <v>закрыт</v>
      </c>
      <c r="M44" s="1362">
        <f>'Расчет ЦП - общая форма'!U44</f>
        <v>0</v>
      </c>
      <c r="N44" s="924"/>
      <c r="O44" s="924"/>
      <c r="P44" s="924"/>
    </row>
    <row r="45" spans="1:48" ht="20.100000000000001" customHeight="1" x14ac:dyDescent="0.25">
      <c r="A45" s="213">
        <f>'Расчет ЦП - общая форма'!A45</f>
        <v>34</v>
      </c>
      <c r="B45" s="1376">
        <f>COUNTIFS($C$8:C45,"*ПС*",$L$8:L45,"*закрыт*")</f>
        <v>8</v>
      </c>
      <c r="C45" s="213" t="str">
        <f>'Расчет ЦП - общая форма'!C45</f>
        <v xml:space="preserve">ПС 110/35/10 кВ Моркины Горы </v>
      </c>
      <c r="D45" s="230">
        <f>'Расчет ЦП - общая форма'!D45</f>
        <v>5.6</v>
      </c>
      <c r="E45" s="229">
        <f>'Расчет ЦП - общая форма'!E45</f>
        <v>0</v>
      </c>
      <c r="F45" s="229">
        <f>'Расчет ЦП - общая форма'!F45</f>
        <v>0</v>
      </c>
      <c r="G45" s="229">
        <f>'Расчет ЦП - общая форма'!G45</f>
        <v>0</v>
      </c>
      <c r="H45" s="229">
        <f>'Расчет ЦП - общая форма'!H45</f>
        <v>0</v>
      </c>
      <c r="I45" s="172">
        <f>'Расчет ЦП - общая форма'!Q45</f>
        <v>0.73999999999999988</v>
      </c>
      <c r="J45" s="172">
        <f>'Расчет ЦП - общая форма'!R45</f>
        <v>-0.22</v>
      </c>
      <c r="K45" s="1376" t="str">
        <f>'Расчет ЦП - общая форма'!S45</f>
        <v>закрыт</v>
      </c>
      <c r="L45" s="257" t="str">
        <f>'Расчет ЦП - общая форма'!T45</f>
        <v>закрыт</v>
      </c>
      <c r="M45" s="768">
        <f>'Расчет ЦП - общая форма'!U45</f>
        <v>11.564625850340136</v>
      </c>
      <c r="N45" s="924"/>
      <c r="O45" s="924"/>
      <c r="P45" s="924"/>
    </row>
    <row r="46" spans="1:48" ht="20.100000000000001" customHeight="1" x14ac:dyDescent="0.25">
      <c r="A46" s="213">
        <f>'Расчет ЦП - общая форма'!A46</f>
        <v>0</v>
      </c>
      <c r="B46" s="1393"/>
      <c r="C46" s="213" t="str">
        <f>'Расчет ЦП - общая форма'!C46</f>
        <v xml:space="preserve">Ном. Мощность СН, МВА </v>
      </c>
      <c r="D46" s="230">
        <f>'Расчет ЦП - общая форма'!D46</f>
        <v>5.6</v>
      </c>
      <c r="E46" s="229">
        <f>'Расчет ЦП - общая форма'!E46</f>
        <v>0</v>
      </c>
      <c r="F46" s="229">
        <f>'Расчет ЦП - общая форма'!F46</f>
        <v>0</v>
      </c>
      <c r="G46" s="229">
        <f>'Расчет ЦП - общая форма'!G46</f>
        <v>0</v>
      </c>
      <c r="H46" s="229">
        <f>'Расчет ЦП - общая форма'!H46</f>
        <v>0</v>
      </c>
      <c r="I46" s="172">
        <f>'Расчет ЦП - общая форма'!Q46</f>
        <v>-0.22</v>
      </c>
      <c r="J46" s="172">
        <f>'Расчет ЦП - общая форма'!R46</f>
        <v>0</v>
      </c>
      <c r="K46" s="1393">
        <f>'Расчет ЦП - общая форма'!S46</f>
        <v>0</v>
      </c>
      <c r="L46" s="257" t="str">
        <f>'Расчет ЦП - общая форма'!T46</f>
        <v>закрыт</v>
      </c>
      <c r="M46" s="768">
        <f>'Расчет ЦП - общая форма'!U46</f>
        <v>0</v>
      </c>
      <c r="N46" s="924"/>
      <c r="O46" s="924"/>
      <c r="P46" s="924"/>
    </row>
    <row r="47" spans="1:48" ht="20.100000000000001" customHeight="1" x14ac:dyDescent="0.25">
      <c r="A47" s="213">
        <f>'Расчет ЦП - общая форма'!A47</f>
        <v>0</v>
      </c>
      <c r="B47" s="1394"/>
      <c r="C47" s="213" t="str">
        <f>'Расчет ЦП - общая форма'!C47</f>
        <v>Ном. мощность НН, МВА</v>
      </c>
      <c r="D47" s="230">
        <f>'Расчет ЦП - общая форма'!D47</f>
        <v>5.6</v>
      </c>
      <c r="E47" s="229">
        <f>'Расчет ЦП - общая форма'!E47</f>
        <v>0</v>
      </c>
      <c r="F47" s="229">
        <f>'Расчет ЦП - общая форма'!F47</f>
        <v>0</v>
      </c>
      <c r="G47" s="229">
        <f>'Расчет ЦП - общая форма'!G47</f>
        <v>0</v>
      </c>
      <c r="H47" s="229">
        <f>'Расчет ЦП - общая форма'!H47</f>
        <v>0</v>
      </c>
      <c r="I47" s="172">
        <f>'Расчет ЦП - общая форма'!Q47</f>
        <v>0.96</v>
      </c>
      <c r="J47" s="172">
        <f>'Расчет ЦП - общая форма'!R47</f>
        <v>0</v>
      </c>
      <c r="K47" s="1394">
        <f>'Расчет ЦП - общая форма'!S47</f>
        <v>0</v>
      </c>
      <c r="L47" s="257" t="str">
        <f>'Расчет ЦП - общая форма'!T47</f>
        <v>закрыт</v>
      </c>
      <c r="M47" s="768">
        <f>'Расчет ЦП - общая форма'!U47</f>
        <v>0</v>
      </c>
      <c r="N47" s="924"/>
      <c r="O47" s="924"/>
      <c r="P47" s="924"/>
    </row>
    <row r="48" spans="1:48" s="232" customFormat="1" ht="15" hidden="1" customHeight="1" x14ac:dyDescent="0.25">
      <c r="A48" s="213">
        <f>'Расчет ЦП - общая форма'!A48</f>
        <v>35</v>
      </c>
      <c r="B48" s="1376">
        <f>COUNTIFS($C$8:C48,"*ПС*",$L$8:L48,"*закрыт*")</f>
        <v>8</v>
      </c>
      <c r="C48" s="213" t="str">
        <f>'Расчет ЦП - общая форма'!C48</f>
        <v xml:space="preserve">ПС 110/35/10 кВ Топалки  </v>
      </c>
      <c r="D48" s="230">
        <f>'Расчет ЦП - общая форма'!D48</f>
        <v>6.3</v>
      </c>
      <c r="E48" s="229">
        <f>'Расчет ЦП - общая форма'!E48</f>
        <v>0</v>
      </c>
      <c r="F48" s="229">
        <f>'Расчет ЦП - общая форма'!F48</f>
        <v>0</v>
      </c>
      <c r="G48" s="229">
        <f>'Расчет ЦП - общая форма'!G48</f>
        <v>0</v>
      </c>
      <c r="H48" s="229">
        <f>'Расчет ЦП - общая форма'!H48</f>
        <v>0</v>
      </c>
      <c r="I48" s="172">
        <f>'Расчет ЦП - общая форма'!Q48</f>
        <v>3.82</v>
      </c>
      <c r="J48" s="172">
        <f>'Расчет ЦП - общая форма'!R48</f>
        <v>0.7</v>
      </c>
      <c r="K48" s="768" t="str">
        <f>'Расчет ЦП - общая форма'!S48</f>
        <v/>
      </c>
      <c r="L48" s="257" t="str">
        <f>'Расчет ЦП - общая форма'!T48</f>
        <v/>
      </c>
      <c r="M48" s="768">
        <f>'Расчет ЦП - общая форма'!U48</f>
        <v>35.071806500377924</v>
      </c>
      <c r="N48" s="919"/>
      <c r="O48" s="919"/>
      <c r="P48" s="919"/>
    </row>
    <row r="49" spans="1:16" ht="15" hidden="1" customHeight="1" x14ac:dyDescent="0.25">
      <c r="A49" s="213">
        <f>'Расчет ЦП - общая форма'!A49</f>
        <v>0</v>
      </c>
      <c r="B49" s="1393"/>
      <c r="C49" s="213" t="str">
        <f>'Расчет ЦП - общая форма'!C49</f>
        <v xml:space="preserve">Ном. Мощность СН, МВА </v>
      </c>
      <c r="D49" s="230">
        <f>'Расчет ЦП - общая форма'!D49</f>
        <v>6.3</v>
      </c>
      <c r="E49" s="229">
        <f>'Расчет ЦП - общая форма'!E49</f>
        <v>0</v>
      </c>
      <c r="F49" s="229">
        <f>'Расчет ЦП - общая форма'!F49</f>
        <v>0</v>
      </c>
      <c r="G49" s="229">
        <f>'Расчет ЦП - общая форма'!G49</f>
        <v>0</v>
      </c>
      <c r="H49" s="229">
        <f>'Расчет ЦП - общая форма'!H49</f>
        <v>0</v>
      </c>
      <c r="I49" s="172">
        <f>'Расчет ЦП - общая форма'!Q49</f>
        <v>3.12</v>
      </c>
      <c r="J49" s="172">
        <f>'Расчет ЦП - общая форма'!R49</f>
        <v>0</v>
      </c>
      <c r="K49" s="768" t="str">
        <f>'Расчет ЦП - общая форма'!S49</f>
        <v/>
      </c>
      <c r="L49" s="257" t="str">
        <f>'Расчет ЦП - общая форма'!T49</f>
        <v/>
      </c>
      <c r="M49" s="768">
        <f>'Расчет ЦП - общая форма'!U49</f>
        <v>0</v>
      </c>
      <c r="N49" s="919"/>
      <c r="O49" s="919"/>
      <c r="P49" s="919"/>
    </row>
    <row r="50" spans="1:16" ht="15" hidden="1" customHeight="1" x14ac:dyDescent="0.25">
      <c r="A50" s="213">
        <f>'Расчет ЦП - общая форма'!A50</f>
        <v>0</v>
      </c>
      <c r="B50" s="1394"/>
      <c r="C50" s="213" t="str">
        <f>'Расчет ЦП - общая форма'!C50</f>
        <v>Ном. мощность НН, МВА</v>
      </c>
      <c r="D50" s="230">
        <f>'Расчет ЦП - общая форма'!D50</f>
        <v>6.3</v>
      </c>
      <c r="E50" s="229">
        <f>'Расчет ЦП - общая форма'!E50</f>
        <v>0</v>
      </c>
      <c r="F50" s="229">
        <f>'Расчет ЦП - общая форма'!F50</f>
        <v>0</v>
      </c>
      <c r="G50" s="229">
        <f>'Расчет ЦП - общая форма'!G50</f>
        <v>0</v>
      </c>
      <c r="H50" s="229">
        <f>'Расчет ЦП - общая форма'!H50</f>
        <v>0</v>
      </c>
      <c r="I50" s="172">
        <f>'Расчет ЦП - общая форма'!Q50</f>
        <v>0.7</v>
      </c>
      <c r="J50" s="172">
        <f>'Расчет ЦП - общая форма'!R50</f>
        <v>0</v>
      </c>
      <c r="K50" s="768" t="str">
        <f>'Расчет ЦП - общая форма'!S50</f>
        <v/>
      </c>
      <c r="L50" s="257" t="str">
        <f>'Расчет ЦП - общая форма'!T50</f>
        <v/>
      </c>
      <c r="M50" s="768">
        <f>'Расчет ЦП - общая форма'!U50</f>
        <v>0</v>
      </c>
      <c r="N50" s="919"/>
      <c r="O50" s="919"/>
      <c r="P50" s="919"/>
    </row>
    <row r="51" spans="1:16" ht="15" hidden="1" customHeight="1" x14ac:dyDescent="0.25">
      <c r="A51" s="213">
        <f>'Расчет ЦП - общая форма'!A51</f>
        <v>36</v>
      </c>
      <c r="B51" s="763">
        <f>COUNTIFS($C$8:C51,"*ПС*",$L$8:L51,"*закрыт*")</f>
        <v>8</v>
      </c>
      <c r="C51" s="213" t="str">
        <f>'Расчет ЦП - общая форма'!C51</f>
        <v xml:space="preserve">ПС 35/10 кВ Березьё  </v>
      </c>
      <c r="D51" s="230">
        <f>'Расчет ЦП - общая форма'!D51</f>
        <v>1</v>
      </c>
      <c r="E51" s="229" t="str">
        <f>'Расчет ЦП - общая форма'!E51</f>
        <v>+</v>
      </c>
      <c r="F51" s="229">
        <f>'Расчет ЦП - общая форма'!F51</f>
        <v>1</v>
      </c>
      <c r="G51" s="229">
        <f>'Расчет ЦП - общая форма'!G51</f>
        <v>0</v>
      </c>
      <c r="H51" s="229">
        <f>'Расчет ЦП - общая форма'!H51</f>
        <v>0</v>
      </c>
      <c r="I51" s="172">
        <f>'Расчет ЦП - общая форма'!Q51</f>
        <v>1.6400000000000001</v>
      </c>
      <c r="J51" s="172">
        <f>'Расчет ЦП - общая форма'!R51</f>
        <v>1.6400000000000001</v>
      </c>
      <c r="K51" s="768" t="str">
        <f>'Расчет ЦП - общая форма'!S51</f>
        <v/>
      </c>
      <c r="L51" s="257" t="str">
        <f>'Расчет ЦП - общая форма'!T51</f>
        <v/>
      </c>
      <c r="M51" s="768">
        <f>'Расчет ЦП - общая форма'!U51</f>
        <v>9.5238095238095237</v>
      </c>
      <c r="N51" s="919"/>
      <c r="O51" s="919"/>
      <c r="P51" s="919"/>
    </row>
    <row r="52" spans="1:16" ht="15" hidden="1" customHeight="1" x14ac:dyDescent="0.25">
      <c r="A52" s="213">
        <f>'Расчет ЦП - общая форма'!A52</f>
        <v>37</v>
      </c>
      <c r="B52" s="763">
        <f>COUNTIFS($C$8:C52,"*ПС*",$L$8:L52,"*закрыт*")</f>
        <v>8</v>
      </c>
      <c r="C52" s="213" t="str">
        <f>'Расчет ЦП - общая форма'!C52</f>
        <v xml:space="preserve">ПС 35/10 кВ Лесное </v>
      </c>
      <c r="D52" s="230">
        <f>'Расчет ЦП - общая форма'!D52</f>
        <v>2.5</v>
      </c>
      <c r="E52" s="229" t="str">
        <f>'Расчет ЦП - общая форма'!E52</f>
        <v>+</v>
      </c>
      <c r="F52" s="229">
        <f>'Расчет ЦП - общая форма'!F52</f>
        <v>4</v>
      </c>
      <c r="G52" s="229">
        <f>'Расчет ЦП - общая форма'!G52</f>
        <v>0</v>
      </c>
      <c r="H52" s="229">
        <f>'Расчет ЦП - общая форма'!H52</f>
        <v>0</v>
      </c>
      <c r="I52" s="172">
        <f>'Расчет ЦП - общая форма'!Q52</f>
        <v>1.7550000000000001</v>
      </c>
      <c r="J52" s="172">
        <f>'Расчет ЦП - общая форма'!R52</f>
        <v>1.7550000000000001</v>
      </c>
      <c r="K52" s="768" t="str">
        <f>'Расчет ЦП - общая форма'!S52</f>
        <v/>
      </c>
      <c r="L52" s="257" t="str">
        <f>'Расчет ЦП - общая форма'!T52</f>
        <v/>
      </c>
      <c r="M52" s="768">
        <f>'Расчет ЦП - общая форма'!U52</f>
        <v>84.952380952380949</v>
      </c>
      <c r="N52" s="919"/>
      <c r="O52" s="919"/>
      <c r="P52" s="919"/>
    </row>
    <row r="53" spans="1:16" ht="15" hidden="1" customHeight="1" x14ac:dyDescent="0.25">
      <c r="A53" s="213">
        <f>'Расчет ЦП - общая форма'!A53</f>
        <v>38</v>
      </c>
      <c r="B53" s="763">
        <f>COUNTIFS($C$8:C53,"*ПС*",$L$8:L53,"*закрыт*")</f>
        <v>8</v>
      </c>
      <c r="C53" s="213" t="str">
        <f>'Расчет ЦП - общая форма'!C53</f>
        <v xml:space="preserve">ПС 35/10 кВ Максатиха   </v>
      </c>
      <c r="D53" s="230">
        <f>'Расчет ЦП - общая форма'!D53</f>
        <v>6.3</v>
      </c>
      <c r="E53" s="229" t="str">
        <f>'Расчет ЦП - общая форма'!E53</f>
        <v>+</v>
      </c>
      <c r="F53" s="229">
        <f>'Расчет ЦП - общая форма'!F53</f>
        <v>4</v>
      </c>
      <c r="G53" s="229">
        <f>'Расчет ЦП - общая форма'!G53</f>
        <v>0</v>
      </c>
      <c r="H53" s="229">
        <f>'Расчет ЦП - общая форма'!H53</f>
        <v>0</v>
      </c>
      <c r="I53" s="172">
        <f>'Расчет ЦП - общая форма'!Q53</f>
        <v>0.28000000000000025</v>
      </c>
      <c r="J53" s="172">
        <f>'Расчет ЦП - общая форма'!R53</f>
        <v>0.28000000000000025</v>
      </c>
      <c r="K53" s="768" t="str">
        <f>'Расчет ЦП - общая форма'!S53</f>
        <v/>
      </c>
      <c r="L53" s="257" t="str">
        <f>'Расчет ЦП - общая форма'!T53</f>
        <v/>
      </c>
      <c r="M53" s="768">
        <f>'Расчет ЦП - общая форма'!U53</f>
        <v>132.38095238095238</v>
      </c>
      <c r="N53" s="919"/>
      <c r="O53" s="919"/>
      <c r="P53" s="919"/>
    </row>
    <row r="54" spans="1:16" ht="15" hidden="1" customHeight="1" x14ac:dyDescent="0.25">
      <c r="A54" s="213">
        <f>'Расчет ЦП - общая форма'!A54</f>
        <v>39</v>
      </c>
      <c r="B54" s="763">
        <f>COUNTIFS($C$8:C54,"*ПС*",$L$8:L54,"*закрыт*")</f>
        <v>8</v>
      </c>
      <c r="C54" s="213" t="str">
        <f>'Расчет ЦП - общая форма'!C54</f>
        <v xml:space="preserve">ПС 35/10 кВ Молоково </v>
      </c>
      <c r="D54" s="230">
        <f>'Расчет ЦП - общая форма'!D54</f>
        <v>2.5</v>
      </c>
      <c r="E54" s="229" t="str">
        <f>'Расчет ЦП - общая форма'!E54</f>
        <v>+</v>
      </c>
      <c r="F54" s="229">
        <f>'Расчет ЦП - общая форма'!F54</f>
        <v>4</v>
      </c>
      <c r="G54" s="229">
        <f>'Расчет ЦП - общая форма'!G54</f>
        <v>0</v>
      </c>
      <c r="H54" s="229">
        <f>'Расчет ЦП - общая форма'!H54</f>
        <v>0</v>
      </c>
      <c r="I54" s="172">
        <f>'Расчет ЦП - общая форма'!Q54</f>
        <v>2.4450000000000003</v>
      </c>
      <c r="J54" s="172">
        <f>'Расчет ЦП - общая форма'!R54</f>
        <v>2.4450000000000003</v>
      </c>
      <c r="K54" s="768" t="str">
        <f>'Расчет ЦП - общая форма'!S54</f>
        <v/>
      </c>
      <c r="L54" s="257" t="str">
        <f>'Расчет ЦП - общая форма'!T54</f>
        <v/>
      </c>
      <c r="M54" s="768">
        <f>'Расчет ЦП - общая форма'!U54</f>
        <v>73.523809523809518</v>
      </c>
      <c r="N54" s="919"/>
      <c r="O54" s="919"/>
      <c r="P54" s="919"/>
    </row>
    <row r="55" spans="1:16" ht="15" hidden="1" customHeight="1" x14ac:dyDescent="0.25">
      <c r="A55" s="213">
        <f>'Расчет ЦП - общая форма'!A55</f>
        <v>40</v>
      </c>
      <c r="B55" s="763">
        <f>COUNTIFS($C$8:C55,"*ПС*",$L$8:L55,"*закрыт*")</f>
        <v>8</v>
      </c>
      <c r="C55" s="213" t="str">
        <f>'Расчет ЦП - общая форма'!C55</f>
        <v>ПС 35/10 кВ Новокотово</v>
      </c>
      <c r="D55" s="230">
        <f>'Расчет ЦП - общая форма'!D55</f>
        <v>2.5</v>
      </c>
      <c r="E55" s="229" t="str">
        <f>'Расчет ЦП - общая форма'!E55</f>
        <v>+</v>
      </c>
      <c r="F55" s="229">
        <f>'Расчет ЦП - общая форма'!F55</f>
        <v>2.5</v>
      </c>
      <c r="G55" s="229">
        <f>'Расчет ЦП - общая форма'!G55</f>
        <v>0</v>
      </c>
      <c r="H55" s="229">
        <f>'Расчет ЦП - общая форма'!H55</f>
        <v>0</v>
      </c>
      <c r="I55" s="172">
        <f>'Расчет ЦП - общая форма'!Q55</f>
        <v>2.4849999999999999</v>
      </c>
      <c r="J55" s="172">
        <f>'Расчет ЦП - общая форма'!R55</f>
        <v>2.4849999999999999</v>
      </c>
      <c r="K55" s="768" t="str">
        <f>'Расчет ЦП - общая форма'!S55</f>
        <v/>
      </c>
      <c r="L55" s="257" t="str">
        <f>'Расчет ЦП - общая форма'!T55</f>
        <v/>
      </c>
      <c r="M55" s="768">
        <f>'Расчет ЦП - общая форма'!U55</f>
        <v>5.3333333333333339</v>
      </c>
      <c r="N55" s="919"/>
      <c r="O55" s="919"/>
      <c r="P55" s="919"/>
    </row>
    <row r="56" spans="1:16" ht="15" hidden="1" customHeight="1" x14ac:dyDescent="0.25">
      <c r="A56" s="213">
        <f>'Расчет ЦП - общая форма'!A56</f>
        <v>41</v>
      </c>
      <c r="B56" s="763">
        <f>COUNTIFS($C$8:C56,"*ПС*",$L$8:L56,"*закрыт*")</f>
        <v>8</v>
      </c>
      <c r="C56" s="213" t="str">
        <f>'Расчет ЦП - общая форма'!C56</f>
        <v xml:space="preserve">ПС 35/10 кВ Ривзавод  </v>
      </c>
      <c r="D56" s="230">
        <f>'Расчет ЦП - общая форма'!D56</f>
        <v>1.6</v>
      </c>
      <c r="E56" s="229" t="str">
        <f>'Расчет ЦП - общая форма'!E56</f>
        <v>+</v>
      </c>
      <c r="F56" s="229">
        <f>'Расчет ЦП - общая форма'!F56</f>
        <v>2.5</v>
      </c>
      <c r="G56" s="229">
        <f>'Расчет ЦП - общая форма'!G56</f>
        <v>0</v>
      </c>
      <c r="H56" s="229">
        <f>'Расчет ЦП - общая форма'!H56</f>
        <v>0</v>
      </c>
      <c r="I56" s="172">
        <f>'Расчет ЦП - общая форма'!Q56</f>
        <v>1.9600000000000002</v>
      </c>
      <c r="J56" s="172">
        <f>'Расчет ЦП - общая форма'!R56</f>
        <v>1.9600000000000002</v>
      </c>
      <c r="K56" s="768" t="str">
        <f>'Расчет ЦП - общая форма'!S56</f>
        <v/>
      </c>
      <c r="L56" s="257" t="str">
        <f>'Расчет ЦП - общая форма'!T56</f>
        <v/>
      </c>
      <c r="M56" s="768">
        <f>'Расчет ЦП - общая форма'!U56</f>
        <v>68.452380952380935</v>
      </c>
      <c r="N56" s="919"/>
      <c r="O56" s="919"/>
      <c r="P56" s="919"/>
    </row>
    <row r="57" spans="1:16" ht="15" hidden="1" customHeight="1" x14ac:dyDescent="0.25">
      <c r="A57" s="213">
        <f>'Расчет ЦП - общая форма'!A57</f>
        <v>42</v>
      </c>
      <c r="B57" s="763">
        <f>COUNTIFS($C$8:C57,"*ПС*",$L$8:L57,"*закрыт*")</f>
        <v>8</v>
      </c>
      <c r="C57" s="213" t="str">
        <f>'Расчет ЦП - общая форма'!C57</f>
        <v xml:space="preserve">ПС 35/10 кВ Сонково </v>
      </c>
      <c r="D57" s="230">
        <f>'Расчет ЦП - общая форма'!D57</f>
        <v>4</v>
      </c>
      <c r="E57" s="229" t="str">
        <f>'Расчет ЦП - общая форма'!E57</f>
        <v>+</v>
      </c>
      <c r="F57" s="229">
        <f>'Расчет ЦП - общая форма'!F57</f>
        <v>3.2</v>
      </c>
      <c r="G57" s="229">
        <f>'Расчет ЦП - общая форма'!G57</f>
        <v>0</v>
      </c>
      <c r="H57" s="229">
        <f>'Расчет ЦП - общая форма'!H57</f>
        <v>0</v>
      </c>
      <c r="I57" s="172">
        <f>'Расчет ЦП - общая форма'!Q57</f>
        <v>0.52000000000000046</v>
      </c>
      <c r="J57" s="172">
        <f>'Расчет ЦП - общая форма'!R57</f>
        <v>0.52000000000000046</v>
      </c>
      <c r="K57" s="768" t="str">
        <f>'Расчет ЦП - общая форма'!S57</f>
        <v/>
      </c>
      <c r="L57" s="257" t="str">
        <f>'Расчет ЦП - общая форма'!T57</f>
        <v/>
      </c>
      <c r="M57" s="768">
        <f>'Расчет ЦП - общая форма'!U57</f>
        <v>137.79761904761904</v>
      </c>
      <c r="N57" s="919"/>
      <c r="O57" s="919"/>
      <c r="P57" s="919"/>
    </row>
    <row r="58" spans="1:16" ht="15" hidden="1" customHeight="1" x14ac:dyDescent="0.25">
      <c r="A58" s="213">
        <f>'Расчет ЦП - общая форма'!A58</f>
        <v>43</v>
      </c>
      <c r="B58" s="763">
        <f>COUNTIFS($C$8:C58,"*ПС*",$L$8:L58,"*закрыт*")</f>
        <v>8</v>
      </c>
      <c r="C58" s="213" t="str">
        <f>'Расчет ЦП - общая форма'!C58</f>
        <v xml:space="preserve">ПС 35/10 кВ Сулежский Борок </v>
      </c>
      <c r="D58" s="230">
        <f>'Расчет ЦП - общая форма'!D58</f>
        <v>1.6</v>
      </c>
      <c r="E58" s="229" t="str">
        <f>'Расчет ЦП - общая форма'!E58</f>
        <v>+</v>
      </c>
      <c r="F58" s="229">
        <f>'Расчет ЦП - общая форма'!F58</f>
        <v>2.5</v>
      </c>
      <c r="G58" s="229">
        <f>'Расчет ЦП - общая форма'!G58</f>
        <v>0</v>
      </c>
      <c r="H58" s="229">
        <f>'Расчет ЦП - общая форма'!H58</f>
        <v>0</v>
      </c>
      <c r="I58" s="172">
        <f>'Расчет ЦП - общая форма'!Q58</f>
        <v>1.8000000000000003</v>
      </c>
      <c r="J58" s="172">
        <f>'Расчет ЦП - общая форма'!R58</f>
        <v>1.8000000000000003</v>
      </c>
      <c r="K58" s="768" t="str">
        <f>'Расчет ЦП - общая форма'!S58</f>
        <v/>
      </c>
      <c r="L58" s="257" t="str">
        <f>'Расчет ЦП - общая форма'!T58</f>
        <v/>
      </c>
      <c r="M58" s="768">
        <f>'Расчет ЦП - общая форма'!U58</f>
        <v>33.928571428571423</v>
      </c>
      <c r="N58" s="919"/>
      <c r="O58" s="919"/>
      <c r="P58" s="919"/>
    </row>
    <row r="59" spans="1:16" ht="15" hidden="1" customHeight="1" x14ac:dyDescent="0.25">
      <c r="A59" s="213">
        <f>'Расчет ЦП - общая форма'!A59</f>
        <v>44</v>
      </c>
      <c r="B59" s="763">
        <f>COUNTIFS($C$8:C59,"*ПС*",$L$8:L59,"*закрыт*")</f>
        <v>8</v>
      </c>
      <c r="C59" s="213" t="str">
        <f>'Расчет ЦП - общая форма'!C59</f>
        <v xml:space="preserve">ПС 110/10 кВ Шишково Дуброво </v>
      </c>
      <c r="D59" s="230">
        <f>'Расчет ЦП - общая форма'!D59</f>
        <v>6.3</v>
      </c>
      <c r="E59" s="229" t="str">
        <f>'Расчет ЦП - общая форма'!E59</f>
        <v>+</v>
      </c>
      <c r="F59" s="229">
        <f>'Расчет ЦП - общая форма'!F59</f>
        <v>6.3</v>
      </c>
      <c r="G59" s="229">
        <f>'Расчет ЦП - общая форма'!G59</f>
        <v>0</v>
      </c>
      <c r="H59" s="229">
        <f>'Расчет ЦП - общая форма'!H59</f>
        <v>0</v>
      </c>
      <c r="I59" s="172">
        <f>'Расчет ЦП - общая форма'!Q59</f>
        <v>6.875</v>
      </c>
      <c r="J59" s="172">
        <f>'Расчет ЦП - общая форма'!R59</f>
        <v>6.875</v>
      </c>
      <c r="K59" s="768" t="str">
        <f>'Расчет ЦП - общая форма'!S59</f>
        <v/>
      </c>
      <c r="L59" s="257" t="str">
        <f>'Расчет ЦП - общая форма'!T59</f>
        <v/>
      </c>
      <c r="M59" s="768">
        <f>'Расчет ЦП - общая форма'!U59</f>
        <v>10.279667422524565</v>
      </c>
      <c r="N59" s="919"/>
      <c r="O59" s="919"/>
      <c r="P59" s="919"/>
    </row>
    <row r="60" spans="1:16" ht="15" hidden="1" customHeight="1" x14ac:dyDescent="0.25">
      <c r="A60" s="1371">
        <f>'Расчет ЦП - общая форма'!A60</f>
        <v>45</v>
      </c>
      <c r="B60" s="1376">
        <f>COUNTIFS($C$8:C60,"*ПС*",$L$8:L60,"*закрыт*")</f>
        <v>8</v>
      </c>
      <c r="C60" s="213" t="str">
        <f>'Расчет ЦП - общая форма'!C60</f>
        <v xml:space="preserve">ПС 110/35/10 кВ Весьегонск </v>
      </c>
      <c r="D60" s="230">
        <f>'Расчет ЦП - общая форма'!D60</f>
        <v>6.3</v>
      </c>
      <c r="E60" s="229" t="str">
        <f>'Расчет ЦП - общая форма'!E60</f>
        <v>+</v>
      </c>
      <c r="F60" s="229">
        <f>'Расчет ЦП - общая форма'!F60</f>
        <v>6.3</v>
      </c>
      <c r="G60" s="229">
        <f>'Расчет ЦП - общая форма'!G60</f>
        <v>0</v>
      </c>
      <c r="H60" s="229">
        <f>'Расчет ЦП - общая форма'!H60</f>
        <v>0</v>
      </c>
      <c r="I60" s="172">
        <f>'Расчет ЦП - общая форма'!Q60</f>
        <v>2.2450000000000001</v>
      </c>
      <c r="J60" s="1379">
        <f>'Расчет ЦП - общая форма'!R60</f>
        <v>1.8250000000000002</v>
      </c>
      <c r="K60" s="1381" t="str">
        <f>'Расчет ЦП - общая форма'!S60</f>
        <v/>
      </c>
      <c r="L60" s="257" t="str">
        <f>'Расчет ЦП - общая форма'!T60</f>
        <v/>
      </c>
      <c r="M60" s="1381">
        <f>'Расчет ЦП - общая форма'!U60</f>
        <v>72.411186696900984</v>
      </c>
      <c r="N60" s="919"/>
      <c r="O60" s="919"/>
      <c r="P60" s="919"/>
    </row>
    <row r="61" spans="1:16" ht="15" hidden="1" customHeight="1" x14ac:dyDescent="0.25">
      <c r="A61" s="1371">
        <f>'Расчет ЦП - общая форма'!A61</f>
        <v>0</v>
      </c>
      <c r="B61" s="1393"/>
      <c r="C61" s="213" t="str">
        <f>'Расчет ЦП - общая форма'!C61</f>
        <v xml:space="preserve">Ном. Мощность СН, МВА </v>
      </c>
      <c r="D61" s="230">
        <f>'Расчет ЦП - общая форма'!D61</f>
        <v>6.3</v>
      </c>
      <c r="E61" s="229" t="str">
        <f>'Расчет ЦП - общая форма'!E61</f>
        <v>+</v>
      </c>
      <c r="F61" s="229">
        <f>'Расчет ЦП - общая форма'!F61</f>
        <v>6.3</v>
      </c>
      <c r="G61" s="229">
        <f>'Расчет ЦП - общая форма'!G61</f>
        <v>0</v>
      </c>
      <c r="H61" s="229">
        <f>'Расчет ЦП - общая форма'!H61</f>
        <v>0</v>
      </c>
      <c r="I61" s="172">
        <f>'Расчет ЦП - общая форма'!Q61</f>
        <v>7.0350000000000001</v>
      </c>
      <c r="J61" s="1379">
        <f>'Расчет ЦП - общая форма'!R61</f>
        <v>0</v>
      </c>
      <c r="K61" s="1442" t="str">
        <f>'Расчет ЦП - общая форма'!S61</f>
        <v/>
      </c>
      <c r="L61" s="257" t="str">
        <f>'Расчет ЦП - общая форма'!T61</f>
        <v/>
      </c>
      <c r="M61" s="1442">
        <f>'Расчет ЦП - общая форма'!U61</f>
        <v>0</v>
      </c>
      <c r="N61" s="919"/>
      <c r="O61" s="919"/>
      <c r="P61" s="919"/>
    </row>
    <row r="62" spans="1:16" ht="15" hidden="1" customHeight="1" x14ac:dyDescent="0.25">
      <c r="A62" s="1371">
        <f>'Расчет ЦП - общая форма'!A62</f>
        <v>0</v>
      </c>
      <c r="B62" s="1394"/>
      <c r="C62" s="213" t="str">
        <f>'Расчет ЦП - общая форма'!C62</f>
        <v>Ном. мощность НН, МВА</v>
      </c>
      <c r="D62" s="230">
        <f>'Расчет ЦП - общая форма'!D62</f>
        <v>6.3</v>
      </c>
      <c r="E62" s="229" t="str">
        <f>'Расчет ЦП - общая форма'!E62</f>
        <v>+</v>
      </c>
      <c r="F62" s="229">
        <f>'Расчет ЦП - общая форма'!F62</f>
        <v>6.3</v>
      </c>
      <c r="G62" s="229">
        <f>'Расчет ЦП - общая форма'!G62</f>
        <v>0</v>
      </c>
      <c r="H62" s="229">
        <f>'Расчет ЦП - общая форма'!H62</f>
        <v>0</v>
      </c>
      <c r="I62" s="172">
        <f>'Расчет ЦП - общая форма'!Q62</f>
        <v>1.8250000000000002</v>
      </c>
      <c r="J62" s="1379">
        <f>'Расчет ЦП - общая форма'!R62</f>
        <v>0</v>
      </c>
      <c r="K62" s="1443" t="str">
        <f>'Расчет ЦП - общая форма'!S62</f>
        <v/>
      </c>
      <c r="L62" s="257" t="str">
        <f>'Расчет ЦП - общая форма'!T62</f>
        <v/>
      </c>
      <c r="M62" s="1443">
        <f>'Расчет ЦП - общая форма'!U62</f>
        <v>0</v>
      </c>
      <c r="N62" s="919"/>
      <c r="O62" s="919"/>
      <c r="P62" s="919"/>
    </row>
    <row r="63" spans="1:16" ht="30" hidden="1" customHeight="1" x14ac:dyDescent="0.25">
      <c r="A63" s="1371">
        <f>'Расчет ЦП - общая форма'!A63</f>
        <v>46</v>
      </c>
      <c r="B63" s="1376">
        <f>COUNTIFS($C$8:C63,"*ПС*",$L$8:L63,"*закрыт*")</f>
        <v>8</v>
      </c>
      <c r="C63" s="213" t="str">
        <f>'Расчет ЦП - общая форма'!C63</f>
        <v xml:space="preserve">ПС 110/35/10 кВ ДВП  </v>
      </c>
      <c r="D63" s="230">
        <f>'Расчет ЦП - общая форма'!D63</f>
        <v>25</v>
      </c>
      <c r="E63" s="229" t="str">
        <f>'Расчет ЦП - общая форма'!E63</f>
        <v>+</v>
      </c>
      <c r="F63" s="229">
        <f>'Расчет ЦП - общая форма'!F63</f>
        <v>25</v>
      </c>
      <c r="G63" s="229">
        <f>'Расчет ЦП - общая форма'!G63</f>
        <v>0</v>
      </c>
      <c r="H63" s="229">
        <f>'Расчет ЦП - общая форма'!H63</f>
        <v>0</v>
      </c>
      <c r="I63" s="172">
        <f>'Расчет ЦП - общая форма'!Q63</f>
        <v>19</v>
      </c>
      <c r="J63" s="1379">
        <f>'Расчет ЦП - общая форма'!R63</f>
        <v>19</v>
      </c>
      <c r="K63" s="1381" t="str">
        <f>'Расчет ЦП - общая форма'!S63</f>
        <v/>
      </c>
      <c r="L63" s="257" t="str">
        <f>'Расчет ЦП - общая форма'!T63</f>
        <v/>
      </c>
      <c r="M63" s="1381">
        <f>'Расчет ЦП - общая форма'!U63</f>
        <v>37.142857142857146</v>
      </c>
      <c r="N63" s="919"/>
      <c r="O63" s="919"/>
      <c r="P63" s="919"/>
    </row>
    <row r="64" spans="1:16" ht="30" hidden="1" customHeight="1" x14ac:dyDescent="0.25">
      <c r="A64" s="1371">
        <f>'Расчет ЦП - общая форма'!A64</f>
        <v>0</v>
      </c>
      <c r="B64" s="1393"/>
      <c r="C64" s="213" t="str">
        <f>'Расчет ЦП - общая форма'!C64</f>
        <v xml:space="preserve">Ном. Мощность СН, МВА </v>
      </c>
      <c r="D64" s="230">
        <f>'Расчет ЦП - общая форма'!D64</f>
        <v>25</v>
      </c>
      <c r="E64" s="229" t="str">
        <f>'Расчет ЦП - общая форма'!E64</f>
        <v>+</v>
      </c>
      <c r="F64" s="229">
        <f>'Расчет ЦП - общая форма'!F64</f>
        <v>25</v>
      </c>
      <c r="G64" s="229">
        <f>'Расчет ЦП - общая форма'!G64</f>
        <v>0</v>
      </c>
      <c r="H64" s="229">
        <f>'Расчет ЦП - общая форма'!H64</f>
        <v>0</v>
      </c>
      <c r="I64" s="172">
        <f>'Расчет ЦП - общая форма'!Q64</f>
        <v>23.61</v>
      </c>
      <c r="J64" s="1379">
        <f>'Расчет ЦП - общая форма'!R64</f>
        <v>0</v>
      </c>
      <c r="K64" s="1442" t="str">
        <f>'Расчет ЦП - общая форма'!S64</f>
        <v/>
      </c>
      <c r="L64" s="257" t="str">
        <f>'Расчет ЦП - общая форма'!T64</f>
        <v/>
      </c>
      <c r="M64" s="1442">
        <f>'Расчет ЦП - общая форма'!U64</f>
        <v>0</v>
      </c>
      <c r="N64" s="919"/>
      <c r="O64" s="919"/>
      <c r="P64" s="919"/>
    </row>
    <row r="65" spans="1:16" s="232" customFormat="1" ht="30" hidden="1" customHeight="1" x14ac:dyDescent="0.25">
      <c r="A65" s="1371">
        <f>'Расчет ЦП - общая форма'!A65</f>
        <v>0</v>
      </c>
      <c r="B65" s="1394"/>
      <c r="C65" s="213" t="str">
        <f>'Расчет ЦП - общая форма'!C65</f>
        <v>Ном. мощность НН, МВА</v>
      </c>
      <c r="D65" s="230">
        <f>'Расчет ЦП - общая форма'!D65</f>
        <v>25</v>
      </c>
      <c r="E65" s="229" t="str">
        <f>'Расчет ЦП - общая форма'!E65</f>
        <v>+</v>
      </c>
      <c r="F65" s="229">
        <f>'Расчет ЦП - общая форма'!F65</f>
        <v>25</v>
      </c>
      <c r="G65" s="229">
        <f>'Расчет ЦП - общая форма'!G65</f>
        <v>0</v>
      </c>
      <c r="H65" s="229">
        <f>'Расчет ЦП - общая форма'!H65</f>
        <v>0</v>
      </c>
      <c r="I65" s="172">
        <f>'Расчет ЦП - общая форма'!Q65</f>
        <v>21.64</v>
      </c>
      <c r="J65" s="1379">
        <f>'Расчет ЦП - общая форма'!R65</f>
        <v>0</v>
      </c>
      <c r="K65" s="1443" t="str">
        <f>'Расчет ЦП - общая форма'!S65</f>
        <v/>
      </c>
      <c r="L65" s="257" t="str">
        <f>'Расчет ЦП - общая форма'!T65</f>
        <v/>
      </c>
      <c r="M65" s="1443">
        <f>'Расчет ЦП - общая форма'!U65</f>
        <v>0</v>
      </c>
      <c r="N65" s="919"/>
      <c r="O65" s="919"/>
      <c r="P65" s="919"/>
    </row>
    <row r="66" spans="1:16" s="232" customFormat="1" ht="30" hidden="1" customHeight="1" x14ac:dyDescent="0.25">
      <c r="A66" s="1371">
        <f>'Расчет ЦП - общая форма'!A66</f>
        <v>47</v>
      </c>
      <c r="B66" s="1376">
        <f>COUNTIFS($C$8:C66,"*ПС*",$L$8:L66,"*закрыт*")</f>
        <v>8</v>
      </c>
      <c r="C66" s="213" t="str">
        <f>'Расчет ЦП - общая форма'!C66</f>
        <v xml:space="preserve">ПС 110/35/10 кВ Красный Холм </v>
      </c>
      <c r="D66" s="230">
        <f>'Расчет ЦП - общая форма'!D66</f>
        <v>10</v>
      </c>
      <c r="E66" s="229" t="str">
        <f>'Расчет ЦП - общая форма'!E66</f>
        <v>+</v>
      </c>
      <c r="F66" s="229">
        <f>'Расчет ЦП - общая форма'!F66</f>
        <v>10</v>
      </c>
      <c r="G66" s="229">
        <f>'Расчет ЦП - общая форма'!G66</f>
        <v>0</v>
      </c>
      <c r="H66" s="229">
        <f>'Расчет ЦП - общая форма'!H66</f>
        <v>0</v>
      </c>
      <c r="I66" s="172">
        <f>'Расчет ЦП - общая форма'!Q66</f>
        <v>10.45</v>
      </c>
      <c r="J66" s="1379">
        <f>'Расчет ЦП - общая форма'!R66</f>
        <v>4.32</v>
      </c>
      <c r="K66" s="1381" t="str">
        <f>'Расчет ЦП - общая форма'!S66</f>
        <v/>
      </c>
      <c r="L66" s="257" t="str">
        <f>'Расчет ЦП - общая форма'!T66</f>
        <v/>
      </c>
      <c r="M66" s="1381">
        <f>'Расчет ЦП - общая форма'!U66</f>
        <v>54.285714285714285</v>
      </c>
      <c r="N66" s="919"/>
      <c r="O66" s="919"/>
      <c r="P66" s="919"/>
    </row>
    <row r="67" spans="1:16" s="232" customFormat="1" ht="30" hidden="1" customHeight="1" x14ac:dyDescent="0.25">
      <c r="A67" s="1371">
        <f>'Расчет ЦП - общая форма'!A67</f>
        <v>0</v>
      </c>
      <c r="B67" s="1393"/>
      <c r="C67" s="213" t="str">
        <f>'Расчет ЦП - общая форма'!C67</f>
        <v xml:space="preserve">Ном. Мощность СН, МВА </v>
      </c>
      <c r="D67" s="230">
        <f>'Расчет ЦП - общая форма'!D67</f>
        <v>10</v>
      </c>
      <c r="E67" s="229" t="str">
        <f>'Расчет ЦП - общая форма'!E67</f>
        <v>+</v>
      </c>
      <c r="F67" s="229">
        <f>'Расчет ЦП - общая форма'!F67</f>
        <v>10</v>
      </c>
      <c r="G67" s="229">
        <f>'Расчет ЦП - общая форма'!G67</f>
        <v>0</v>
      </c>
      <c r="H67" s="229">
        <f>'Расчет ЦП - общая форма'!H67</f>
        <v>0</v>
      </c>
      <c r="I67" s="172">
        <f>'Расчет ЦП - общая форма'!Q67</f>
        <v>16.02</v>
      </c>
      <c r="J67" s="1379">
        <f>'Расчет ЦП - общая форма'!R67</f>
        <v>0</v>
      </c>
      <c r="K67" s="1442" t="str">
        <f>'Расчет ЦП - общая форма'!S67</f>
        <v/>
      </c>
      <c r="L67" s="257" t="str">
        <f>'Расчет ЦП - общая форма'!T67</f>
        <v/>
      </c>
      <c r="M67" s="1442">
        <f>'Расчет ЦП - общая форма'!U67</f>
        <v>0</v>
      </c>
      <c r="N67" s="919"/>
      <c r="O67" s="919"/>
      <c r="P67" s="919"/>
    </row>
    <row r="68" spans="1:16" s="232" customFormat="1" ht="30" hidden="1" customHeight="1" x14ac:dyDescent="0.25">
      <c r="A68" s="1371">
        <f>'Расчет ЦП - общая форма'!A68</f>
        <v>0</v>
      </c>
      <c r="B68" s="1394"/>
      <c r="C68" s="213" t="str">
        <f>'Расчет ЦП - общая форма'!C68</f>
        <v>Ном. мощность НН, МВА</v>
      </c>
      <c r="D68" s="230">
        <f>'Расчет ЦП - общая форма'!D68</f>
        <v>10</v>
      </c>
      <c r="E68" s="229" t="str">
        <f>'Расчет ЦП - общая форма'!E68</f>
        <v>+</v>
      </c>
      <c r="F68" s="229">
        <f>'Расчет ЦП - общая форма'!F68</f>
        <v>10</v>
      </c>
      <c r="G68" s="229">
        <f>'Расчет ЦП - общая форма'!G68</f>
        <v>0</v>
      </c>
      <c r="H68" s="229">
        <f>'Расчет ЦП - общая форма'!H68</f>
        <v>0</v>
      </c>
      <c r="I68" s="172">
        <f>'Расчет ЦП - общая форма'!Q68</f>
        <v>4.32</v>
      </c>
      <c r="J68" s="1379">
        <f>'Расчет ЦП - общая форма'!R68</f>
        <v>0</v>
      </c>
      <c r="K68" s="1443" t="str">
        <f>'Расчет ЦП - общая форма'!S68</f>
        <v/>
      </c>
      <c r="L68" s="257" t="str">
        <f>'Расчет ЦП - общая форма'!T68</f>
        <v/>
      </c>
      <c r="M68" s="1443">
        <f>'Расчет ЦП - общая форма'!U68</f>
        <v>0</v>
      </c>
      <c r="N68" s="919"/>
      <c r="O68" s="919"/>
      <c r="P68" s="919"/>
    </row>
    <row r="69" spans="1:16" s="232" customFormat="1" ht="15" hidden="1" customHeight="1" x14ac:dyDescent="0.25">
      <c r="A69" s="1371">
        <f>'Расчет ЦП - общая форма'!A69</f>
        <v>48</v>
      </c>
      <c r="B69" s="1376">
        <f>COUNTIFS($C$8:C69,"*ПС*",$L$8:L69,"*закрыт*")</f>
        <v>8</v>
      </c>
      <c r="C69" s="213" t="str">
        <f>'Расчет ЦП - общая форма'!C69</f>
        <v xml:space="preserve">ПС 110/35/10 кВ Поречье </v>
      </c>
      <c r="D69" s="230">
        <f>'Расчет ЦП - общая форма'!D69</f>
        <v>6.3</v>
      </c>
      <c r="E69" s="229" t="str">
        <f>'Расчет ЦП - общая форма'!E69</f>
        <v>+</v>
      </c>
      <c r="F69" s="229">
        <f>'Расчет ЦП - общая форма'!F69</f>
        <v>6.3</v>
      </c>
      <c r="G69" s="229">
        <f>'Расчет ЦП - общая форма'!G69</f>
        <v>0</v>
      </c>
      <c r="H69" s="229">
        <f>'Расчет ЦП - общая форма'!H69</f>
        <v>0</v>
      </c>
      <c r="I69" s="172">
        <f>'Расчет ЦП - общая форма'!Q69</f>
        <v>9.2949999999999999</v>
      </c>
      <c r="J69" s="1379">
        <f>'Расчет ЦП - общая форма'!R69</f>
        <v>6.415</v>
      </c>
      <c r="K69" s="1381" t="str">
        <f>'Расчет ЦП - общая форма'!S69</f>
        <v/>
      </c>
      <c r="L69" s="257" t="str">
        <f>'Расчет ЦП - общая форма'!T69</f>
        <v/>
      </c>
      <c r="M69" s="1381">
        <f>'Расчет ЦП - общая форма'!U69</f>
        <v>44.897959183673471</v>
      </c>
      <c r="N69" s="919"/>
      <c r="O69" s="919"/>
      <c r="P69" s="919"/>
    </row>
    <row r="70" spans="1:16" s="232" customFormat="1" ht="15" hidden="1" customHeight="1" x14ac:dyDescent="0.25">
      <c r="A70" s="1371">
        <f>'Расчет ЦП - общая форма'!A70</f>
        <v>0</v>
      </c>
      <c r="B70" s="1393"/>
      <c r="C70" s="213" t="str">
        <f>'Расчет ЦП - общая форма'!C70</f>
        <v xml:space="preserve">Ном. Мощность СН, МВА </v>
      </c>
      <c r="D70" s="230">
        <f>'Расчет ЦП - общая форма'!D70</f>
        <v>6.3</v>
      </c>
      <c r="E70" s="229" t="str">
        <f>'Расчет ЦП - общая форма'!E70</f>
        <v>+</v>
      </c>
      <c r="F70" s="229">
        <f>'Расчет ЦП - общая форма'!F70</f>
        <v>6.3</v>
      </c>
      <c r="G70" s="229">
        <f>'Расчет ЦП - общая форма'!G70</f>
        <v>0</v>
      </c>
      <c r="H70" s="229">
        <f>'Расчет ЦП - общая форма'!H70</f>
        <v>0</v>
      </c>
      <c r="I70" s="172">
        <f>'Расчет ЦП - общая форма'!Q70</f>
        <v>9.495000000000001</v>
      </c>
      <c r="J70" s="1379">
        <f>'Расчет ЦП - общая форма'!R70</f>
        <v>0</v>
      </c>
      <c r="K70" s="1442" t="str">
        <f>'Расчет ЦП - общая форма'!S70</f>
        <v/>
      </c>
      <c r="L70" s="257" t="str">
        <f>'Расчет ЦП - общая форма'!T70</f>
        <v/>
      </c>
      <c r="M70" s="1442">
        <f>'Расчет ЦП - общая форма'!U70</f>
        <v>0</v>
      </c>
      <c r="N70" s="919"/>
      <c r="O70" s="919"/>
      <c r="P70" s="919"/>
    </row>
    <row r="71" spans="1:16" s="232" customFormat="1" ht="15" hidden="1" customHeight="1" x14ac:dyDescent="0.25">
      <c r="A71" s="1371">
        <f>'Расчет ЦП - общая форма'!A71</f>
        <v>0</v>
      </c>
      <c r="B71" s="1394"/>
      <c r="C71" s="213" t="str">
        <f>'Расчет ЦП - общая форма'!C71</f>
        <v>Ном. мощность НН, МВА</v>
      </c>
      <c r="D71" s="230">
        <f>'Расчет ЦП - общая форма'!D71</f>
        <v>6.3</v>
      </c>
      <c r="E71" s="229" t="str">
        <f>'Расчет ЦП - общая форма'!E71</f>
        <v>+</v>
      </c>
      <c r="F71" s="229">
        <f>'Расчет ЦП - общая форма'!F71</f>
        <v>6.3</v>
      </c>
      <c r="G71" s="229">
        <f>'Расчет ЦП - общая форма'!G71</f>
        <v>0</v>
      </c>
      <c r="H71" s="229">
        <f>'Расчет ЦП - общая форма'!H71</f>
        <v>0</v>
      </c>
      <c r="I71" s="172">
        <f>'Расчет ЦП - общая форма'!Q71</f>
        <v>6.415</v>
      </c>
      <c r="J71" s="1379">
        <f>'Расчет ЦП - общая форма'!R71</f>
        <v>0</v>
      </c>
      <c r="K71" s="1443" t="str">
        <f>'Расчет ЦП - общая форма'!S71</f>
        <v/>
      </c>
      <c r="L71" s="257" t="str">
        <f>'Расчет ЦП - общая форма'!T71</f>
        <v/>
      </c>
      <c r="M71" s="1443">
        <f>'Расчет ЦП - общая форма'!U71</f>
        <v>0</v>
      </c>
      <c r="N71" s="919"/>
      <c r="O71" s="919"/>
      <c r="P71" s="919"/>
    </row>
    <row r="72" spans="1:16" s="232" customFormat="1" ht="30" hidden="1" customHeight="1" x14ac:dyDescent="0.25">
      <c r="A72" s="1371">
        <f>'Расчет ЦП - общая форма'!A72</f>
        <v>49</v>
      </c>
      <c r="B72" s="1376">
        <f>COUNTIFS($C$8:C72,"*ПС*",$L$8:L72,"*закрыт*")</f>
        <v>8</v>
      </c>
      <c r="C72" s="213" t="str">
        <f>'Расчет ЦП - общая форма'!C72</f>
        <v xml:space="preserve">ПС 110/35/10 кВ Сандово </v>
      </c>
      <c r="D72" s="230">
        <f>'Расчет ЦП - общая форма'!D72</f>
        <v>10</v>
      </c>
      <c r="E72" s="229" t="str">
        <f>'Расчет ЦП - общая форма'!E72</f>
        <v>+</v>
      </c>
      <c r="F72" s="229">
        <f>'Расчет ЦП - общая форма'!F72</f>
        <v>10</v>
      </c>
      <c r="G72" s="229">
        <f>'Расчет ЦП - общая форма'!G72</f>
        <v>0</v>
      </c>
      <c r="H72" s="229">
        <f>'Расчет ЦП - общая форма'!H72</f>
        <v>0</v>
      </c>
      <c r="I72" s="172">
        <f>'Расчет ЦП - общая форма'!Q72</f>
        <v>7.7200000000000006</v>
      </c>
      <c r="J72" s="1379">
        <f>'Расчет ЦП - общая форма'!R72</f>
        <v>7.7200000000000006</v>
      </c>
      <c r="K72" s="1381" t="str">
        <f>'Расчет ЦП - общая форма'!S72</f>
        <v/>
      </c>
      <c r="L72" s="257" t="str">
        <f>'Расчет ЦП - общая форма'!T72</f>
        <v/>
      </c>
      <c r="M72" s="1381">
        <f>'Расчет ЦП - общая форма'!U72</f>
        <v>62.857142857142854</v>
      </c>
      <c r="N72" s="919"/>
      <c r="O72" s="919"/>
      <c r="P72" s="919"/>
    </row>
    <row r="73" spans="1:16" s="232" customFormat="1" ht="30" hidden="1" customHeight="1" x14ac:dyDescent="0.25">
      <c r="A73" s="1371">
        <f>'Расчет ЦП - общая форма'!A73</f>
        <v>0</v>
      </c>
      <c r="B73" s="1393"/>
      <c r="C73" s="213" t="str">
        <f>'Расчет ЦП - общая форма'!C73</f>
        <v xml:space="preserve">Ном. Мощность СН, МВА </v>
      </c>
      <c r="D73" s="230">
        <f>'Расчет ЦП - общая форма'!D73</f>
        <v>10</v>
      </c>
      <c r="E73" s="229" t="str">
        <f>'Расчет ЦП - общая форма'!E73</f>
        <v>+</v>
      </c>
      <c r="F73" s="229">
        <f>'Расчет ЦП - общая форма'!F73</f>
        <v>10</v>
      </c>
      <c r="G73" s="229">
        <f>'Расчет ЦП - общая форма'!G73</f>
        <v>0</v>
      </c>
      <c r="H73" s="229">
        <f>'Расчет ЦП - общая форма'!H73</f>
        <v>0</v>
      </c>
      <c r="I73" s="172">
        <f>'Расчет ЦП - общая форма'!Q73</f>
        <v>9.24</v>
      </c>
      <c r="J73" s="1379">
        <f>'Расчет ЦП - общая форма'!R73</f>
        <v>0</v>
      </c>
      <c r="K73" s="1442" t="str">
        <f>'Расчет ЦП - общая форма'!S73</f>
        <v/>
      </c>
      <c r="L73" s="257" t="str">
        <f>'Расчет ЦП - общая форма'!T73</f>
        <v/>
      </c>
      <c r="M73" s="1442">
        <f>'Расчет ЦП - общая форма'!U73</f>
        <v>0</v>
      </c>
      <c r="N73" s="919"/>
      <c r="O73" s="919"/>
      <c r="P73" s="919"/>
    </row>
    <row r="74" spans="1:16" s="232" customFormat="1" ht="30" hidden="1" customHeight="1" x14ac:dyDescent="0.25">
      <c r="A74" s="1371">
        <f>'Расчет ЦП - общая форма'!A74</f>
        <v>0</v>
      </c>
      <c r="B74" s="1394"/>
      <c r="C74" s="213" t="str">
        <f>'Расчет ЦП - общая форма'!C74</f>
        <v>Ном. мощность НН, МВА</v>
      </c>
      <c r="D74" s="230">
        <f>'Расчет ЦП - общая форма'!D74</f>
        <v>10</v>
      </c>
      <c r="E74" s="229" t="str">
        <f>'Расчет ЦП - общая форма'!E74</f>
        <v>+</v>
      </c>
      <c r="F74" s="229">
        <f>'Расчет ЦП - общая форма'!F74</f>
        <v>10</v>
      </c>
      <c r="G74" s="229">
        <f>'Расчет ЦП - общая форма'!G74</f>
        <v>0</v>
      </c>
      <c r="H74" s="229">
        <f>'Расчет ЦП - общая форма'!H74</f>
        <v>0</v>
      </c>
      <c r="I74" s="172">
        <f>'Расчет ЦП - общая форма'!Q74</f>
        <v>8.98</v>
      </c>
      <c r="J74" s="1379">
        <f>'Расчет ЦП - общая форма'!R74</f>
        <v>0</v>
      </c>
      <c r="K74" s="1443" t="str">
        <f>'Расчет ЦП - общая форма'!S74</f>
        <v/>
      </c>
      <c r="L74" s="257" t="str">
        <f>'Расчет ЦП - общая форма'!T74</f>
        <v/>
      </c>
      <c r="M74" s="1443">
        <f>'Расчет ЦП - общая форма'!U74</f>
        <v>0</v>
      </c>
      <c r="N74" s="919"/>
      <c r="O74" s="919"/>
      <c r="P74" s="919"/>
    </row>
    <row r="75" spans="1:16" s="232" customFormat="1" ht="30" hidden="1" customHeight="1" x14ac:dyDescent="0.25">
      <c r="A75" s="1371">
        <f>'Расчет ЦП - общая форма'!A75</f>
        <v>50</v>
      </c>
      <c r="B75" s="1376">
        <f>COUNTIFS($C$8:C75,"*ПС*",$L$8:L75,"*закрыт*")</f>
        <v>8</v>
      </c>
      <c r="C75" s="213" t="str">
        <f>'Расчет ЦП - общая форма'!C75</f>
        <v xml:space="preserve">ПС 110/35/10 кВ Шолмино </v>
      </c>
      <c r="D75" s="230">
        <f>'Расчет ЦП - общая форма'!D75</f>
        <v>25</v>
      </c>
      <c r="E75" s="229" t="str">
        <f>'Расчет ЦП - общая форма'!E75</f>
        <v>+</v>
      </c>
      <c r="F75" s="229">
        <f>'Расчет ЦП - общая форма'!F75</f>
        <v>25</v>
      </c>
      <c r="G75" s="229">
        <f>'Расчет ЦП - общая форма'!G75</f>
        <v>0</v>
      </c>
      <c r="H75" s="229">
        <f>'Расчет ЦП - общая форма'!H75</f>
        <v>0</v>
      </c>
      <c r="I75" s="172">
        <f>'Расчет ЦП - общая форма'!Q75</f>
        <v>15.66</v>
      </c>
      <c r="J75" s="1379">
        <f>'Расчет ЦП - общая форма'!R75</f>
        <v>15.66</v>
      </c>
      <c r="K75" s="1381" t="str">
        <f>'Расчет ЦП - общая форма'!S75</f>
        <v/>
      </c>
      <c r="L75" s="257" t="str">
        <f>'Расчет ЦП - общая форма'!T75</f>
        <v/>
      </c>
      <c r="M75" s="1381">
        <f>'Расчет ЦП - общая форма'!U75</f>
        <v>57.485714285714288</v>
      </c>
      <c r="N75" s="919"/>
      <c r="O75" s="919"/>
      <c r="P75" s="919"/>
    </row>
    <row r="76" spans="1:16" s="232" customFormat="1" ht="30" hidden="1" customHeight="1" x14ac:dyDescent="0.25">
      <c r="A76" s="1371">
        <f>'Расчет ЦП - общая форма'!A76</f>
        <v>0</v>
      </c>
      <c r="B76" s="1393"/>
      <c r="C76" s="213" t="str">
        <f>'Расчет ЦП - общая форма'!C76</f>
        <v xml:space="preserve">Ном. Мощность СН, МВА </v>
      </c>
      <c r="D76" s="230">
        <f>'Расчет ЦП - общая форма'!D76</f>
        <v>25</v>
      </c>
      <c r="E76" s="229" t="str">
        <f>'Расчет ЦП - общая форма'!E76</f>
        <v>+</v>
      </c>
      <c r="F76" s="229">
        <f>'Расчет ЦП - общая форма'!F76</f>
        <v>25</v>
      </c>
      <c r="G76" s="229">
        <f>'Расчет ЦП - общая форма'!G76</f>
        <v>0</v>
      </c>
      <c r="H76" s="229">
        <f>'Расчет ЦП - общая форма'!H76</f>
        <v>0</v>
      </c>
      <c r="I76" s="172">
        <f>'Расчет ЦП - общая форма'!Q76</f>
        <v>24.34</v>
      </c>
      <c r="J76" s="1379">
        <f>'Расчет ЦП - общая форма'!R76</f>
        <v>0</v>
      </c>
      <c r="K76" s="1442" t="str">
        <f>'Расчет ЦП - общая форма'!S76</f>
        <v/>
      </c>
      <c r="L76" s="257" t="str">
        <f>'Расчет ЦП - общая форма'!T76</f>
        <v/>
      </c>
      <c r="M76" s="1442">
        <f>'Расчет ЦП - общая форма'!U76</f>
        <v>0</v>
      </c>
      <c r="N76" s="919"/>
      <c r="O76" s="919"/>
      <c r="P76" s="919"/>
    </row>
    <row r="77" spans="1:16" s="232" customFormat="1" ht="30" hidden="1" customHeight="1" x14ac:dyDescent="0.25">
      <c r="A77" s="1371">
        <f>'Расчет ЦП - общая форма'!A77</f>
        <v>0</v>
      </c>
      <c r="B77" s="1394"/>
      <c r="C77" s="213" t="str">
        <f>'Расчет ЦП - общая форма'!C77</f>
        <v>Ном. мощность НН, МВА</v>
      </c>
      <c r="D77" s="230">
        <f>'Расчет ЦП - общая форма'!D77</f>
        <v>25</v>
      </c>
      <c r="E77" s="229" t="str">
        <f>'Расчет ЦП - общая форма'!E77</f>
        <v>+</v>
      </c>
      <c r="F77" s="229">
        <f>'Расчет ЦП - общая форма'!F77</f>
        <v>25</v>
      </c>
      <c r="G77" s="229">
        <f>'Расчет ЦП - общая форма'!G77</f>
        <v>0</v>
      </c>
      <c r="H77" s="229">
        <f>'Расчет ЦП - общая форма'!H77</f>
        <v>0</v>
      </c>
      <c r="I77" s="172">
        <f>'Расчет ЦП - общая форма'!Q77</f>
        <v>17.57</v>
      </c>
      <c r="J77" s="1379">
        <f>'Расчет ЦП - общая форма'!R77</f>
        <v>0</v>
      </c>
      <c r="K77" s="1443" t="str">
        <f>'Расчет ЦП - общая форма'!S77</f>
        <v/>
      </c>
      <c r="L77" s="257" t="str">
        <f>'Расчет ЦП - общая форма'!T77</f>
        <v/>
      </c>
      <c r="M77" s="1443">
        <f>'Расчет ЦП - общая форма'!U77</f>
        <v>0</v>
      </c>
      <c r="N77" s="919"/>
      <c r="O77" s="919"/>
      <c r="P77" s="919"/>
    </row>
    <row r="78" spans="1:16" ht="20.100000000000001" customHeight="1" x14ac:dyDescent="0.25">
      <c r="A78" s="213">
        <f>'Расчет ЦП - общая форма'!A78</f>
        <v>51</v>
      </c>
      <c r="B78" s="213">
        <f>COUNTIFS($C$8:C78,"*ПС*",$L$8:L78,"*закрыт*")</f>
        <v>9</v>
      </c>
      <c r="C78" s="213" t="str">
        <f>'Расчет ЦП - общая форма'!C78</f>
        <v xml:space="preserve">ПС 35/6 кВ Бельский Карьер </v>
      </c>
      <c r="D78" s="230">
        <f>'Расчет ЦП - общая форма'!D78</f>
        <v>4</v>
      </c>
      <c r="E78" s="229">
        <f>'Расчет ЦП - общая форма'!E78</f>
        <v>0</v>
      </c>
      <c r="F78" s="229">
        <f>'Расчет ЦП - общая форма'!F78</f>
        <v>0</v>
      </c>
      <c r="G78" s="229">
        <f>'Расчет ЦП - общая форма'!G78</f>
        <v>0</v>
      </c>
      <c r="H78" s="229">
        <f>'Расчет ЦП - общая форма'!H78</f>
        <v>0</v>
      </c>
      <c r="I78" s="172">
        <f>'Расчет ЦП - общая форма'!Q78</f>
        <v>-0.22</v>
      </c>
      <c r="J78" s="172">
        <f>'Расчет ЦП - общая форма'!R78</f>
        <v>-0.22</v>
      </c>
      <c r="K78" s="213" t="str">
        <f>'Расчет ЦП - общая форма'!S78</f>
        <v>закрыт</v>
      </c>
      <c r="L78" s="257" t="str">
        <f>'Расчет ЦП - общая форма'!T78</f>
        <v>закрыт</v>
      </c>
      <c r="M78" s="768">
        <f>'Расчет ЦП - общая форма'!U78</f>
        <v>5.4761904761904763</v>
      </c>
      <c r="N78" s="924"/>
      <c r="O78" s="924"/>
      <c r="P78" s="924"/>
    </row>
    <row r="79" spans="1:16" s="232" customFormat="1" ht="15" hidden="1" customHeight="1" x14ac:dyDescent="0.25">
      <c r="A79" s="213">
        <f>'Расчет ЦП - общая форма'!A79</f>
        <v>52</v>
      </c>
      <c r="B79" s="213">
        <f>COUNTIFS($C$8:C79,"*ПС*",$L$8:L79,"*закрыт*")</f>
        <v>9</v>
      </c>
      <c r="C79" s="213" t="str">
        <f>'Расчет ЦП - общая форма'!C79</f>
        <v xml:space="preserve">ПС 35/10 кВ Дубровка </v>
      </c>
      <c r="D79" s="230">
        <f>'Расчет ЦП - общая форма'!D79</f>
        <v>1.6</v>
      </c>
      <c r="E79" s="229">
        <f>'Расчет ЦП - общая форма'!E79</f>
        <v>0</v>
      </c>
      <c r="F79" s="229">
        <f>'Расчет ЦП - общая форма'!F79</f>
        <v>0</v>
      </c>
      <c r="G79" s="229">
        <f>'Расчет ЦП - общая форма'!G79</f>
        <v>0</v>
      </c>
      <c r="H79" s="229">
        <f>'Расчет ЦП - общая форма'!H79</f>
        <v>0</v>
      </c>
      <c r="I79" s="172">
        <f>'Расчет ЦП - общая форма'!Q79</f>
        <v>1.999999999999999E-2</v>
      </c>
      <c r="J79" s="172">
        <f>'Расчет ЦП - общая форма'!R79</f>
        <v>1.999999999999999E-2</v>
      </c>
      <c r="K79" s="213" t="str">
        <f>'Расчет ЦП - общая форма'!S79</f>
        <v/>
      </c>
      <c r="L79" s="257" t="str">
        <f>'Расчет ЦП - общая форма'!T79</f>
        <v/>
      </c>
      <c r="M79" s="768">
        <f>'Расчет ЦП - общая форма'!U79</f>
        <v>13.69047619047619</v>
      </c>
      <c r="N79" s="919"/>
      <c r="O79" s="919"/>
      <c r="P79" s="919"/>
    </row>
    <row r="80" spans="1:16" ht="20.100000000000001" customHeight="1" x14ac:dyDescent="0.25">
      <c r="A80" s="213">
        <f>'Расчет ЦП - общая форма'!A80</f>
        <v>53</v>
      </c>
      <c r="B80" s="213">
        <f>COUNTIFS($C$8:C80,"*ПС*",$L$8:L80,"*закрыт*")</f>
        <v>10</v>
      </c>
      <c r="C80" s="213" t="str">
        <f>'Расчет ЦП - общая форма'!C80</f>
        <v xml:space="preserve">ПС 35/10 кВ Жилотково </v>
      </c>
      <c r="D80" s="230">
        <f>'Расчет ЦП - общая форма'!D80</f>
        <v>1.8</v>
      </c>
      <c r="E80" s="229">
        <f>'Расчет ЦП - общая форма'!E80</f>
        <v>0</v>
      </c>
      <c r="F80" s="229">
        <f>'Расчет ЦП - общая форма'!F80</f>
        <v>0</v>
      </c>
      <c r="G80" s="229">
        <f>'Расчет ЦП - общая форма'!G80</f>
        <v>0</v>
      </c>
      <c r="H80" s="229">
        <f>'Расчет ЦП - общая форма'!H80</f>
        <v>0</v>
      </c>
      <c r="I80" s="172">
        <f>'Расчет ЦП - общая форма'!Q80</f>
        <v>-0.22</v>
      </c>
      <c r="J80" s="172">
        <f>'Расчет ЦП - общая форма'!R80</f>
        <v>-0.22</v>
      </c>
      <c r="K80" s="213" t="str">
        <f>'Расчет ЦП - общая форма'!S80</f>
        <v>закрыт</v>
      </c>
      <c r="L80" s="257" t="str">
        <f>'Расчет ЦП - общая форма'!T80</f>
        <v>закрыт</v>
      </c>
      <c r="M80" s="768">
        <f>'Расчет ЦП - общая форма'!U80</f>
        <v>11.640211640211639</v>
      </c>
      <c r="N80" s="924"/>
      <c r="O80" s="924"/>
      <c r="P80" s="924"/>
    </row>
    <row r="81" spans="1:48" s="232" customFormat="1" ht="15" hidden="1" customHeight="1" x14ac:dyDescent="0.25">
      <c r="A81" s="213">
        <f>'Расчет ЦП - общая форма'!A81</f>
        <v>54</v>
      </c>
      <c r="B81" s="213">
        <f>COUNTIFS($C$8:C81,"*ПС*",$L$8:L81,"*закрыт*")</f>
        <v>10</v>
      </c>
      <c r="C81" s="213" t="str">
        <f>'Расчет ЦП - общая форма'!C81</f>
        <v xml:space="preserve">ПС 35/10 кВ Копачево </v>
      </c>
      <c r="D81" s="230">
        <f>'Расчет ЦП - общая форма'!D81</f>
        <v>1.6</v>
      </c>
      <c r="E81" s="229">
        <f>'Расчет ЦП - общая форма'!E81</f>
        <v>0</v>
      </c>
      <c r="F81" s="229">
        <f>'Расчет ЦП - общая форма'!F81</f>
        <v>0</v>
      </c>
      <c r="G81" s="229">
        <f>'Расчет ЦП - общая форма'!G81</f>
        <v>0</v>
      </c>
      <c r="H81" s="229">
        <f>'Расчет ЦП - общая форма'!H81</f>
        <v>0</v>
      </c>
      <c r="I81" s="172">
        <f>'Расчет ЦП - общая форма'!Q81</f>
        <v>0</v>
      </c>
      <c r="J81" s="172">
        <f>'Расчет ЦП - общая форма'!R81</f>
        <v>0</v>
      </c>
      <c r="K81" s="213" t="str">
        <f>'Расчет ЦП - общая форма'!S81</f>
        <v/>
      </c>
      <c r="L81" s="257" t="str">
        <f>'Расчет ЦП - общая форма'!T81</f>
        <v/>
      </c>
      <c r="M81" s="768">
        <f>'Расчет ЦП - общая форма'!U81</f>
        <v>24.999999999999996</v>
      </c>
      <c r="N81" s="919"/>
      <c r="O81" s="919"/>
      <c r="P81" s="919"/>
    </row>
    <row r="82" spans="1:48" s="232" customFormat="1" ht="30" hidden="1" customHeight="1" x14ac:dyDescent="0.25">
      <c r="A82" s="213">
        <f>'Расчет ЦП - общая форма'!A82</f>
        <v>55</v>
      </c>
      <c r="B82" s="213">
        <f>COUNTIFS($C$8:C82,"*ПС*",$L$8:L82,"*закрыт*")</f>
        <v>10</v>
      </c>
      <c r="C82" s="213" t="str">
        <f>'Расчет ЦП - общая форма'!C82</f>
        <v xml:space="preserve">ПС 35/10 кВ Кузнецово </v>
      </c>
      <c r="D82" s="230">
        <f>'Расчет ЦП - общая форма'!D82</f>
        <v>1.6</v>
      </c>
      <c r="E82" s="229">
        <f>'Расчет ЦП - общая форма'!E82</f>
        <v>0</v>
      </c>
      <c r="F82" s="229">
        <f>'Расчет ЦП - общая форма'!F82</f>
        <v>0</v>
      </c>
      <c r="G82" s="229">
        <f>'Расчет ЦП - общая форма'!G82</f>
        <v>0</v>
      </c>
      <c r="H82" s="229">
        <f>'Расчет ЦП - общая форма'!H82</f>
        <v>0</v>
      </c>
      <c r="I82" s="172">
        <f>'Расчет ЦП - общая форма'!Q82</f>
        <v>0</v>
      </c>
      <c r="J82" s="172">
        <f>'Расчет ЦП - общая форма'!R82</f>
        <v>0</v>
      </c>
      <c r="K82" s="213" t="str">
        <f>'Расчет ЦП - общая форма'!S82</f>
        <v/>
      </c>
      <c r="L82" s="257" t="str">
        <f>'Расчет ЦП - общая форма'!T82</f>
        <v/>
      </c>
      <c r="M82" s="768">
        <f>'Расчет ЦП - общая форма'!U82</f>
        <v>39.285714285714285</v>
      </c>
      <c r="N82" s="919"/>
      <c r="O82" s="919"/>
      <c r="P82" s="919"/>
    </row>
    <row r="83" spans="1:48" s="232" customFormat="1" ht="15" hidden="1" customHeight="1" x14ac:dyDescent="0.25">
      <c r="A83" s="213">
        <f>'Расчет ЦП - общая форма'!A83</f>
        <v>56</v>
      </c>
      <c r="B83" s="213">
        <f>COUNTIFS($C$8:C83,"*ПС*",$L$8:L83,"*закрыт*")</f>
        <v>10</v>
      </c>
      <c r="C83" s="213" t="str">
        <f>'Расчет ЦП - общая форма'!C83</f>
        <v xml:space="preserve">ПС 35/10 кВ Лужниково </v>
      </c>
      <c r="D83" s="230">
        <f>'Расчет ЦП - общая форма'!D83</f>
        <v>2.5</v>
      </c>
      <c r="E83" s="229">
        <f>'Расчет ЦП - общая форма'!E83</f>
        <v>0</v>
      </c>
      <c r="F83" s="229">
        <f>'Расчет ЦП - общая форма'!F83</f>
        <v>0</v>
      </c>
      <c r="G83" s="229">
        <f>'Расчет ЦП - общая форма'!G83</f>
        <v>0</v>
      </c>
      <c r="H83" s="229">
        <f>'Расчет ЦП - общая форма'!H83</f>
        <v>0</v>
      </c>
      <c r="I83" s="172">
        <f>'Расчет ЦП - общая форма'!Q83</f>
        <v>0</v>
      </c>
      <c r="J83" s="172">
        <f>'Расчет ЦП - общая форма'!R83</f>
        <v>0</v>
      </c>
      <c r="K83" s="213" t="str">
        <f>'Расчет ЦП - общая форма'!S83</f>
        <v/>
      </c>
      <c r="L83" s="257" t="str">
        <f>'Расчет ЦП - общая форма'!T83</f>
        <v/>
      </c>
      <c r="M83" s="768">
        <f>'Расчет ЦП - общая форма'!U83</f>
        <v>8</v>
      </c>
      <c r="N83" s="924"/>
      <c r="O83" s="924"/>
      <c r="P83" s="924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</row>
    <row r="84" spans="1:48" ht="20.100000000000001" hidden="1" customHeight="1" x14ac:dyDescent="0.25">
      <c r="A84" s="213">
        <f>'Расчет ЦП - общая форма'!A84</f>
        <v>57</v>
      </c>
      <c r="B84" s="213">
        <f>COUNTIFS($C$8:C84,"*ПС*",$L$8:L84,"*закрыт*")</f>
        <v>10</v>
      </c>
      <c r="C84" s="213" t="str">
        <f>'Расчет ЦП - общая форма'!C84</f>
        <v xml:space="preserve">ПС 35/10 кВ Насакино  </v>
      </c>
      <c r="D84" s="230">
        <f>'Расчет ЦП - общая форма'!D84</f>
        <v>2.5</v>
      </c>
      <c r="E84" s="229">
        <f>'Расчет ЦП - общая форма'!E84</f>
        <v>0</v>
      </c>
      <c r="F84" s="229">
        <f>'Расчет ЦП - общая форма'!F84</f>
        <v>0</v>
      </c>
      <c r="G84" s="229">
        <f>'Расчет ЦП - общая форма'!G84</f>
        <v>0</v>
      </c>
      <c r="H84" s="229">
        <f>'Расчет ЦП - общая форма'!H84</f>
        <v>0</v>
      </c>
      <c r="I84" s="172">
        <f>'Расчет ЦП - общая форма'!Q84</f>
        <v>0</v>
      </c>
      <c r="J84" s="172">
        <f>'Расчет ЦП - общая форма'!R84</f>
        <v>0</v>
      </c>
      <c r="K84" s="213" t="str">
        <f>'Расчет ЦП - общая форма'!S84</f>
        <v/>
      </c>
      <c r="L84" s="257" t="str">
        <f>'Расчет ЦП - общая форма'!T84</f>
        <v/>
      </c>
      <c r="M84" s="768">
        <f>'Расчет ЦП - общая форма'!U84</f>
        <v>3.0476190476190474</v>
      </c>
      <c r="N84" s="924"/>
      <c r="O84" s="924"/>
      <c r="P84" s="924"/>
    </row>
    <row r="85" spans="1:48" s="232" customFormat="1" ht="30" hidden="1" customHeight="1" x14ac:dyDescent="0.25">
      <c r="A85" s="213">
        <f>'Расчет ЦП - общая форма'!A85</f>
        <v>58</v>
      </c>
      <c r="B85" s="213">
        <f>COUNTIFS($C$8:C85,"*ПС*",$L$8:L85,"*закрыт*")</f>
        <v>10</v>
      </c>
      <c r="C85" s="213" t="str">
        <f>'Расчет ЦП - общая форма'!C85</f>
        <v xml:space="preserve">ПС 110/35 кВ Октябрьский Карьер </v>
      </c>
      <c r="D85" s="230">
        <f>'Расчет ЦП - общая форма'!D85</f>
        <v>25</v>
      </c>
      <c r="E85" s="229">
        <f>'Расчет ЦП - общая форма'!E85</f>
        <v>0</v>
      </c>
      <c r="F85" s="229">
        <f>'Расчет ЦП - общая форма'!F85</f>
        <v>0</v>
      </c>
      <c r="G85" s="229">
        <f>'Расчет ЦП - общая форма'!G85</f>
        <v>0</v>
      </c>
      <c r="H85" s="229">
        <f>'Расчет ЦП - общая форма'!H85</f>
        <v>0</v>
      </c>
      <c r="I85" s="172">
        <f>'Расчет ЦП - общая форма'!Q85</f>
        <v>0</v>
      </c>
      <c r="J85" s="172">
        <f>'Расчет ЦП - общая форма'!R85</f>
        <v>0</v>
      </c>
      <c r="K85" s="213" t="str">
        <f>'Расчет ЦП - общая форма'!S85</f>
        <v/>
      </c>
      <c r="L85" s="257" t="str">
        <f>'Расчет ЦП - общая форма'!T85</f>
        <v/>
      </c>
      <c r="M85" s="768">
        <f>'Расчет ЦП - общая форма'!U85</f>
        <v>2.7428571428571429</v>
      </c>
      <c r="N85" s="924"/>
      <c r="O85" s="924"/>
      <c r="P85" s="924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</row>
    <row r="86" spans="1:48" s="232" customFormat="1" ht="30" hidden="1" customHeight="1" x14ac:dyDescent="0.25">
      <c r="A86" s="213">
        <f>'Расчет ЦП - общая форма'!A86</f>
        <v>59</v>
      </c>
      <c r="B86" s="213">
        <f>COUNTIFS($C$8:C86,"*ПС*",$L$8:L86,"*закрыт*")</f>
        <v>10</v>
      </c>
      <c r="C86" s="213" t="str">
        <f>'Расчет ЦП - общая форма'!C86</f>
        <v xml:space="preserve">ПС 35/10 кВ Порожки </v>
      </c>
      <c r="D86" s="230">
        <f>'Расчет ЦП - общая форма'!D86</f>
        <v>1</v>
      </c>
      <c r="E86" s="229">
        <f>'Расчет ЦП - общая форма'!E86</f>
        <v>0</v>
      </c>
      <c r="F86" s="229">
        <f>'Расчет ЦП - общая форма'!F86</f>
        <v>0</v>
      </c>
      <c r="G86" s="229">
        <f>'Расчет ЦП - общая форма'!G86</f>
        <v>0</v>
      </c>
      <c r="H86" s="229">
        <f>'Расчет ЦП - общая форма'!H86</f>
        <v>0</v>
      </c>
      <c r="I86" s="172">
        <f>'Расчет ЦП - общая форма'!Q86</f>
        <v>0</v>
      </c>
      <c r="J86" s="172">
        <f>'Расчет ЦП - общая форма'!R86</f>
        <v>0</v>
      </c>
      <c r="K86" s="213" t="str">
        <f>'Расчет ЦП - общая форма'!S86</f>
        <v/>
      </c>
      <c r="L86" s="257" t="str">
        <f>'Расчет ЦП - общая форма'!T86</f>
        <v/>
      </c>
      <c r="M86" s="768">
        <f>'Расчет ЦП - общая форма'!U86</f>
        <v>27.619047619047613</v>
      </c>
      <c r="N86" s="919"/>
      <c r="O86" s="919"/>
      <c r="P86" s="919"/>
    </row>
    <row r="87" spans="1:48" ht="20.100000000000001" customHeight="1" x14ac:dyDescent="0.25">
      <c r="A87" s="213">
        <f>'Расчет ЦП - общая форма'!A87</f>
        <v>60</v>
      </c>
      <c r="B87" s="213">
        <f>COUNTIFS($C$8:C87,"*ПС*",$L$8:L87,"*закрыт*")</f>
        <v>11</v>
      </c>
      <c r="C87" s="213" t="str">
        <f>'Расчет ЦП - общая форма'!C87</f>
        <v>ПС 35/6 кВ ХБК</v>
      </c>
      <c r="D87" s="230">
        <f>'Расчет ЦП - общая форма'!D87</f>
        <v>4</v>
      </c>
      <c r="E87" s="229">
        <f>'Расчет ЦП - общая форма'!E87</f>
        <v>0</v>
      </c>
      <c r="F87" s="229">
        <f>'Расчет ЦП - общая форма'!F87</f>
        <v>0</v>
      </c>
      <c r="G87" s="229">
        <f>'Расчет ЦП - общая форма'!G87</f>
        <v>0</v>
      </c>
      <c r="H87" s="229">
        <f>'Расчет ЦП - общая форма'!H87</f>
        <v>0</v>
      </c>
      <c r="I87" s="172">
        <f>'Расчет ЦП - общая форма'!Q87</f>
        <v>-1.6600000000000001</v>
      </c>
      <c r="J87" s="172">
        <f>'Расчет ЦП - общая форма'!R87</f>
        <v>-1.6600000000000001</v>
      </c>
      <c r="K87" s="213" t="str">
        <f>'Расчет ЦП - общая форма'!S87</f>
        <v>закрыт</v>
      </c>
      <c r="L87" s="257" t="str">
        <f>'Расчет ЦП - общая форма'!T87</f>
        <v>закрыт</v>
      </c>
      <c r="M87" s="768">
        <f>'Расчет ЦП - общая форма'!U87</f>
        <v>60.952380952380949</v>
      </c>
      <c r="N87" s="924"/>
      <c r="O87" s="924"/>
      <c r="P87" s="924"/>
    </row>
    <row r="88" spans="1:48" s="232" customFormat="1" ht="30" hidden="1" customHeight="1" x14ac:dyDescent="0.25">
      <c r="A88" s="213">
        <f>'Расчет ЦП - общая форма'!A88</f>
        <v>61</v>
      </c>
      <c r="B88" s="213">
        <f>COUNTIFS($C$8:C88,"*ПС*",$L$8:L88,"*закрыт*")</f>
        <v>11</v>
      </c>
      <c r="C88" s="213" t="str">
        <f>'Расчет ЦП - общая форма'!C88</f>
        <v xml:space="preserve">ПС 35/6 кВ №5 </v>
      </c>
      <c r="D88" s="230">
        <f>'Расчет ЦП - общая форма'!D88</f>
        <v>1</v>
      </c>
      <c r="E88" s="229" t="str">
        <f>'Расчет ЦП - общая форма'!E88</f>
        <v>+</v>
      </c>
      <c r="F88" s="229">
        <f>'Расчет ЦП - общая форма'!F88</f>
        <v>1.6</v>
      </c>
      <c r="G88" s="229">
        <f>'Расчет ЦП - общая форма'!G88</f>
        <v>0</v>
      </c>
      <c r="H88" s="229">
        <f>'Расчет ЦП - общая форма'!H88</f>
        <v>0</v>
      </c>
      <c r="I88" s="172">
        <f>'Расчет ЦП - общая форма'!Q88</f>
        <v>0.43000000000000005</v>
      </c>
      <c r="J88" s="172">
        <f>'Расчет ЦП - общая форма'!R88</f>
        <v>0.43000000000000005</v>
      </c>
      <c r="K88" s="213" t="str">
        <f>'Расчет ЦП - общая форма'!S88</f>
        <v/>
      </c>
      <c r="L88" s="257" t="str">
        <f>'Расчет ЦП - общая форма'!T88</f>
        <v/>
      </c>
      <c r="M88" s="768">
        <f>'Расчет ЦП - общая форма'!U88</f>
        <v>59.047619047619044</v>
      </c>
      <c r="N88" s="919"/>
      <c r="O88" s="919"/>
      <c r="P88" s="919"/>
    </row>
    <row r="89" spans="1:48" s="232" customFormat="1" ht="15" hidden="1" customHeight="1" x14ac:dyDescent="0.25">
      <c r="A89" s="213">
        <f>'Расчет ЦП - общая форма'!A89</f>
        <v>62</v>
      </c>
      <c r="B89" s="213">
        <f>COUNTIFS($C$8:C89,"*ПС*",$L$8:L89,"*закрыт*")</f>
        <v>11</v>
      </c>
      <c r="C89" s="213" t="str">
        <f>'Расчет ЦП - общая форма'!C89</f>
        <v xml:space="preserve">ПС 35/10 кВ 9-е Января  </v>
      </c>
      <c r="D89" s="230">
        <f>'Расчет ЦП - общая форма'!D89</f>
        <v>6.3</v>
      </c>
      <c r="E89" s="229" t="str">
        <f>'Расчет ЦП - общая форма'!E89</f>
        <v>+</v>
      </c>
      <c r="F89" s="229">
        <f>'Расчет ЦП - общая форма'!F89</f>
        <v>10</v>
      </c>
      <c r="G89" s="229">
        <f>'Расчет ЦП - общая форма'!G89</f>
        <v>0</v>
      </c>
      <c r="H89" s="229">
        <f>'Расчет ЦП - общая форма'!H89</f>
        <v>0</v>
      </c>
      <c r="I89" s="172">
        <f>'Расчет ЦП - общая форма'!Q89</f>
        <v>2.1150000000000002</v>
      </c>
      <c r="J89" s="172">
        <f>'Расчет ЦП - общая форма'!R89</f>
        <v>2.1150000000000002</v>
      </c>
      <c r="K89" s="213" t="str">
        <f>'Расчет ЦП - общая форма'!S89</f>
        <v/>
      </c>
      <c r="L89" s="257" t="str">
        <f>'Расчет ЦП - общая форма'!T89</f>
        <v/>
      </c>
      <c r="M89" s="768">
        <f>'Расчет ЦП - общая форма'!U89</f>
        <v>68.027210884353735</v>
      </c>
      <c r="N89" s="919"/>
      <c r="O89" s="919"/>
      <c r="P89" s="919"/>
    </row>
    <row r="90" spans="1:48" s="232" customFormat="1" ht="15" hidden="1" customHeight="1" x14ac:dyDescent="0.25">
      <c r="A90" s="213">
        <f>'Расчет ЦП - общая форма'!A90</f>
        <v>63</v>
      </c>
      <c r="B90" s="213">
        <f>COUNTIFS($C$8:C90,"*ПС*",$L$8:L90,"*закрыт*")</f>
        <v>11</v>
      </c>
      <c r="C90" s="213" t="str">
        <f>'Расчет ЦП - общая форма'!C90</f>
        <v xml:space="preserve">ПС 35/6 кВ АКУ </v>
      </c>
      <c r="D90" s="230">
        <f>'Расчет ЦП - общая форма'!D90</f>
        <v>3.2</v>
      </c>
      <c r="E90" s="229" t="str">
        <f>'Расчет ЦП - общая форма'!E90</f>
        <v>+</v>
      </c>
      <c r="F90" s="229">
        <f>'Расчет ЦП - общая форма'!F90</f>
        <v>4</v>
      </c>
      <c r="G90" s="229">
        <f>'Расчет ЦП - общая форма'!G90</f>
        <v>0</v>
      </c>
      <c r="H90" s="229">
        <f>'Расчет ЦП - общая форма'!H90</f>
        <v>0</v>
      </c>
      <c r="I90" s="172">
        <f>'Расчет ЦП - общая форма'!Q90</f>
        <v>2.3000000000000003</v>
      </c>
      <c r="J90" s="172">
        <f>'Расчет ЦП - общая форма'!R90</f>
        <v>2.3000000000000003</v>
      </c>
      <c r="K90" s="213" t="str">
        <f>'Расчет ЦП - общая форма'!S90</f>
        <v/>
      </c>
      <c r="L90" s="257" t="str">
        <f>'Расчет ЦП - общая форма'!T90</f>
        <v/>
      </c>
      <c r="M90" s="768">
        <f>'Расчет ЦП - общая форма'!U90</f>
        <v>37.499999999999993</v>
      </c>
      <c r="N90" s="919"/>
      <c r="O90" s="919"/>
      <c r="P90" s="919"/>
    </row>
    <row r="91" spans="1:48" s="232" customFormat="1" ht="15" hidden="1" customHeight="1" x14ac:dyDescent="0.25">
      <c r="A91" s="213">
        <f>'Расчет ЦП - общая форма'!A91</f>
        <v>64</v>
      </c>
      <c r="B91" s="213">
        <f>COUNTIFS($C$8:C91,"*ПС*",$L$8:L91,"*закрыт*")</f>
        <v>11</v>
      </c>
      <c r="C91" s="213" t="str">
        <f>'Расчет ЦП - общая форма'!C91</f>
        <v xml:space="preserve">ПС 35/6 кВ Афанасово </v>
      </c>
      <c r="D91" s="230">
        <f>'Расчет ЦП - общая форма'!D91</f>
        <v>1</v>
      </c>
      <c r="E91" s="229" t="str">
        <f>'Расчет ЦП - общая форма'!E91</f>
        <v>+</v>
      </c>
      <c r="F91" s="229">
        <f>'Расчет ЦП - общая форма'!F91</f>
        <v>1.8</v>
      </c>
      <c r="G91" s="229">
        <f>'Расчет ЦП - общая форма'!G91</f>
        <v>0</v>
      </c>
      <c r="H91" s="229">
        <f>'Расчет ЦП - общая форма'!H91</f>
        <v>0</v>
      </c>
      <c r="I91" s="172">
        <f>'Расчет ЦП - общая форма'!Q91</f>
        <v>1.03</v>
      </c>
      <c r="J91" s="172">
        <f>'Расчет ЦП - общая форма'!R91</f>
        <v>1.03</v>
      </c>
      <c r="K91" s="213" t="str">
        <f>'Расчет ЦП - общая форма'!S91</f>
        <v/>
      </c>
      <c r="L91" s="257" t="str">
        <f>'Расчет ЦП - общая форма'!T91</f>
        <v/>
      </c>
      <c r="M91" s="768">
        <f>'Расчет ЦП - общая форма'!U91</f>
        <v>1.9047619047619047</v>
      </c>
      <c r="N91" s="919"/>
      <c r="O91" s="919"/>
      <c r="P91" s="919"/>
    </row>
    <row r="92" spans="1:48" s="232" customFormat="1" ht="15" hidden="1" customHeight="1" x14ac:dyDescent="0.25">
      <c r="A92" s="213">
        <f>'Расчет ЦП - общая форма'!A92</f>
        <v>65</v>
      </c>
      <c r="B92" s="213">
        <f>COUNTIFS($C$8:C92,"*ПС*",$L$8:L92,"*закрыт*")</f>
        <v>11</v>
      </c>
      <c r="C92" s="213" t="str">
        <f>'Расчет ЦП - общая форма'!C92</f>
        <v xml:space="preserve">ПС 110/6 кВ Б-4 </v>
      </c>
      <c r="D92" s="230">
        <f>'Расчет ЦП - общая форма'!D92</f>
        <v>10</v>
      </c>
      <c r="E92" s="229" t="str">
        <f>'Расчет ЦП - общая форма'!E92</f>
        <v>+</v>
      </c>
      <c r="F92" s="229">
        <f>'Расчет ЦП - общая форма'!F92</f>
        <v>10</v>
      </c>
      <c r="G92" s="229">
        <f>'Расчет ЦП - общая форма'!G92</f>
        <v>0</v>
      </c>
      <c r="H92" s="229">
        <f>'Расчет ЦП - общая форма'!H92</f>
        <v>0</v>
      </c>
      <c r="I92" s="172">
        <f>'Расчет ЦП - общая форма'!Q92</f>
        <v>5.46</v>
      </c>
      <c r="J92" s="172">
        <f>'Расчет ЦП - общая форма'!R92</f>
        <v>5.46</v>
      </c>
      <c r="K92" s="213" t="str">
        <f>'Расчет ЦП - общая форма'!S92</f>
        <v/>
      </c>
      <c r="L92" s="257" t="str">
        <f>'Расчет ЦП - общая форма'!T92</f>
        <v/>
      </c>
      <c r="M92" s="768">
        <f>'Расчет ЦП - общая форма'!U92</f>
        <v>48</v>
      </c>
      <c r="N92" s="919"/>
      <c r="O92" s="919"/>
      <c r="P92" s="919"/>
    </row>
    <row r="93" spans="1:48" ht="20.100000000000001" hidden="1" customHeight="1" x14ac:dyDescent="0.25">
      <c r="A93" s="213">
        <f>'Расчет ЦП - общая форма'!A93</f>
        <v>66</v>
      </c>
      <c r="B93" s="213">
        <f>COUNTIFS($C$8:C93,"*ПС*",$L$8:L93,"*закрыт*")</f>
        <v>11</v>
      </c>
      <c r="C93" s="213" t="str">
        <f>'Расчет ЦП - общая форма'!C93</f>
        <v xml:space="preserve">ПС 35/6 кВ Борисово </v>
      </c>
      <c r="D93" s="230">
        <f>'Расчет ЦП - общая форма'!D93</f>
        <v>3.2</v>
      </c>
      <c r="E93" s="229" t="str">
        <f>'Расчет ЦП - общая форма'!E93</f>
        <v>+</v>
      </c>
      <c r="F93" s="229">
        <f>'Расчет ЦП - общая форма'!F93</f>
        <v>3.2</v>
      </c>
      <c r="G93" s="229">
        <f>'Расчет ЦП - общая форма'!G93</f>
        <v>0</v>
      </c>
      <c r="H93" s="229">
        <f>'Расчет ЦП - общая форма'!H93</f>
        <v>0</v>
      </c>
      <c r="I93" s="172">
        <f>'Расчет ЦП - общая форма'!Q93</f>
        <v>0.8100000000000005</v>
      </c>
      <c r="J93" s="172">
        <f>'Расчет ЦП - общая форма'!R93</f>
        <v>0.8100000000000005</v>
      </c>
      <c r="K93" s="213" t="str">
        <f>'Расчет ЦП - общая форма'!S93</f>
        <v/>
      </c>
      <c r="L93" s="257" t="str">
        <f>'Расчет ЦП - общая форма'!T93</f>
        <v/>
      </c>
      <c r="M93" s="768">
        <f>'Расчет ЦП - общая форма'!U93</f>
        <v>75.892857142857125</v>
      </c>
      <c r="N93" s="919"/>
      <c r="O93" s="919"/>
      <c r="P93" s="919"/>
    </row>
    <row r="94" spans="1:48" s="232" customFormat="1" ht="15" hidden="1" customHeight="1" x14ac:dyDescent="0.25">
      <c r="A94" s="213">
        <f>'Расчет ЦП - общая форма'!A94</f>
        <v>67</v>
      </c>
      <c r="B94" s="213">
        <f>COUNTIFS($C$8:C94,"*ПС*",$L$8:L94,"*закрыт*")</f>
        <v>11</v>
      </c>
      <c r="C94" s="213" t="str">
        <f>'Расчет ЦП - общая форма'!C94</f>
        <v xml:space="preserve">ПС 35/10 кВ Боровно </v>
      </c>
      <c r="D94" s="230">
        <f>'Расчет ЦП - общая форма'!D94</f>
        <v>2.5</v>
      </c>
      <c r="E94" s="229" t="str">
        <f>'Расчет ЦП - общая форма'!E94</f>
        <v>+</v>
      </c>
      <c r="F94" s="229">
        <f>'Расчет ЦП - общая форма'!F94</f>
        <v>2.5</v>
      </c>
      <c r="G94" s="229">
        <f>'Расчет ЦП - общая форма'!G94</f>
        <v>0</v>
      </c>
      <c r="H94" s="229">
        <f>'Расчет ЦП - общая форма'!H94</f>
        <v>0</v>
      </c>
      <c r="I94" s="172">
        <f>'Расчет ЦП - общая форма'!Q94</f>
        <v>2.2749999999999999</v>
      </c>
      <c r="J94" s="172">
        <f>'Расчет ЦП - общая форма'!R94</f>
        <v>2.2749999999999999</v>
      </c>
      <c r="K94" s="213" t="str">
        <f>'Расчет ЦП - общая форма'!S94</f>
        <v/>
      </c>
      <c r="L94" s="257" t="str">
        <f>'Расчет ЦП - общая форма'!T94</f>
        <v/>
      </c>
      <c r="M94" s="768">
        <f>'Расчет ЦП - общая форма'!U94</f>
        <v>20.952380952380956</v>
      </c>
      <c r="N94" s="919"/>
      <c r="O94" s="919"/>
      <c r="P94" s="919"/>
    </row>
    <row r="95" spans="1:48" s="232" customFormat="1" ht="15" hidden="1" customHeight="1" x14ac:dyDescent="0.25">
      <c r="A95" s="213">
        <f>'Расчет ЦП - общая форма'!A95</f>
        <v>68</v>
      </c>
      <c r="B95" s="213">
        <f>COUNTIFS($C$8:C95,"*ПС*",$L$8:L95,"*закрыт*")</f>
        <v>11</v>
      </c>
      <c r="C95" s="213" t="str">
        <f>'Расчет ЦП - общая форма'!C95</f>
        <v xml:space="preserve">ПС 110/10 кВ Бушевец </v>
      </c>
      <c r="D95" s="230">
        <f>'Расчет ЦП - общая форма'!D95</f>
        <v>6.3</v>
      </c>
      <c r="E95" s="229" t="str">
        <f>'Расчет ЦП - общая форма'!E95</f>
        <v>+</v>
      </c>
      <c r="F95" s="229">
        <f>'Расчет ЦП - общая форма'!F95</f>
        <v>6.3</v>
      </c>
      <c r="G95" s="229">
        <f>'Расчет ЦП - общая форма'!G95</f>
        <v>0</v>
      </c>
      <c r="H95" s="229">
        <f>'Расчет ЦП - общая форма'!H95</f>
        <v>0</v>
      </c>
      <c r="I95" s="172">
        <f>'Расчет ЦП - общая форма'!Q95</f>
        <v>6.1950000000000003</v>
      </c>
      <c r="J95" s="172">
        <f>'Расчет ЦП - общая форма'!R95</f>
        <v>6.1950000000000003</v>
      </c>
      <c r="K95" s="213" t="str">
        <f>'Расчет ЦП - общая форма'!S95</f>
        <v/>
      </c>
      <c r="L95" s="257" t="str">
        <f>'Расчет ЦП - общая форма'!T95</f>
        <v/>
      </c>
      <c r="M95" s="768">
        <f>'Расчет ЦП - общая форма'!U95</f>
        <v>6.3492063492063489</v>
      </c>
      <c r="N95" s="919"/>
      <c r="O95" s="919"/>
      <c r="P95" s="919"/>
    </row>
    <row r="96" spans="1:48" s="232" customFormat="1" ht="15" hidden="1" customHeight="1" x14ac:dyDescent="0.25">
      <c r="A96" s="213">
        <f>'Расчет ЦП - общая форма'!A96</f>
        <v>69</v>
      </c>
      <c r="B96" s="213">
        <f>COUNTIFS($C$8:C96,"*ПС*",$L$8:L96,"*закрыт*")</f>
        <v>11</v>
      </c>
      <c r="C96" s="213" t="str">
        <f>'Расчет ЦП - общая форма'!C96</f>
        <v xml:space="preserve">ПС 35/6 кВ Великий Октябрь </v>
      </c>
      <c r="D96" s="230">
        <f>'Расчет ЦП - общая форма'!D96</f>
        <v>6.3</v>
      </c>
      <c r="E96" s="229" t="str">
        <f>'Расчет ЦП - общая форма'!E96</f>
        <v>+</v>
      </c>
      <c r="F96" s="229">
        <f>'Расчет ЦП - общая форма'!F96</f>
        <v>6.3</v>
      </c>
      <c r="G96" s="229">
        <f>'Расчет ЦП - общая форма'!G96</f>
        <v>0</v>
      </c>
      <c r="H96" s="229">
        <f>'Расчет ЦП - общая форма'!H96</f>
        <v>0</v>
      </c>
      <c r="I96" s="172">
        <f>'Расчет ЦП - общая форма'!Q96</f>
        <v>5.3250000000000002</v>
      </c>
      <c r="J96" s="172">
        <f>'Расчет ЦП - общая форма'!R96</f>
        <v>5.3250000000000002</v>
      </c>
      <c r="K96" s="213" t="str">
        <f>'Расчет ЦП - общая форма'!S96</f>
        <v/>
      </c>
      <c r="L96" s="257" t="str">
        <f>'Расчет ЦП - общая форма'!T96</f>
        <v/>
      </c>
      <c r="M96" s="768">
        <f>'Расчет ЦП - общая форма'!U96</f>
        <v>19.501133786848072</v>
      </c>
      <c r="N96" s="919"/>
      <c r="O96" s="919"/>
      <c r="P96" s="919"/>
    </row>
    <row r="97" spans="1:16" ht="15" hidden="1" customHeight="1" x14ac:dyDescent="0.25">
      <c r="A97" s="213">
        <f>'Расчет ЦП - общая форма'!A97</f>
        <v>70</v>
      </c>
      <c r="B97" s="213">
        <f>COUNTIFS($C$8:C97,"*ПС*",$L$8:L97,"*закрыт*")</f>
        <v>11</v>
      </c>
      <c r="C97" s="213" t="str">
        <f>'Расчет ЦП - общая форма'!C97</f>
        <v xml:space="preserve">ПС 35/10 кВ Выдропужск </v>
      </c>
      <c r="D97" s="230">
        <f>'Расчет ЦП - общая форма'!D97</f>
        <v>2.5</v>
      </c>
      <c r="E97" s="229" t="str">
        <f>'Расчет ЦП - общая форма'!E97</f>
        <v>+</v>
      </c>
      <c r="F97" s="229">
        <f>'Расчет ЦП - общая форма'!F97</f>
        <v>1.6</v>
      </c>
      <c r="G97" s="229">
        <f>'Расчет ЦП - общая форма'!G97</f>
        <v>0</v>
      </c>
      <c r="H97" s="229">
        <f>'Расчет ЦП - общая форма'!H97</f>
        <v>0</v>
      </c>
      <c r="I97" s="172">
        <f>'Расчет ЦП - общая форма'!Q97</f>
        <v>0.92000000000000015</v>
      </c>
      <c r="J97" s="172">
        <f>'Расчет ЦП - общая форма'!R97</f>
        <v>0.92000000000000015</v>
      </c>
      <c r="K97" s="213" t="str">
        <f>'Расчет ЦП - общая форма'!S97</f>
        <v/>
      </c>
      <c r="L97" s="257" t="str">
        <f>'Расчет ЦП - общая форма'!T97</f>
        <v/>
      </c>
      <c r="M97" s="768">
        <f>'Расчет ЦП - общая форма'!U97</f>
        <v>45.238095238095234</v>
      </c>
      <c r="N97" s="919"/>
      <c r="O97" s="919"/>
      <c r="P97" s="919"/>
    </row>
    <row r="98" spans="1:16" ht="15" hidden="1" customHeight="1" x14ac:dyDescent="0.25">
      <c r="A98" s="213">
        <f>'Расчет ЦП - общая форма'!A98</f>
        <v>71</v>
      </c>
      <c r="B98" s="213">
        <f>COUNTIFS($C$8:C98,"*ПС*",$L$8:L98,"*закрыт*")</f>
        <v>11</v>
      </c>
      <c r="C98" s="213" t="str">
        <f>'Расчет ЦП - общая форма'!C98</f>
        <v xml:space="preserve">ПС 35/10 кВ Голубые Озера  </v>
      </c>
      <c r="D98" s="230">
        <f>'Расчет ЦП - общая форма'!D98</f>
        <v>2.5</v>
      </c>
      <c r="E98" s="229" t="str">
        <f>'Расчет ЦП - общая форма'!E98</f>
        <v>+</v>
      </c>
      <c r="F98" s="229">
        <f>'Расчет ЦП - общая форма'!F98</f>
        <v>1.6</v>
      </c>
      <c r="G98" s="229">
        <f>'Расчет ЦП - общая форма'!G98</f>
        <v>0</v>
      </c>
      <c r="H98" s="229">
        <f>'Расчет ЦП - общая форма'!H98</f>
        <v>0</v>
      </c>
      <c r="I98" s="172">
        <f>'Расчет ЦП - общая форма'!Q98</f>
        <v>1.58</v>
      </c>
      <c r="J98" s="172">
        <f>'Расчет ЦП - общая форма'!R98</f>
        <v>1.58</v>
      </c>
      <c r="K98" s="213" t="str">
        <f>'Расчет ЦП - общая форма'!S98</f>
        <v/>
      </c>
      <c r="L98" s="257" t="str">
        <f>'Расчет ЦП - общая форма'!T98</f>
        <v/>
      </c>
      <c r="M98" s="768">
        <f>'Расчет ЦП - общая форма'!U98</f>
        <v>29.761904761904759</v>
      </c>
      <c r="N98" s="919"/>
      <c r="O98" s="919"/>
      <c r="P98" s="919"/>
    </row>
    <row r="99" spans="1:16" ht="15" hidden="1" customHeight="1" x14ac:dyDescent="0.25">
      <c r="A99" s="213">
        <f>'Расчет ЦП - общая форма'!A99</f>
        <v>72</v>
      </c>
      <c r="B99" s="213">
        <f>COUNTIFS($C$8:C99,"*ПС*",$L$8:L99,"*закрыт*")</f>
        <v>11</v>
      </c>
      <c r="C99" s="213" t="str">
        <f>'Расчет ЦП - общая форма'!C99</f>
        <v xml:space="preserve">ПС 35/6 кВ Городок </v>
      </c>
      <c r="D99" s="230">
        <f>'Расчет ЦП - общая форма'!D99</f>
        <v>1.6</v>
      </c>
      <c r="E99" s="229" t="str">
        <f>'Расчет ЦП - общая форма'!E99</f>
        <v>+</v>
      </c>
      <c r="F99" s="229">
        <f>'Расчет ЦП - общая форма'!F99</f>
        <v>1.6</v>
      </c>
      <c r="G99" s="229">
        <f>'Расчет ЦП - общая форма'!G99</f>
        <v>0</v>
      </c>
      <c r="H99" s="229">
        <f>'Расчет ЦП - общая форма'!H99</f>
        <v>0</v>
      </c>
      <c r="I99" s="172">
        <f>'Расчет ЦП - общая форма'!Q99</f>
        <v>1.3800000000000001</v>
      </c>
      <c r="J99" s="172">
        <f>'Расчет ЦП - общая форма'!R99</f>
        <v>1.3800000000000001</v>
      </c>
      <c r="K99" s="213" t="str">
        <f>'Расчет ЦП - общая форма'!S99</f>
        <v/>
      </c>
      <c r="L99" s="257" t="str">
        <f>'Расчет ЦП - общая форма'!T99</f>
        <v/>
      </c>
      <c r="M99" s="768">
        <f>'Расчет ЦП - общая форма'!U99</f>
        <v>17.857142857142854</v>
      </c>
      <c r="N99" s="919"/>
      <c r="O99" s="919"/>
      <c r="P99" s="919"/>
    </row>
    <row r="100" spans="1:16" x14ac:dyDescent="0.25">
      <c r="A100" s="213">
        <f>'Расчет ЦП - общая форма'!A100</f>
        <v>73</v>
      </c>
      <c r="B100" s="213">
        <f>COUNTIFS($C$8:C100,"*ПС*",$L$8:L100,"*закрыт*")</f>
        <v>12</v>
      </c>
      <c r="C100" s="213" t="str">
        <f>'Расчет ЦП - общая форма'!C100</f>
        <v xml:space="preserve">ПС 35/10 кВ ДОЗ </v>
      </c>
      <c r="D100" s="230">
        <f>'Расчет ЦП - общая форма'!D100</f>
        <v>4</v>
      </c>
      <c r="E100" s="229" t="str">
        <f>'Расчет ЦП - общая форма'!E100</f>
        <v>+</v>
      </c>
      <c r="F100" s="229">
        <f>'Расчет ЦП - общая форма'!F100</f>
        <v>4</v>
      </c>
      <c r="G100" s="229">
        <f>'Расчет ЦП - общая форма'!G100</f>
        <v>0</v>
      </c>
      <c r="H100" s="229">
        <f>'Расчет ЦП - общая форма'!H100</f>
        <v>0</v>
      </c>
      <c r="I100" s="172">
        <f>'Расчет ЦП - общая форма'!Q100</f>
        <v>-0.1899999999999995</v>
      </c>
      <c r="J100" s="172">
        <f>'Расчет ЦП - общая форма'!R100</f>
        <v>-0.1899999999999995</v>
      </c>
      <c r="K100" s="213" t="str">
        <f>'Расчет ЦП - общая форма'!S100</f>
        <v>закрыт</v>
      </c>
      <c r="L100" s="257" t="str">
        <f>'Расчет ЦП - общая форма'!T100</f>
        <v>закрыт</v>
      </c>
      <c r="M100" s="768">
        <f>'Расчет ЦП - общая форма'!U100</f>
        <v>104.5238095238095</v>
      </c>
      <c r="N100" s="924"/>
      <c r="O100" s="924"/>
      <c r="P100" s="924"/>
    </row>
    <row r="101" spans="1:16" ht="15" hidden="1" customHeight="1" x14ac:dyDescent="0.25">
      <c r="A101" s="213">
        <f>'Расчет ЦП - общая форма'!A101</f>
        <v>74</v>
      </c>
      <c r="B101" s="213">
        <f>COUNTIFS($C$8:C101,"*ПС*",$L$8:L101,"*закрыт*")</f>
        <v>12</v>
      </c>
      <c r="C101" s="213" t="str">
        <f>'Расчет ЦП - общая форма'!C101</f>
        <v xml:space="preserve">ПС 35/10 кВ Дятлово </v>
      </c>
      <c r="D101" s="230">
        <f>'Расчет ЦП - общая форма'!D101</f>
        <v>1.6</v>
      </c>
      <c r="E101" s="229" t="str">
        <f>'Расчет ЦП - общая форма'!E101</f>
        <v>+</v>
      </c>
      <c r="F101" s="229">
        <f>'Расчет ЦП - общая форма'!F101</f>
        <v>1.6</v>
      </c>
      <c r="G101" s="229">
        <f>'Расчет ЦП - общая форма'!G101</f>
        <v>0</v>
      </c>
      <c r="H101" s="229">
        <f>'Расчет ЦП - общая форма'!H101</f>
        <v>0</v>
      </c>
      <c r="I101" s="172">
        <f>'Расчет ЦП - общая форма'!Q101</f>
        <v>1.1400000000000001</v>
      </c>
      <c r="J101" s="172">
        <f>'Расчет ЦП - общая форма'!R101</f>
        <v>1.1400000000000001</v>
      </c>
      <c r="K101" s="768" t="str">
        <f>'Расчет ЦП - общая форма'!S101</f>
        <v/>
      </c>
      <c r="L101" s="257" t="str">
        <f>'Расчет ЦП - общая форма'!T101</f>
        <v/>
      </c>
      <c r="M101" s="768">
        <f>'Расчет ЦП - общая форма'!U101</f>
        <v>32.142857142857139</v>
      </c>
      <c r="N101" s="919"/>
      <c r="O101" s="919"/>
      <c r="P101" s="919"/>
    </row>
    <row r="102" spans="1:16" ht="15" hidden="1" customHeight="1" x14ac:dyDescent="0.25">
      <c r="A102" s="213">
        <f>'Расчет ЦП - общая форма'!A102</f>
        <v>75</v>
      </c>
      <c r="B102" s="213">
        <f>COUNTIFS($C$8:C102,"*ПС*",$L$8:L102,"*закрыт*")</f>
        <v>12</v>
      </c>
      <c r="C102" s="213" t="str">
        <f>'Расчет ЦП - общая форма'!C102</f>
        <v xml:space="preserve">ПС 35/10 кВ Есеновичи </v>
      </c>
      <c r="D102" s="230">
        <f>'Расчет ЦП - общая форма'!D102</f>
        <v>1.8</v>
      </c>
      <c r="E102" s="229" t="str">
        <f>'Расчет ЦП - общая форма'!E102</f>
        <v>+</v>
      </c>
      <c r="F102" s="229">
        <f>'Расчет ЦП - общая форма'!F102</f>
        <v>2.5</v>
      </c>
      <c r="G102" s="229">
        <f>'Расчет ЦП - общая форма'!G102</f>
        <v>0</v>
      </c>
      <c r="H102" s="229">
        <f>'Расчет ЦП - общая форма'!H102</f>
        <v>0</v>
      </c>
      <c r="I102" s="172">
        <f>'Расчет ЦП - общая форма'!Q102</f>
        <v>0.87000000000000011</v>
      </c>
      <c r="J102" s="172">
        <f>'Расчет ЦП - общая форма'!R102</f>
        <v>0.87000000000000011</v>
      </c>
      <c r="K102" s="768" t="str">
        <f>'Расчет ЦП - общая форма'!S102</f>
        <v/>
      </c>
      <c r="L102" s="257" t="str">
        <f>'Расчет ЦП - общая форма'!T102</f>
        <v/>
      </c>
      <c r="M102" s="768">
        <f>'Расчет ЦП - общая форма'!U102</f>
        <v>53.968253968253961</v>
      </c>
      <c r="N102" s="919"/>
      <c r="O102" s="919"/>
      <c r="P102" s="919"/>
    </row>
    <row r="103" spans="1:16" ht="15" hidden="1" customHeight="1" x14ac:dyDescent="0.25">
      <c r="A103" s="213">
        <f>'Расчет ЦП - общая форма'!A103</f>
        <v>76</v>
      </c>
      <c r="B103" s="213">
        <f>COUNTIFS($C$8:C103,"*ПС*",$L$8:L103,"*закрыт*")</f>
        <v>12</v>
      </c>
      <c r="C103" s="213" t="str">
        <f>'Расчет ЦП - общая форма'!C103</f>
        <v xml:space="preserve">ПС 35/10 кВ ЖБИ  </v>
      </c>
      <c r="D103" s="230">
        <f>'Расчет ЦП - общая форма'!D103</f>
        <v>2.5</v>
      </c>
      <c r="E103" s="229" t="str">
        <f>'Расчет ЦП - общая форма'!E103</f>
        <v>+</v>
      </c>
      <c r="F103" s="229">
        <f>'Расчет ЦП - общая форма'!F103</f>
        <v>2.5</v>
      </c>
      <c r="G103" s="229">
        <f>'Расчет ЦП - общая форма'!G103</f>
        <v>0</v>
      </c>
      <c r="H103" s="229">
        <f>'Расчет ЦП - общая форма'!H103</f>
        <v>0</v>
      </c>
      <c r="I103" s="172">
        <f>'Расчет ЦП - общая форма'!Q103</f>
        <v>2.2149999999999999</v>
      </c>
      <c r="J103" s="172">
        <f>'Расчет ЦП - общая форма'!R103</f>
        <v>2.2149999999999999</v>
      </c>
      <c r="K103" s="768" t="str">
        <f>'Расчет ЦП - общая форма'!S103</f>
        <v/>
      </c>
      <c r="L103" s="257" t="str">
        <f>'Расчет ЦП - общая форма'!T103</f>
        <v/>
      </c>
      <c r="M103" s="768">
        <f>'Расчет ЦП - общая форма'!U103</f>
        <v>15.619047619047619</v>
      </c>
      <c r="N103" s="919"/>
      <c r="O103" s="919"/>
      <c r="P103" s="919"/>
    </row>
    <row r="104" spans="1:16" ht="15" hidden="1" customHeight="1" x14ac:dyDescent="0.25">
      <c r="A104" s="213">
        <f>'Расчет ЦП - общая форма'!A104</f>
        <v>77</v>
      </c>
      <c r="B104" s="213">
        <f>COUNTIFS($C$8:C104,"*ПС*",$L$8:L104,"*закрыт*")</f>
        <v>12</v>
      </c>
      <c r="C104" s="213" t="str">
        <f>'Расчет ЦП - общая форма'!C104</f>
        <v>ПС  35/10 кВ Заозерная</v>
      </c>
      <c r="D104" s="230">
        <f>'Расчет ЦП - общая форма'!D104</f>
        <v>6.3</v>
      </c>
      <c r="E104" s="229" t="str">
        <f>'Расчет ЦП - общая форма'!E104</f>
        <v>+</v>
      </c>
      <c r="F104" s="229">
        <f>'Расчет ЦП - общая форма'!F104</f>
        <v>6.3</v>
      </c>
      <c r="G104" s="229">
        <f>'Расчет ЦП - общая форма'!G104</f>
        <v>0</v>
      </c>
      <c r="H104" s="229">
        <f>'Расчет ЦП - общая форма'!H104</f>
        <v>0</v>
      </c>
      <c r="I104" s="172">
        <f>'Расчет ЦП - общая форма'!Q104</f>
        <v>5.335</v>
      </c>
      <c r="J104" s="172">
        <f>'Расчет ЦП - общая форма'!R104</f>
        <v>5.335</v>
      </c>
      <c r="K104" s="768" t="str">
        <f>'Расчет ЦП - общая форма'!S104</f>
        <v/>
      </c>
      <c r="L104" s="257" t="str">
        <f>'Расчет ЦП - общая форма'!T104</f>
        <v/>
      </c>
      <c r="M104" s="768">
        <f>'Расчет ЦП - общая форма'!U104</f>
        <v>22.373393801965229</v>
      </c>
      <c r="N104" s="919"/>
      <c r="O104" s="919"/>
      <c r="P104" s="919"/>
    </row>
    <row r="105" spans="1:16" ht="15" hidden="1" customHeight="1" x14ac:dyDescent="0.25">
      <c r="A105" s="213">
        <f>'Расчет ЦП - общая форма'!A105</f>
        <v>78</v>
      </c>
      <c r="B105" s="213">
        <f>COUNTIFS($C$8:C105,"*ПС*",$L$8:L105,"*закрыт*")</f>
        <v>12</v>
      </c>
      <c r="C105" s="213" t="str">
        <f>'Расчет ЦП - общая форма'!C105</f>
        <v xml:space="preserve">ПС 35/10 кВ Княщины  </v>
      </c>
      <c r="D105" s="230">
        <f>'Расчет ЦП - общая форма'!D105</f>
        <v>2.5</v>
      </c>
      <c r="E105" s="229" t="str">
        <f>'Расчет ЦП - общая форма'!E105</f>
        <v>+</v>
      </c>
      <c r="F105" s="229">
        <f>'Расчет ЦП - общая форма'!F105</f>
        <v>2.5</v>
      </c>
      <c r="G105" s="229">
        <f>'Расчет ЦП - общая форма'!G105</f>
        <v>0</v>
      </c>
      <c r="H105" s="229">
        <f>'Расчет ЦП - общая форма'!H105</f>
        <v>0</v>
      </c>
      <c r="I105" s="172">
        <f>'Расчет ЦП - общая форма'!Q105</f>
        <v>2.625</v>
      </c>
      <c r="J105" s="172">
        <f>'Расчет ЦП - общая форма'!R105</f>
        <v>2.625</v>
      </c>
      <c r="K105" s="768" t="str">
        <f>'Расчет ЦП - общая форма'!S105</f>
        <v/>
      </c>
      <c r="L105" s="257" t="str">
        <f>'Расчет ЦП - общая форма'!T105</f>
        <v/>
      </c>
      <c r="M105" s="768">
        <f>'Расчет ЦП - общая форма'!U105</f>
        <v>23.238095238095237</v>
      </c>
      <c r="N105" s="919"/>
      <c r="O105" s="919"/>
      <c r="P105" s="919"/>
    </row>
    <row r="106" spans="1:16" ht="15" hidden="1" customHeight="1" x14ac:dyDescent="0.25">
      <c r="A106" s="213">
        <f>'Расчет ЦП - общая форма'!A106</f>
        <v>79</v>
      </c>
      <c r="B106" s="213">
        <f>COUNTIFS($C$8:C106,"*ПС*",$L$8:L106,"*закрыт*")</f>
        <v>12</v>
      </c>
      <c r="C106" s="213" t="str">
        <f>'Расчет ЦП - общая форма'!C106</f>
        <v xml:space="preserve">ПС 35/10 кВ Козлово </v>
      </c>
      <c r="D106" s="230">
        <f>'Расчет ЦП - общая форма'!D106</f>
        <v>1.8</v>
      </c>
      <c r="E106" s="229" t="str">
        <f>'Расчет ЦП - общая форма'!E106</f>
        <v>+</v>
      </c>
      <c r="F106" s="229">
        <f>'Расчет ЦП - общая форма'!F106</f>
        <v>4</v>
      </c>
      <c r="G106" s="229">
        <f>'Расчет ЦП - общая форма'!G106</f>
        <v>0</v>
      </c>
      <c r="H106" s="229">
        <f>'Расчет ЦП - общая форма'!H106</f>
        <v>0</v>
      </c>
      <c r="I106" s="172">
        <f>'Расчет ЦП - общая форма'!Q106</f>
        <v>1.08</v>
      </c>
      <c r="J106" s="172">
        <f>'Расчет ЦП - общая форма'!R106</f>
        <v>1.08</v>
      </c>
      <c r="K106" s="768" t="str">
        <f>'Расчет ЦП - общая форма'!S106</f>
        <v/>
      </c>
      <c r="L106" s="257" t="str">
        <f>'Расчет ЦП - общая форма'!T106</f>
        <v/>
      </c>
      <c r="M106" s="768">
        <f>'Расчет ЦП - общая форма'!U106</f>
        <v>42.857142857142854</v>
      </c>
      <c r="N106" s="919"/>
      <c r="O106" s="919"/>
      <c r="P106" s="919"/>
    </row>
    <row r="107" spans="1:16" ht="15" hidden="1" customHeight="1" x14ac:dyDescent="0.25">
      <c r="A107" s="213">
        <f>'Расчет ЦП - общая форма'!A107</f>
        <v>80</v>
      </c>
      <c r="B107" s="213">
        <f>COUNTIFS($C$8:C107,"*ПС*",$L$8:L107,"*закрыт*")</f>
        <v>12</v>
      </c>
      <c r="C107" s="213" t="str">
        <f>'Расчет ЦП - общая форма'!C107</f>
        <v xml:space="preserve">ПС 35/10 кВ Красное Знамя </v>
      </c>
      <c r="D107" s="230">
        <f>'Расчет ЦП - общая форма'!D107</f>
        <v>1.6</v>
      </c>
      <c r="E107" s="229" t="str">
        <f>'Расчет ЦП - общая форма'!E107</f>
        <v>+</v>
      </c>
      <c r="F107" s="229">
        <f>'Расчет ЦП - общая форма'!F107</f>
        <v>1.8</v>
      </c>
      <c r="G107" s="229">
        <f>'Расчет ЦП - общая форма'!G107</f>
        <v>0</v>
      </c>
      <c r="H107" s="229">
        <f>'Расчет ЦП - общая форма'!H107</f>
        <v>0</v>
      </c>
      <c r="I107" s="172">
        <f>'Расчет ЦП - общая форма'!Q107</f>
        <v>1.2400000000000002</v>
      </c>
      <c r="J107" s="172">
        <f>'Расчет ЦП - общая форма'!R107</f>
        <v>1.2400000000000002</v>
      </c>
      <c r="K107" s="768" t="str">
        <f>'Расчет ЦП - общая форма'!S107</f>
        <v/>
      </c>
      <c r="L107" s="257" t="str">
        <f>'Расчет ЦП - общая форма'!T107</f>
        <v/>
      </c>
      <c r="M107" s="768">
        <f>'Расчет ЦП - общая форма'!U107</f>
        <v>26.190476190476186</v>
      </c>
      <c r="N107" s="919"/>
      <c r="O107" s="919"/>
      <c r="P107" s="919"/>
    </row>
    <row r="108" spans="1:16" ht="15" hidden="1" customHeight="1" x14ac:dyDescent="0.25">
      <c r="A108" s="213">
        <f>'Расчет ЦП - общая форма'!A108</f>
        <v>81</v>
      </c>
      <c r="B108" s="213">
        <f>COUNTIFS($C$8:C108,"*ПС*",$L$8:L108,"*закрыт*")</f>
        <v>12</v>
      </c>
      <c r="C108" s="213" t="str">
        <f>'Расчет ЦП - общая форма'!C108</f>
        <v xml:space="preserve">ПС 35/6 кВ Красный Май </v>
      </c>
      <c r="D108" s="230">
        <f>'Расчет ЦП - общая форма'!D108</f>
        <v>10</v>
      </c>
      <c r="E108" s="229" t="str">
        <f>'Расчет ЦП - общая форма'!E108</f>
        <v>+</v>
      </c>
      <c r="F108" s="229">
        <f>'Расчет ЦП - общая форма'!F108</f>
        <v>10</v>
      </c>
      <c r="G108" s="229">
        <f>'Расчет ЦП - общая форма'!G108</f>
        <v>0</v>
      </c>
      <c r="H108" s="229">
        <f>'Расчет ЦП - общая форма'!H108</f>
        <v>0</v>
      </c>
      <c r="I108" s="172">
        <f>'Расчет ЦП - общая форма'!Q108</f>
        <v>7.7200000000000006</v>
      </c>
      <c r="J108" s="172">
        <f>'Расчет ЦП - общая форма'!R108</f>
        <v>7.7200000000000006</v>
      </c>
      <c r="K108" s="768" t="str">
        <f>'Расчет ЦП - общая форма'!S108</f>
        <v/>
      </c>
      <c r="L108" s="257" t="str">
        <f>'Расчет ЦП - общая форма'!T108</f>
        <v/>
      </c>
      <c r="M108" s="768">
        <f>'Расчет ЦП - общая форма'!U108</f>
        <v>26.476190476190474</v>
      </c>
      <c r="N108" s="919"/>
      <c r="O108" s="919"/>
      <c r="P108" s="919"/>
    </row>
    <row r="109" spans="1:16" ht="15" hidden="1" customHeight="1" x14ac:dyDescent="0.25">
      <c r="A109" s="213">
        <f>'Расчет ЦП - общая форма'!A109</f>
        <v>82</v>
      </c>
      <c r="B109" s="213">
        <f>COUNTIFS($C$8:C109,"*ПС*",$L$8:L109,"*закрыт*")</f>
        <v>12</v>
      </c>
      <c r="C109" s="213" t="str">
        <f>'Расчет ЦП - общая форма'!C109</f>
        <v xml:space="preserve">ПС 35/10 кВ Куженкино </v>
      </c>
      <c r="D109" s="230">
        <f>'Расчет ЦП - общая форма'!D109</f>
        <v>2.5</v>
      </c>
      <c r="E109" s="229" t="str">
        <f>'Расчет ЦП - общая форма'!E109</f>
        <v>+</v>
      </c>
      <c r="F109" s="229">
        <f>'Расчет ЦП - общая форма'!F109</f>
        <v>3.2</v>
      </c>
      <c r="G109" s="229">
        <f>'Расчет ЦП - общая форма'!G109</f>
        <v>0</v>
      </c>
      <c r="H109" s="229">
        <f>'Расчет ЦП - общая форма'!H109</f>
        <v>0</v>
      </c>
      <c r="I109" s="172">
        <f>'Расчет ЦП - общая форма'!Q109</f>
        <v>1.0249999999999999</v>
      </c>
      <c r="J109" s="172">
        <f>'Расчет ЦП - общая форма'!R109</f>
        <v>1.0249999999999999</v>
      </c>
      <c r="K109" s="768" t="str">
        <f>'Расчет ЦП - общая форма'!S109</f>
        <v/>
      </c>
      <c r="L109" s="257" t="str">
        <f>'Расчет ЦП - общая форма'!T109</f>
        <v/>
      </c>
      <c r="M109" s="768">
        <f>'Расчет ЦП - общая форма'!U109</f>
        <v>68.571428571428569</v>
      </c>
      <c r="N109" s="919"/>
      <c r="O109" s="919"/>
      <c r="P109" s="919"/>
    </row>
    <row r="110" spans="1:16" ht="15" hidden="1" customHeight="1" x14ac:dyDescent="0.25">
      <c r="A110" s="213">
        <f>'Расчет ЦП - общая форма'!A110</f>
        <v>83</v>
      </c>
      <c r="B110" s="213">
        <f>COUNTIFS($C$8:C110,"*ПС*",$L$8:L110,"*закрыт*")</f>
        <v>12</v>
      </c>
      <c r="C110" s="213" t="str">
        <f>'Расчет ЦП - общая форма'!C110</f>
        <v xml:space="preserve">ПС 35/10 кВ Лукино  </v>
      </c>
      <c r="D110" s="230">
        <f>'Расчет ЦП - общая форма'!D110</f>
        <v>2.5</v>
      </c>
      <c r="E110" s="229" t="str">
        <f>'Расчет ЦП - общая форма'!E110</f>
        <v>+</v>
      </c>
      <c r="F110" s="229">
        <f>'Расчет ЦП - общая форма'!F110</f>
        <v>1.6</v>
      </c>
      <c r="G110" s="229">
        <f>'Расчет ЦП - общая форма'!G110</f>
        <v>0</v>
      </c>
      <c r="H110" s="229">
        <f>'Расчет ЦП - общая форма'!H110</f>
        <v>0</v>
      </c>
      <c r="I110" s="172">
        <f>'Расчет ЦП - общая форма'!Q110</f>
        <v>1.3900000000000001</v>
      </c>
      <c r="J110" s="172">
        <f>'Расчет ЦП - общая форма'!R110</f>
        <v>1.3900000000000001</v>
      </c>
      <c r="K110" s="768" t="str">
        <f>'Расчет ЦП - общая форма'!S110</f>
        <v/>
      </c>
      <c r="L110" s="257" t="str">
        <f>'Расчет ЦП - общая форма'!T110</f>
        <v/>
      </c>
      <c r="M110" s="768">
        <f>'Расчет ЦП - общая форма'!U110</f>
        <v>17.261904761904759</v>
      </c>
      <c r="N110" s="919"/>
      <c r="O110" s="919"/>
      <c r="P110" s="919"/>
    </row>
    <row r="111" spans="1:16" ht="15" hidden="1" customHeight="1" x14ac:dyDescent="0.25">
      <c r="A111" s="213">
        <f>'Расчет ЦП - общая форма'!A111</f>
        <v>84</v>
      </c>
      <c r="B111" s="213">
        <f>COUNTIFS($C$8:C111,"*ПС*",$L$8:L111,"*закрыт*")</f>
        <v>12</v>
      </c>
      <c r="C111" s="213" t="str">
        <f>'Расчет ЦП - общая форма'!C111</f>
        <v xml:space="preserve">ПС 35/6 кВ Макарово  </v>
      </c>
      <c r="D111" s="230">
        <f>'Расчет ЦП - общая форма'!D111</f>
        <v>4</v>
      </c>
      <c r="E111" s="229" t="str">
        <f>'Расчет ЦП - общая форма'!E111</f>
        <v>+</v>
      </c>
      <c r="F111" s="229">
        <f>'Расчет ЦП - общая форма'!F111</f>
        <v>4</v>
      </c>
      <c r="G111" s="229">
        <f>'Расчет ЦП - общая форма'!G111</f>
        <v>0</v>
      </c>
      <c r="H111" s="229">
        <f>'Расчет ЦП - общая форма'!H111</f>
        <v>0</v>
      </c>
      <c r="I111" s="172">
        <f>'Расчет ЦП - общая форма'!Q111</f>
        <v>3.0700000000000003</v>
      </c>
      <c r="J111" s="172">
        <f>'Расчет ЦП - общая форма'!R111</f>
        <v>3.0700000000000003</v>
      </c>
      <c r="K111" s="768" t="str">
        <f>'Расчет ЦП - общая форма'!S111</f>
        <v/>
      </c>
      <c r="L111" s="257" t="str">
        <f>'Расчет ЦП - общая форма'!T111</f>
        <v/>
      </c>
      <c r="M111" s="768">
        <f>'Расчет ЦП - общая форма'!U111</f>
        <v>29.285714285714285</v>
      </c>
      <c r="N111" s="919"/>
      <c r="O111" s="919"/>
      <c r="P111" s="919"/>
    </row>
    <row r="112" spans="1:16" ht="15" hidden="1" customHeight="1" x14ac:dyDescent="0.25">
      <c r="A112" s="213">
        <f>'Расчет ЦП - общая форма'!A112</f>
        <v>85</v>
      </c>
      <c r="B112" s="213">
        <f>COUNTIFS($C$8:C112,"*ПС*",$L$8:L112,"*закрыт*")</f>
        <v>12</v>
      </c>
      <c r="C112" s="213" t="str">
        <f>'Расчет ЦП - общая форма'!C112</f>
        <v xml:space="preserve">ПС 110/10 кВ Манхино </v>
      </c>
      <c r="D112" s="230">
        <f>'Расчет ЦП - общая форма'!D112</f>
        <v>2.5</v>
      </c>
      <c r="E112" s="229" t="str">
        <f>'Расчет ЦП - общая форма'!E112</f>
        <v>+</v>
      </c>
      <c r="F112" s="229">
        <f>'Расчет ЦП - общая форма'!F112</f>
        <v>2.5</v>
      </c>
      <c r="G112" s="229">
        <f>'Расчет ЦП - общая форма'!G112</f>
        <v>0</v>
      </c>
      <c r="H112" s="229">
        <f>'Расчет ЦП - общая форма'!H112</f>
        <v>0</v>
      </c>
      <c r="I112" s="172">
        <f>'Расчет ЦП - общая форма'!Q112</f>
        <v>2.1850000000000001</v>
      </c>
      <c r="J112" s="172">
        <f>'Расчет ЦП - общая форма'!R112</f>
        <v>2.1850000000000001</v>
      </c>
      <c r="K112" s="768" t="str">
        <f>'Расчет ЦП - общая форма'!S112</f>
        <v/>
      </c>
      <c r="L112" s="257" t="str">
        <f>'Расчет ЦП - общая форма'!T112</f>
        <v/>
      </c>
      <c r="M112" s="768">
        <f>'Расчет ЦП - общая форма'!U112</f>
        <v>16.761904761904763</v>
      </c>
      <c r="N112" s="919"/>
      <c r="O112" s="919"/>
      <c r="P112" s="919"/>
    </row>
    <row r="113" spans="1:16" ht="15" hidden="1" customHeight="1" x14ac:dyDescent="0.25">
      <c r="A113" s="213">
        <f>'Расчет ЦП - общая форма'!A113</f>
        <v>86</v>
      </c>
      <c r="B113" s="213">
        <f>COUNTIFS($C$8:C113,"*ПС*",$L$8:L113,"*закрыт*")</f>
        <v>12</v>
      </c>
      <c r="C113" s="213" t="str">
        <f>'Расчет ЦП - общая форма'!C113</f>
        <v xml:space="preserve">ПС 35/10 кВ Молдино </v>
      </c>
      <c r="D113" s="230">
        <f>'Расчет ЦП - общая форма'!D113</f>
        <v>1</v>
      </c>
      <c r="E113" s="229" t="str">
        <f>'Расчет ЦП - общая форма'!E113</f>
        <v>+</v>
      </c>
      <c r="F113" s="229">
        <f>'Расчет ЦП - общая форма'!F113</f>
        <v>1</v>
      </c>
      <c r="G113" s="229">
        <f>'Расчет ЦП - общая форма'!G113</f>
        <v>0</v>
      </c>
      <c r="H113" s="229">
        <f>'Расчет ЦП - общая форма'!H113</f>
        <v>0</v>
      </c>
      <c r="I113" s="172">
        <f>'Расчет ЦП - общая форма'!Q113</f>
        <v>1.05</v>
      </c>
      <c r="J113" s="172">
        <f>'Расчет ЦП - общая форма'!R113</f>
        <v>1.05</v>
      </c>
      <c r="K113" s="768" t="str">
        <f>'Расчет ЦП - общая форма'!S113</f>
        <v/>
      </c>
      <c r="L113" s="257" t="str">
        <f>'Расчет ЦП - общая форма'!T113</f>
        <v/>
      </c>
      <c r="M113" s="768">
        <f>'Расчет ЦП - общая форма'!U113</f>
        <v>57.142857142857139</v>
      </c>
      <c r="N113" s="919"/>
      <c r="O113" s="919"/>
      <c r="P113" s="919"/>
    </row>
    <row r="114" spans="1:16" ht="15" hidden="1" customHeight="1" x14ac:dyDescent="0.25">
      <c r="A114" s="213">
        <f>'Расчет ЦП - общая форма'!A114</f>
        <v>87</v>
      </c>
      <c r="B114" s="213">
        <f>COUNTIFS($C$8:C114,"*ПС*",$L$8:L114,"*закрыт*")</f>
        <v>12</v>
      </c>
      <c r="C114" s="213" t="str">
        <f>'Расчет ЦП - общая форма'!C114</f>
        <v xml:space="preserve">ПС 35/10 кВ Ново-Кузьминская </v>
      </c>
      <c r="D114" s="230">
        <f>'Расчет ЦП - общая форма'!D114</f>
        <v>1</v>
      </c>
      <c r="E114" s="229" t="str">
        <f>'Расчет ЦП - общая форма'!E114</f>
        <v>+</v>
      </c>
      <c r="F114" s="229">
        <f>'Расчет ЦП - общая форма'!F114</f>
        <v>1</v>
      </c>
      <c r="G114" s="229">
        <f>'Расчет ЦП - общая форма'!G114</f>
        <v>0</v>
      </c>
      <c r="H114" s="229">
        <f>'Расчет ЦП - общая форма'!H114</f>
        <v>0</v>
      </c>
      <c r="I114" s="172">
        <f>'Расчет ЦП - общая форма'!Q114</f>
        <v>1.05</v>
      </c>
      <c r="J114" s="172">
        <f>'Расчет ЦП - общая форма'!R114</f>
        <v>1.05</v>
      </c>
      <c r="K114" s="768" t="str">
        <f>'Расчет ЦП - общая форма'!S114</f>
        <v/>
      </c>
      <c r="L114" s="257" t="str">
        <f>'Расчет ЦП - общая форма'!T114</f>
        <v/>
      </c>
      <c r="M114" s="768">
        <f>'Расчет ЦП - общая форма'!U114</f>
        <v>53.333333333333336</v>
      </c>
      <c r="N114" s="919"/>
      <c r="O114" s="919"/>
      <c r="P114" s="919"/>
    </row>
    <row r="115" spans="1:16" ht="15" hidden="1" customHeight="1" x14ac:dyDescent="0.25">
      <c r="A115" s="213">
        <f>'Расчет ЦП - общая форма'!A115</f>
        <v>88</v>
      </c>
      <c r="B115" s="213">
        <f>COUNTIFS($C$8:C115,"*ПС*",$L$8:L115,"*закрыт*")</f>
        <v>12</v>
      </c>
      <c r="C115" s="213" t="str">
        <f>'Расчет ЦП - общая форма'!C115</f>
        <v xml:space="preserve">ПС 35/10 кВ Овсище </v>
      </c>
      <c r="D115" s="230">
        <f>'Расчет ЦП - общая форма'!D115</f>
        <v>2.5</v>
      </c>
      <c r="E115" s="229" t="str">
        <f>'Расчет ЦП - общая форма'!E115</f>
        <v>+</v>
      </c>
      <c r="F115" s="229">
        <f>'Расчет ЦП - общая форма'!F115</f>
        <v>1.6</v>
      </c>
      <c r="G115" s="229">
        <f>'Расчет ЦП - общая форма'!G115</f>
        <v>0</v>
      </c>
      <c r="H115" s="229">
        <f>'Расчет ЦП - общая форма'!H115</f>
        <v>0</v>
      </c>
      <c r="I115" s="172">
        <f>'Расчет ЦП - общая форма'!Q115</f>
        <v>1.31</v>
      </c>
      <c r="J115" s="172">
        <f>'Расчет ЦП - общая форма'!R115</f>
        <v>1.31</v>
      </c>
      <c r="K115" s="768" t="str">
        <f>'Расчет ЦП - общая форма'!S115</f>
        <v/>
      </c>
      <c r="L115" s="257" t="str">
        <f>'Расчет ЦП - общая форма'!T115</f>
        <v/>
      </c>
      <c r="M115" s="768">
        <f>'Расчет ЦП - общая форма'!U115</f>
        <v>22.023809523809522</v>
      </c>
      <c r="N115" s="919"/>
      <c r="O115" s="919"/>
      <c r="P115" s="919"/>
    </row>
    <row r="116" spans="1:16" ht="15" hidden="1" customHeight="1" x14ac:dyDescent="0.25">
      <c r="A116" s="213">
        <f>'Расчет ЦП - общая форма'!A116</f>
        <v>89</v>
      </c>
      <c r="B116" s="213">
        <f>COUNTIFS($C$8:C116,"*ПС*",$L$8:L116,"*закрыт*")</f>
        <v>12</v>
      </c>
      <c r="C116" s="213" t="str">
        <f>'Расчет ЦП - общая форма'!C116</f>
        <v xml:space="preserve">ПС 35/6 кВ ОЭЗ  </v>
      </c>
      <c r="D116" s="230">
        <f>'Расчет ЦП - общая форма'!D116</f>
        <v>2.5</v>
      </c>
      <c r="E116" s="229" t="str">
        <f>'Расчет ЦП - общая форма'!E116</f>
        <v>+</v>
      </c>
      <c r="F116" s="229">
        <f>'Расчет ЦП - общая форма'!F116</f>
        <v>2.5</v>
      </c>
      <c r="G116" s="229">
        <f>'Расчет ЦП - общая форма'!G116</f>
        <v>0</v>
      </c>
      <c r="H116" s="229">
        <f>'Расчет ЦП - общая форма'!H116</f>
        <v>0</v>
      </c>
      <c r="I116" s="172">
        <f>'Расчет ЦП - общая форма'!Q116</f>
        <v>2.625</v>
      </c>
      <c r="J116" s="172">
        <f>'Расчет ЦП - общая форма'!R116</f>
        <v>2.625</v>
      </c>
      <c r="K116" s="768" t="str">
        <f>'Расчет ЦП - общая форма'!S116</f>
        <v/>
      </c>
      <c r="L116" s="257" t="str">
        <f>'Расчет ЦП - общая форма'!T116</f>
        <v/>
      </c>
      <c r="M116" s="768">
        <f>'Расчет ЦП - общая форма'!U116</f>
        <v>77.333333333333329</v>
      </c>
      <c r="N116" s="919"/>
      <c r="O116" s="919"/>
      <c r="P116" s="919"/>
    </row>
    <row r="117" spans="1:16" ht="15" hidden="1" customHeight="1" x14ac:dyDescent="0.25">
      <c r="A117" s="213">
        <f>'Расчет ЦП - общая форма'!A117</f>
        <v>90</v>
      </c>
      <c r="B117" s="213">
        <f>COUNTIFS($C$8:C117,"*ПС*",$L$8:L117,"*закрыт*")</f>
        <v>12</v>
      </c>
      <c r="C117" s="213" t="str">
        <f>'Расчет ЦП - общая форма'!C117</f>
        <v xml:space="preserve">ПС 35/10 кВ Плотично  </v>
      </c>
      <c r="D117" s="230">
        <f>'Расчет ЦП - общая форма'!D117</f>
        <v>1.8</v>
      </c>
      <c r="E117" s="229" t="str">
        <f>'Расчет ЦП - общая форма'!E117</f>
        <v>+</v>
      </c>
      <c r="F117" s="229">
        <f>'Расчет ЦП - общая форма'!F117</f>
        <v>1.6</v>
      </c>
      <c r="G117" s="229">
        <f>'Расчет ЦП - общая форма'!G117</f>
        <v>0</v>
      </c>
      <c r="H117" s="229">
        <f>'Расчет ЦП - общая форма'!H117</f>
        <v>0</v>
      </c>
      <c r="I117" s="172">
        <f>'Расчет ЦП - общая форма'!Q117</f>
        <v>1.3800000000000001</v>
      </c>
      <c r="J117" s="172">
        <f>'Расчет ЦП - общая форма'!R117</f>
        <v>1.3800000000000001</v>
      </c>
      <c r="K117" s="768" t="str">
        <f>'Расчет ЦП - общая форма'!S117</f>
        <v/>
      </c>
      <c r="L117" s="257" t="str">
        <f>'Расчет ЦП - общая форма'!T117</f>
        <v/>
      </c>
      <c r="M117" s="768">
        <f>'Расчет ЦП - общая форма'!U117</f>
        <v>17.857142857142854</v>
      </c>
      <c r="N117" s="919"/>
      <c r="O117" s="919"/>
      <c r="P117" s="919"/>
    </row>
    <row r="118" spans="1:16" ht="15" hidden="1" customHeight="1" x14ac:dyDescent="0.25">
      <c r="A118" s="213">
        <f>'Расчет ЦП - общая форма'!A118</f>
        <v>91</v>
      </c>
      <c r="B118" s="213">
        <f>COUNTIFS($C$8:C118,"*ПС*",$L$8:L118,"*закрыт*")</f>
        <v>12</v>
      </c>
      <c r="C118" s="213" t="str">
        <f>'Расчет ЦП - общая форма'!C118</f>
        <v xml:space="preserve">ПС 35/10 кВ Попово  </v>
      </c>
      <c r="D118" s="230">
        <f>'Расчет ЦП - общая форма'!D118</f>
        <v>1</v>
      </c>
      <c r="E118" s="229" t="str">
        <f>'Расчет ЦП - общая форма'!E118</f>
        <v>+</v>
      </c>
      <c r="F118" s="229">
        <f>'Расчет ЦП - общая форма'!F118</f>
        <v>1</v>
      </c>
      <c r="G118" s="229">
        <f>'Расчет ЦП - общая форма'!G118</f>
        <v>0</v>
      </c>
      <c r="H118" s="229">
        <f>'Расчет ЦП - общая форма'!H118</f>
        <v>0</v>
      </c>
      <c r="I118" s="172">
        <f>'Расчет ЦП - общая форма'!Q118</f>
        <v>0.84000000000000008</v>
      </c>
      <c r="J118" s="172">
        <f>'Расчет ЦП - общая форма'!R118</f>
        <v>0.84000000000000008</v>
      </c>
      <c r="K118" s="768" t="str">
        <f>'Расчет ЦП - общая форма'!S118</f>
        <v/>
      </c>
      <c r="L118" s="257" t="str">
        <f>'Расчет ЦП - общая форма'!T118</f>
        <v/>
      </c>
      <c r="M118" s="768">
        <f>'Расчет ЦП - общая форма'!U118</f>
        <v>20</v>
      </c>
      <c r="N118" s="919"/>
      <c r="O118" s="919"/>
      <c r="P118" s="919"/>
    </row>
    <row r="119" spans="1:16" ht="15" hidden="1" customHeight="1" x14ac:dyDescent="0.25">
      <c r="A119" s="213">
        <f>'Расчет ЦП - общая форма'!A119</f>
        <v>92</v>
      </c>
      <c r="B119" s="213">
        <f>COUNTIFS($C$8:C119,"*ПС*",$L$8:L119,"*закрыт*")</f>
        <v>12</v>
      </c>
      <c r="C119" s="213" t="str">
        <f>'Расчет ЦП - общая форма'!C119</f>
        <v>ПС 35/10 кВ Пролетарий</v>
      </c>
      <c r="D119" s="230">
        <f>'Расчет ЦП - общая форма'!D119</f>
        <v>2.5</v>
      </c>
      <c r="E119" s="229" t="str">
        <f>'Расчет ЦП - общая форма'!E119</f>
        <v>+</v>
      </c>
      <c r="F119" s="229">
        <f>'Расчет ЦП - общая форма'!F119</f>
        <v>2.5</v>
      </c>
      <c r="G119" s="229">
        <f>'Расчет ЦП - общая форма'!G119</f>
        <v>0</v>
      </c>
      <c r="H119" s="229">
        <f>'Расчет ЦП - общая форма'!H119</f>
        <v>0</v>
      </c>
      <c r="I119" s="172">
        <f>'Расчет ЦП - общая форма'!Q119</f>
        <v>1.4549999999999998</v>
      </c>
      <c r="J119" s="172">
        <f>'Расчет ЦП - общая форма'!R119</f>
        <v>1.4549999999999998</v>
      </c>
      <c r="K119" s="768" t="str">
        <f>'Расчет ЦП - общая форма'!S119</f>
        <v/>
      </c>
      <c r="L119" s="257" t="str">
        <f>'Расчет ЦП - общая форма'!T119</f>
        <v/>
      </c>
      <c r="M119" s="768">
        <f>'Расчет ЦП - общая форма'!U119</f>
        <v>71.238095238095241</v>
      </c>
      <c r="N119" s="919"/>
      <c r="O119" s="919"/>
      <c r="P119" s="919"/>
    </row>
    <row r="120" spans="1:16" ht="15" hidden="1" customHeight="1" x14ac:dyDescent="0.25">
      <c r="A120" s="213">
        <f>'Расчет ЦП - общая форма'!A120</f>
        <v>93</v>
      </c>
      <c r="B120" s="213">
        <f>COUNTIFS($C$8:C120,"*ПС*",$L$8:L120,"*закрыт*")</f>
        <v>12</v>
      </c>
      <c r="C120" s="213" t="str">
        <f>'Расчет ЦП - общая форма'!C120</f>
        <v xml:space="preserve">ПС 35/10 кВ Рождество </v>
      </c>
      <c r="D120" s="230">
        <f>'Расчет ЦП - общая форма'!D120</f>
        <v>2.5</v>
      </c>
      <c r="E120" s="229" t="str">
        <f>'Расчет ЦП - общая форма'!E120</f>
        <v>+</v>
      </c>
      <c r="F120" s="229">
        <f>'Расчет ЦП - общая форма'!F120</f>
        <v>2.5</v>
      </c>
      <c r="G120" s="229">
        <f>'Расчет ЦП - общая форма'!G120</f>
        <v>0</v>
      </c>
      <c r="H120" s="229">
        <f>'Расчет ЦП - общая форма'!H120</f>
        <v>0</v>
      </c>
      <c r="I120" s="172">
        <f>'Расчет ЦП - общая форма'!Q120</f>
        <v>2.3050000000000002</v>
      </c>
      <c r="J120" s="172">
        <f>'Расчет ЦП - общая форма'!R120</f>
        <v>2.3050000000000002</v>
      </c>
      <c r="K120" s="768" t="str">
        <f>'Расчет ЦП - общая форма'!S120</f>
        <v/>
      </c>
      <c r="L120" s="257" t="str">
        <f>'Расчет ЦП - общая форма'!T120</f>
        <v/>
      </c>
      <c r="M120" s="768">
        <f>'Расчет ЦП - общая форма'!U120</f>
        <v>12.19047619047619</v>
      </c>
      <c r="N120" s="919"/>
      <c r="O120" s="919"/>
      <c r="P120" s="919"/>
    </row>
    <row r="121" spans="1:16" ht="15" hidden="1" customHeight="1" x14ac:dyDescent="0.25">
      <c r="A121" s="213">
        <f>'Расчет ЦП - общая форма'!A121</f>
        <v>94</v>
      </c>
      <c r="B121" s="213">
        <f>COUNTIFS($C$8:C121,"*ПС*",$L$8:L121,"*закрыт*")</f>
        <v>12</v>
      </c>
      <c r="C121" s="213" t="str">
        <f>'Расчет ЦП - общая форма'!C121</f>
        <v xml:space="preserve">ПС 35/10 кВ Ряд </v>
      </c>
      <c r="D121" s="230">
        <f>'Расчет ЦП - общая форма'!D121</f>
        <v>2.5</v>
      </c>
      <c r="E121" s="229" t="str">
        <f>'Расчет ЦП - общая форма'!E121</f>
        <v>+</v>
      </c>
      <c r="F121" s="229">
        <f>'Расчет ЦП - общая форма'!F121</f>
        <v>2.5</v>
      </c>
      <c r="G121" s="229">
        <f>'Расчет ЦП - общая форма'!G121</f>
        <v>0</v>
      </c>
      <c r="H121" s="229">
        <f>'Расчет ЦП - общая форма'!H121</f>
        <v>0</v>
      </c>
      <c r="I121" s="172">
        <f>'Расчет ЦП - общая форма'!Q121</f>
        <v>2.5249999999999999</v>
      </c>
      <c r="J121" s="172">
        <f>'Расчет ЦП - общая форма'!R121</f>
        <v>2.5249999999999999</v>
      </c>
      <c r="K121" s="768" t="str">
        <f>'Расчет ЦП - общая форма'!S121</f>
        <v/>
      </c>
      <c r="L121" s="257" t="str">
        <f>'Расчет ЦП - общая форма'!T121</f>
        <v/>
      </c>
      <c r="M121" s="768">
        <f>'Расчет ЦП - общая форма'!U121</f>
        <v>15.238095238095237</v>
      </c>
      <c r="N121" s="919"/>
      <c r="O121" s="919"/>
      <c r="P121" s="919"/>
    </row>
    <row r="122" spans="1:16" ht="15" hidden="1" customHeight="1" x14ac:dyDescent="0.25">
      <c r="A122" s="213">
        <f>'Расчет ЦП - общая форма'!A122</f>
        <v>95</v>
      </c>
      <c r="B122" s="213">
        <f>COUNTIFS($C$8:C122,"*ПС*",$L$8:L122,"*закрыт*")</f>
        <v>12</v>
      </c>
      <c r="C122" s="213" t="str">
        <f>'Расчет ЦП - общая форма'!C122</f>
        <v xml:space="preserve">ПС 35/10 кВ Сеглино  </v>
      </c>
      <c r="D122" s="230">
        <f>'Расчет ЦП - общая форма'!D122</f>
        <v>1.6</v>
      </c>
      <c r="E122" s="229" t="str">
        <f>'Расчет ЦП - общая форма'!E122</f>
        <v>+</v>
      </c>
      <c r="F122" s="229">
        <f>'Расчет ЦП - общая форма'!F122</f>
        <v>1.6</v>
      </c>
      <c r="G122" s="229">
        <f>'Расчет ЦП - общая форма'!G122</f>
        <v>0</v>
      </c>
      <c r="H122" s="229">
        <f>'Расчет ЦП - общая форма'!H122</f>
        <v>0</v>
      </c>
      <c r="I122" s="172">
        <f>'Расчет ЦП - общая форма'!Q122</f>
        <v>1.1600000000000001</v>
      </c>
      <c r="J122" s="172">
        <f>'Расчет ЦП - общая форма'!R122</f>
        <v>1.1600000000000001</v>
      </c>
      <c r="K122" s="768" t="str">
        <f>'Расчет ЦП - общая форма'!S122</f>
        <v/>
      </c>
      <c r="L122" s="257" t="str">
        <f>'Расчет ЦП - общая форма'!T122</f>
        <v/>
      </c>
      <c r="M122" s="768">
        <f>'Расчет ЦП - общая форма'!U122</f>
        <v>30.952380952380949</v>
      </c>
      <c r="N122" s="919"/>
      <c r="O122" s="919"/>
      <c r="P122" s="919"/>
    </row>
    <row r="123" spans="1:16" ht="15" hidden="1" customHeight="1" x14ac:dyDescent="0.25">
      <c r="A123" s="213">
        <f>'Расчет ЦП - общая форма'!A123</f>
        <v>96</v>
      </c>
      <c r="B123" s="213">
        <f>COUNTIFS($C$8:C123,"*ПС*",$L$8:L123,"*закрыт*")</f>
        <v>12</v>
      </c>
      <c r="C123" s="213" t="str">
        <f>'Расчет ЦП - общая форма'!C123</f>
        <v xml:space="preserve">ПС 35/10 кВ Сороки </v>
      </c>
      <c r="D123" s="230">
        <f>'Расчет ЦП - общая форма'!D123</f>
        <v>2.5</v>
      </c>
      <c r="E123" s="229" t="str">
        <f>'Расчет ЦП - общая форма'!E123</f>
        <v>+</v>
      </c>
      <c r="F123" s="229">
        <f>'Расчет ЦП - общая форма'!F123</f>
        <v>2.5</v>
      </c>
      <c r="G123" s="229">
        <f>'Расчет ЦП - общая форма'!G123</f>
        <v>0</v>
      </c>
      <c r="H123" s="229">
        <f>'Расчет ЦП - общая форма'!H123</f>
        <v>0</v>
      </c>
      <c r="I123" s="172">
        <f>'Расчет ЦП - общая форма'!Q123</f>
        <v>2.1349999999999998</v>
      </c>
      <c r="J123" s="172">
        <f>'Расчет ЦП - общая форма'!R123</f>
        <v>2.1349999999999998</v>
      </c>
      <c r="K123" s="768" t="str">
        <f>'Расчет ЦП - общая форма'!S123</f>
        <v/>
      </c>
      <c r="L123" s="257" t="str">
        <f>'Расчет ЦП - общая форма'!T123</f>
        <v/>
      </c>
      <c r="M123" s="768">
        <f>'Расчет ЦП - общая форма'!U123</f>
        <v>18.666666666666668</v>
      </c>
      <c r="N123" s="919"/>
      <c r="O123" s="919"/>
      <c r="P123" s="919"/>
    </row>
    <row r="124" spans="1:16" ht="15" hidden="1" customHeight="1" x14ac:dyDescent="0.25">
      <c r="A124" s="213">
        <f>'Расчет ЦП - общая форма'!A124</f>
        <v>97</v>
      </c>
      <c r="B124" s="213">
        <f>COUNTIFS($C$8:C124,"*ПС*",$L$8:L124,"*закрыт*")</f>
        <v>12</v>
      </c>
      <c r="C124" s="213" t="str">
        <f>'Расчет ЦП - общая форма'!C124</f>
        <v xml:space="preserve">ПС 35/10 кВ Терелесово </v>
      </c>
      <c r="D124" s="230">
        <f>'Расчет ЦП - общая форма'!D124</f>
        <v>1.6</v>
      </c>
      <c r="E124" s="229" t="str">
        <f>'Расчет ЦП - общая форма'!E124</f>
        <v>+</v>
      </c>
      <c r="F124" s="229">
        <f>'Расчет ЦП - общая форма'!F124</f>
        <v>1.6</v>
      </c>
      <c r="G124" s="229">
        <f>'Расчет ЦП - общая форма'!G124</f>
        <v>0</v>
      </c>
      <c r="H124" s="229">
        <f>'Расчет ЦП - общая форма'!H124</f>
        <v>0</v>
      </c>
      <c r="I124" s="172">
        <f>'Расчет ЦП - общая форма'!Q124</f>
        <v>1.6800000000000002</v>
      </c>
      <c r="J124" s="172">
        <f>'Расчет ЦП - общая форма'!R124</f>
        <v>1.6800000000000002</v>
      </c>
      <c r="K124" s="768" t="str">
        <f>'Расчет ЦП - общая форма'!S124</f>
        <v/>
      </c>
      <c r="L124" s="257" t="str">
        <f>'Расчет ЦП - общая форма'!T124</f>
        <v/>
      </c>
      <c r="M124" s="768">
        <f>'Расчет ЦП - общая форма'!U124</f>
        <v>46.428571428571423</v>
      </c>
      <c r="N124" s="919"/>
      <c r="O124" s="919"/>
      <c r="P124" s="919"/>
    </row>
    <row r="125" spans="1:16" ht="15" hidden="1" customHeight="1" x14ac:dyDescent="0.25">
      <c r="A125" s="213">
        <f>'Расчет ЦП - общая форма'!A125</f>
        <v>98</v>
      </c>
      <c r="B125" s="213">
        <f>COUNTIFS($C$8:C125,"*ПС*",$L$8:L125,"*закрыт*")</f>
        <v>12</v>
      </c>
      <c r="C125" s="213" t="str">
        <f>'Расчет ЦП - общая форма'!C125</f>
        <v xml:space="preserve">ПС 35/10 кВ Тимково </v>
      </c>
      <c r="D125" s="230">
        <f>'Расчет ЦП - общая форма'!D125</f>
        <v>1.6</v>
      </c>
      <c r="E125" s="229" t="str">
        <f>'Расчет ЦП - общая форма'!E125</f>
        <v>+</v>
      </c>
      <c r="F125" s="229">
        <f>'Расчет ЦП - общая форма'!F125</f>
        <v>1.6</v>
      </c>
      <c r="G125" s="229">
        <f>'Расчет ЦП - общая форма'!G125</f>
        <v>0</v>
      </c>
      <c r="H125" s="229">
        <f>'Расчет ЦП - общая форма'!H125</f>
        <v>0</v>
      </c>
      <c r="I125" s="172">
        <f>'Расчет ЦП - общая форма'!Q125</f>
        <v>0.60000000000000009</v>
      </c>
      <c r="J125" s="172">
        <f>'Расчет ЦП - общая форма'!R125</f>
        <v>0.60000000000000009</v>
      </c>
      <c r="K125" s="768" t="str">
        <f>'Расчет ЦП - общая форма'!S125</f>
        <v/>
      </c>
      <c r="L125" s="257" t="str">
        <f>'Расчет ЦП - общая форма'!T125</f>
        <v/>
      </c>
      <c r="M125" s="768">
        <f>'Расчет ЦП - общая форма'!U125</f>
        <v>64.285714285714278</v>
      </c>
      <c r="N125" s="919"/>
      <c r="O125" s="919"/>
      <c r="P125" s="919"/>
    </row>
    <row r="126" spans="1:16" ht="15" hidden="1" customHeight="1" x14ac:dyDescent="0.25">
      <c r="A126" s="213">
        <f>'Расчет ЦП - общая форма'!A126</f>
        <v>99</v>
      </c>
      <c r="B126" s="213">
        <f>COUNTIFS($C$8:C126,"*ПС*",$L$8:L126,"*закрыт*")</f>
        <v>12</v>
      </c>
      <c r="C126" s="213" t="str">
        <f>'Расчет ЦП - общая форма'!C126</f>
        <v xml:space="preserve">ПС 35/10 кВ Фирово </v>
      </c>
      <c r="D126" s="230">
        <f>'Расчет ЦП - общая форма'!D126</f>
        <v>2.5</v>
      </c>
      <c r="E126" s="229" t="str">
        <f>'Расчет ЦП - общая форма'!E126</f>
        <v>+</v>
      </c>
      <c r="F126" s="229">
        <f>'Расчет ЦП - общая форма'!F126</f>
        <v>2.5</v>
      </c>
      <c r="G126" s="229">
        <f>'Расчет ЦП - общая форма'!G126</f>
        <v>0</v>
      </c>
      <c r="H126" s="229">
        <f>'Расчет ЦП - общая форма'!H126</f>
        <v>0</v>
      </c>
      <c r="I126" s="172">
        <f>'Расчет ЦП - общая форма'!Q126</f>
        <v>2.625</v>
      </c>
      <c r="J126" s="172">
        <f>'Расчет ЦП - общая форма'!R126</f>
        <v>2.625</v>
      </c>
      <c r="K126" s="768" t="str">
        <f>'Расчет ЦП - общая форма'!S126</f>
        <v/>
      </c>
      <c r="L126" s="257" t="str">
        <f>'Расчет ЦП - общая форма'!T126</f>
        <v/>
      </c>
      <c r="M126" s="768">
        <f>'Расчет ЦП - общая форма'!U126</f>
        <v>82.285714285714292</v>
      </c>
      <c r="N126" s="919"/>
      <c r="O126" s="919"/>
      <c r="P126" s="919"/>
    </row>
    <row r="127" spans="1:16" ht="15" hidden="1" customHeight="1" x14ac:dyDescent="0.25">
      <c r="A127" s="213">
        <f>'Расчет ЦП - общая форма'!A127</f>
        <v>100</v>
      </c>
      <c r="B127" s="213">
        <f>COUNTIFS($C$8:C127,"*ПС*",$L$8:L127,"*закрыт*")</f>
        <v>12</v>
      </c>
      <c r="C127" s="213" t="str">
        <f>'Расчет ЦП - общая форма'!C127</f>
        <v xml:space="preserve">ПС 35/6 кВ Юбилейная </v>
      </c>
      <c r="D127" s="230">
        <f>'Расчет ЦП - общая форма'!D127</f>
        <v>7.5</v>
      </c>
      <c r="E127" s="229" t="str">
        <f>'Расчет ЦП - общая форма'!E127</f>
        <v>+</v>
      </c>
      <c r="F127" s="229">
        <f>'Расчет ЦП - общая форма'!F127</f>
        <v>10</v>
      </c>
      <c r="G127" s="229">
        <f>'Расчет ЦП - общая форма'!G127</f>
        <v>0</v>
      </c>
      <c r="H127" s="229">
        <f>'Расчет ЦП - общая форма'!H127</f>
        <v>0</v>
      </c>
      <c r="I127" s="172">
        <f>'Расчет ЦП - общая форма'!Q127</f>
        <v>1.4550000000000001</v>
      </c>
      <c r="J127" s="172">
        <f>'Расчет ЦП - общая форма'!R127</f>
        <v>1.4550000000000001</v>
      </c>
      <c r="K127" s="768" t="str">
        <f>'Расчет ЦП - общая форма'!S127</f>
        <v/>
      </c>
      <c r="L127" s="257" t="str">
        <f>'Расчет ЦП - общая форма'!T127</f>
        <v/>
      </c>
      <c r="M127" s="768">
        <f>'Расчет ЦП - общая форма'!U127</f>
        <v>92.952380952380949</v>
      </c>
      <c r="N127" s="919"/>
      <c r="O127" s="919"/>
      <c r="P127" s="919"/>
    </row>
    <row r="128" spans="1:16" ht="15" hidden="1" customHeight="1" x14ac:dyDescent="0.25">
      <c r="A128" s="213">
        <f>'Расчет ЦП - общая форма'!A128</f>
        <v>101</v>
      </c>
      <c r="B128" s="213">
        <f>COUNTIFS($C$8:C128,"*ПС*",$L$8:L128,"*закрыт*")</f>
        <v>12</v>
      </c>
      <c r="C128" s="213" t="str">
        <f>'Расчет ЦП - общая форма'!C128</f>
        <v xml:space="preserve">ПС 35/10 кВ Яконово </v>
      </c>
      <c r="D128" s="230">
        <f>'Расчет ЦП - общая форма'!D128</f>
        <v>2.5</v>
      </c>
      <c r="E128" s="229" t="str">
        <f>'Расчет ЦП - общая форма'!E128</f>
        <v>+</v>
      </c>
      <c r="F128" s="229">
        <f>'Расчет ЦП - общая форма'!F128</f>
        <v>2.5</v>
      </c>
      <c r="G128" s="229">
        <f>'Расчет ЦП - общая форма'!G128</f>
        <v>0</v>
      </c>
      <c r="H128" s="229">
        <f>'Расчет ЦП - общая форма'!H128</f>
        <v>0</v>
      </c>
      <c r="I128" s="172">
        <f>'Расчет ЦП - общая форма'!Q128</f>
        <v>2.5049999999999999</v>
      </c>
      <c r="J128" s="172">
        <f>'Расчет ЦП - общая форма'!R128</f>
        <v>2.5049999999999999</v>
      </c>
      <c r="K128" s="768" t="str">
        <f>'Расчет ЦП - общая форма'!S128</f>
        <v/>
      </c>
      <c r="L128" s="257" t="str">
        <f>'Расчет ЦП - общая форма'!T128</f>
        <v/>
      </c>
      <c r="M128" s="768">
        <f>'Расчет ЦП - общая форма'!U128</f>
        <v>11.047619047619046</v>
      </c>
      <c r="N128" s="919"/>
      <c r="O128" s="919"/>
      <c r="P128" s="919"/>
    </row>
    <row r="129" spans="1:16" ht="15" hidden="1" customHeight="1" x14ac:dyDescent="0.25">
      <c r="A129" s="1371">
        <f>'Расчет ЦП - общая форма'!A129</f>
        <v>102</v>
      </c>
      <c r="B129" s="1376">
        <f>COUNTIFS($C$8:C129,"*ПС*",$L$8:L129,"*закрыт*")</f>
        <v>12</v>
      </c>
      <c r="C129" s="213" t="str">
        <f>'Расчет ЦП - общая форма'!C129</f>
        <v xml:space="preserve">ПС 110/35/10 кВ Брусово  </v>
      </c>
      <c r="D129" s="230">
        <f>'Расчет ЦП - общая форма'!D129</f>
        <v>10</v>
      </c>
      <c r="E129" s="229" t="str">
        <f>'Расчет ЦП - общая форма'!E129</f>
        <v>+</v>
      </c>
      <c r="F129" s="229">
        <f>'Расчет ЦП - общая форма'!F129</f>
        <v>10</v>
      </c>
      <c r="G129" s="229">
        <f>'Расчет ЦП - общая форма'!G129</f>
        <v>0</v>
      </c>
      <c r="H129" s="229">
        <f>'Расчет ЦП - общая форма'!H129</f>
        <v>0</v>
      </c>
      <c r="I129" s="172">
        <f>'Расчет ЦП - общая форма'!Q129</f>
        <v>12.237</v>
      </c>
      <c r="J129" s="1379">
        <f>'Расчет ЦП - общая форма'!R129</f>
        <v>10.5</v>
      </c>
      <c r="K129" s="1362" t="str">
        <f>'Расчет ЦП - общая форма'!S129</f>
        <v/>
      </c>
      <c r="L129" s="257" t="str">
        <f>'Расчет ЦП - общая форма'!T129</f>
        <v/>
      </c>
      <c r="M129" s="1362">
        <f>'Расчет ЦП - общая форма'!U129</f>
        <v>18.476190476190474</v>
      </c>
      <c r="N129" s="919"/>
      <c r="O129" s="919"/>
      <c r="P129" s="919"/>
    </row>
    <row r="130" spans="1:16" ht="15" hidden="1" customHeight="1" x14ac:dyDescent="0.25">
      <c r="A130" s="1371">
        <f>'Расчет ЦП - общая форма'!A130</f>
        <v>0</v>
      </c>
      <c r="B130" s="1393"/>
      <c r="C130" s="213" t="str">
        <f>'Расчет ЦП - общая форма'!C130</f>
        <v xml:space="preserve">Ном. Мощность СН, МВА </v>
      </c>
      <c r="D130" s="230">
        <f>'Расчет ЦП - общая форма'!D130</f>
        <v>10</v>
      </c>
      <c r="E130" s="229" t="str">
        <f>'Расчет ЦП - общая форма'!E130</f>
        <v>+</v>
      </c>
      <c r="F130" s="229">
        <f>'Расчет ЦП - общая форма'!F130</f>
        <v>10</v>
      </c>
      <c r="G130" s="229">
        <f>'Расчет ЦП - общая форма'!G130</f>
        <v>0</v>
      </c>
      <c r="H130" s="229">
        <f>'Расчет ЦП - общая форма'!H130</f>
        <v>0</v>
      </c>
      <c r="I130" s="172">
        <f>'Расчет ЦП - общая форма'!Q130</f>
        <v>10.5</v>
      </c>
      <c r="J130" s="1379">
        <f>'Расчет ЦП - общая форма'!R130</f>
        <v>0</v>
      </c>
      <c r="K130" s="1363" t="str">
        <f>'Расчет ЦП - общая форма'!S130</f>
        <v/>
      </c>
      <c r="L130" s="257" t="str">
        <f>'Расчет ЦП - общая форма'!T130</f>
        <v/>
      </c>
      <c r="M130" s="1363">
        <f>'Расчет ЦП - общая форма'!U130</f>
        <v>0</v>
      </c>
      <c r="N130" s="919"/>
      <c r="O130" s="919"/>
      <c r="P130" s="919"/>
    </row>
    <row r="131" spans="1:16" ht="15" hidden="1" customHeight="1" x14ac:dyDescent="0.25">
      <c r="A131" s="1371">
        <f>'Расчет ЦП - общая форма'!A131</f>
        <v>0</v>
      </c>
      <c r="B131" s="1394"/>
      <c r="C131" s="213" t="str">
        <f>'Расчет ЦП - общая форма'!C131</f>
        <v>Ном. мощность НН, МВА</v>
      </c>
      <c r="D131" s="230">
        <f>'Расчет ЦП - общая форма'!D131</f>
        <v>10</v>
      </c>
      <c r="E131" s="229" t="str">
        <f>'Расчет ЦП - общая форма'!E131</f>
        <v>+</v>
      </c>
      <c r="F131" s="229">
        <f>'Расчет ЦП - общая форма'!F131</f>
        <v>10</v>
      </c>
      <c r="G131" s="229">
        <f>'Расчет ЦП - общая форма'!G131</f>
        <v>0</v>
      </c>
      <c r="H131" s="229">
        <f>'Расчет ЦП - общая форма'!H131</f>
        <v>0</v>
      </c>
      <c r="I131" s="172">
        <f>'Расчет ЦП - общая форма'!Q131</f>
        <v>11.95</v>
      </c>
      <c r="J131" s="1379">
        <f>'Расчет ЦП - общая форма'!R131</f>
        <v>0</v>
      </c>
      <c r="K131" s="1363" t="str">
        <f>'Расчет ЦП - общая форма'!S131</f>
        <v/>
      </c>
      <c r="L131" s="257" t="str">
        <f>'Расчет ЦП - общая форма'!T131</f>
        <v/>
      </c>
      <c r="M131" s="1363">
        <f>'Расчет ЦП - общая форма'!U131</f>
        <v>0</v>
      </c>
      <c r="N131" s="919"/>
      <c r="O131" s="919"/>
      <c r="P131" s="919"/>
    </row>
    <row r="132" spans="1:16" ht="15" hidden="1" customHeight="1" x14ac:dyDescent="0.25">
      <c r="A132" s="1371">
        <f>'Расчет ЦП - общая форма'!A132</f>
        <v>103</v>
      </c>
      <c r="B132" s="1376">
        <f>COUNTIFS($C$8:C132,"*ПС*",$L$8:L132,"*закрыт*")</f>
        <v>12</v>
      </c>
      <c r="C132" s="213" t="str">
        <f>'Расчет ЦП - общая форма'!C132</f>
        <v xml:space="preserve">ПС 110/35/6 кВ Выпозово </v>
      </c>
      <c r="D132" s="230">
        <f>'Расчет ЦП - общая форма'!D132</f>
        <v>10</v>
      </c>
      <c r="E132" s="229" t="str">
        <f>'Расчет ЦП - общая форма'!E132</f>
        <v>+</v>
      </c>
      <c r="F132" s="229">
        <f>'Расчет ЦП - общая форма'!F132</f>
        <v>10</v>
      </c>
      <c r="G132" s="229">
        <f>'Расчет ЦП - общая форма'!G132</f>
        <v>0</v>
      </c>
      <c r="H132" s="229">
        <f>'Расчет ЦП - общая форма'!H132</f>
        <v>0</v>
      </c>
      <c r="I132" s="172">
        <f>'Расчет ЦП - общая форма'!Q132</f>
        <v>9.0820000000000007</v>
      </c>
      <c r="J132" s="1379">
        <f>'Расчет ЦП - общая форма'!R132</f>
        <v>9.0820000000000007</v>
      </c>
      <c r="K132" s="1362" t="str">
        <f>'Расчет ЦП - общая форма'!S132</f>
        <v/>
      </c>
      <c r="L132" s="257" t="str">
        <f>'Расчет ЦП - общая форма'!T132</f>
        <v/>
      </c>
      <c r="M132" s="1362">
        <f>'Расчет ЦП - общая форма'!U132</f>
        <v>61.523809523809526</v>
      </c>
      <c r="N132" s="919"/>
      <c r="O132" s="919"/>
      <c r="P132" s="919"/>
    </row>
    <row r="133" spans="1:16" ht="15" hidden="1" customHeight="1" x14ac:dyDescent="0.25">
      <c r="A133" s="1371">
        <f>'Расчет ЦП - общая форма'!A133</f>
        <v>0</v>
      </c>
      <c r="B133" s="1393"/>
      <c r="C133" s="213" t="str">
        <f>'Расчет ЦП - общая форма'!C133</f>
        <v xml:space="preserve">Ном. Мощность СН, МВА </v>
      </c>
      <c r="D133" s="230">
        <f>'Расчет ЦП - общая форма'!D133</f>
        <v>10</v>
      </c>
      <c r="E133" s="229" t="str">
        <f>'Расчет ЦП - общая форма'!E133</f>
        <v>+</v>
      </c>
      <c r="F133" s="229">
        <f>'Расчет ЦП - общая форма'!F133</f>
        <v>10</v>
      </c>
      <c r="G133" s="229">
        <f>'Расчет ЦП - общая форма'!G133</f>
        <v>0</v>
      </c>
      <c r="H133" s="229">
        <f>'Расчет ЦП - общая форма'!H133</f>
        <v>0</v>
      </c>
      <c r="I133" s="172">
        <f>'Расчет ЦП - общая форма'!Q133</f>
        <v>9.2100000000000009</v>
      </c>
      <c r="J133" s="1379">
        <f>'Расчет ЦП - общая форма'!R133</f>
        <v>0</v>
      </c>
      <c r="K133" s="1363" t="str">
        <f>'Расчет ЦП - общая форма'!S133</f>
        <v/>
      </c>
      <c r="L133" s="257" t="str">
        <f>'Расчет ЦП - общая форма'!T133</f>
        <v/>
      </c>
      <c r="M133" s="1363">
        <f>'Расчет ЦП - общая форма'!U133</f>
        <v>0</v>
      </c>
      <c r="N133" s="919"/>
      <c r="O133" s="919"/>
      <c r="P133" s="919"/>
    </row>
    <row r="134" spans="1:16" ht="15" hidden="1" customHeight="1" x14ac:dyDescent="0.25">
      <c r="A134" s="1371">
        <f>'Расчет ЦП - общая форма'!A134</f>
        <v>0</v>
      </c>
      <c r="B134" s="1394"/>
      <c r="C134" s="213" t="str">
        <f>'Расчет ЦП - общая форма'!C134</f>
        <v>Ном. мощность НН, МВА</v>
      </c>
      <c r="D134" s="230">
        <f>'Расчет ЦП - общая форма'!D134</f>
        <v>10</v>
      </c>
      <c r="E134" s="229" t="str">
        <f>'Расчет ЦП - общая форма'!E134</f>
        <v>+</v>
      </c>
      <c r="F134" s="229">
        <f>'Расчет ЦП - общая форма'!F134</f>
        <v>10</v>
      </c>
      <c r="G134" s="229">
        <f>'Расчет ЦП - общая форма'!G134</f>
        <v>0</v>
      </c>
      <c r="H134" s="229">
        <f>'Расчет ЦП - общая форма'!H134</f>
        <v>0</v>
      </c>
      <c r="I134" s="172">
        <f>'Расчет ЦП - общая форма'!Q134</f>
        <v>10.5</v>
      </c>
      <c r="J134" s="1379">
        <f>'Расчет ЦП - общая форма'!R134</f>
        <v>0</v>
      </c>
      <c r="K134" s="1363" t="str">
        <f>'Расчет ЦП - общая форма'!S134</f>
        <v/>
      </c>
      <c r="L134" s="257" t="str">
        <f>'Расчет ЦП - общая форма'!T134</f>
        <v/>
      </c>
      <c r="M134" s="1363">
        <f>'Расчет ЦП - общая форма'!U134</f>
        <v>0</v>
      </c>
      <c r="N134" s="919"/>
      <c r="O134" s="919"/>
      <c r="P134" s="919"/>
    </row>
    <row r="135" spans="1:16" ht="15" hidden="1" customHeight="1" x14ac:dyDescent="0.25">
      <c r="A135" s="1371">
        <f>'Расчет ЦП - общая форма'!A135</f>
        <v>104</v>
      </c>
      <c r="B135" s="1376">
        <f>COUNTIFS($C$8:C135,"*ПС*",$L$8:L135,"*закрыт*")</f>
        <v>12</v>
      </c>
      <c r="C135" s="213" t="str">
        <f>'Расчет ЦП - общая форма'!C135</f>
        <v xml:space="preserve">ПС 110/35/6 кВ Вышний Волочек </v>
      </c>
      <c r="D135" s="230">
        <f>'Расчет ЦП - общая форма'!D135</f>
        <v>40</v>
      </c>
      <c r="E135" s="229" t="str">
        <f>'Расчет ЦП - общая форма'!E135</f>
        <v>+</v>
      </c>
      <c r="F135" s="229">
        <f>'Расчет ЦП - общая форма'!F135</f>
        <v>40</v>
      </c>
      <c r="G135" s="229">
        <f>'Расчет ЦП - общая форма'!G135</f>
        <v>0</v>
      </c>
      <c r="H135" s="229">
        <f>'Расчет ЦП - общая форма'!H135</f>
        <v>0</v>
      </c>
      <c r="I135" s="172">
        <f>'Расчет ЦП - общая форма'!Q135</f>
        <v>30.53</v>
      </c>
      <c r="J135" s="1379">
        <f>'Расчет ЦП - общая форма'!R135</f>
        <v>28.400000000000002</v>
      </c>
      <c r="K135" s="1362" t="str">
        <f>'Расчет ЦП - общая форма'!S135</f>
        <v/>
      </c>
      <c r="L135" s="257" t="str">
        <f>'Расчет ЦП - общая форма'!T135</f>
        <v/>
      </c>
      <c r="M135" s="1362">
        <f>'Расчет ЦП - общая форма'!U135</f>
        <v>73.976190476190482</v>
      </c>
      <c r="N135" s="919"/>
      <c r="O135" s="919"/>
      <c r="P135" s="919"/>
    </row>
    <row r="136" spans="1:16" ht="15" hidden="1" customHeight="1" x14ac:dyDescent="0.25">
      <c r="A136" s="1371">
        <f>'Расчет ЦП - общая форма'!A136</f>
        <v>0</v>
      </c>
      <c r="B136" s="1393"/>
      <c r="C136" s="213" t="str">
        <f>'Расчет ЦП - общая форма'!C136</f>
        <v xml:space="preserve">Ном. Мощность СН, МВА </v>
      </c>
      <c r="D136" s="230">
        <f>'Расчет ЦП - общая форма'!D136</f>
        <v>40</v>
      </c>
      <c r="E136" s="229" t="str">
        <f>'Расчет ЦП - общая форма'!E136</f>
        <v>+</v>
      </c>
      <c r="F136" s="229">
        <f>'Расчет ЦП - общая форма'!F136</f>
        <v>40</v>
      </c>
      <c r="G136" s="229">
        <f>'Расчет ЦП - общая форма'!G136</f>
        <v>0</v>
      </c>
      <c r="H136" s="229">
        <f>'Расчет ЦП - общая форма'!H136</f>
        <v>0</v>
      </c>
      <c r="I136" s="172">
        <f>'Расчет ЦП - общая форма'!Q136</f>
        <v>28.400000000000002</v>
      </c>
      <c r="J136" s="1379">
        <f>'Расчет ЦП - общая форма'!R136</f>
        <v>0</v>
      </c>
      <c r="K136" s="1363" t="str">
        <f>'Расчет ЦП - общая форма'!S136</f>
        <v/>
      </c>
      <c r="L136" s="257" t="str">
        <f>'Расчет ЦП - общая форма'!T136</f>
        <v/>
      </c>
      <c r="M136" s="1363">
        <f>'Расчет ЦП - общая форма'!U136</f>
        <v>0</v>
      </c>
      <c r="N136" s="919"/>
      <c r="O136" s="919"/>
      <c r="P136" s="919"/>
    </row>
    <row r="137" spans="1:16" ht="15" hidden="1" customHeight="1" x14ac:dyDescent="0.25">
      <c r="A137" s="1371">
        <f>'Расчет ЦП - общая форма'!A137</f>
        <v>0</v>
      </c>
      <c r="B137" s="1394"/>
      <c r="C137" s="213" t="str">
        <f>'Расчет ЦП - общая форма'!C137</f>
        <v>Ном. мощность НН, МВА</v>
      </c>
      <c r="D137" s="230">
        <f>'Расчет ЦП - общая форма'!D137</f>
        <v>40</v>
      </c>
      <c r="E137" s="229" t="str">
        <f>'Расчет ЦП - общая форма'!E137</f>
        <v>+</v>
      </c>
      <c r="F137" s="229">
        <f>'Расчет ЦП - общая форма'!F137</f>
        <v>40</v>
      </c>
      <c r="G137" s="229">
        <f>'Расчет ЦП - общая форма'!G137</f>
        <v>0</v>
      </c>
      <c r="H137" s="229">
        <f>'Расчет ЦП - общая форма'!H137</f>
        <v>0</v>
      </c>
      <c r="I137" s="172">
        <f>'Расчет ЦП - общая форма'!Q137</f>
        <v>44.13</v>
      </c>
      <c r="J137" s="1379">
        <f>'Расчет ЦП - общая форма'!R137</f>
        <v>0</v>
      </c>
      <c r="K137" s="1363" t="str">
        <f>'Расчет ЦП - общая форма'!S137</f>
        <v/>
      </c>
      <c r="L137" s="257" t="str">
        <f>'Расчет ЦП - общая форма'!T137</f>
        <v/>
      </c>
      <c r="M137" s="1363">
        <f>'Расчет ЦП - общая форма'!U137</f>
        <v>0</v>
      </c>
      <c r="N137" s="919"/>
      <c r="O137" s="919"/>
      <c r="P137" s="919"/>
    </row>
    <row r="138" spans="1:16" ht="15" hidden="1" customHeight="1" x14ac:dyDescent="0.25">
      <c r="A138" s="1376">
        <f>'Расчет ЦП - общая форма'!A138</f>
        <v>105</v>
      </c>
      <c r="B138" s="1376">
        <f>COUNTIFS($C$8:C138,"*ПС*",$L$8:L138,"*закрыт*")</f>
        <v>12</v>
      </c>
      <c r="C138" s="213" t="str">
        <f>'Расчет ЦП - общая форма'!C138</f>
        <v xml:space="preserve">ПС 110/35/10-6 кВ Кашарово </v>
      </c>
      <c r="D138" s="230">
        <f>'Расчет ЦП - общая форма'!D138</f>
        <v>25</v>
      </c>
      <c r="E138" s="229" t="str">
        <f>'Расчет ЦП - общая форма'!E138</f>
        <v>+</v>
      </c>
      <c r="F138" s="229">
        <f>'Расчет ЦП - общая форма'!F138</f>
        <v>20</v>
      </c>
      <c r="G138" s="229">
        <f>'Расчет ЦП - общая форма'!G138</f>
        <v>0</v>
      </c>
      <c r="H138" s="229">
        <f>'Расчет ЦП - общая форма'!H138</f>
        <v>0</v>
      </c>
      <c r="I138" s="172">
        <f>'Расчет ЦП - общая форма'!Q138</f>
        <v>18.488999999999997</v>
      </c>
      <c r="J138" s="1364">
        <f>'Расчет ЦП - общая форма'!R138</f>
        <v>18.488999999999997</v>
      </c>
      <c r="K138" s="1381" t="str">
        <f>'Расчет ЦП - общая форма'!S138</f>
        <v/>
      </c>
      <c r="L138" s="257" t="str">
        <f>'Расчет ЦП - общая форма'!T138</f>
        <v/>
      </c>
      <c r="M138" s="1381">
        <f>'Расчет ЦП - общая форма'!U138</f>
        <v>52.857142857142854</v>
      </c>
      <c r="N138" s="919"/>
      <c r="O138" s="919"/>
      <c r="P138" s="919"/>
    </row>
    <row r="139" spans="1:16" ht="15" hidden="1" customHeight="1" x14ac:dyDescent="0.25">
      <c r="A139" s="1393">
        <f>'Расчет ЦП - общая форма'!A139</f>
        <v>0</v>
      </c>
      <c r="B139" s="1393"/>
      <c r="C139" s="213" t="str">
        <f>'Расчет ЦП - общая форма'!C139</f>
        <v xml:space="preserve">Ном. Мощность СН, МВА </v>
      </c>
      <c r="D139" s="230">
        <f>'Расчет ЦП - общая форма'!D139</f>
        <v>25</v>
      </c>
      <c r="E139" s="229" t="str">
        <f>'Расчет ЦП - общая форма'!E139</f>
        <v>+</v>
      </c>
      <c r="F139" s="229">
        <f>'Расчет ЦП - общая форма'!F139</f>
        <v>20</v>
      </c>
      <c r="G139" s="229">
        <f>'Расчет ЦП - общая форма'!G139</f>
        <v>0</v>
      </c>
      <c r="H139" s="229">
        <f>'Расчет ЦП - общая форма'!H139</f>
        <v>0</v>
      </c>
      <c r="I139" s="172">
        <f>'Расчет ЦП - общая форма'!Q139</f>
        <v>21</v>
      </c>
      <c r="J139" s="1365">
        <f>'Расчет ЦП - общая форма'!R139</f>
        <v>0</v>
      </c>
      <c r="K139" s="1382" t="str">
        <f>'Расчет ЦП - общая форма'!S139</f>
        <v/>
      </c>
      <c r="L139" s="257" t="str">
        <f>'Расчет ЦП - общая форма'!T139</f>
        <v/>
      </c>
      <c r="M139" s="1382">
        <f>'Расчет ЦП - общая форма'!U139</f>
        <v>0</v>
      </c>
      <c r="N139" s="919"/>
      <c r="O139" s="919"/>
      <c r="P139" s="919"/>
    </row>
    <row r="140" spans="1:16" ht="15" hidden="1" customHeight="1" x14ac:dyDescent="0.25">
      <c r="A140" s="1394">
        <f>'Расчет ЦП - общая форма'!A140</f>
        <v>0</v>
      </c>
      <c r="B140" s="1394"/>
      <c r="C140" s="213" t="str">
        <f>'Расчет ЦП - общая форма'!C140</f>
        <v>Ном. мощность НН, МВА</v>
      </c>
      <c r="D140" s="230">
        <f>'Расчет ЦП - общая форма'!D140</f>
        <v>25</v>
      </c>
      <c r="E140" s="229" t="str">
        <f>'Расчет ЦП - общая форма'!E140</f>
        <v>+</v>
      </c>
      <c r="F140" s="229">
        <f>'Расчет ЦП - общая форма'!F140</f>
        <v>20</v>
      </c>
      <c r="G140" s="229">
        <f>'Расчет ЦП - общая форма'!G140</f>
        <v>0</v>
      </c>
      <c r="H140" s="229">
        <f>'Расчет ЦП - общая форма'!H140</f>
        <v>0</v>
      </c>
      <c r="I140" s="172">
        <f>'Расчет ЦП - общая форма'!Q140</f>
        <v>21</v>
      </c>
      <c r="J140" s="1366">
        <f>'Расчет ЦП - общая форма'!R140</f>
        <v>0</v>
      </c>
      <c r="K140" s="1383" t="str">
        <f>'Расчет ЦП - общая форма'!S140</f>
        <v/>
      </c>
      <c r="L140" s="257" t="str">
        <f>'Расчет ЦП - общая форма'!T140</f>
        <v/>
      </c>
      <c r="M140" s="1383">
        <f>'Расчет ЦП - общая форма'!U140</f>
        <v>0</v>
      </c>
      <c r="N140" s="919"/>
      <c r="O140" s="919"/>
      <c r="P140" s="919"/>
    </row>
    <row r="141" spans="1:16" ht="15" hidden="1" customHeight="1" x14ac:dyDescent="0.25">
      <c r="A141" s="1371">
        <f>'Расчет ЦП - общая форма'!A141</f>
        <v>106</v>
      </c>
      <c r="B141" s="1376">
        <f>COUNTIFS($C$8:C141,"*ПС*",$L$8:L141,"*закрыт*")</f>
        <v>12</v>
      </c>
      <c r="C141" s="213" t="str">
        <f>'Расчет ЦП - общая форма'!C141</f>
        <v xml:space="preserve">ПС 110/35/10 кВ Спирово </v>
      </c>
      <c r="D141" s="230">
        <f>'Расчет ЦП - общая форма'!D141</f>
        <v>16</v>
      </c>
      <c r="E141" s="229" t="str">
        <f>'Расчет ЦП - общая форма'!E141</f>
        <v>+</v>
      </c>
      <c r="F141" s="229">
        <f>'Расчет ЦП - общая форма'!F141</f>
        <v>16</v>
      </c>
      <c r="G141" s="229">
        <f>'Расчет ЦП - общая форма'!G141</f>
        <v>0</v>
      </c>
      <c r="H141" s="229">
        <f>'Расчет ЦП - общая форма'!H141</f>
        <v>0</v>
      </c>
      <c r="I141" s="172">
        <f>'Расчет ЦП - общая форма'!Q141</f>
        <v>13.163</v>
      </c>
      <c r="J141" s="1379">
        <f>'Расчет ЦП - общая форма'!R141</f>
        <v>13.163</v>
      </c>
      <c r="K141" s="1362" t="str">
        <f>'Расчет ЦП - общая форма'!S141</f>
        <v/>
      </c>
      <c r="L141" s="257" t="str">
        <f>'Расчет ЦП - общая форма'!T141</f>
        <v/>
      </c>
      <c r="M141" s="1362">
        <f>'Расчет ЦП - общая форма'!U141</f>
        <v>31.607142857142854</v>
      </c>
      <c r="N141" s="919"/>
      <c r="O141" s="919"/>
      <c r="P141" s="919"/>
    </row>
    <row r="142" spans="1:16" ht="15" hidden="1" customHeight="1" x14ac:dyDescent="0.25">
      <c r="A142" s="1371">
        <f>'Расчет ЦП - общая форма'!A142</f>
        <v>0</v>
      </c>
      <c r="B142" s="1393"/>
      <c r="C142" s="213" t="str">
        <f>'Расчет ЦП - общая форма'!C142</f>
        <v xml:space="preserve">Ном. Мощность СН, МВА </v>
      </c>
      <c r="D142" s="230">
        <f>'Расчет ЦП - общая форма'!D142</f>
        <v>16</v>
      </c>
      <c r="E142" s="229" t="str">
        <f>'Расчет ЦП - общая форма'!E142</f>
        <v>+</v>
      </c>
      <c r="F142" s="229">
        <f>'Расчет ЦП - общая форма'!F142</f>
        <v>16</v>
      </c>
      <c r="G142" s="229">
        <f>'Расчет ЦП - общая форма'!G142</f>
        <v>0</v>
      </c>
      <c r="H142" s="229">
        <f>'Расчет ЦП - общая форма'!H142</f>
        <v>0</v>
      </c>
      <c r="I142" s="172">
        <f>'Расчет ЦП - общая форма'!Q142</f>
        <v>16.760000000000002</v>
      </c>
      <c r="J142" s="1379">
        <f>'Расчет ЦП - общая форма'!R142</f>
        <v>0</v>
      </c>
      <c r="K142" s="1363" t="str">
        <f>'Расчет ЦП - общая форма'!S142</f>
        <v/>
      </c>
      <c r="L142" s="257" t="str">
        <f>'Расчет ЦП - общая форма'!T142</f>
        <v/>
      </c>
      <c r="M142" s="1363">
        <f>'Расчет ЦП - общая форма'!U142</f>
        <v>0</v>
      </c>
      <c r="N142" s="919"/>
      <c r="O142" s="919"/>
      <c r="P142" s="919"/>
    </row>
    <row r="143" spans="1:16" ht="15" hidden="1" customHeight="1" x14ac:dyDescent="0.25">
      <c r="A143" s="1371">
        <f>'Расчет ЦП - общая форма'!A143</f>
        <v>0</v>
      </c>
      <c r="B143" s="1394"/>
      <c r="C143" s="213" t="str">
        <f>'Расчет ЦП - общая форма'!C143</f>
        <v>Ном. мощность НН, МВА</v>
      </c>
      <c r="D143" s="230">
        <f>'Расчет ЦП - общая форма'!D143</f>
        <v>16</v>
      </c>
      <c r="E143" s="229" t="str">
        <f>'Расчет ЦП - общая форма'!E143</f>
        <v>+</v>
      </c>
      <c r="F143" s="229">
        <f>'Расчет ЦП - общая форма'!F143</f>
        <v>16</v>
      </c>
      <c r="G143" s="229">
        <f>'Расчет ЦП - общая форма'!G143</f>
        <v>0</v>
      </c>
      <c r="H143" s="229">
        <f>'Расчет ЦП - общая форма'!H143</f>
        <v>0</v>
      </c>
      <c r="I143" s="172">
        <f>'Расчет ЦП - общая форма'!Q143</f>
        <v>13.33</v>
      </c>
      <c r="J143" s="1379">
        <f>'Расчет ЦП - общая форма'!R143</f>
        <v>0</v>
      </c>
      <c r="K143" s="1363" t="str">
        <f>'Расчет ЦП - общая форма'!S143</f>
        <v/>
      </c>
      <c r="L143" s="257" t="str">
        <f>'Расчет ЦП - общая форма'!T143</f>
        <v/>
      </c>
      <c r="M143" s="1363">
        <f>'Расчет ЦП - общая форма'!U143</f>
        <v>0</v>
      </c>
      <c r="N143" s="919"/>
      <c r="O143" s="919"/>
      <c r="P143" s="919"/>
    </row>
    <row r="144" spans="1:16" ht="15" hidden="1" customHeight="1" x14ac:dyDescent="0.25">
      <c r="A144" s="1371">
        <f>'Расчет ЦП - общая форма'!A144</f>
        <v>107</v>
      </c>
      <c r="B144" s="1376">
        <f>COUNTIFS($C$8:C144,"*ПС*",$L$8:L144,"*закрыт*")</f>
        <v>12</v>
      </c>
      <c r="C144" s="213" t="str">
        <f>'Расчет ЦП - общая форма'!C144</f>
        <v>ПС 110/35/10 кВ Труд</v>
      </c>
      <c r="D144" s="230">
        <f>'Расчет ЦП - общая форма'!D144</f>
        <v>16</v>
      </c>
      <c r="E144" s="229" t="str">
        <f>'Расчет ЦП - общая форма'!E144</f>
        <v>+</v>
      </c>
      <c r="F144" s="229">
        <f>'Расчет ЦП - общая форма'!F144</f>
        <v>16</v>
      </c>
      <c r="G144" s="229">
        <f>'Расчет ЦП - общая форма'!G144</f>
        <v>0</v>
      </c>
      <c r="H144" s="229">
        <f>'Расчет ЦП - общая форма'!H144</f>
        <v>0</v>
      </c>
      <c r="I144" s="172">
        <f>'Расчет ЦП - общая форма'!Q144</f>
        <v>17.922000000000001</v>
      </c>
      <c r="J144" s="1379">
        <f>'Расчет ЦП - общая форма'!R144</f>
        <v>16.66</v>
      </c>
      <c r="K144" s="1362" t="str">
        <f>'Расчет ЦП - общая форма'!S144</f>
        <v/>
      </c>
      <c r="L144" s="257" t="str">
        <f>'Расчет ЦП - общая форма'!T144</f>
        <v/>
      </c>
      <c r="M144" s="1362">
        <f>'Расчет ЦП - общая форма'!U144</f>
        <v>22.261904761904759</v>
      </c>
      <c r="N144" s="919"/>
      <c r="O144" s="919"/>
      <c r="P144" s="919"/>
    </row>
    <row r="145" spans="1:16" ht="15" hidden="1" customHeight="1" x14ac:dyDescent="0.25">
      <c r="A145" s="1371">
        <f>'Расчет ЦП - общая форма'!A145</f>
        <v>0</v>
      </c>
      <c r="B145" s="1393"/>
      <c r="C145" s="213" t="str">
        <f>'Расчет ЦП - общая форма'!C145</f>
        <v xml:space="preserve">Ном. Мощность СН, МВА </v>
      </c>
      <c r="D145" s="230">
        <f>'Расчет ЦП - общая форма'!D145</f>
        <v>16</v>
      </c>
      <c r="E145" s="229" t="str">
        <f>'Расчет ЦП - общая форма'!E145</f>
        <v>+</v>
      </c>
      <c r="F145" s="229">
        <f>'Расчет ЦП - общая форма'!F145</f>
        <v>16</v>
      </c>
      <c r="G145" s="229">
        <f>'Расчет ЦП - общая форма'!G145</f>
        <v>0</v>
      </c>
      <c r="H145" s="229">
        <f>'Расчет ЦП - общая форма'!H145</f>
        <v>0</v>
      </c>
      <c r="I145" s="172">
        <f>'Расчет ЦП - общая форма'!Q145</f>
        <v>16.8</v>
      </c>
      <c r="J145" s="1379">
        <f>'Расчет ЦП - общая форма'!R145</f>
        <v>0</v>
      </c>
      <c r="K145" s="1363" t="str">
        <f>'Расчет ЦП - общая форма'!S145</f>
        <v/>
      </c>
      <c r="L145" s="257" t="str">
        <f>'Расчет ЦП - общая форма'!T145</f>
        <v/>
      </c>
      <c r="M145" s="1363">
        <f>'Расчет ЦП - общая форма'!U145</f>
        <v>0</v>
      </c>
      <c r="N145" s="919"/>
      <c r="O145" s="919"/>
      <c r="P145" s="919"/>
    </row>
    <row r="146" spans="1:16" ht="15" hidden="1" customHeight="1" x14ac:dyDescent="0.25">
      <c r="A146" s="1371">
        <f>'Расчет ЦП - общая форма'!A146</f>
        <v>0</v>
      </c>
      <c r="B146" s="1394"/>
      <c r="C146" s="213" t="str">
        <f>'Расчет ЦП - общая форма'!C146</f>
        <v>Ном. мощность НН, МВА</v>
      </c>
      <c r="D146" s="230">
        <f>'Расчет ЦП - общая форма'!D146</f>
        <v>16</v>
      </c>
      <c r="E146" s="229" t="str">
        <f>'Расчет ЦП - общая форма'!E146</f>
        <v>+</v>
      </c>
      <c r="F146" s="229">
        <f>'Расчет ЦП - общая форма'!F146</f>
        <v>16</v>
      </c>
      <c r="G146" s="229">
        <f>'Расчет ЦП - общая форма'!G146</f>
        <v>0</v>
      </c>
      <c r="H146" s="229">
        <f>'Расчет ЦП - общая форма'!H146</f>
        <v>0</v>
      </c>
      <c r="I146" s="172">
        <f>'Расчет ЦП - общая форма'!Q146</f>
        <v>16.66</v>
      </c>
      <c r="J146" s="1379">
        <f>'Расчет ЦП - общая форма'!R146</f>
        <v>0</v>
      </c>
      <c r="K146" s="1363" t="str">
        <f>'Расчет ЦП - общая форма'!S146</f>
        <v/>
      </c>
      <c r="L146" s="257" t="str">
        <f>'Расчет ЦП - общая форма'!T146</f>
        <v/>
      </c>
      <c r="M146" s="1363">
        <f>'Расчет ЦП - общая форма'!U146</f>
        <v>0</v>
      </c>
      <c r="N146" s="919"/>
      <c r="O146" s="919"/>
      <c r="P146" s="919"/>
    </row>
    <row r="147" spans="1:16" ht="15" hidden="1" customHeight="1" x14ac:dyDescent="0.25">
      <c r="A147" s="1371">
        <f>'Расчет ЦП - общая форма'!A147</f>
        <v>108</v>
      </c>
      <c r="B147" s="1376">
        <f>COUNTIFS($C$8:C147,"*ПС*",$L$8:L147,"*закрыт*")</f>
        <v>12</v>
      </c>
      <c r="C147" s="213" t="str">
        <f>'Расчет ЦП - общая форма'!C147</f>
        <v xml:space="preserve">ПС 110/35/10 кВ Удомля  </v>
      </c>
      <c r="D147" s="230">
        <f>'Расчет ЦП - общая форма'!D147</f>
        <v>25</v>
      </c>
      <c r="E147" s="229" t="str">
        <f>'Расчет ЦП - общая форма'!E147</f>
        <v>+</v>
      </c>
      <c r="F147" s="229">
        <f>'Расчет ЦП - общая форма'!F147</f>
        <v>25</v>
      </c>
      <c r="G147" s="229">
        <f>'Расчет ЦП - общая форма'!G147</f>
        <v>0</v>
      </c>
      <c r="H147" s="229">
        <f>'Расчет ЦП - общая форма'!H147</f>
        <v>0</v>
      </c>
      <c r="I147" s="172">
        <f>'Расчет ЦП - общая форма'!Q147</f>
        <v>28.568999999999999</v>
      </c>
      <c r="J147" s="1379">
        <f>'Расчет ЦП - общая форма'!R147</f>
        <v>25.838000000000001</v>
      </c>
      <c r="K147" s="1362" t="str">
        <f>'Расчет ЦП - общая форма'!S147</f>
        <v/>
      </c>
      <c r="L147" s="257" t="str">
        <f>'Расчет ЦП - общая форма'!T147</f>
        <v/>
      </c>
      <c r="M147" s="1362">
        <f>'Расчет ЦП - общая форма'!U147</f>
        <v>63.131428571428579</v>
      </c>
      <c r="N147" s="919"/>
      <c r="O147" s="919"/>
      <c r="P147" s="919"/>
    </row>
    <row r="148" spans="1:16" ht="15" hidden="1" customHeight="1" x14ac:dyDescent="0.25">
      <c r="A148" s="1371">
        <f>'Расчет ЦП - общая форма'!A148</f>
        <v>0</v>
      </c>
      <c r="B148" s="1393"/>
      <c r="C148" s="213" t="str">
        <f>'Расчет ЦП - общая форма'!C148</f>
        <v xml:space="preserve">Ном. Мощность СН, МВА </v>
      </c>
      <c r="D148" s="230">
        <f>'Расчет ЦП - общая форма'!D148</f>
        <v>25</v>
      </c>
      <c r="E148" s="229" t="str">
        <f>'Расчет ЦП - общая форма'!E148</f>
        <v>+</v>
      </c>
      <c r="F148" s="229">
        <f>'Расчет ЦП - общая форма'!F148</f>
        <v>25</v>
      </c>
      <c r="G148" s="229">
        <f>'Расчет ЦП - общая форма'!G148</f>
        <v>0</v>
      </c>
      <c r="H148" s="229">
        <f>'Расчет ЦП - общая форма'!H148</f>
        <v>0</v>
      </c>
      <c r="I148" s="172">
        <f>'Расчет ЦП - общая форма'!Q148</f>
        <v>26.25</v>
      </c>
      <c r="J148" s="1379">
        <f>'Расчет ЦП - общая форма'!R148</f>
        <v>0</v>
      </c>
      <c r="K148" s="1363" t="str">
        <f>'Расчет ЦП - общая форма'!S148</f>
        <v/>
      </c>
      <c r="L148" s="257" t="str">
        <f>'Расчет ЦП - общая форма'!T148</f>
        <v/>
      </c>
      <c r="M148" s="1363">
        <f>'Расчет ЦП - общая форма'!U148</f>
        <v>0</v>
      </c>
      <c r="N148" s="919"/>
      <c r="O148" s="919"/>
      <c r="P148" s="919"/>
    </row>
    <row r="149" spans="1:16" ht="15" hidden="1" customHeight="1" x14ac:dyDescent="0.25">
      <c r="A149" s="1371">
        <f>'Расчет ЦП - общая форма'!A149</f>
        <v>0</v>
      </c>
      <c r="B149" s="1394"/>
      <c r="C149" s="213" t="str">
        <f>'Расчет ЦП - общая форма'!C149</f>
        <v>Ном. мощность НН, МВА</v>
      </c>
      <c r="D149" s="230">
        <f>'Расчет ЦП - общая форма'!D149</f>
        <v>25</v>
      </c>
      <c r="E149" s="229" t="str">
        <f>'Расчет ЦП - общая форма'!E149</f>
        <v>+</v>
      </c>
      <c r="F149" s="229">
        <f>'Расчет ЦП - общая форма'!F149</f>
        <v>25</v>
      </c>
      <c r="G149" s="229">
        <f>'Расчет ЦП - общая форма'!G149</f>
        <v>0</v>
      </c>
      <c r="H149" s="229">
        <f>'Расчет ЦП - общая форма'!H149</f>
        <v>0</v>
      </c>
      <c r="I149" s="172">
        <f>'Расчет ЦП - общая форма'!Q149</f>
        <v>25.838000000000001</v>
      </c>
      <c r="J149" s="1379">
        <f>'Расчет ЦП - общая форма'!R149</f>
        <v>0</v>
      </c>
      <c r="K149" s="1363" t="str">
        <f>'Расчет ЦП - общая форма'!S149</f>
        <v/>
      </c>
      <c r="L149" s="257" t="str">
        <f>'Расчет ЦП - общая форма'!T149</f>
        <v/>
      </c>
      <c r="M149" s="1363">
        <f>'Расчет ЦП - общая форма'!U149</f>
        <v>0</v>
      </c>
      <c r="N149" s="919"/>
      <c r="O149" s="919"/>
      <c r="P149" s="919"/>
    </row>
    <row r="150" spans="1:16" ht="15" hidden="1" customHeight="1" x14ac:dyDescent="0.25">
      <c r="A150" s="1371">
        <f>'Расчет ЦП - общая форма'!A150</f>
        <v>109</v>
      </c>
      <c r="B150" s="1376">
        <f>COUNTIFS($C$8:C150,"*ПС*",$L$8:L150,"*закрыт*")</f>
        <v>12</v>
      </c>
      <c r="C150" s="213" t="str">
        <f>'Расчет ЦП - общая форма'!C150</f>
        <v xml:space="preserve">ПС 110/35/10 кВ Холохоленка </v>
      </c>
      <c r="D150" s="230">
        <f>'Расчет ЦП - общая форма'!D150</f>
        <v>6.3</v>
      </c>
      <c r="E150" s="229" t="str">
        <f>'Расчет ЦП - общая форма'!E150</f>
        <v>+</v>
      </c>
      <c r="F150" s="229">
        <f>'Расчет ЦП - общая форма'!F150</f>
        <v>6.3</v>
      </c>
      <c r="G150" s="229">
        <f>'Расчет ЦП - общая форма'!G150</f>
        <v>0</v>
      </c>
      <c r="H150" s="229">
        <f>'Расчет ЦП - общая форма'!H150</f>
        <v>0</v>
      </c>
      <c r="I150" s="172">
        <f>'Расчет ЦП - общая форма'!Q150</f>
        <v>5.0660000000000007</v>
      </c>
      <c r="J150" s="1379">
        <f>'Расчет ЦП - общая форма'!R150</f>
        <v>5.0660000000000007</v>
      </c>
      <c r="K150" s="1362" t="str">
        <f>'Расчет ЦП - общая форма'!S150</f>
        <v/>
      </c>
      <c r="L150" s="257" t="str">
        <f>'Расчет ЦП - общая форма'!T150</f>
        <v/>
      </c>
      <c r="M150" s="1362">
        <f>'Расчет ЦП - общая форма'!U150</f>
        <v>61.073318216175359</v>
      </c>
      <c r="N150" s="919"/>
      <c r="O150" s="919"/>
      <c r="P150" s="919"/>
    </row>
    <row r="151" spans="1:16" ht="15" hidden="1" customHeight="1" x14ac:dyDescent="0.25">
      <c r="A151" s="1371">
        <f>'Расчет ЦП - общая форма'!A151</f>
        <v>0</v>
      </c>
      <c r="B151" s="1393"/>
      <c r="C151" s="213" t="str">
        <f>'Расчет ЦП - общая форма'!C151</f>
        <v xml:space="preserve">Ном. Мощность СН, МВА </v>
      </c>
      <c r="D151" s="230">
        <f>'Расчет ЦП - общая форма'!D151</f>
        <v>6.3</v>
      </c>
      <c r="E151" s="229" t="str">
        <f>'Расчет ЦП - общая форма'!E151</f>
        <v>+</v>
      </c>
      <c r="F151" s="229">
        <f>'Расчет ЦП - общая форма'!F151</f>
        <v>6.3</v>
      </c>
      <c r="G151" s="229">
        <f>'Расчет ЦП - общая форма'!G151</f>
        <v>0</v>
      </c>
      <c r="H151" s="229">
        <f>'Расчет ЦП - общая форма'!H151</f>
        <v>0</v>
      </c>
      <c r="I151" s="172">
        <f>'Расчет ЦП - общая форма'!Q151</f>
        <v>6.6150000000000002</v>
      </c>
      <c r="J151" s="1379">
        <f>'Расчет ЦП - общая форма'!R151</f>
        <v>0</v>
      </c>
      <c r="K151" s="1363" t="str">
        <f>'Расчет ЦП - общая форма'!S151</f>
        <v/>
      </c>
      <c r="L151" s="257" t="str">
        <f>'Расчет ЦП - общая форма'!T151</f>
        <v/>
      </c>
      <c r="M151" s="1363">
        <f>'Расчет ЦП - общая форма'!U151</f>
        <v>0</v>
      </c>
      <c r="N151" s="919"/>
      <c r="O151" s="919"/>
      <c r="P151" s="919"/>
    </row>
    <row r="152" spans="1:16" ht="15" hidden="1" customHeight="1" x14ac:dyDescent="0.25">
      <c r="A152" s="1371">
        <f>'Расчет ЦП - общая форма'!A152</f>
        <v>0</v>
      </c>
      <c r="B152" s="1394"/>
      <c r="C152" s="213" t="str">
        <f>'Расчет ЦП - общая форма'!C152</f>
        <v>Ном. мощность НН, МВА</v>
      </c>
      <c r="D152" s="230">
        <f>'Расчет ЦП - общая форма'!D152</f>
        <v>6.3</v>
      </c>
      <c r="E152" s="229" t="str">
        <f>'Расчет ЦП - общая форма'!E152</f>
        <v>+</v>
      </c>
      <c r="F152" s="229">
        <f>'Расчет ЦП - общая форма'!F152</f>
        <v>6.3</v>
      </c>
      <c r="G152" s="229">
        <f>'Расчет ЦП - общая форма'!G152</f>
        <v>0</v>
      </c>
      <c r="H152" s="229">
        <f>'Расчет ЦП - общая форма'!H152</f>
        <v>0</v>
      </c>
      <c r="I152" s="172">
        <f>'Расчет ЦП - общая форма'!Q152</f>
        <v>5.5650000000000004</v>
      </c>
      <c r="J152" s="1379">
        <f>'Расчет ЦП - общая форма'!R152</f>
        <v>0</v>
      </c>
      <c r="K152" s="1363" t="str">
        <f>'Расчет ЦП - общая форма'!S152</f>
        <v/>
      </c>
      <c r="L152" s="257" t="str">
        <f>'Расчет ЦП - общая форма'!T152</f>
        <v/>
      </c>
      <c r="M152" s="1363">
        <f>'Расчет ЦП - общая форма'!U152</f>
        <v>0</v>
      </c>
      <c r="N152" s="919"/>
      <c r="O152" s="919"/>
      <c r="P152" s="919"/>
    </row>
    <row r="153" spans="1:16" ht="15" hidden="1" customHeight="1" x14ac:dyDescent="0.25">
      <c r="A153" s="1376">
        <f>'Расчет ЦП - общая форма'!A153</f>
        <v>110</v>
      </c>
      <c r="B153" s="1376">
        <f>COUNTIFS($C$8:C153,"*ПС*",$L$8:L153,"*закрыт*")</f>
        <v>12</v>
      </c>
      <c r="C153" s="228" t="str">
        <f>'Расчет ЦП - общая форма'!C153</f>
        <v xml:space="preserve">ПС 110/35/10 кВ Леонтьево </v>
      </c>
      <c r="D153" s="230">
        <f>'Расчет ЦП - общая форма'!D153</f>
        <v>25</v>
      </c>
      <c r="E153" s="229" t="str">
        <f>'Расчет ЦП - общая форма'!E153</f>
        <v>+</v>
      </c>
      <c r="F153" s="229">
        <f>'Расчет ЦП - общая форма'!F153</f>
        <v>25</v>
      </c>
      <c r="G153" s="229">
        <f>'Расчет ЦП - общая форма'!G153</f>
        <v>0</v>
      </c>
      <c r="H153" s="229">
        <f>'Расчет ЦП - общая форма'!H153</f>
        <v>0</v>
      </c>
      <c r="I153" s="172">
        <f>'Расчет ЦП - общая форма'!Q153</f>
        <v>24.015999999999998</v>
      </c>
      <c r="J153" s="1364">
        <f>'Расчет ЦП - общая форма'!R153</f>
        <v>24.015999999999998</v>
      </c>
      <c r="K153" s="1362" t="str">
        <f>'Расчет ЦП - общая форма'!S153</f>
        <v/>
      </c>
      <c r="L153" s="257" t="str">
        <f>'Расчет ЦП - общая форма'!T153</f>
        <v/>
      </c>
      <c r="M153" s="1362">
        <f>'Расчет ЦП - общая форма'!U153</f>
        <v>25.828571428571429</v>
      </c>
      <c r="N153" s="919"/>
      <c r="O153" s="919"/>
      <c r="P153" s="919"/>
    </row>
    <row r="154" spans="1:16" ht="15" hidden="1" customHeight="1" x14ac:dyDescent="0.25">
      <c r="A154" s="1377">
        <f>'Расчет ЦП - общая форма'!A154</f>
        <v>0</v>
      </c>
      <c r="B154" s="1393"/>
      <c r="C154" s="228" t="str">
        <f>'Расчет ЦП - общая форма'!C154</f>
        <v xml:space="preserve">Ном. Мощность СН, МВА </v>
      </c>
      <c r="D154" s="230">
        <f>'Расчет ЦП - общая форма'!D154</f>
        <v>25</v>
      </c>
      <c r="E154" s="229" t="str">
        <f>'Расчет ЦП - общая форма'!E154</f>
        <v>+</v>
      </c>
      <c r="F154" s="229">
        <f>'Расчет ЦП - общая форма'!F154</f>
        <v>25</v>
      </c>
      <c r="G154" s="229">
        <f>'Расчет ЦП - общая форма'!G154</f>
        <v>0</v>
      </c>
      <c r="H154" s="229">
        <f>'Расчет ЦП - общая форма'!H154</f>
        <v>0</v>
      </c>
      <c r="I154" s="172">
        <f>'Расчет ЦП - общая форма'!Q154</f>
        <v>26.25</v>
      </c>
      <c r="J154" s="1365">
        <f>'Расчет ЦП - общая форма'!R154</f>
        <v>0</v>
      </c>
      <c r="K154" s="1363" t="str">
        <f>'Расчет ЦП - общая форма'!S154</f>
        <v/>
      </c>
      <c r="L154" s="257" t="str">
        <f>'Расчет ЦП - общая форма'!T154</f>
        <v/>
      </c>
      <c r="M154" s="1363">
        <f>'Расчет ЦП - общая форма'!U154</f>
        <v>0</v>
      </c>
      <c r="N154" s="919"/>
      <c r="O154" s="919"/>
      <c r="P154" s="919"/>
    </row>
    <row r="155" spans="1:16" ht="15" hidden="1" customHeight="1" x14ac:dyDescent="0.25">
      <c r="A155" s="1378">
        <f>'Расчет ЦП - общая форма'!A155</f>
        <v>0</v>
      </c>
      <c r="B155" s="1394"/>
      <c r="C155" s="228" t="str">
        <f>'Расчет ЦП - общая форма'!C155</f>
        <v>Ном. мощность НН, МВА</v>
      </c>
      <c r="D155" s="230">
        <f>'Расчет ЦП - общая форма'!D155</f>
        <v>25</v>
      </c>
      <c r="E155" s="229" t="str">
        <f>'Расчет ЦП - общая форма'!E155</f>
        <v>+</v>
      </c>
      <c r="F155" s="229">
        <f>'Расчет ЦП - общая форма'!F155</f>
        <v>25</v>
      </c>
      <c r="G155" s="229">
        <f>'Расчет ЦП - общая форма'!G155</f>
        <v>0</v>
      </c>
      <c r="H155" s="229">
        <f>'Расчет ЦП - общая форма'!H155</f>
        <v>0</v>
      </c>
      <c r="I155" s="172">
        <f>'Расчет ЦП - общая форма'!Q155</f>
        <v>26.13</v>
      </c>
      <c r="J155" s="1366">
        <f>'Расчет ЦП - общая форма'!R155</f>
        <v>0</v>
      </c>
      <c r="K155" s="1363" t="str">
        <f>'Расчет ЦП - общая форма'!S155</f>
        <v/>
      </c>
      <c r="L155" s="257" t="str">
        <f>'Расчет ЦП - общая форма'!T155</f>
        <v/>
      </c>
      <c r="M155" s="1363">
        <f>'Расчет ЦП - общая форма'!U155</f>
        <v>0</v>
      </c>
      <c r="N155" s="919"/>
      <c r="O155" s="919"/>
      <c r="P155" s="919"/>
    </row>
    <row r="156" spans="1:16" ht="30" customHeight="1" x14ac:dyDescent="0.25">
      <c r="A156" s="84">
        <f>'Расчет ЦП - общая форма'!A156</f>
        <v>111</v>
      </c>
      <c r="B156" s="213">
        <f>COUNTIFS($C$8:C156,"*ПС*",$L$8:L156,"*закрыт*")</f>
        <v>13</v>
      </c>
      <c r="C156" s="84" t="str">
        <f>'Расчет ЦП - общая форма'!C156</f>
        <v xml:space="preserve">ПС  35/6 кВ Микрорайонная </v>
      </c>
      <c r="D156" s="230">
        <f>'Расчет ЦП - общая форма'!D156</f>
        <v>6.3</v>
      </c>
      <c r="E156" s="229">
        <f>'Расчет ЦП - общая форма'!E156</f>
        <v>0</v>
      </c>
      <c r="F156" s="229">
        <f>'Расчет ЦП - общая форма'!F156</f>
        <v>0</v>
      </c>
      <c r="G156" s="229">
        <f>'Расчет ЦП - общая форма'!G156</f>
        <v>0</v>
      </c>
      <c r="H156" s="229">
        <f>'Расчет ЦП - общая форма'!H156</f>
        <v>0</v>
      </c>
      <c r="I156" s="23">
        <f>'Расчет ЦП - общая форма'!Q156</f>
        <v>-2.02</v>
      </c>
      <c r="J156" s="23">
        <f>'Расчет ЦП - общая форма'!R156</f>
        <v>-2.02</v>
      </c>
      <c r="K156" s="768" t="str">
        <f>'Расчет ЦП - общая форма'!S156</f>
        <v>закрыт</v>
      </c>
      <c r="L156" s="257" t="str">
        <f>'Расчет ЦП - общая форма'!T156</f>
        <v>закрыт</v>
      </c>
      <c r="M156" s="768">
        <f>'Расчет ЦП - общая форма'!U156</f>
        <v>43.6885865457294</v>
      </c>
      <c r="N156" s="924"/>
      <c r="O156" s="924"/>
      <c r="P156" s="924"/>
    </row>
    <row r="157" spans="1:16" ht="15" hidden="1" customHeight="1" x14ac:dyDescent="0.25">
      <c r="A157" s="84">
        <f>'Расчет ЦП - общая форма'!A157</f>
        <v>112</v>
      </c>
      <c r="B157" s="213">
        <f>COUNTIFS($C$8:C157,"*ПС*",$L$8:L157,"*закрыт*")</f>
        <v>13</v>
      </c>
      <c r="C157" s="84" t="str">
        <f>'Расчет ЦП - общая форма'!C157</f>
        <v xml:space="preserve">ПС  35/10 кВ Барыково </v>
      </c>
      <c r="D157" s="230">
        <f>'Расчет ЦП - общая форма'!D157</f>
        <v>2.5</v>
      </c>
      <c r="E157" s="229" t="str">
        <f>'Расчет ЦП - общая форма'!E157</f>
        <v>+</v>
      </c>
      <c r="F157" s="229">
        <f>'Расчет ЦП - общая форма'!F157</f>
        <v>2.5</v>
      </c>
      <c r="G157" s="229">
        <f>'Расчет ЦП - общая форма'!G157</f>
        <v>0</v>
      </c>
      <c r="H157" s="229">
        <f>'Расчет ЦП - общая форма'!H157</f>
        <v>0</v>
      </c>
      <c r="I157" s="23">
        <f>'Расчет ЦП - общая форма'!Q157</f>
        <v>1.5549999999999999</v>
      </c>
      <c r="J157" s="23">
        <f>'Расчет ЦП - общая форма'!R157</f>
        <v>1.5549999999999999</v>
      </c>
      <c r="K157" s="768" t="str">
        <f>'Расчет ЦП - общая форма'!S157</f>
        <v/>
      </c>
      <c r="L157" s="257" t="str">
        <f>'Расчет ЦП - общая форма'!T157</f>
        <v/>
      </c>
      <c r="M157" s="768">
        <f>'Расчет ЦП - общая форма'!U157</f>
        <v>40.761904761904759</v>
      </c>
      <c r="N157" s="919"/>
      <c r="O157" s="919"/>
      <c r="P157" s="919"/>
    </row>
    <row r="158" spans="1:16" ht="15" hidden="1" customHeight="1" x14ac:dyDescent="0.25">
      <c r="A158" s="84">
        <f>'Расчет ЦП - общая форма'!A158</f>
        <v>113</v>
      </c>
      <c r="B158" s="213">
        <f>COUNTIFS($C$8:C158,"*ПС*",$L$8:L158,"*закрыт*")</f>
        <v>13</v>
      </c>
      <c r="C158" s="84" t="str">
        <f>'Расчет ЦП - общая форма'!C158</f>
        <v xml:space="preserve">ПС  35/6 кВ Б.Городок </v>
      </c>
      <c r="D158" s="230">
        <f>'Расчет ЦП - общая форма'!D158</f>
        <v>5.6</v>
      </c>
      <c r="E158" s="229" t="str">
        <f>'Расчет ЦП - общая форма'!E158</f>
        <v>+</v>
      </c>
      <c r="F158" s="229">
        <f>'Расчет ЦП - общая форма'!F158</f>
        <v>6.3</v>
      </c>
      <c r="G158" s="229">
        <f>'Расчет ЦП - общая форма'!G158</f>
        <v>0</v>
      </c>
      <c r="H158" s="229">
        <f>'Расчет ЦП - общая форма'!H158</f>
        <v>0</v>
      </c>
      <c r="I158" s="23">
        <f>'Расчет ЦП - общая форма'!Q158</f>
        <v>2.9099999999999997</v>
      </c>
      <c r="J158" s="23">
        <f>'Расчет ЦП - общая форма'!R158</f>
        <v>2.9099999999999997</v>
      </c>
      <c r="K158" s="768" t="str">
        <f>'Расчет ЦП - общая форма'!S158</f>
        <v/>
      </c>
      <c r="L158" s="257" t="str">
        <f>'Расчет ЦП - общая форма'!T158</f>
        <v/>
      </c>
      <c r="M158" s="768">
        <f>'Расчет ЦП - общая форма'!U158</f>
        <v>50.510204081632651</v>
      </c>
      <c r="N158" s="919"/>
      <c r="O158" s="919"/>
      <c r="P158" s="919"/>
    </row>
    <row r="159" spans="1:16" ht="15" hidden="1" customHeight="1" x14ac:dyDescent="0.25">
      <c r="A159" s="84">
        <f>'Расчет ЦП - общая форма'!A159</f>
        <v>114</v>
      </c>
      <c r="B159" s="213">
        <f>COUNTIFS($C$8:C159,"*ПС*",$L$8:L159,"*закрыт*")</f>
        <v>13</v>
      </c>
      <c r="C159" s="84" t="str">
        <f>'Расчет ЦП - общая форма'!C159</f>
        <v xml:space="preserve">ПС 35/10 кВ Вега </v>
      </c>
      <c r="D159" s="230">
        <f>'Расчет ЦП - общая форма'!D159</f>
        <v>2.5</v>
      </c>
      <c r="E159" s="229" t="str">
        <f>'Расчет ЦП - общая форма'!E159</f>
        <v>+</v>
      </c>
      <c r="F159" s="229">
        <f>'Расчет ЦП - общая форма'!F159</f>
        <v>2.5</v>
      </c>
      <c r="G159" s="229">
        <f>'Расчет ЦП - общая форма'!G159</f>
        <v>0</v>
      </c>
      <c r="H159" s="229">
        <f>'Расчет ЦП - общая форма'!H159</f>
        <v>0</v>
      </c>
      <c r="I159" s="23">
        <f>'Расчет ЦП - общая форма'!Q159</f>
        <v>1.7749999999999999</v>
      </c>
      <c r="J159" s="23">
        <f>'Расчет ЦП - общая форма'!R159</f>
        <v>1.7749999999999999</v>
      </c>
      <c r="K159" s="768" t="str">
        <f>'Расчет ЦП - общая форма'!S159</f>
        <v/>
      </c>
      <c r="L159" s="257" t="str">
        <f>'Расчет ЦП - общая форма'!T159</f>
        <v/>
      </c>
      <c r="M159" s="768">
        <f>'Расчет ЦП - общая форма'!U159</f>
        <v>32.38095238095238</v>
      </c>
      <c r="N159" s="919"/>
      <c r="O159" s="919"/>
      <c r="P159" s="919"/>
    </row>
    <row r="160" spans="1:16" ht="15" hidden="1" customHeight="1" x14ac:dyDescent="0.25">
      <c r="A160" s="84">
        <f>'Расчет ЦП - общая форма'!A160</f>
        <v>115</v>
      </c>
      <c r="B160" s="213">
        <f>COUNTIFS($C$8:C160,"*ПС*",$L$8:L160,"*закрыт*")</f>
        <v>13</v>
      </c>
      <c r="C160" s="84" t="str">
        <f>'Расчет ЦП - общая форма'!C160</f>
        <v xml:space="preserve"> ПС 35/10 кВ Волга </v>
      </c>
      <c r="D160" s="230">
        <f>'Расчет ЦП - общая форма'!D160</f>
        <v>6.3</v>
      </c>
      <c r="E160" s="229" t="str">
        <f>'Расчет ЦП - общая форма'!E160</f>
        <v>+</v>
      </c>
      <c r="F160" s="229">
        <f>'Расчет ЦП - общая форма'!F160</f>
        <v>6.3</v>
      </c>
      <c r="G160" s="229">
        <f>'Расчет ЦП - общая форма'!G160</f>
        <v>0</v>
      </c>
      <c r="H160" s="229">
        <f>'Расчет ЦП - общая форма'!H160</f>
        <v>0</v>
      </c>
      <c r="I160" s="23">
        <f>'Расчет ЦП - общая форма'!Q160</f>
        <v>1.0350000000000001</v>
      </c>
      <c r="J160" s="23">
        <f>'Расчет ЦП - общая форма'!R160</f>
        <v>1.0350000000000001</v>
      </c>
      <c r="K160" s="768" t="str">
        <f>'Расчет ЦП - общая форма'!S160</f>
        <v/>
      </c>
      <c r="L160" s="257" t="str">
        <f>'Расчет ЦП - общая форма'!T160</f>
        <v/>
      </c>
      <c r="M160" s="768">
        <f>'Расчет ЦП - общая форма'!U160</f>
        <v>84.35374149659863</v>
      </c>
      <c r="N160" s="919"/>
      <c r="O160" s="919"/>
      <c r="P160" s="919"/>
    </row>
    <row r="161" spans="1:16" s="232" customFormat="1" ht="15" hidden="1" customHeight="1" x14ac:dyDescent="0.25">
      <c r="A161" s="84">
        <f>'Расчет ЦП - общая форма'!A161</f>
        <v>116</v>
      </c>
      <c r="B161" s="213">
        <f>COUNTIFS($C$8:C161,"*ПС*",$L$8:L161,"*закрыт*")</f>
        <v>13</v>
      </c>
      <c r="C161" s="84" t="str">
        <f>'Расчет ЦП - общая форма'!C161</f>
        <v xml:space="preserve">ПС 35/10 кВ Ильинское </v>
      </c>
      <c r="D161" s="230">
        <f>'Расчет ЦП - общая форма'!D161</f>
        <v>4</v>
      </c>
      <c r="E161" s="229" t="str">
        <f>'Расчет ЦП - общая форма'!E161</f>
        <v>+</v>
      </c>
      <c r="F161" s="229">
        <f>'Расчет ЦП - общая форма'!F161</f>
        <v>2.5</v>
      </c>
      <c r="G161" s="229">
        <f>'Расчет ЦП - общая форма'!G161</f>
        <v>0</v>
      </c>
      <c r="H161" s="229">
        <f>'Расчет ЦП - общая форма'!H161</f>
        <v>0</v>
      </c>
      <c r="I161" s="23">
        <f>'Расчет ЦП - общая форма'!Q161</f>
        <v>0.625</v>
      </c>
      <c r="J161" s="23">
        <f>'Расчет ЦП - общая форма'!R161</f>
        <v>0.625</v>
      </c>
      <c r="K161" s="768" t="str">
        <f>'Расчет ЦП - общая форма'!S161</f>
        <v/>
      </c>
      <c r="L161" s="257" t="str">
        <f>'Расчет ЦП - общая форма'!T161</f>
        <v/>
      </c>
      <c r="M161" s="768">
        <f>'Расчет ЦП - общая форма'!U161</f>
        <v>76.19047619047619</v>
      </c>
      <c r="N161" s="919"/>
      <c r="O161" s="919"/>
      <c r="P161" s="919"/>
    </row>
    <row r="162" spans="1:16" ht="20.100000000000001" hidden="1" customHeight="1" x14ac:dyDescent="0.25">
      <c r="A162" s="84">
        <f>'Расчет ЦП - общая форма'!A162</f>
        <v>117</v>
      </c>
      <c r="B162" s="213">
        <f>COUNTIFS($C$8:C162,"*ПС*",$L$8:L162,"*закрыт*")</f>
        <v>13</v>
      </c>
      <c r="C162" s="84" t="str">
        <f>'Расчет ЦП - общая форма'!C162</f>
        <v xml:space="preserve">ПС  35/10 кВ Калязин </v>
      </c>
      <c r="D162" s="230">
        <f>'Расчет ЦП - общая форма'!D162</f>
        <v>6.3</v>
      </c>
      <c r="E162" s="229" t="str">
        <f>'Расчет ЦП - общая форма'!E162</f>
        <v>+</v>
      </c>
      <c r="F162" s="229">
        <f>'Расчет ЦП - общая форма'!F162</f>
        <v>6.3</v>
      </c>
      <c r="G162" s="229">
        <f>'Расчет ЦП - общая форма'!G162</f>
        <v>0</v>
      </c>
      <c r="H162" s="229">
        <f>'Расчет ЦП - общая форма'!H162</f>
        <v>0</v>
      </c>
      <c r="I162" s="23">
        <f>'Расчет ЦП - общая форма'!Q162</f>
        <v>1.415</v>
      </c>
      <c r="J162" s="23">
        <f>'Расчет ЦП - общая форма'!R162</f>
        <v>1.415</v>
      </c>
      <c r="K162" s="768" t="str">
        <f>'Расчет ЦП - общая форма'!S162</f>
        <v/>
      </c>
      <c r="L162" s="257" t="str">
        <f>'Расчет ЦП - общая форма'!T162</f>
        <v/>
      </c>
      <c r="M162" s="768">
        <f>'Расчет ЦП - общая форма'!U162</f>
        <v>78.609221466364318</v>
      </c>
      <c r="N162" s="919"/>
      <c r="O162" s="919"/>
      <c r="P162" s="919"/>
    </row>
    <row r="163" spans="1:16" s="232" customFormat="1" ht="30" hidden="1" customHeight="1" x14ac:dyDescent="0.25">
      <c r="A163" s="84">
        <f>'Расчет ЦП - общая форма'!A163</f>
        <v>118</v>
      </c>
      <c r="B163" s="213">
        <f>COUNTIFS($C$8:C163,"*ПС*",$L$8:L163,"*закрыт*")</f>
        <v>13</v>
      </c>
      <c r="C163" s="84" t="str">
        <f>'Расчет ЦП - общая форма'!C163</f>
        <v xml:space="preserve">ПС 35/10 кВ Кимры </v>
      </c>
      <c r="D163" s="230">
        <f>'Расчет ЦП - общая форма'!D163</f>
        <v>16</v>
      </c>
      <c r="E163" s="229" t="str">
        <f>'Расчет ЦП - общая форма'!E163</f>
        <v>+</v>
      </c>
      <c r="F163" s="229">
        <f>'Расчет ЦП - общая форма'!F163</f>
        <v>16</v>
      </c>
      <c r="G163" s="229">
        <f>'Расчет ЦП - общая форма'!G163</f>
        <v>0</v>
      </c>
      <c r="H163" s="229">
        <f>'Расчет ЦП - общая форма'!H163</f>
        <v>0</v>
      </c>
      <c r="I163" s="23">
        <f>'Расчет ЦП - общая форма'!Q163</f>
        <v>8.4300000000000015</v>
      </c>
      <c r="J163" s="23">
        <f>'Расчет ЦП - общая форма'!R163</f>
        <v>8.4300000000000015</v>
      </c>
      <c r="K163" s="768" t="str">
        <f>'Расчет ЦП - общая форма'!S163</f>
        <v/>
      </c>
      <c r="L163" s="257" t="str">
        <f>'Расчет ЦП - общая форма'!T163</f>
        <v/>
      </c>
      <c r="M163" s="768">
        <f>'Расчет ЦП - общая форма'!U163</f>
        <v>49.821428571428562</v>
      </c>
      <c r="N163" s="919"/>
      <c r="O163" s="919"/>
      <c r="P163" s="919"/>
    </row>
    <row r="164" spans="1:16" s="232" customFormat="1" ht="15" hidden="1" customHeight="1" x14ac:dyDescent="0.25">
      <c r="A164" s="84">
        <f>'Расчет ЦП - общая форма'!A164</f>
        <v>119</v>
      </c>
      <c r="B164" s="213">
        <f>COUNTIFS($C$8:C164,"*ПС*",$L$8:L164,"*закрыт*")</f>
        <v>13</v>
      </c>
      <c r="C164" s="84" t="str">
        <f>'Расчет ЦП - общая форма'!C164</f>
        <v xml:space="preserve"> ПС 35/10 кВ Козьмодемьяновская </v>
      </c>
      <c r="D164" s="230">
        <f>'Расчет ЦП - общая форма'!D164</f>
        <v>2.5</v>
      </c>
      <c r="E164" s="229" t="str">
        <f>'Расчет ЦП - общая форма'!E164</f>
        <v>+</v>
      </c>
      <c r="F164" s="229">
        <f>'Расчет ЦП - общая форма'!F164</f>
        <v>2.5</v>
      </c>
      <c r="G164" s="229">
        <f>'Расчет ЦП - общая форма'!G164</f>
        <v>0</v>
      </c>
      <c r="H164" s="229">
        <f>'Расчет ЦП - общая форма'!H164</f>
        <v>0</v>
      </c>
      <c r="I164" s="23">
        <f>'Расчет ЦП - общая форма'!Q164</f>
        <v>2.165</v>
      </c>
      <c r="J164" s="23">
        <f>'Расчет ЦП - общая форма'!R164</f>
        <v>2.165</v>
      </c>
      <c r="K164" s="768" t="str">
        <f>'Расчет ЦП - общая форма'!S164</f>
        <v/>
      </c>
      <c r="L164" s="257" t="str">
        <f>'Расчет ЦП - общая форма'!T164</f>
        <v/>
      </c>
      <c r="M164" s="768">
        <f>'Расчет ЦП - общая форма'!U164</f>
        <v>17.523809523809526</v>
      </c>
      <c r="N164" s="919"/>
      <c r="O164" s="919"/>
      <c r="P164" s="919"/>
    </row>
    <row r="165" spans="1:16" s="232" customFormat="1" ht="15" hidden="1" customHeight="1" x14ac:dyDescent="0.25">
      <c r="A165" s="84">
        <f>'Расчет ЦП - общая форма'!A165</f>
        <v>120</v>
      </c>
      <c r="B165" s="213">
        <f>COUNTIFS($C$8:C165,"*ПС*",$L$8:L165,"*закрыт*")</f>
        <v>13</v>
      </c>
      <c r="C165" s="84" t="str">
        <f>'Расчет ЦП - общая форма'!C165</f>
        <v xml:space="preserve">ПС  35/10 кВ Курортная </v>
      </c>
      <c r="D165" s="230">
        <f>'Расчет ЦП - общая форма'!D165</f>
        <v>4</v>
      </c>
      <c r="E165" s="229" t="str">
        <f>'Расчет ЦП - общая форма'!E165</f>
        <v>+</v>
      </c>
      <c r="F165" s="229">
        <f>'Расчет ЦП - общая форма'!F165</f>
        <v>4</v>
      </c>
      <c r="G165" s="229">
        <f>'Расчет ЦП - общая форма'!G165</f>
        <v>0</v>
      </c>
      <c r="H165" s="229">
        <f>'Расчет ЦП - общая форма'!H165</f>
        <v>0</v>
      </c>
      <c r="I165" s="23">
        <f>'Расчет ЦП - общая форма'!Q165</f>
        <v>0.88000000000000034</v>
      </c>
      <c r="J165" s="23">
        <f>'Расчет ЦП - общая форма'!R165</f>
        <v>0.88000000000000034</v>
      </c>
      <c r="K165" s="768" t="str">
        <f>'Расчет ЦП - общая форма'!S165</f>
        <v/>
      </c>
      <c r="L165" s="257" t="str">
        <f>'Расчет ЦП - общая форма'!T165</f>
        <v/>
      </c>
      <c r="M165" s="768">
        <f>'Расчет ЦП - общая форма'!U165</f>
        <v>79.047619047619051</v>
      </c>
      <c r="N165" s="919"/>
      <c r="O165" s="919"/>
      <c r="P165" s="919"/>
    </row>
    <row r="166" spans="1:16" s="232" customFormat="1" ht="15" hidden="1" customHeight="1" x14ac:dyDescent="0.25">
      <c r="A166" s="84">
        <f>'Расчет ЦП - общая форма'!A166</f>
        <v>121</v>
      </c>
      <c r="B166" s="213">
        <f>COUNTIFS($C$8:C166,"*ПС*",$L$8:L166,"*закрыт*")</f>
        <v>13</v>
      </c>
      <c r="C166" s="84" t="str">
        <f>'Расчет ЦП - общая форма'!C166</f>
        <v xml:space="preserve"> ПС 35/10 кВ Маяк </v>
      </c>
      <c r="D166" s="230">
        <f>'Расчет ЦП - общая форма'!D166</f>
        <v>6.3</v>
      </c>
      <c r="E166" s="229" t="str">
        <f>'Расчет ЦП - общая форма'!E166</f>
        <v>+</v>
      </c>
      <c r="F166" s="229">
        <f>'Расчет ЦП - общая форма'!F166</f>
        <v>6.3</v>
      </c>
      <c r="G166" s="229">
        <f>'Расчет ЦП - общая форма'!G166</f>
        <v>0</v>
      </c>
      <c r="H166" s="229">
        <f>'Расчет ЦП - общая форма'!H166</f>
        <v>0</v>
      </c>
      <c r="I166" s="23">
        <f>'Расчет ЦП - общая форма'!Q166</f>
        <v>0.73500000000000032</v>
      </c>
      <c r="J166" s="23">
        <f>'Расчет ЦП - общая форма'!R166</f>
        <v>0.73500000000000032</v>
      </c>
      <c r="K166" s="768" t="str">
        <f>'Расчет ЦП - общая форма'!S166</f>
        <v/>
      </c>
      <c r="L166" s="257" t="str">
        <f>'Расчет ЦП - общая форма'!T166</f>
        <v/>
      </c>
      <c r="M166" s="768">
        <f>'Расчет ЦП - общая форма'!U166</f>
        <v>88.888888888888886</v>
      </c>
      <c r="N166" s="919"/>
      <c r="O166" s="919"/>
      <c r="P166" s="919"/>
    </row>
    <row r="167" spans="1:16" s="232" customFormat="1" ht="15" hidden="1" customHeight="1" x14ac:dyDescent="0.25">
      <c r="A167" s="84">
        <f>'Расчет ЦП - общая форма'!A167</f>
        <v>122</v>
      </c>
      <c r="B167" s="213">
        <f>COUNTIFS($C$8:C167,"*ПС*",$L$8:L167,"*закрыт*")</f>
        <v>13</v>
      </c>
      <c r="C167" s="84" t="str">
        <f>'Расчет ЦП - общая форма'!C167</f>
        <v xml:space="preserve"> ПС 35/10 кВ Микрорайонная </v>
      </c>
      <c r="D167" s="230">
        <f>'Расчет ЦП - общая форма'!D167</f>
        <v>4</v>
      </c>
      <c r="E167" s="229" t="str">
        <f>'Расчет ЦП - общая форма'!E167</f>
        <v>+</v>
      </c>
      <c r="F167" s="229">
        <f>'Расчет ЦП - общая форма'!F167</f>
        <v>4</v>
      </c>
      <c r="G167" s="229">
        <f>'Расчет ЦП - общая форма'!G167</f>
        <v>0</v>
      </c>
      <c r="H167" s="229">
        <f>'Расчет ЦП - общая форма'!H167</f>
        <v>0</v>
      </c>
      <c r="I167" s="23">
        <f>'Расчет ЦП - общая форма'!Q167</f>
        <v>0.74000000000000021</v>
      </c>
      <c r="J167" s="23">
        <f>'Расчет ЦП - общая форма'!R167</f>
        <v>0.74000000000000021</v>
      </c>
      <c r="K167" s="768" t="str">
        <f>'Расчет ЦП - общая форма'!S167</f>
        <v/>
      </c>
      <c r="L167" s="257" t="str">
        <f>'Расчет ЦП - общая форма'!T167</f>
        <v/>
      </c>
      <c r="M167" s="768">
        <f>'Расчет ЦП - общая форма'!U167</f>
        <v>82.38095238095238</v>
      </c>
      <c r="N167" s="919"/>
      <c r="O167" s="919"/>
      <c r="P167" s="919"/>
    </row>
    <row r="168" spans="1:16" s="232" customFormat="1" ht="15" hidden="1" customHeight="1" x14ac:dyDescent="0.25">
      <c r="A168" s="84">
        <f>'Расчет ЦП - общая форма'!A168</f>
        <v>123</v>
      </c>
      <c r="B168" s="213">
        <f>COUNTIFS($C$8:C168,"*ПС*",$L$8:L168,"*закрыт*")</f>
        <v>13</v>
      </c>
      <c r="C168" s="84" t="str">
        <f>'Расчет ЦП - общая форма'!C168</f>
        <v>ПС 35/10 кВ Нагорское</v>
      </c>
      <c r="D168" s="230">
        <f>'Расчет ЦП - общая форма'!D168</f>
        <v>2.5</v>
      </c>
      <c r="E168" s="229" t="str">
        <f>'Расчет ЦП - общая форма'!E168</f>
        <v>+</v>
      </c>
      <c r="F168" s="229">
        <f>'Расчет ЦП - общая форма'!F168</f>
        <v>1.8</v>
      </c>
      <c r="G168" s="229">
        <f>'Расчет ЦП - общая форма'!G168</f>
        <v>0</v>
      </c>
      <c r="H168" s="229">
        <f>'Расчет ЦП - общая форма'!H168</f>
        <v>0</v>
      </c>
      <c r="I168" s="23">
        <f>'Расчет ЦП - общая форма'!Q168</f>
        <v>1.2200000000000002</v>
      </c>
      <c r="J168" s="23">
        <f>'Расчет ЦП - общая форма'!R168</f>
        <v>1.2200000000000002</v>
      </c>
      <c r="K168" s="768" t="str">
        <f>'Расчет ЦП - общая форма'!S168</f>
        <v/>
      </c>
      <c r="L168" s="257" t="str">
        <f>'Расчет ЦП - общая форма'!T168</f>
        <v/>
      </c>
      <c r="M168" s="768">
        <f>'Расчет ЦП - общая форма'!U168</f>
        <v>35.449735449735449</v>
      </c>
      <c r="N168" s="919"/>
      <c r="O168" s="919"/>
      <c r="P168" s="919"/>
    </row>
    <row r="169" spans="1:16" ht="20.100000000000001" hidden="1" customHeight="1" x14ac:dyDescent="0.25">
      <c r="A169" s="84">
        <f>'Расчет ЦП - общая форма'!A169</f>
        <v>124</v>
      </c>
      <c r="B169" s="213">
        <f>COUNTIFS($C$8:C169,"*ПС*",$L$8:L169,"*закрыт*")</f>
        <v>13</v>
      </c>
      <c r="C169" s="84" t="str">
        <f>'Расчет ЦП - общая форма'!C169</f>
        <v>ПС 35/10 кВ Неклюдово</v>
      </c>
      <c r="D169" s="230">
        <f>'Расчет ЦП - общая форма'!D169</f>
        <v>1.6</v>
      </c>
      <c r="E169" s="229" t="str">
        <f>'Расчет ЦП - общая форма'!E169</f>
        <v>+</v>
      </c>
      <c r="F169" s="229">
        <f>'Расчет ЦП - общая форма'!F169</f>
        <v>1.6</v>
      </c>
      <c r="G169" s="229">
        <f>'Расчет ЦП - общая форма'!G169</f>
        <v>0</v>
      </c>
      <c r="H169" s="229">
        <f>'Расчет ЦП - общая форма'!H169</f>
        <v>0</v>
      </c>
      <c r="I169" s="23">
        <f>'Расчет ЦП - общая форма'!Q169</f>
        <v>0.18000000000000016</v>
      </c>
      <c r="J169" s="23">
        <f>'Расчет ЦП - общая форма'!R169</f>
        <v>0.18000000000000016</v>
      </c>
      <c r="K169" s="768" t="str">
        <f>'Расчет ЦП - общая форма'!S169</f>
        <v/>
      </c>
      <c r="L169" s="257" t="str">
        <f>'Расчет ЦП - общая форма'!T169</f>
        <v/>
      </c>
      <c r="M169" s="768">
        <f>'Расчет ЦП - общая форма'!U169</f>
        <v>89.285714285714278</v>
      </c>
      <c r="N169" s="919"/>
      <c r="O169" s="919"/>
      <c r="P169" s="919"/>
    </row>
    <row r="170" spans="1:16" s="232" customFormat="1" ht="15" hidden="1" customHeight="1" x14ac:dyDescent="0.25">
      <c r="A170" s="84">
        <f>'Расчет ЦП - общая форма'!A170</f>
        <v>125</v>
      </c>
      <c r="B170" s="213">
        <f>COUNTIFS($C$8:C170,"*ПС*",$L$8:L170,"*закрыт*")</f>
        <v>13</v>
      </c>
      <c r="C170" s="84" t="str">
        <f>'Расчет ЦП - общая форма'!C170</f>
        <v>ПС 35/10 кВ Нерль</v>
      </c>
      <c r="D170" s="230">
        <f>'Расчет ЦП - общая форма'!D170</f>
        <v>4</v>
      </c>
      <c r="E170" s="229" t="str">
        <f>'Расчет ЦП - общая форма'!E170</f>
        <v>+</v>
      </c>
      <c r="F170" s="229">
        <f>'Расчет ЦП - общая форма'!F170</f>
        <v>2.5</v>
      </c>
      <c r="G170" s="229">
        <f>'Расчет ЦП - общая форма'!G170</f>
        <v>0</v>
      </c>
      <c r="H170" s="229">
        <f>'Расчет ЦП - общая форма'!H170</f>
        <v>0</v>
      </c>
      <c r="I170" s="23">
        <f>'Расчет ЦП - общая форма'!Q170</f>
        <v>1.105</v>
      </c>
      <c r="J170" s="23">
        <f>'Расчет ЦП - общая форма'!R170</f>
        <v>1.105</v>
      </c>
      <c r="K170" s="768" t="str">
        <f>'Расчет ЦП - общая форма'!S170</f>
        <v/>
      </c>
      <c r="L170" s="257" t="str">
        <f>'Расчет ЦП - общая форма'!T170</f>
        <v/>
      </c>
      <c r="M170" s="768">
        <f>'Расчет ЦП - общая форма'!U170</f>
        <v>57.904761904761905</v>
      </c>
      <c r="N170" s="919"/>
      <c r="O170" s="919"/>
      <c r="P170" s="919"/>
    </row>
    <row r="171" spans="1:16" s="232" customFormat="1" ht="15" hidden="1" customHeight="1" x14ac:dyDescent="0.25">
      <c r="A171" s="84">
        <f>'Расчет ЦП - общая форма'!A171</f>
        <v>126</v>
      </c>
      <c r="B171" s="213">
        <f>COUNTIFS($C$8:C171,"*ПС*",$L$8:L171,"*закрыт*")</f>
        <v>13</v>
      </c>
      <c r="C171" s="84" t="str">
        <f>'Расчет ЦП - общая форма'!C171</f>
        <v xml:space="preserve">ПС 35/10 кВ Плутково  </v>
      </c>
      <c r="D171" s="230">
        <f>'Расчет ЦП - общая форма'!D171</f>
        <v>2.5</v>
      </c>
      <c r="E171" s="229" t="str">
        <f>'Расчет ЦП - общая форма'!E171</f>
        <v>+</v>
      </c>
      <c r="F171" s="229">
        <f>'Расчет ЦП - общая форма'!F171</f>
        <v>2.5</v>
      </c>
      <c r="G171" s="229">
        <f>'Расчет ЦП - общая форма'!G171</f>
        <v>0</v>
      </c>
      <c r="H171" s="229">
        <f>'Расчет ЦП - общая форма'!H171</f>
        <v>0</v>
      </c>
      <c r="I171" s="23">
        <f>'Расчет ЦП - общая форма'!Q171</f>
        <v>8.4999999999999964E-2</v>
      </c>
      <c r="J171" s="23">
        <f>'Расчет ЦП - общая форма'!R171</f>
        <v>8.4999999999999964E-2</v>
      </c>
      <c r="K171" s="768" t="str">
        <f>'Расчет ЦП - общая форма'!S171</f>
        <v/>
      </c>
      <c r="L171" s="257" t="str">
        <f>'Расчет ЦП - общая форма'!T171</f>
        <v/>
      </c>
      <c r="M171" s="768">
        <f>'Расчет ЦП - общая форма'!U171</f>
        <v>96.761904761904759</v>
      </c>
      <c r="N171" s="919"/>
      <c r="O171" s="919"/>
      <c r="P171" s="919"/>
    </row>
    <row r="172" spans="1:16" s="232" customFormat="1" ht="15" hidden="1" customHeight="1" x14ac:dyDescent="0.25">
      <c r="A172" s="84">
        <f>'Расчет ЦП - общая форма'!A172</f>
        <v>127</v>
      </c>
      <c r="B172" s="213">
        <f>COUNTIFS($C$8:C172,"*ПС*",$L$8:L172,"*закрыт*")</f>
        <v>13</v>
      </c>
      <c r="C172" s="84" t="str">
        <f>'Расчет ЦП - общая форма'!C172</f>
        <v xml:space="preserve">ПС 35/10 кВ Савцино </v>
      </c>
      <c r="D172" s="230">
        <f>'Расчет ЦП - общая форма'!D172</f>
        <v>2.5</v>
      </c>
      <c r="E172" s="229" t="str">
        <f>'Расчет ЦП - общая форма'!E172</f>
        <v>+</v>
      </c>
      <c r="F172" s="229">
        <f>'Расчет ЦП - общая форма'!F172</f>
        <v>2.5</v>
      </c>
      <c r="G172" s="229">
        <f>'Расчет ЦП - общая форма'!G172</f>
        <v>0</v>
      </c>
      <c r="H172" s="229">
        <f>'Расчет ЦП - общая форма'!H172</f>
        <v>0</v>
      </c>
      <c r="I172" s="23">
        <f>'Расчет ЦП - общая форма'!Q172</f>
        <v>2.3650000000000002</v>
      </c>
      <c r="J172" s="23">
        <f>'Расчет ЦП - общая форма'!R172</f>
        <v>2.3650000000000002</v>
      </c>
      <c r="K172" s="768" t="str">
        <f>'Расчет ЦП - общая форма'!S172</f>
        <v/>
      </c>
      <c r="L172" s="257" t="str">
        <f>'Расчет ЦП - общая форма'!T172</f>
        <v/>
      </c>
      <c r="M172" s="768">
        <f>'Расчет ЦП - общая форма'!U172</f>
        <v>9.9047619047619051</v>
      </c>
      <c r="N172" s="919"/>
      <c r="O172" s="919"/>
      <c r="P172" s="919"/>
    </row>
    <row r="173" spans="1:16" s="232" customFormat="1" ht="15" hidden="1" customHeight="1" x14ac:dyDescent="0.25">
      <c r="A173" s="84">
        <f>'Расчет ЦП - общая форма'!A173</f>
        <v>128</v>
      </c>
      <c r="B173" s="213">
        <f>COUNTIFS($C$8:C173,"*ПС*",$L$8:L173,"*закрыт*")</f>
        <v>13</v>
      </c>
      <c r="C173" s="84" t="str">
        <f>'Расчет ЦП - общая форма'!C173</f>
        <v xml:space="preserve">ПС 35/10 кВ Сотское </v>
      </c>
      <c r="D173" s="230">
        <f>'Расчет ЦП - общая форма'!D173</f>
        <v>1.6</v>
      </c>
      <c r="E173" s="229" t="str">
        <f>'Расчет ЦП - общая форма'!E173</f>
        <v>+</v>
      </c>
      <c r="F173" s="229">
        <f>'Расчет ЦП - общая форма'!F173</f>
        <v>2.5</v>
      </c>
      <c r="G173" s="229">
        <f>'Расчет ЦП - общая форма'!G173</f>
        <v>0</v>
      </c>
      <c r="H173" s="229">
        <f>'Расчет ЦП - общая форма'!H173</f>
        <v>0</v>
      </c>
      <c r="I173" s="23">
        <f>'Расчет ЦП - общая форма'!Q173</f>
        <v>1.2500000000000002</v>
      </c>
      <c r="J173" s="23">
        <f>'Расчет ЦП - общая форма'!R173</f>
        <v>1.2500000000000002</v>
      </c>
      <c r="K173" s="768" t="str">
        <f>'Расчет ЦП - общая форма'!S173</f>
        <v/>
      </c>
      <c r="L173" s="257" t="str">
        <f>'Расчет ЦП - общая форма'!T173</f>
        <v/>
      </c>
      <c r="M173" s="768">
        <f>'Расчет ЦП - общая форма'!U173</f>
        <v>25.595238095238091</v>
      </c>
      <c r="N173" s="919"/>
      <c r="O173" s="919"/>
      <c r="P173" s="919"/>
    </row>
    <row r="174" spans="1:16" s="232" customFormat="1" ht="15" hidden="1" customHeight="1" x14ac:dyDescent="0.25">
      <c r="A174" s="84">
        <f>'Расчет ЦП - общая форма'!A174</f>
        <v>129</v>
      </c>
      <c r="B174" s="213">
        <f>COUNTIFS($C$8:C174,"*ПС*",$L$8:L174,"*закрыт*")</f>
        <v>13</v>
      </c>
      <c r="C174" s="84" t="str">
        <f>'Расчет ЦП - общая форма'!C174</f>
        <v xml:space="preserve">ПС 35/10 кВ Стоянцы </v>
      </c>
      <c r="D174" s="230">
        <f>'Расчет ЦП - общая форма'!D174</f>
        <v>2.5</v>
      </c>
      <c r="E174" s="229" t="str">
        <f>'Расчет ЦП - общая форма'!E174</f>
        <v>+</v>
      </c>
      <c r="F174" s="229">
        <f>'Расчет ЦП - общая форма'!F174</f>
        <v>2.5</v>
      </c>
      <c r="G174" s="229">
        <f>'Расчет ЦП - общая форма'!G174</f>
        <v>0</v>
      </c>
      <c r="H174" s="229">
        <f>'Расчет ЦП - общая форма'!H174</f>
        <v>0</v>
      </c>
      <c r="I174" s="23">
        <f>'Расчет ЦП - общая форма'!Q174</f>
        <v>2.3050000000000002</v>
      </c>
      <c r="J174" s="23">
        <f>'Расчет ЦП - общая форма'!R174</f>
        <v>2.3050000000000002</v>
      </c>
      <c r="K174" s="768" t="str">
        <f>'Расчет ЦП - общая форма'!S174</f>
        <v/>
      </c>
      <c r="L174" s="257" t="str">
        <f>'Расчет ЦП - общая форма'!T174</f>
        <v/>
      </c>
      <c r="M174" s="768">
        <f>'Расчет ЦП - общая форма'!U174</f>
        <v>12.19047619047619</v>
      </c>
      <c r="N174" s="919"/>
      <c r="O174" s="919"/>
      <c r="P174" s="919"/>
    </row>
    <row r="175" spans="1:16" ht="20.100000000000001" hidden="1" customHeight="1" x14ac:dyDescent="0.25">
      <c r="A175" s="84">
        <f>'Расчет ЦП - общая форма'!A175</f>
        <v>130</v>
      </c>
      <c r="B175" s="213">
        <f>COUNTIFS($C$8:C175,"*ПС*",$L$8:L175,"*закрыт*")</f>
        <v>13</v>
      </c>
      <c r="C175" s="84" t="str">
        <f>'Расчет ЦП - общая форма'!C175</f>
        <v xml:space="preserve">ПС 35/10 кВ Уланово </v>
      </c>
      <c r="D175" s="230">
        <f>'Расчет ЦП - общая форма'!D175</f>
        <v>1.6</v>
      </c>
      <c r="E175" s="229" t="str">
        <f>'Расчет ЦП - общая форма'!E175</f>
        <v>+</v>
      </c>
      <c r="F175" s="229">
        <f>'Расчет ЦП - общая форма'!F175</f>
        <v>1.6</v>
      </c>
      <c r="G175" s="229">
        <f>'Расчет ЦП - общая форма'!G175</f>
        <v>0</v>
      </c>
      <c r="H175" s="229">
        <f>'Расчет ЦП - общая форма'!H175</f>
        <v>0</v>
      </c>
      <c r="I175" s="23">
        <f>'Расчет ЦП - общая форма'!Q175</f>
        <v>0.2200000000000002</v>
      </c>
      <c r="J175" s="23">
        <f>'Расчет ЦП - общая форма'!R175</f>
        <v>0.2200000000000002</v>
      </c>
      <c r="K175" s="768" t="str">
        <f>'Расчет ЦП - общая форма'!S175</f>
        <v/>
      </c>
      <c r="L175" s="257" t="str">
        <f>'Расчет ЦП - общая форма'!T175</f>
        <v/>
      </c>
      <c r="M175" s="768">
        <f>'Расчет ЦП - общая форма'!U175</f>
        <v>86.904761904761898</v>
      </c>
      <c r="N175" s="919"/>
      <c r="O175" s="919"/>
      <c r="P175" s="919"/>
    </row>
    <row r="176" spans="1:16" s="232" customFormat="1" ht="15" hidden="1" customHeight="1" x14ac:dyDescent="0.25">
      <c r="A176" s="84">
        <f>'Расчет ЦП - общая форма'!A176</f>
        <v>131</v>
      </c>
      <c r="B176" s="213">
        <f>COUNTIFS($C$8:C176,"*ПС*",$L$8:L176,"*закрыт*")</f>
        <v>13</v>
      </c>
      <c r="C176" s="84" t="str">
        <f>'Расчет ЦП - общая форма'!C176</f>
        <v xml:space="preserve">ПС 35/10 кВ Уницы </v>
      </c>
      <c r="D176" s="230">
        <f>'Расчет ЦП - общая форма'!D176</f>
        <v>4</v>
      </c>
      <c r="E176" s="229" t="str">
        <f>'Расчет ЦП - общая форма'!E176</f>
        <v>+</v>
      </c>
      <c r="F176" s="229">
        <f>'Расчет ЦП - общая форма'!F176</f>
        <v>4</v>
      </c>
      <c r="G176" s="229">
        <f>'Расчет ЦП - общая форма'!G176</f>
        <v>0</v>
      </c>
      <c r="H176" s="229">
        <f>'Расчет ЦП - общая форма'!H176</f>
        <v>0</v>
      </c>
      <c r="I176" s="23">
        <f>'Расчет ЦП - общая форма'!Q176</f>
        <v>3.92</v>
      </c>
      <c r="J176" s="23">
        <f>'Расчет ЦП - общая форма'!R176</f>
        <v>3.92</v>
      </c>
      <c r="K176" s="768" t="str">
        <f>'Расчет ЦП - общая форма'!S176</f>
        <v/>
      </c>
      <c r="L176" s="257" t="str">
        <f>'Расчет ЦП - общая форма'!T176</f>
        <v/>
      </c>
      <c r="M176" s="768">
        <f>'Расчет ЦП - общая форма'!U176</f>
        <v>6.666666666666667</v>
      </c>
      <c r="N176" s="919"/>
      <c r="O176" s="919"/>
      <c r="P176" s="919"/>
    </row>
    <row r="177" spans="1:16" ht="15" hidden="1" customHeight="1" x14ac:dyDescent="0.25">
      <c r="A177" s="84">
        <f>'Расчет ЦП - общая форма'!A177</f>
        <v>132</v>
      </c>
      <c r="B177" s="213">
        <f>COUNTIFS($C$8:C177,"*ПС*",$L$8:L177,"*закрыт*")</f>
        <v>13</v>
      </c>
      <c r="C177" s="84" t="str">
        <f>'Расчет ЦП - общая форма'!C177</f>
        <v xml:space="preserve">ПС 35/10 кВ Фенево </v>
      </c>
      <c r="D177" s="230">
        <f>'Расчет ЦП - общая форма'!D177</f>
        <v>2.5</v>
      </c>
      <c r="E177" s="229" t="str">
        <f>'Расчет ЦП - общая форма'!E177</f>
        <v>+</v>
      </c>
      <c r="F177" s="229">
        <f>'Расчет ЦП - общая форма'!F177</f>
        <v>2.5</v>
      </c>
      <c r="G177" s="229">
        <f>'Расчет ЦП - общая форма'!G177</f>
        <v>0</v>
      </c>
      <c r="H177" s="229">
        <f>'Расчет ЦП - общая форма'!H177</f>
        <v>0</v>
      </c>
      <c r="I177" s="23">
        <f>'Расчет ЦП - общая форма'!Q177</f>
        <v>2.1550000000000002</v>
      </c>
      <c r="J177" s="23">
        <f>'Расчет ЦП - общая форма'!R177</f>
        <v>2.1550000000000002</v>
      </c>
      <c r="K177" s="768" t="str">
        <f>'Расчет ЦП - общая форма'!S177</f>
        <v/>
      </c>
      <c r="L177" s="257" t="str">
        <f>'Расчет ЦП - общая форма'!T177</f>
        <v/>
      </c>
      <c r="M177" s="768">
        <f>'Расчет ЦП - общая форма'!U177</f>
        <v>17.904761904761905</v>
      </c>
      <c r="N177" s="919"/>
      <c r="O177" s="919"/>
      <c r="P177" s="919"/>
    </row>
    <row r="178" spans="1:16" ht="15" hidden="1" customHeight="1" x14ac:dyDescent="0.25">
      <c r="A178" s="84">
        <f>'Расчет ЦП - общая форма'!A178</f>
        <v>133</v>
      </c>
      <c r="B178" s="213">
        <f>COUNTIFS($C$8:C178,"*ПС*",$L$8:L178,"*закрыт*")</f>
        <v>13</v>
      </c>
      <c r="C178" s="84" t="str">
        <f>'Расчет ЦП - общая форма'!C178</f>
        <v xml:space="preserve">ПС 35/10 кВ Фролово </v>
      </c>
      <c r="D178" s="230">
        <f>'Расчет ЦП - общая форма'!D178</f>
        <v>2.5</v>
      </c>
      <c r="E178" s="229" t="str">
        <f>'Расчет ЦП - общая форма'!E178</f>
        <v>+</v>
      </c>
      <c r="F178" s="229">
        <f>'Расчет ЦП - общая форма'!F178</f>
        <v>2.5</v>
      </c>
      <c r="G178" s="229">
        <f>'Расчет ЦП - общая форма'!G178</f>
        <v>0</v>
      </c>
      <c r="H178" s="229">
        <f>'Расчет ЦП - общая форма'!H178</f>
        <v>0</v>
      </c>
      <c r="I178" s="23">
        <f>'Расчет ЦП - общая форма'!Q178</f>
        <v>1.835</v>
      </c>
      <c r="J178" s="23">
        <f>'Расчет ЦП - общая форма'!R178</f>
        <v>1.835</v>
      </c>
      <c r="K178" s="768" t="str">
        <f>'Расчет ЦП - общая форма'!S178</f>
        <v/>
      </c>
      <c r="L178" s="257" t="str">
        <f>'Расчет ЦП - общая форма'!T178</f>
        <v/>
      </c>
      <c r="M178" s="768">
        <f>'Расчет ЦП - общая форма'!U178</f>
        <v>30.095238095238095</v>
      </c>
      <c r="N178" s="919"/>
      <c r="O178" s="919"/>
      <c r="P178" s="919"/>
    </row>
    <row r="179" spans="1:16" ht="30" hidden="1" customHeight="1" x14ac:dyDescent="0.25">
      <c r="A179" s="84">
        <f>'Расчет ЦП - общая форма'!A179</f>
        <v>134</v>
      </c>
      <c r="B179" s="213">
        <f>COUNTIFS($C$8:C179,"*ПС*",$L$8:L179,"*закрыт*")</f>
        <v>13</v>
      </c>
      <c r="C179" s="84" t="str">
        <f>'Расчет ЦП - общая форма'!C179</f>
        <v xml:space="preserve"> ПС 110/10 кВ Зарница </v>
      </c>
      <c r="D179" s="230">
        <f>'Расчет ЦП - общая форма'!D179</f>
        <v>10</v>
      </c>
      <c r="E179" s="229" t="str">
        <f>'Расчет ЦП - общая форма'!E179</f>
        <v>+</v>
      </c>
      <c r="F179" s="229">
        <f>'Расчет ЦП - общая форма'!F179</f>
        <v>10</v>
      </c>
      <c r="G179" s="229">
        <f>'Расчет ЦП - общая форма'!G179</f>
        <v>0</v>
      </c>
      <c r="H179" s="229">
        <f>'Расчет ЦП - общая форма'!H179</f>
        <v>0</v>
      </c>
      <c r="I179" s="23">
        <f>'Расчет ЦП - общая форма'!Q179</f>
        <v>10.39</v>
      </c>
      <c r="J179" s="23">
        <f>'Расчет ЦП - общая форма'!R179</f>
        <v>10.39</v>
      </c>
      <c r="K179" s="768" t="str">
        <f>'Расчет ЦП - общая форма'!S179</f>
        <v/>
      </c>
      <c r="L179" s="257" t="str">
        <f>'Расчет ЦП - общая форма'!T179</f>
        <v/>
      </c>
      <c r="M179" s="768">
        <f>'Расчет ЦП - общая форма'!U179</f>
        <v>1.0476190476190477</v>
      </c>
      <c r="N179" s="919"/>
      <c r="O179" s="919"/>
      <c r="P179" s="919"/>
    </row>
    <row r="180" spans="1:16" ht="15" hidden="1" customHeight="1" x14ac:dyDescent="0.25">
      <c r="A180" s="84">
        <f>'Расчет ЦП - общая форма'!A180</f>
        <v>135</v>
      </c>
      <c r="B180" s="213">
        <f>COUNTIFS($C$8:C180,"*ПС*",$L$8:L180,"*закрыт*")</f>
        <v>13</v>
      </c>
      <c r="C180" s="84" t="str">
        <f>'Расчет ЦП - общая форма'!C180</f>
        <v xml:space="preserve">ПС 110/10 кВ Зобнино </v>
      </c>
      <c r="D180" s="230">
        <f>'Расчет ЦП - общая форма'!D180</f>
        <v>2.5</v>
      </c>
      <c r="E180" s="229" t="str">
        <f>'Расчет ЦП - общая форма'!E180</f>
        <v>+</v>
      </c>
      <c r="F180" s="229">
        <f>'Расчет ЦП - общая форма'!F180</f>
        <v>2.5</v>
      </c>
      <c r="G180" s="229">
        <f>'Расчет ЦП - общая форма'!G180</f>
        <v>0</v>
      </c>
      <c r="H180" s="229">
        <f>'Расчет ЦП - общая форма'!H180</f>
        <v>0</v>
      </c>
      <c r="I180" s="23">
        <f>'Расчет ЦП - общая форма'!Q180</f>
        <v>1.7450000000000001</v>
      </c>
      <c r="J180" s="23">
        <f>'Расчет ЦП - общая форма'!R180</f>
        <v>1.7450000000000001</v>
      </c>
      <c r="K180" s="768" t="str">
        <f>'Расчет ЦП - общая форма'!S180</f>
        <v/>
      </c>
      <c r="L180" s="257" t="str">
        <f>'Расчет ЦП - общая форма'!T180</f>
        <v/>
      </c>
      <c r="M180" s="768">
        <f>'Расчет ЦП - общая форма'!U180</f>
        <v>33.523809523809526</v>
      </c>
      <c r="N180" s="919"/>
      <c r="O180" s="919"/>
      <c r="P180" s="919"/>
    </row>
    <row r="181" spans="1:16" ht="30" hidden="1" customHeight="1" x14ac:dyDescent="0.25">
      <c r="A181" s="84">
        <f>'Расчет ЦП - общая форма'!A181</f>
        <v>136</v>
      </c>
      <c r="B181" s="213">
        <f>COUNTIFS($C$8:C181,"*ПС*",$L$8:L181,"*закрыт*")</f>
        <v>13</v>
      </c>
      <c r="C181" s="84" t="str">
        <f>'Расчет ЦП - общая форма'!C181</f>
        <v xml:space="preserve">ПС 110/10 кВ Инякино </v>
      </c>
      <c r="D181" s="230">
        <f>'Расчет ЦП - общая форма'!D181</f>
        <v>25</v>
      </c>
      <c r="E181" s="229" t="str">
        <f>'Расчет ЦП - общая форма'!E181</f>
        <v>+</v>
      </c>
      <c r="F181" s="229">
        <f>'Расчет ЦП - общая форма'!F181</f>
        <v>25</v>
      </c>
      <c r="G181" s="229">
        <f>'Расчет ЦП - общая форма'!G181</f>
        <v>0</v>
      </c>
      <c r="H181" s="229">
        <f>'Расчет ЦП - общая форма'!H181</f>
        <v>0</v>
      </c>
      <c r="I181" s="23">
        <f>'Расчет ЦП - общая форма'!Q181</f>
        <v>26.04</v>
      </c>
      <c r="J181" s="23">
        <f>'Расчет ЦП - общая форма'!R181</f>
        <v>26.04</v>
      </c>
      <c r="K181" s="768" t="str">
        <f>'Расчет ЦП - общая форма'!S181</f>
        <v/>
      </c>
      <c r="L181" s="257" t="str">
        <f>'Расчет ЦП - общая форма'!T181</f>
        <v/>
      </c>
      <c r="M181" s="768">
        <f>'Расчет ЦП - общая форма'!U181</f>
        <v>0.8</v>
      </c>
      <c r="N181" s="919"/>
      <c r="O181" s="919"/>
      <c r="P181" s="919"/>
    </row>
    <row r="182" spans="1:16" ht="15" hidden="1" customHeight="1" x14ac:dyDescent="0.25">
      <c r="A182" s="1375">
        <f>'Расчет ЦП - общая форма'!A182</f>
        <v>137</v>
      </c>
      <c r="B182" s="1376">
        <f>COUNTIFS($C$8:C182,"*ПС*",$L$8:L182,"*закрыт*")</f>
        <v>13</v>
      </c>
      <c r="C182" s="84" t="str">
        <f>'Расчет ЦП - общая форма'!C182</f>
        <v xml:space="preserve"> ПС 110/35/10 кВ Василево </v>
      </c>
      <c r="D182" s="230">
        <f>'Расчет ЦП - общая форма'!D182</f>
        <v>6.3</v>
      </c>
      <c r="E182" s="229" t="str">
        <f>'Расчет ЦП - общая форма'!E182</f>
        <v>+</v>
      </c>
      <c r="F182" s="229">
        <f>'Расчет ЦП - общая форма'!F182</f>
        <v>6.3</v>
      </c>
      <c r="G182" s="229">
        <f>'Расчет ЦП - общая форма'!G182</f>
        <v>0</v>
      </c>
      <c r="H182" s="229">
        <f>'Расчет ЦП - общая форма'!H182</f>
        <v>0</v>
      </c>
      <c r="I182" s="23">
        <f>'Расчет ЦП - общая форма'!Q182</f>
        <v>6.4950000000000001</v>
      </c>
      <c r="J182" s="1380">
        <f>'Расчет ЦП - общая форма'!R182</f>
        <v>6.4950000000000001</v>
      </c>
      <c r="K182" s="1362" t="str">
        <f>'Расчет ЦП - общая форма'!S182</f>
        <v/>
      </c>
      <c r="L182" s="257" t="str">
        <f>'Расчет ЦП - общая форма'!T182</f>
        <v/>
      </c>
      <c r="M182" s="1362">
        <f>'Расчет ЦП - общая форма'!U182</f>
        <v>1.8140589569160996</v>
      </c>
      <c r="N182" s="919"/>
      <c r="O182" s="919"/>
      <c r="P182" s="919"/>
    </row>
    <row r="183" spans="1:16" ht="15" hidden="1" customHeight="1" x14ac:dyDescent="0.25">
      <c r="A183" s="1375">
        <f>'Расчет ЦП - общая форма'!A183</f>
        <v>0</v>
      </c>
      <c r="B183" s="1393"/>
      <c r="C183" s="84" t="str">
        <f>'Расчет ЦП - общая форма'!C183</f>
        <v xml:space="preserve">Ном. Мощность СН, МВА </v>
      </c>
      <c r="D183" s="230">
        <f>'Расчет ЦП - общая форма'!D183</f>
        <v>6.3</v>
      </c>
      <c r="E183" s="229" t="str">
        <f>'Расчет ЦП - общая форма'!E183</f>
        <v>+</v>
      </c>
      <c r="F183" s="229">
        <f>'Расчет ЦП - общая форма'!F183</f>
        <v>6.3</v>
      </c>
      <c r="G183" s="229">
        <f>'Расчет ЦП - общая форма'!G183</f>
        <v>0</v>
      </c>
      <c r="H183" s="229">
        <f>'Расчет ЦП - общая форма'!H183</f>
        <v>0</v>
      </c>
      <c r="I183" s="23">
        <f>'Расчет ЦП - общая форма'!Q183</f>
        <v>6.6150000000000002</v>
      </c>
      <c r="J183" s="1380">
        <f>'Расчет ЦП - общая форма'!R183</f>
        <v>0</v>
      </c>
      <c r="K183" s="1363" t="str">
        <f>'Расчет ЦП - общая форма'!S183</f>
        <v/>
      </c>
      <c r="L183" s="257" t="str">
        <f>'Расчет ЦП - общая форма'!T183</f>
        <v/>
      </c>
      <c r="M183" s="1363">
        <f>'Расчет ЦП - общая форма'!U183</f>
        <v>0</v>
      </c>
      <c r="N183" s="919"/>
      <c r="O183" s="919"/>
      <c r="P183" s="919"/>
    </row>
    <row r="184" spans="1:16" ht="15" hidden="1" customHeight="1" x14ac:dyDescent="0.25">
      <c r="A184" s="1375">
        <f>'Расчет ЦП - общая форма'!A184</f>
        <v>0</v>
      </c>
      <c r="B184" s="1394"/>
      <c r="C184" s="84" t="str">
        <f>'Расчет ЦП - общая форма'!C184</f>
        <v>Ном. мощность НН, МВА</v>
      </c>
      <c r="D184" s="230">
        <f>'Расчет ЦП - общая форма'!D184</f>
        <v>6.3</v>
      </c>
      <c r="E184" s="229" t="str">
        <f>'Расчет ЦП - общая форма'!E184</f>
        <v>+</v>
      </c>
      <c r="F184" s="229">
        <f>'Расчет ЦП - общая форма'!F184</f>
        <v>6.3</v>
      </c>
      <c r="G184" s="229">
        <f>'Расчет ЦП - общая форма'!G184</f>
        <v>0</v>
      </c>
      <c r="H184" s="229">
        <f>'Расчет ЦП - общая форма'!H184</f>
        <v>0</v>
      </c>
      <c r="I184" s="23">
        <f>'Расчет ЦП - общая форма'!Q184</f>
        <v>6.4950000000000001</v>
      </c>
      <c r="J184" s="1380">
        <f>'Расчет ЦП - общая форма'!R184</f>
        <v>0</v>
      </c>
      <c r="K184" s="1363" t="str">
        <f>'Расчет ЦП - общая форма'!S184</f>
        <v/>
      </c>
      <c r="L184" s="257" t="str">
        <f>'Расчет ЦП - общая форма'!T184</f>
        <v/>
      </c>
      <c r="M184" s="1363">
        <f>'Расчет ЦП - общая форма'!U184</f>
        <v>0</v>
      </c>
      <c r="N184" s="919"/>
      <c r="O184" s="919"/>
      <c r="P184" s="919"/>
    </row>
    <row r="185" spans="1:16" ht="30" hidden="1" customHeight="1" x14ac:dyDescent="0.25">
      <c r="A185" s="1375">
        <f>'Расчет ЦП - общая форма'!A185</f>
        <v>138</v>
      </c>
      <c r="B185" s="1376">
        <f>COUNTIFS($C$8:C185,"*ПС*",$L$8:L185,"*закрыт*")</f>
        <v>13</v>
      </c>
      <c r="C185" s="84" t="str">
        <f>'Расчет ЦП - общая форма'!C185</f>
        <v xml:space="preserve">ПС 110/35/10 кВ Борки  </v>
      </c>
      <c r="D185" s="230">
        <f>'Расчет ЦП - общая форма'!D185</f>
        <v>40</v>
      </c>
      <c r="E185" s="229" t="str">
        <f>'Расчет ЦП - общая форма'!E185</f>
        <v>+</v>
      </c>
      <c r="F185" s="229">
        <f>'Расчет ЦП - общая форма'!F185</f>
        <v>25</v>
      </c>
      <c r="G185" s="229">
        <f>'Расчет ЦП - общая форма'!G185</f>
        <v>0</v>
      </c>
      <c r="H185" s="229">
        <f>'Расчет ЦП - общая форма'!H185</f>
        <v>0</v>
      </c>
      <c r="I185" s="23">
        <f>'Расчет ЦП - общая форма'!Q185</f>
        <v>3.2699999999999996</v>
      </c>
      <c r="J185" s="1380">
        <f>'Расчет ЦП - общая форма'!R185</f>
        <v>3.2699999999999996</v>
      </c>
      <c r="K185" s="1362" t="str">
        <f>'Расчет ЦП - общая форма'!S185</f>
        <v/>
      </c>
      <c r="L185" s="257" t="str">
        <f>'Расчет ЦП - общая форма'!T185</f>
        <v/>
      </c>
      <c r="M185" s="1362">
        <f>'Расчет ЦП - общая форма'!U185</f>
        <v>87.542857142857144</v>
      </c>
      <c r="N185" s="919"/>
      <c r="O185" s="919"/>
      <c r="P185" s="919"/>
    </row>
    <row r="186" spans="1:16" ht="30" hidden="1" customHeight="1" x14ac:dyDescent="0.25">
      <c r="A186" s="1375">
        <f>'Расчет ЦП - общая форма'!A186</f>
        <v>0</v>
      </c>
      <c r="B186" s="1393"/>
      <c r="C186" s="84" t="str">
        <f>'Расчет ЦП - общая форма'!C186</f>
        <v xml:space="preserve">Ном. Мощность СН, МВА </v>
      </c>
      <c r="D186" s="230">
        <f>'Расчет ЦП - общая форма'!D186</f>
        <v>40</v>
      </c>
      <c r="E186" s="229" t="str">
        <f>'Расчет ЦП - общая форма'!E186</f>
        <v>+</v>
      </c>
      <c r="F186" s="229">
        <f>'Расчет ЦП - общая форма'!F186</f>
        <v>25</v>
      </c>
      <c r="G186" s="229">
        <f>'Расчет ЦП - общая форма'!G186</f>
        <v>0</v>
      </c>
      <c r="H186" s="229">
        <f>'Расчет ЦП - общая форма'!H186</f>
        <v>0</v>
      </c>
      <c r="I186" s="23">
        <f>'Расчет ЦП - общая форма'!Q186</f>
        <v>6.379999999999999</v>
      </c>
      <c r="J186" s="1380">
        <f>'Расчет ЦП - общая форма'!R186</f>
        <v>0</v>
      </c>
      <c r="K186" s="1363" t="str">
        <f>'Расчет ЦП - общая форма'!S186</f>
        <v/>
      </c>
      <c r="L186" s="257" t="str">
        <f>'Расчет ЦП - общая форма'!T186</f>
        <v/>
      </c>
      <c r="M186" s="1363">
        <f>'Расчет ЦП - общая форма'!U186</f>
        <v>0</v>
      </c>
      <c r="N186" s="919"/>
      <c r="O186" s="919"/>
      <c r="P186" s="919"/>
    </row>
    <row r="187" spans="1:16" ht="30" hidden="1" customHeight="1" x14ac:dyDescent="0.25">
      <c r="A187" s="1375">
        <f>'Расчет ЦП - общая форма'!A187</f>
        <v>0</v>
      </c>
      <c r="B187" s="1394"/>
      <c r="C187" s="84" t="str">
        <f>'Расчет ЦП - общая форма'!C187</f>
        <v>Ном. мощность НН, МВА</v>
      </c>
      <c r="D187" s="230">
        <f>'Расчет ЦП - общая форма'!D187</f>
        <v>40</v>
      </c>
      <c r="E187" s="229" t="str">
        <f>'Расчет ЦП - общая форма'!E187</f>
        <v>+</v>
      </c>
      <c r="F187" s="229">
        <f>'Расчет ЦП - общая форма'!F187</f>
        <v>25</v>
      </c>
      <c r="G187" s="229">
        <f>'Расчет ЦП - общая форма'!G187</f>
        <v>0</v>
      </c>
      <c r="H187" s="229">
        <f>'Расчет ЦП - общая форма'!H187</f>
        <v>0</v>
      </c>
      <c r="I187" s="23">
        <f>'Расчет ЦП - общая форма'!Q187</f>
        <v>23.14</v>
      </c>
      <c r="J187" s="1380">
        <f>'Расчет ЦП - общая форма'!R187</f>
        <v>0</v>
      </c>
      <c r="K187" s="1363" t="str">
        <f>'Расчет ЦП - общая форма'!S187</f>
        <v/>
      </c>
      <c r="L187" s="257" t="str">
        <f>'Расчет ЦП - общая форма'!T187</f>
        <v/>
      </c>
      <c r="M187" s="1363">
        <f>'Расчет ЦП - общая форма'!U187</f>
        <v>0</v>
      </c>
      <c r="N187" s="919"/>
      <c r="O187" s="919"/>
      <c r="P187" s="919"/>
    </row>
    <row r="188" spans="1:16" ht="15.75" hidden="1" customHeight="1" x14ac:dyDescent="0.25">
      <c r="A188" s="1375">
        <f>'Расчет ЦП - общая форма'!A188</f>
        <v>139</v>
      </c>
      <c r="B188" s="1376">
        <f>COUNTIFS($C$8:C188,"*ПС*",$L$8:L188,"*закрыт*")</f>
        <v>13</v>
      </c>
      <c r="C188" s="84" t="str">
        <f>'Расчет ЦП - общая форма'!C188</f>
        <v xml:space="preserve">ПС 110/35/10 кВ  Верхняя Троица </v>
      </c>
      <c r="D188" s="230">
        <f>'Расчет ЦП - общая форма'!D188</f>
        <v>6.3</v>
      </c>
      <c r="E188" s="229" t="str">
        <f>'Расчет ЦП - общая форма'!E188</f>
        <v>+</v>
      </c>
      <c r="F188" s="229">
        <f>'Расчет ЦП - общая форма'!F188</f>
        <v>6.3</v>
      </c>
      <c r="G188" s="229">
        <f>'Расчет ЦП - общая форма'!G188</f>
        <v>0</v>
      </c>
      <c r="H188" s="229">
        <f>'Расчет ЦП - общая форма'!H188</f>
        <v>0</v>
      </c>
      <c r="I188" s="23">
        <f>'Расчет ЦП - общая форма'!Q188</f>
        <v>6.3250000000000002</v>
      </c>
      <c r="J188" s="1380">
        <f>'Расчет ЦП - общая форма'!R188</f>
        <v>4.2750000000000004</v>
      </c>
      <c r="K188" s="1362" t="str">
        <f>'Расчет ЦП - общая форма'!S188</f>
        <v/>
      </c>
      <c r="L188" s="257" t="str">
        <f>'Расчет ЦП - общая форма'!T188</f>
        <v/>
      </c>
      <c r="M188" s="1362">
        <f>'Расчет ЦП - общая форма'!U188</f>
        <v>43.235071806500379</v>
      </c>
      <c r="N188" s="919"/>
      <c r="O188" s="919"/>
      <c r="P188" s="919"/>
    </row>
    <row r="189" spans="1:16" ht="15.75" hidden="1" customHeight="1" x14ac:dyDescent="0.25">
      <c r="A189" s="1375">
        <f>'Расчет ЦП - общая форма'!A189</f>
        <v>0</v>
      </c>
      <c r="B189" s="1393"/>
      <c r="C189" s="84" t="str">
        <f>'Расчет ЦП - общая форма'!C189</f>
        <v xml:space="preserve">Ном. Мощность СН, МВА </v>
      </c>
      <c r="D189" s="230">
        <f>'Расчет ЦП - общая форма'!D189</f>
        <v>6.3</v>
      </c>
      <c r="E189" s="229" t="str">
        <f>'Расчет ЦП - общая форма'!E189</f>
        <v>+</v>
      </c>
      <c r="F189" s="229">
        <f>'Расчет ЦП - общая форма'!F189</f>
        <v>6.3</v>
      </c>
      <c r="G189" s="229">
        <f>'Расчет ЦП - общая форма'!G189</f>
        <v>0</v>
      </c>
      <c r="H189" s="229">
        <f>'Расчет ЦП - общая форма'!H189</f>
        <v>0</v>
      </c>
      <c r="I189" s="23">
        <f>'Расчет ЦП - общая форма'!Q189</f>
        <v>6.6150000000000002</v>
      </c>
      <c r="J189" s="1380">
        <f>'Расчет ЦП - общая форма'!R189</f>
        <v>0</v>
      </c>
      <c r="K189" s="1363" t="str">
        <f>'Расчет ЦП - общая форма'!S189</f>
        <v/>
      </c>
      <c r="L189" s="257" t="str">
        <f>'Расчет ЦП - общая форма'!T189</f>
        <v/>
      </c>
      <c r="M189" s="1363">
        <f>'Расчет ЦП - общая форма'!U189</f>
        <v>0</v>
      </c>
      <c r="N189" s="919"/>
      <c r="O189" s="919"/>
      <c r="P189" s="919"/>
    </row>
    <row r="190" spans="1:16" ht="15" hidden="1" customHeight="1" x14ac:dyDescent="0.25">
      <c r="A190" s="1375">
        <f>'Расчет ЦП - общая форма'!A190</f>
        <v>0</v>
      </c>
      <c r="B190" s="1394"/>
      <c r="C190" s="84" t="str">
        <f>'Расчет ЦП - общая форма'!C190</f>
        <v>Ном. мощность НН, МВА</v>
      </c>
      <c r="D190" s="230">
        <f>'Расчет ЦП - общая форма'!D190</f>
        <v>6.3</v>
      </c>
      <c r="E190" s="229" t="str">
        <f>'Расчет ЦП - общая форма'!E190</f>
        <v>+</v>
      </c>
      <c r="F190" s="229">
        <f>'Расчет ЦП - общая форма'!F190</f>
        <v>6.3</v>
      </c>
      <c r="G190" s="229">
        <f>'Расчет ЦП - общая форма'!G190</f>
        <v>0</v>
      </c>
      <c r="H190" s="229">
        <f>'Расчет ЦП - общая форма'!H190</f>
        <v>0</v>
      </c>
      <c r="I190" s="23">
        <f>'Расчет ЦП - общая форма'!Q190</f>
        <v>4.2750000000000004</v>
      </c>
      <c r="J190" s="1380">
        <f>'Расчет ЦП - общая форма'!R190</f>
        <v>0</v>
      </c>
      <c r="K190" s="1363" t="str">
        <f>'Расчет ЦП - общая форма'!S190</f>
        <v/>
      </c>
      <c r="L190" s="257" t="str">
        <f>'Расчет ЦП - общая форма'!T190</f>
        <v/>
      </c>
      <c r="M190" s="1363">
        <f>'Расчет ЦП - общая форма'!U190</f>
        <v>0</v>
      </c>
      <c r="N190" s="919"/>
      <c r="O190" s="919"/>
      <c r="P190" s="919"/>
    </row>
    <row r="191" spans="1:16" ht="15.75" hidden="1" customHeight="1" x14ac:dyDescent="0.25">
      <c r="A191" s="1375">
        <f>'Расчет ЦП - общая форма'!A191</f>
        <v>140</v>
      </c>
      <c r="B191" s="1376">
        <f>COUNTIFS($C$8:C191,"*ПС*",$L$8:L191,"*закрыт*")</f>
        <v>13</v>
      </c>
      <c r="C191" s="84" t="str">
        <f>'Расчет ЦП - общая форма'!C191</f>
        <v xml:space="preserve">ПС 110/35/10 кВ Горицы </v>
      </c>
      <c r="D191" s="230">
        <f>'Расчет ЦП - общая форма'!D191</f>
        <v>6.3</v>
      </c>
      <c r="E191" s="229" t="str">
        <f>'Расчет ЦП - общая форма'!E191</f>
        <v>+</v>
      </c>
      <c r="F191" s="229">
        <f>'Расчет ЦП - общая форма'!F191</f>
        <v>6.3</v>
      </c>
      <c r="G191" s="229">
        <f>'Расчет ЦП - общая форма'!G191</f>
        <v>0</v>
      </c>
      <c r="H191" s="229">
        <f>'Расчет ЦП - общая форма'!H191</f>
        <v>0</v>
      </c>
      <c r="I191" s="23">
        <f>'Расчет ЦП - общая форма'!Q191</f>
        <v>4.5150000000000006</v>
      </c>
      <c r="J191" s="1380">
        <f>'Расчет ЦП - общая форма'!R191</f>
        <v>4.5150000000000006</v>
      </c>
      <c r="K191" s="1362" t="str">
        <f>'Расчет ЦП - общая форма'!S191</f>
        <v/>
      </c>
      <c r="L191" s="257" t="str">
        <f>'Расчет ЦП - общая форма'!T191</f>
        <v/>
      </c>
      <c r="M191" s="1362">
        <f>'Расчет ЦП - общая форма'!U191</f>
        <v>34.618291761148903</v>
      </c>
      <c r="N191" s="919"/>
      <c r="O191" s="919"/>
      <c r="P191" s="919"/>
    </row>
    <row r="192" spans="1:16" ht="15.75" hidden="1" customHeight="1" x14ac:dyDescent="0.25">
      <c r="A192" s="1375">
        <f>'Расчет ЦП - общая форма'!A192</f>
        <v>0</v>
      </c>
      <c r="B192" s="1393"/>
      <c r="C192" s="84" t="str">
        <f>'Расчет ЦП - общая форма'!C192</f>
        <v xml:space="preserve">Ном. Мощность СН, МВА </v>
      </c>
      <c r="D192" s="230">
        <f>'Расчет ЦП - общая форма'!D192</f>
        <v>6.3</v>
      </c>
      <c r="E192" s="229" t="str">
        <f>'Расчет ЦП - общая форма'!E192</f>
        <v>+</v>
      </c>
      <c r="F192" s="229">
        <f>'Расчет ЦП - общая форма'!F192</f>
        <v>6.3</v>
      </c>
      <c r="G192" s="229">
        <f>'Расчет ЦП - общая форма'!G192</f>
        <v>0</v>
      </c>
      <c r="H192" s="229">
        <f>'Расчет ЦП - общая форма'!H192</f>
        <v>0</v>
      </c>
      <c r="I192" s="23">
        <f>'Расчет ЦП - общая форма'!Q192</f>
        <v>6.6150000000000002</v>
      </c>
      <c r="J192" s="1380">
        <f>'Расчет ЦП - общая форма'!R192</f>
        <v>0</v>
      </c>
      <c r="K192" s="1363" t="str">
        <f>'Расчет ЦП - общая форма'!S192</f>
        <v/>
      </c>
      <c r="L192" s="257" t="str">
        <f>'Расчет ЦП - общая форма'!T192</f>
        <v/>
      </c>
      <c r="M192" s="1363">
        <f>'Расчет ЦП - общая форма'!U192</f>
        <v>0</v>
      </c>
      <c r="N192" s="919"/>
      <c r="O192" s="919"/>
      <c r="P192" s="919"/>
    </row>
    <row r="193" spans="1:16" s="232" customFormat="1" ht="15" hidden="1" customHeight="1" x14ac:dyDescent="0.25">
      <c r="A193" s="1375">
        <f>'Расчет ЦП - общая форма'!A193</f>
        <v>0</v>
      </c>
      <c r="B193" s="1394"/>
      <c r="C193" s="84" t="str">
        <f>'Расчет ЦП - общая форма'!C193</f>
        <v>Ном. мощность НН, МВА</v>
      </c>
      <c r="D193" s="230">
        <f>'Расчет ЦП - общая форма'!D193</f>
        <v>6.3</v>
      </c>
      <c r="E193" s="229" t="str">
        <f>'Расчет ЦП - общая форма'!E193</f>
        <v>+</v>
      </c>
      <c r="F193" s="229">
        <f>'Расчет ЦП - общая форма'!F193</f>
        <v>6.3</v>
      </c>
      <c r="G193" s="229">
        <f>'Расчет ЦП - общая форма'!G193</f>
        <v>0</v>
      </c>
      <c r="H193" s="229">
        <f>'Расчет ЦП - общая форма'!H193</f>
        <v>0</v>
      </c>
      <c r="I193" s="23">
        <f>'Расчет ЦП - общая форма'!Q193</f>
        <v>4.5150000000000006</v>
      </c>
      <c r="J193" s="1380">
        <f>'Расчет ЦП - общая форма'!R193</f>
        <v>0</v>
      </c>
      <c r="K193" s="1363" t="str">
        <f>'Расчет ЦП - общая форма'!S193</f>
        <v/>
      </c>
      <c r="L193" s="257" t="str">
        <f>'Расчет ЦП - общая форма'!T193</f>
        <v/>
      </c>
      <c r="M193" s="1363">
        <f>'Расчет ЦП - общая форма'!U193</f>
        <v>0</v>
      </c>
      <c r="N193" s="919"/>
      <c r="O193" s="919"/>
      <c r="P193" s="919"/>
    </row>
    <row r="194" spans="1:16" ht="20.100000000000001" customHeight="1" x14ac:dyDescent="0.25">
      <c r="A194" s="1375">
        <f>'Расчет ЦП - общая форма'!A194</f>
        <v>141</v>
      </c>
      <c r="B194" s="1376">
        <f>COUNTIFS($C$8:C194,"*ПС*",$L$8:L194,"*закрыт*")</f>
        <v>14</v>
      </c>
      <c r="C194" s="84" t="str">
        <f>'Расчет ЦП - общая форма'!C194</f>
        <v xml:space="preserve">ПС 110/35/10 кВ Луч </v>
      </c>
      <c r="D194" s="230">
        <f>'Расчет ЦП - общая форма'!D194</f>
        <v>16</v>
      </c>
      <c r="E194" s="229" t="str">
        <f>'Расчет ЦП - общая форма'!E194</f>
        <v>+</v>
      </c>
      <c r="F194" s="229">
        <f>'Расчет ЦП - общая форма'!F194</f>
        <v>16</v>
      </c>
      <c r="G194" s="229">
        <f>'Расчет ЦП - общая форма'!G194</f>
        <v>0</v>
      </c>
      <c r="H194" s="229">
        <f>'Расчет ЦП - общая форма'!H194</f>
        <v>0</v>
      </c>
      <c r="I194" s="23">
        <f>'Расчет ЦП - общая форма'!Q194</f>
        <v>-1.379999999999999</v>
      </c>
      <c r="J194" s="1372">
        <f>'Расчет ЦП - общая форма'!R194</f>
        <v>-1.379999999999999</v>
      </c>
      <c r="K194" s="1362" t="str">
        <f>'Расчет ЦП - общая форма'!S194</f>
        <v>закрыт</v>
      </c>
      <c r="L194" s="257" t="str">
        <f>'Расчет ЦП - общая форма'!T194</f>
        <v>закрыт</v>
      </c>
      <c r="M194" s="1362">
        <f>'Расчет ЦП - общая форма'!U194</f>
        <v>108.21428571428571</v>
      </c>
      <c r="N194" s="924"/>
      <c r="O194" s="924"/>
      <c r="P194" s="924"/>
    </row>
    <row r="195" spans="1:16" ht="20.100000000000001" customHeight="1" x14ac:dyDescent="0.25">
      <c r="A195" s="1375">
        <f>'Расчет ЦП - общая форма'!A195</f>
        <v>0</v>
      </c>
      <c r="B195" s="1393"/>
      <c r="C195" s="84" t="str">
        <f>'Расчет ЦП - общая форма'!C195</f>
        <v xml:space="preserve">Ном. Мощность СН, МВА </v>
      </c>
      <c r="D195" s="230">
        <f>'Расчет ЦП - общая форма'!D195</f>
        <v>16</v>
      </c>
      <c r="E195" s="229" t="str">
        <f>'Расчет ЦП - общая форма'!E195</f>
        <v>+</v>
      </c>
      <c r="F195" s="229">
        <f>'Расчет ЦП - общая форма'!F195</f>
        <v>16</v>
      </c>
      <c r="G195" s="229">
        <f>'Расчет ЦП - общая форма'!G195</f>
        <v>0</v>
      </c>
      <c r="H195" s="229">
        <f>'Расчет ЦП - общая форма'!H195</f>
        <v>0</v>
      </c>
      <c r="I195" s="23">
        <f>'Расчет ЦП - общая форма'!Q195</f>
        <v>3.08</v>
      </c>
      <c r="J195" s="1373">
        <f>'Расчет ЦП - общая форма'!R195</f>
        <v>0</v>
      </c>
      <c r="K195" s="1362">
        <f>'Расчет ЦП - общая форма'!S195</f>
        <v>0</v>
      </c>
      <c r="L195" s="257" t="str">
        <f>'Расчет ЦП - общая форма'!T195</f>
        <v>закрыт</v>
      </c>
      <c r="M195" s="1362">
        <f>'Расчет ЦП - общая форма'!U195</f>
        <v>0</v>
      </c>
      <c r="N195" s="924"/>
      <c r="O195" s="924"/>
      <c r="P195" s="924"/>
    </row>
    <row r="196" spans="1:16" ht="20.100000000000001" customHeight="1" x14ac:dyDescent="0.25">
      <c r="A196" s="1375">
        <f>'Расчет ЦП - общая форма'!A196</f>
        <v>0</v>
      </c>
      <c r="B196" s="1394"/>
      <c r="C196" s="84" t="str">
        <f>'Расчет ЦП - общая форма'!C196</f>
        <v>Ном. мощность НН, МВА</v>
      </c>
      <c r="D196" s="230">
        <f>'Расчет ЦП - общая форма'!D196</f>
        <v>16</v>
      </c>
      <c r="E196" s="229" t="str">
        <f>'Расчет ЦП - общая форма'!E196</f>
        <v>+</v>
      </c>
      <c r="F196" s="229">
        <f>'Расчет ЦП - общая форма'!F196</f>
        <v>16</v>
      </c>
      <c r="G196" s="229">
        <f>'Расчет ЦП - общая форма'!G196</f>
        <v>0</v>
      </c>
      <c r="H196" s="229">
        <f>'Расчет ЦП - общая форма'!H196</f>
        <v>0</v>
      </c>
      <c r="I196" s="23">
        <f>'Расчет ЦП - общая форма'!Q196</f>
        <v>12.34</v>
      </c>
      <c r="J196" s="1374">
        <f>'Расчет ЦП - общая форма'!R196</f>
        <v>0</v>
      </c>
      <c r="K196" s="1362">
        <f>'Расчет ЦП - общая форма'!S196</f>
        <v>0</v>
      </c>
      <c r="L196" s="257" t="str">
        <f>'Расчет ЦП - общая форма'!T196</f>
        <v>закрыт</v>
      </c>
      <c r="M196" s="1362">
        <f>'Расчет ЦП - общая форма'!U196</f>
        <v>0</v>
      </c>
      <c r="N196" s="924"/>
      <c r="O196" s="924"/>
      <c r="P196" s="924"/>
    </row>
    <row r="197" spans="1:16" s="232" customFormat="1" ht="30" hidden="1" customHeight="1" x14ac:dyDescent="0.25">
      <c r="A197" s="1375">
        <f>'Расчет ЦП - общая форма'!A197</f>
        <v>142</v>
      </c>
      <c r="B197" s="1376">
        <f>COUNTIFS($C$8:C197,"*ПС*",$L$8:L197,"*закрыт*")</f>
        <v>14</v>
      </c>
      <c r="C197" s="84" t="str">
        <f>'Расчет ЦП - общая форма'!C197</f>
        <v xml:space="preserve">ПС 110/35/10 кВ Простор </v>
      </c>
      <c r="D197" s="230">
        <f>'Расчет ЦП - общая форма'!D197</f>
        <v>25</v>
      </c>
      <c r="E197" s="229" t="str">
        <f>'Расчет ЦП - общая форма'!E197</f>
        <v>+</v>
      </c>
      <c r="F197" s="229">
        <f>'Расчет ЦП - общая форма'!F197</f>
        <v>25</v>
      </c>
      <c r="G197" s="229">
        <f>'Расчет ЦП - общая форма'!G197</f>
        <v>0</v>
      </c>
      <c r="H197" s="229">
        <f>'Расчет ЦП - общая форма'!H197</f>
        <v>0</v>
      </c>
      <c r="I197" s="23">
        <f>'Расчет ЦП - общая форма'!Q197</f>
        <v>10.729999999999999</v>
      </c>
      <c r="J197" s="1380">
        <f>'Расчет ЦП - общая форма'!R197</f>
        <v>10.729999999999999</v>
      </c>
      <c r="K197" s="1362" t="str">
        <f>'Расчет ЦП - общая форма'!S197</f>
        <v/>
      </c>
      <c r="L197" s="257" t="str">
        <f>'Расчет ЦП - общая форма'!T197</f>
        <v/>
      </c>
      <c r="M197" s="1362">
        <f>'Расчет ЦП - общая форма'!U197</f>
        <v>60.228571428571428</v>
      </c>
      <c r="N197" s="919"/>
      <c r="O197" s="919"/>
      <c r="P197" s="919"/>
    </row>
    <row r="198" spans="1:16" s="232" customFormat="1" ht="30" hidden="1" customHeight="1" x14ac:dyDescent="0.25">
      <c r="A198" s="1375">
        <f>'Расчет ЦП - общая форма'!A198</f>
        <v>0</v>
      </c>
      <c r="B198" s="1393"/>
      <c r="C198" s="84" t="str">
        <f>'Расчет ЦП - общая форма'!C198</f>
        <v xml:space="preserve">Ном. Мощность СН, МВА </v>
      </c>
      <c r="D198" s="230">
        <f>'Расчет ЦП - общая форма'!D198</f>
        <v>25</v>
      </c>
      <c r="E198" s="229" t="str">
        <f>'Расчет ЦП - общая форма'!E198</f>
        <v>+</v>
      </c>
      <c r="F198" s="229">
        <f>'Расчет ЦП - общая форма'!F198</f>
        <v>25</v>
      </c>
      <c r="G198" s="229">
        <f>'Расчет ЦП - общая форма'!G198</f>
        <v>0</v>
      </c>
      <c r="H198" s="229">
        <f>'Расчет ЦП - общая форма'!H198</f>
        <v>0</v>
      </c>
      <c r="I198" s="23">
        <f>'Расчет ЦП - общая форма'!Q198</f>
        <v>20.56</v>
      </c>
      <c r="J198" s="1380">
        <f>'Расчет ЦП - общая форма'!R198</f>
        <v>0</v>
      </c>
      <c r="K198" s="1363" t="str">
        <f>'Расчет ЦП - общая форма'!S198</f>
        <v/>
      </c>
      <c r="L198" s="257" t="str">
        <f>'Расчет ЦП - общая форма'!T198</f>
        <v/>
      </c>
      <c r="M198" s="1363">
        <f>'Расчет ЦП - общая форма'!U198</f>
        <v>0</v>
      </c>
      <c r="N198" s="919"/>
      <c r="O198" s="919"/>
      <c r="P198" s="919"/>
    </row>
    <row r="199" spans="1:16" s="232" customFormat="1" ht="30" hidden="1" customHeight="1" x14ac:dyDescent="0.25">
      <c r="A199" s="1375">
        <f>'Расчет ЦП - общая форма'!A199</f>
        <v>0</v>
      </c>
      <c r="B199" s="1394"/>
      <c r="C199" s="84" t="str">
        <f>'Расчет ЦП - общая форма'!C199</f>
        <v>Ном. мощность НН, МВА</v>
      </c>
      <c r="D199" s="230">
        <f>'Расчет ЦП - общая форма'!D199</f>
        <v>25</v>
      </c>
      <c r="E199" s="229" t="str">
        <f>'Расчет ЦП - общая форма'!E199</f>
        <v>+</v>
      </c>
      <c r="F199" s="229">
        <f>'Расчет ЦП - общая форма'!F199</f>
        <v>25</v>
      </c>
      <c r="G199" s="229">
        <f>'Расчет ЦП - общая форма'!G199</f>
        <v>0</v>
      </c>
      <c r="H199" s="229">
        <f>'Расчет ЦП - общая форма'!H199</f>
        <v>0</v>
      </c>
      <c r="I199" s="23">
        <f>'Расчет ЦП - общая форма'!Q199</f>
        <v>16.420000000000002</v>
      </c>
      <c r="J199" s="1380">
        <f>'Расчет ЦП - общая форма'!R199</f>
        <v>0</v>
      </c>
      <c r="K199" s="1363" t="str">
        <f>'Расчет ЦП - общая форма'!S199</f>
        <v/>
      </c>
      <c r="L199" s="257" t="str">
        <f>'Расчет ЦП - общая форма'!T199</f>
        <v/>
      </c>
      <c r="M199" s="1363">
        <f>'Расчет ЦП - общая форма'!U199</f>
        <v>0</v>
      </c>
      <c r="N199" s="919"/>
      <c r="O199" s="919"/>
      <c r="P199" s="919"/>
    </row>
    <row r="200" spans="1:16" ht="20.100000000000001" customHeight="1" x14ac:dyDescent="0.25">
      <c r="A200" s="1375">
        <f>'Расчет ЦП - общая форма'!A200</f>
        <v>143</v>
      </c>
      <c r="B200" s="1376">
        <f>COUNTIFS($C$8:C200,"*ПС*",$L$8:L200,"*закрыт*")</f>
        <v>15</v>
      </c>
      <c r="C200" s="84" t="str">
        <f>'Расчет ЦП - общая форма'!C200</f>
        <v xml:space="preserve">ПС 110/35/10 кВ  Радуга </v>
      </c>
      <c r="D200" s="230">
        <f>'Расчет ЦП - общая форма'!D200</f>
        <v>40</v>
      </c>
      <c r="E200" s="229" t="str">
        <f>'Расчет ЦП - общая форма'!E200</f>
        <v>+</v>
      </c>
      <c r="F200" s="229">
        <f>'Расчет ЦП - общая форма'!F200</f>
        <v>25</v>
      </c>
      <c r="G200" s="229">
        <f>'Расчет ЦП - общая форма'!G200</f>
        <v>0</v>
      </c>
      <c r="H200" s="229">
        <f>'Расчет ЦП - общая форма'!H200</f>
        <v>0</v>
      </c>
      <c r="I200" s="23">
        <f>'Расчет ЦП - общая форма'!Q200</f>
        <v>-6.5200000000000031</v>
      </c>
      <c r="J200" s="1372">
        <f>'Расчет ЦП - общая форма'!R200</f>
        <v>-6.5200000000000031</v>
      </c>
      <c r="K200" s="1362" t="str">
        <f>'Расчет ЦП - общая форма'!S200</f>
        <v>закрыт</v>
      </c>
      <c r="L200" s="257" t="str">
        <f>'Расчет ЦП - общая форма'!T200</f>
        <v>закрыт</v>
      </c>
      <c r="M200" s="1362">
        <f>'Расчет ЦП - общая форма'!U200</f>
        <v>125.56190476190476</v>
      </c>
      <c r="N200" s="924"/>
      <c r="O200" s="924"/>
      <c r="P200" s="924"/>
    </row>
    <row r="201" spans="1:16" ht="20.100000000000001" customHeight="1" x14ac:dyDescent="0.25">
      <c r="A201" s="1375">
        <f>'Расчет ЦП - общая форма'!A201</f>
        <v>0</v>
      </c>
      <c r="B201" s="1393"/>
      <c r="C201" s="84" t="str">
        <f>'Расчет ЦП - общая форма'!C201</f>
        <v xml:space="preserve">Ном. Мощность СН, МВА </v>
      </c>
      <c r="D201" s="230">
        <f>'Расчет ЦП - общая форма'!D201</f>
        <v>40</v>
      </c>
      <c r="E201" s="229" t="str">
        <f>'Расчет ЦП - общая форма'!E201</f>
        <v>+</v>
      </c>
      <c r="F201" s="229">
        <f>'Расчет ЦП - общая форма'!F201</f>
        <v>25</v>
      </c>
      <c r="G201" s="229">
        <f>'Расчет ЦП - общая форма'!G201</f>
        <v>0</v>
      </c>
      <c r="H201" s="229">
        <f>'Расчет ЦП - общая форма'!H201</f>
        <v>0</v>
      </c>
      <c r="I201" s="23">
        <f>'Расчет ЦП - общая форма'!Q201</f>
        <v>3.8000000000000007</v>
      </c>
      <c r="J201" s="1373">
        <f>'Расчет ЦП - общая форма'!R201</f>
        <v>0</v>
      </c>
      <c r="K201" s="1362">
        <f>'Расчет ЦП - общая форма'!S201</f>
        <v>0</v>
      </c>
      <c r="L201" s="258" t="str">
        <f>'Расчет ЦП - общая форма'!T201</f>
        <v>закрыт</v>
      </c>
      <c r="M201" s="1362">
        <f>'Расчет ЦП - общая форма'!U201</f>
        <v>0</v>
      </c>
      <c r="N201" s="924"/>
      <c r="O201" s="924"/>
      <c r="P201" s="924"/>
    </row>
    <row r="202" spans="1:16" ht="20.100000000000001" customHeight="1" x14ac:dyDescent="0.25">
      <c r="A202" s="1375">
        <f>'Расчет ЦП - общая форма'!A202</f>
        <v>0</v>
      </c>
      <c r="B202" s="1394"/>
      <c r="C202" s="84" t="str">
        <f>'Расчет ЦП - общая форма'!C202</f>
        <v>Ном. мощность НН, МВА</v>
      </c>
      <c r="D202" s="230">
        <f>'Расчет ЦП - общая форма'!D202</f>
        <v>40</v>
      </c>
      <c r="E202" s="229" t="str">
        <f>'Расчет ЦП - общая форма'!E202</f>
        <v>+</v>
      </c>
      <c r="F202" s="229">
        <f>'Расчет ЦП - общая форма'!F202</f>
        <v>25</v>
      </c>
      <c r="G202" s="229">
        <f>'Расчет ЦП - общая форма'!G202</f>
        <v>0</v>
      </c>
      <c r="H202" s="229">
        <f>'Расчет ЦП - общая форма'!H202</f>
        <v>0</v>
      </c>
      <c r="I202" s="23">
        <f>'Расчет ЦП - общая форма'!Q202</f>
        <v>15.93</v>
      </c>
      <c r="J202" s="1374">
        <f>'Расчет ЦП - общая форма'!R202</f>
        <v>0</v>
      </c>
      <c r="K202" s="1362">
        <f>'Расчет ЦП - общая форма'!S202</f>
        <v>0</v>
      </c>
      <c r="L202" s="257" t="str">
        <f>'Расчет ЦП - общая форма'!T202</f>
        <v>закрыт</v>
      </c>
      <c r="M202" s="1362">
        <f>'Расчет ЦП - общая форма'!U202</f>
        <v>0</v>
      </c>
      <c r="N202" s="924"/>
      <c r="O202" s="924"/>
      <c r="P202" s="924"/>
    </row>
    <row r="203" spans="1:16" s="232" customFormat="1" ht="30" hidden="1" customHeight="1" x14ac:dyDescent="0.25">
      <c r="A203" s="1375">
        <f>'Расчет ЦП - общая форма'!A203</f>
        <v>144</v>
      </c>
      <c r="B203" s="1376">
        <f>COUNTIFS($C$8:C203,"*ПС*",$L$8:L203,"*закрыт*")</f>
        <v>15</v>
      </c>
      <c r="C203" s="84" t="str">
        <f>'Расчет ЦП - общая форма'!C203</f>
        <v xml:space="preserve">ПС 110/35/10 кВ Роща </v>
      </c>
      <c r="D203" s="230">
        <f>'Расчет ЦП - общая форма'!D203</f>
        <v>10</v>
      </c>
      <c r="E203" s="229" t="str">
        <f>'Расчет ЦП - общая форма'!E203</f>
        <v>+</v>
      </c>
      <c r="F203" s="229">
        <f>'Расчет ЦП - общая форма'!F203</f>
        <v>10</v>
      </c>
      <c r="G203" s="229">
        <f>'Расчет ЦП - общая форма'!G203</f>
        <v>0</v>
      </c>
      <c r="H203" s="229">
        <f>'Расчет ЦП - общая форма'!H203</f>
        <v>0</v>
      </c>
      <c r="I203" s="23">
        <f>'Расчет ЦП - общая форма'!Q203</f>
        <v>5.88</v>
      </c>
      <c r="J203" s="1380">
        <f>'Расчет ЦП - общая форма'!R203</f>
        <v>5.88</v>
      </c>
      <c r="K203" s="1362" t="str">
        <f>'Расчет ЦП - общая форма'!S203</f>
        <v/>
      </c>
      <c r="L203" s="257" t="str">
        <f>'Расчет ЦП - общая форма'!T203</f>
        <v/>
      </c>
      <c r="M203" s="1362">
        <f>'Расчет ЦП - общая форма'!U203</f>
        <v>45.61904761904762</v>
      </c>
      <c r="N203" s="919"/>
      <c r="O203" s="919"/>
      <c r="P203" s="919"/>
    </row>
    <row r="204" spans="1:16" s="232" customFormat="1" ht="30" hidden="1" customHeight="1" x14ac:dyDescent="0.25">
      <c r="A204" s="1375">
        <f>'Расчет ЦП - общая форма'!A204</f>
        <v>0</v>
      </c>
      <c r="B204" s="1393"/>
      <c r="C204" s="84" t="str">
        <f>'Расчет ЦП - общая форма'!C204</f>
        <v xml:space="preserve">Ном. Мощность СН, МВА </v>
      </c>
      <c r="D204" s="230">
        <f>'Расчет ЦП - общая форма'!D204</f>
        <v>10</v>
      </c>
      <c r="E204" s="229" t="str">
        <f>'Расчет ЦП - общая форма'!E204</f>
        <v>+</v>
      </c>
      <c r="F204" s="229">
        <f>'Расчет ЦП - общая форма'!F204</f>
        <v>10</v>
      </c>
      <c r="G204" s="229">
        <f>'Расчет ЦП - общая форма'!G204</f>
        <v>0</v>
      </c>
      <c r="H204" s="229">
        <f>'Расчет ЦП - общая форма'!H204</f>
        <v>0</v>
      </c>
      <c r="I204" s="23">
        <f>'Расчет ЦП - общая форма'!Q204</f>
        <v>9.66</v>
      </c>
      <c r="J204" s="1380">
        <f>'Расчет ЦП - общая форма'!R204</f>
        <v>0</v>
      </c>
      <c r="K204" s="1363" t="str">
        <f>'Расчет ЦП - общая форма'!S204</f>
        <v/>
      </c>
      <c r="L204" s="257" t="str">
        <f>'Расчет ЦП - общая форма'!T204</f>
        <v/>
      </c>
      <c r="M204" s="1363">
        <f>'Расчет ЦП - общая форма'!U204</f>
        <v>0</v>
      </c>
      <c r="N204" s="919"/>
      <c r="O204" s="919"/>
      <c r="P204" s="919"/>
    </row>
    <row r="205" spans="1:16" s="232" customFormat="1" ht="30" hidden="1" customHeight="1" x14ac:dyDescent="0.25">
      <c r="A205" s="1375">
        <f>'Расчет ЦП - общая форма'!A205</f>
        <v>0</v>
      </c>
      <c r="B205" s="1394"/>
      <c r="C205" s="84" t="str">
        <f>'Расчет ЦП - общая форма'!C205</f>
        <v>Ном. мощность НН, МВА</v>
      </c>
      <c r="D205" s="230">
        <f>'Расчет ЦП - общая форма'!D205</f>
        <v>10</v>
      </c>
      <c r="E205" s="229" t="str">
        <f>'Расчет ЦП - общая форма'!E205</f>
        <v>+</v>
      </c>
      <c r="F205" s="229">
        <f>'Расчет ЦП - общая форма'!F205</f>
        <v>10</v>
      </c>
      <c r="G205" s="229">
        <f>'Расчет ЦП - общая форма'!G205</f>
        <v>0</v>
      </c>
      <c r="H205" s="229">
        <f>'Расчет ЦП - общая форма'!H205</f>
        <v>0</v>
      </c>
      <c r="I205" s="23">
        <f>'Расчет ЦП - общая форма'!Q205</f>
        <v>6.7200000000000006</v>
      </c>
      <c r="J205" s="1380">
        <f>'Расчет ЦП - общая форма'!R205</f>
        <v>0</v>
      </c>
      <c r="K205" s="1363" t="str">
        <f>'Расчет ЦП - общая форма'!S205</f>
        <v/>
      </c>
      <c r="L205" s="257" t="str">
        <f>'Расчет ЦП - общая форма'!T205</f>
        <v/>
      </c>
      <c r="M205" s="1363">
        <f>'Расчет ЦП - общая форма'!U205</f>
        <v>0</v>
      </c>
      <c r="N205" s="919"/>
      <c r="O205" s="919"/>
      <c r="P205" s="919"/>
    </row>
    <row r="206" spans="1:16" s="232" customFormat="1" ht="15" hidden="1" customHeight="1" x14ac:dyDescent="0.25">
      <c r="A206" s="213">
        <f>'Расчет ЦП - общая форма'!A206</f>
        <v>145</v>
      </c>
      <c r="B206" s="213">
        <f>COUNTIFS($C$8:C206,"*ПС*",$L$8:L206,"*закрыт*")</f>
        <v>15</v>
      </c>
      <c r="C206" s="213" t="str">
        <f>'Расчет ЦП - общая форма'!C206</f>
        <v>ПС 110/10 кВ Бибирево</v>
      </c>
      <c r="D206" s="230">
        <f>'Расчет ЦП - общая форма'!D206</f>
        <v>2.5</v>
      </c>
      <c r="E206" s="229">
        <f>'Расчет ЦП - общая форма'!E206</f>
        <v>0</v>
      </c>
      <c r="F206" s="229">
        <f>'Расчет ЦП - общая форма'!F206</f>
        <v>0</v>
      </c>
      <c r="G206" s="229">
        <f>'Расчет ЦП - общая форма'!G206</f>
        <v>0</v>
      </c>
      <c r="H206" s="229">
        <f>'Расчет ЦП - общая форма'!H206</f>
        <v>0</v>
      </c>
      <c r="I206" s="172">
        <f>'Расчет ЦП - общая форма'!Q206</f>
        <v>1.1766200000000002</v>
      </c>
      <c r="J206" s="172">
        <f>'Расчет ЦП - общая форма'!R206</f>
        <v>1.1766200000000002</v>
      </c>
      <c r="K206" s="768" t="str">
        <f>'Расчет ЦП - общая форма'!S206</f>
        <v/>
      </c>
      <c r="L206" s="257" t="str">
        <f>'Расчет ЦП - общая форма'!T206</f>
        <v/>
      </c>
      <c r="M206" s="768">
        <f>'Расчет ЦП - общая форма'!U206</f>
        <v>6.9859047619047612</v>
      </c>
      <c r="N206" s="919"/>
      <c r="O206" s="919"/>
      <c r="P206" s="919"/>
    </row>
    <row r="207" spans="1:16" s="232" customFormat="1" ht="15" hidden="1" customHeight="1" x14ac:dyDescent="0.25">
      <c r="A207" s="213">
        <f>'Расчет ЦП - общая форма'!A207</f>
        <v>146</v>
      </c>
      <c r="B207" s="213">
        <f>COUNTIFS($C$8:C207,"*ПС*",$L$8:L207,"*закрыт*")</f>
        <v>15</v>
      </c>
      <c r="C207" s="213" t="str">
        <f>'Расчет ЦП - общая форма'!C207</f>
        <v>ПС 35/10 кВ Бор</v>
      </c>
      <c r="D207" s="230">
        <f>'Расчет ЦП - общая форма'!D207</f>
        <v>1.6</v>
      </c>
      <c r="E207" s="229">
        <f>'Расчет ЦП - общая форма'!E207</f>
        <v>0</v>
      </c>
      <c r="F207" s="229">
        <f>'Расчет ЦП - общая форма'!F207</f>
        <v>0</v>
      </c>
      <c r="G207" s="229">
        <f>'Расчет ЦП - общая форма'!G207</f>
        <v>0</v>
      </c>
      <c r="H207" s="229">
        <f>'Расчет ЦП - общая форма'!H207</f>
        <v>0</v>
      </c>
      <c r="I207" s="172">
        <f>'Расчет ЦП - общая форма'!Q207</f>
        <v>0.70404</v>
      </c>
      <c r="J207" s="172">
        <f>'Расчет ЦП - общая форма'!R207</f>
        <v>0.70404</v>
      </c>
      <c r="K207" s="768" t="str">
        <f>'Расчет ЦП - общая форма'!S207</f>
        <v/>
      </c>
      <c r="L207" s="257" t="str">
        <f>'Расчет ЦП - общая форма'!T207</f>
        <v/>
      </c>
      <c r="M207" s="768">
        <f>'Расчет ЦП - общая форма'!U207</f>
        <v>25.949999999999996</v>
      </c>
      <c r="N207" s="919"/>
      <c r="O207" s="919"/>
      <c r="P207" s="919"/>
    </row>
    <row r="208" spans="1:16" s="232" customFormat="1" ht="15" hidden="1" customHeight="1" x14ac:dyDescent="0.25">
      <c r="A208" s="213">
        <f>'Расчет ЦП - общая форма'!A208</f>
        <v>147</v>
      </c>
      <c r="B208" s="213">
        <f>COUNTIFS($C$8:C208,"*ПС*",$L$8:L208,"*закрыт*")</f>
        <v>15</v>
      </c>
      <c r="C208" s="213" t="str">
        <f>'Расчет ЦП - общая форма'!C208</f>
        <v>ПС 110/10 кВ Воробьи</v>
      </c>
      <c r="D208" s="230">
        <f>'Расчет ЦП - общая форма'!D208</f>
        <v>2.5</v>
      </c>
      <c r="E208" s="229">
        <f>'Расчет ЦП - общая форма'!E208</f>
        <v>0</v>
      </c>
      <c r="F208" s="229">
        <f>'Расчет ЦП - общая форма'!F208</f>
        <v>0</v>
      </c>
      <c r="G208" s="229">
        <f>'Расчет ЦП - общая форма'!G208</f>
        <v>0</v>
      </c>
      <c r="H208" s="229">
        <f>'Расчет ЦП - общая форма'!H208</f>
        <v>0</v>
      </c>
      <c r="I208" s="172">
        <f>'Расчет ЦП - общая форма'!Q208</f>
        <v>0.77969999999999995</v>
      </c>
      <c r="J208" s="172">
        <f>'Расчет ЦП - общая форма'!R208</f>
        <v>0.77969999999999995</v>
      </c>
      <c r="K208" s="768" t="str">
        <f>'Расчет ЦП - общая форма'!S208</f>
        <v/>
      </c>
      <c r="L208" s="257" t="str">
        <f>'Расчет ЦП - общая форма'!T208</f>
        <v/>
      </c>
      <c r="M208" s="768">
        <f>'Расчет ЦП - общая форма'!U208</f>
        <v>7.2495238095238097</v>
      </c>
      <c r="N208" s="919"/>
      <c r="O208" s="919"/>
      <c r="P208" s="919"/>
    </row>
    <row r="209" spans="1:16" ht="20.100000000000001" customHeight="1" x14ac:dyDescent="0.25">
      <c r="A209" s="213">
        <f>'Расчет ЦП - общая форма'!A209</f>
        <v>148</v>
      </c>
      <c r="B209" s="213">
        <f>COUNTIFS($C$8:C209,"*ПС*",$L$8:L209,"*закрыт*")</f>
        <v>16</v>
      </c>
      <c r="C209" s="213" t="str">
        <f>'Расчет ЦП - общая форма'!C209</f>
        <v>ПС 35/10 кВ Глазомичи</v>
      </c>
      <c r="D209" s="230">
        <f>'Расчет ЦП - общая форма'!D209</f>
        <v>2.5</v>
      </c>
      <c r="E209" s="229">
        <f>'Расчет ЦП - общая форма'!E209</f>
        <v>0</v>
      </c>
      <c r="F209" s="229">
        <f>'Расчет ЦП - общая форма'!F209</f>
        <v>0</v>
      </c>
      <c r="G209" s="229">
        <f>'Расчет ЦП - общая форма'!G209</f>
        <v>0</v>
      </c>
      <c r="H209" s="229">
        <f>'Расчет ЦП - общая форма'!H209</f>
        <v>0</v>
      </c>
      <c r="I209" s="172">
        <f>'Расчет ЦП - общая форма'!Q209</f>
        <v>-0.22213199999999997</v>
      </c>
      <c r="J209" s="172">
        <f>'Расчет ЦП - общая форма'!R209</f>
        <v>-0.22213199999999997</v>
      </c>
      <c r="K209" s="213" t="str">
        <f>'Расчет ЦП - общая форма'!S209</f>
        <v>закрыт</v>
      </c>
      <c r="L209" s="257" t="str">
        <f>'Расчет ЦП - общая форма'!T209</f>
        <v>закрыт</v>
      </c>
      <c r="M209" s="768">
        <f>'Расчет ЦП - общая форма'!U209</f>
        <v>8.4621714285714269</v>
      </c>
      <c r="N209" s="924"/>
      <c r="O209" s="924"/>
      <c r="P209" s="924"/>
    </row>
    <row r="210" spans="1:16" ht="20.100000000000001" customHeight="1" x14ac:dyDescent="0.25">
      <c r="A210" s="213">
        <f>'Расчет ЦП - общая форма'!A210</f>
        <v>149</v>
      </c>
      <c r="B210" s="213">
        <f>COUNTIFS($C$8:C210,"*ПС*",$L$8:L210,"*закрыт*")</f>
        <v>17</v>
      </c>
      <c r="C210" s="213" t="str">
        <f>'Расчет ЦП - общая форма'!C210</f>
        <v>ПС 35/10 кВ Жарки</v>
      </c>
      <c r="D210" s="230">
        <f>'Расчет ЦП - общая форма'!D210</f>
        <v>10</v>
      </c>
      <c r="E210" s="229">
        <f>'Расчет ЦП - общая форма'!E210</f>
        <v>0</v>
      </c>
      <c r="F210" s="229">
        <f>'Расчет ЦП - общая форма'!F210</f>
        <v>0</v>
      </c>
      <c r="G210" s="229">
        <f>'Расчет ЦП - общая форма'!G210</f>
        <v>0</v>
      </c>
      <c r="H210" s="229">
        <f>'Расчет ЦП - общая форма'!H210</f>
        <v>0</v>
      </c>
      <c r="I210" s="172">
        <f>'Расчет ЦП - общая форма'!Q210</f>
        <v>-2.3614499999999996</v>
      </c>
      <c r="J210" s="172">
        <f>'Расчет ЦП - общая форма'!R210</f>
        <v>-2.3614499999999996</v>
      </c>
      <c r="K210" s="213" t="str">
        <f>'Расчет ЦП - общая форма'!S210</f>
        <v>закрыт</v>
      </c>
      <c r="L210" s="257" t="str">
        <f>'Расчет ЦП - общая форма'!T210</f>
        <v>закрыт</v>
      </c>
      <c r="M210" s="768">
        <f>'Расчет ЦП - общая форма'!U210</f>
        <v>22.489999999999995</v>
      </c>
      <c r="N210" s="924"/>
      <c r="O210" s="924"/>
      <c r="P210" s="924"/>
    </row>
    <row r="211" spans="1:16" s="232" customFormat="1" ht="15" hidden="1" customHeight="1" x14ac:dyDescent="0.25">
      <c r="A211" s="213">
        <f>'Расчет ЦП - общая форма'!A211</f>
        <v>150</v>
      </c>
      <c r="B211" s="213">
        <f>COUNTIFS($C$8:C211,"*ПС*",$L$8:L211,"*закрыт*")</f>
        <v>17</v>
      </c>
      <c r="C211" s="213" t="str">
        <f>'Расчет ЦП - общая форма'!C211</f>
        <v>ПС 35/10 кВ Земцы</v>
      </c>
      <c r="D211" s="230">
        <f>'Расчет ЦП - общая форма'!D211</f>
        <v>2.5</v>
      </c>
      <c r="E211" s="229">
        <f>'Расчет ЦП - общая форма'!E211</f>
        <v>0</v>
      </c>
      <c r="F211" s="229">
        <f>'Расчет ЦП - общая форма'!F211</f>
        <v>0</v>
      </c>
      <c r="G211" s="229">
        <f>'Расчет ЦП - общая форма'!G211</f>
        <v>0</v>
      </c>
      <c r="H211" s="229">
        <f>'Расчет ЦП - общая форма'!H211</f>
        <v>0</v>
      </c>
      <c r="I211" s="172">
        <f>'Расчет ЦП - общая форма'!Q211</f>
        <v>0.79156500000000007</v>
      </c>
      <c r="J211" s="172">
        <f>'Расчет ЦП - общая форма'!R211</f>
        <v>0.79156500000000007</v>
      </c>
      <c r="K211" s="213" t="str">
        <f>'Расчет ЦП - общая форма'!S211</f>
        <v/>
      </c>
      <c r="L211" s="257" t="str">
        <f>'Расчет ЦП - общая форма'!T211</f>
        <v/>
      </c>
      <c r="M211" s="768">
        <f>'Расчет ЦП - общая форма'!U211</f>
        <v>26.987999999999996</v>
      </c>
      <c r="N211" s="919"/>
      <c r="O211" s="919"/>
      <c r="P211" s="919"/>
    </row>
    <row r="212" spans="1:16" s="232" customFormat="1" ht="15" hidden="1" customHeight="1" x14ac:dyDescent="0.25">
      <c r="A212" s="213">
        <f>'Расчет ЦП - общая форма'!A212</f>
        <v>151</v>
      </c>
      <c r="B212" s="213">
        <f>COUNTIFS($C$8:C212,"*ПС*",$L$8:L212,"*закрыт*")</f>
        <v>17</v>
      </c>
      <c r="C212" s="213" t="str">
        <f>'Расчет ЦП - общая форма'!C212</f>
        <v>ПС 35/10 кВ Ковалево</v>
      </c>
      <c r="D212" s="230">
        <f>'Расчет ЦП - общая форма'!D212</f>
        <v>2.5</v>
      </c>
      <c r="E212" s="229">
        <f>'Расчет ЦП - общая форма'!E212</f>
        <v>0</v>
      </c>
      <c r="F212" s="229">
        <f>'Расчет ЦП - общая форма'!F212</f>
        <v>0</v>
      </c>
      <c r="G212" s="229">
        <f>'Расчет ЦП - общая форма'!G212</f>
        <v>0</v>
      </c>
      <c r="H212" s="229">
        <f>'Расчет ЦП - общая форма'!H212</f>
        <v>0</v>
      </c>
      <c r="I212" s="172">
        <f>'Расчет ЦП - общая форма'!Q212</f>
        <v>0.24447599999999997</v>
      </c>
      <c r="J212" s="172">
        <f>'Расчет ЦП - общая форма'!R212</f>
        <v>0.24447599999999997</v>
      </c>
      <c r="K212" s="213" t="str">
        <f>'Расчет ЦП - общая форма'!S212</f>
        <v/>
      </c>
      <c r="L212" s="257" t="str">
        <f>'Расчет ЦП - общая форма'!T212</f>
        <v/>
      </c>
      <c r="M212" s="768">
        <f>'Расчет ЦП - общая форма'!U212</f>
        <v>7.8294857142857168</v>
      </c>
      <c r="N212" s="919"/>
      <c r="O212" s="919"/>
      <c r="P212" s="919"/>
    </row>
    <row r="213" spans="1:16" s="232" customFormat="1" ht="15" hidden="1" customHeight="1" x14ac:dyDescent="0.25">
      <c r="A213" s="213">
        <f>'Расчет ЦП - общая форма'!A213</f>
        <v>152</v>
      </c>
      <c r="B213" s="213">
        <f>COUNTIFS($C$8:C213,"*ПС*",$L$8:L213,"*закрыт*")</f>
        <v>17</v>
      </c>
      <c r="C213" s="213" t="str">
        <f>'Расчет ЦП - общая форма'!C213</f>
        <v>ПС 35/10 кВ Коротыши</v>
      </c>
      <c r="D213" s="230">
        <f>'Расчет ЦП - общая форма'!D213</f>
        <v>1.6</v>
      </c>
      <c r="E213" s="229">
        <f>'Расчет ЦП - общая форма'!E213</f>
        <v>0</v>
      </c>
      <c r="F213" s="229">
        <f>'Расчет ЦП - общая форма'!F213</f>
        <v>0</v>
      </c>
      <c r="G213" s="229">
        <f>'Расчет ЦП - общая форма'!G213</f>
        <v>0</v>
      </c>
      <c r="H213" s="229">
        <f>'Расчет ЦП - общая форма'!H213</f>
        <v>0</v>
      </c>
      <c r="I213" s="172">
        <f>'Расчет ЦП - общая форма'!Q213</f>
        <v>0.34822600000000009</v>
      </c>
      <c r="J213" s="172">
        <f>'Расчет ЦП - общая форма'!R213</f>
        <v>0.34822600000000009</v>
      </c>
      <c r="K213" s="213" t="str">
        <f>'Расчет ЦП - общая форма'!S213</f>
        <v/>
      </c>
      <c r="L213" s="257" t="str">
        <f>'Расчет ЦП - общая форма'!T213</f>
        <v/>
      </c>
      <c r="M213" s="768">
        <f>'Расчет ЦП - общая форма'!U213</f>
        <v>25.10559523809523</v>
      </c>
      <c r="N213" s="919"/>
      <c r="O213" s="919"/>
      <c r="P213" s="919"/>
    </row>
    <row r="214" spans="1:16" ht="20.100000000000001" hidden="1" customHeight="1" x14ac:dyDescent="0.25">
      <c r="A214" s="213">
        <f>'Расчет ЦП - общая форма'!A214</f>
        <v>153</v>
      </c>
      <c r="B214" s="213">
        <f>COUNTIFS($C$8:C214,"*ПС*",$L$8:L214,"*закрыт*")</f>
        <v>17</v>
      </c>
      <c r="C214" s="213" t="str">
        <f>'Расчет ЦП - общая форма'!C214</f>
        <v>ПС 110/10 кВ Монино</v>
      </c>
      <c r="D214" s="230">
        <f>'Расчет ЦП - общая форма'!D214</f>
        <v>6.3</v>
      </c>
      <c r="E214" s="229">
        <f>'Расчет ЦП - общая форма'!E214</f>
        <v>0</v>
      </c>
      <c r="F214" s="229">
        <f>'Расчет ЦП - общая форма'!F214</f>
        <v>0</v>
      </c>
      <c r="G214" s="229">
        <f>'Расчет ЦП - общая форма'!G214</f>
        <v>0</v>
      </c>
      <c r="H214" s="229">
        <f>'Расчет ЦП - общая форма'!H214</f>
        <v>0</v>
      </c>
      <c r="I214" s="172">
        <f>'Расчет ЦП - общая форма'!Q214</f>
        <v>1.3711099999999998</v>
      </c>
      <c r="J214" s="172">
        <f>'Расчет ЦП - общая форма'!R214</f>
        <v>1.3711099999999998</v>
      </c>
      <c r="K214" s="213" t="str">
        <f>'Расчет ЦП - общая форма'!S214</f>
        <v/>
      </c>
      <c r="L214" s="257" t="str">
        <f>'Расчет ЦП - общая форма'!T214</f>
        <v/>
      </c>
      <c r="M214" s="768">
        <f>'Расчет ЦП - общая форма'!U214</f>
        <v>18.123809523809523</v>
      </c>
      <c r="N214" s="919"/>
      <c r="O214" s="919"/>
      <c r="P214" s="919"/>
    </row>
    <row r="215" spans="1:16" ht="20.100000000000001" hidden="1" customHeight="1" x14ac:dyDescent="0.25">
      <c r="A215" s="213">
        <f>'Расчет ЦП - общая форма'!A215</f>
        <v>154</v>
      </c>
      <c r="B215" s="213">
        <f>COUNTIFS($C$8:C215,"*ПС*",$L$8:L215,"*закрыт*")</f>
        <v>17</v>
      </c>
      <c r="C215" s="213" t="str">
        <f>'Расчет ЦП - общая форма'!C215</f>
        <v>ПС 35/10 кВ Озерец</v>
      </c>
      <c r="D215" s="230">
        <f>'Расчет ЦП - общая форма'!D215</f>
        <v>1</v>
      </c>
      <c r="E215" s="229">
        <f>'Расчет ЦП - общая форма'!E215</f>
        <v>0</v>
      </c>
      <c r="F215" s="229">
        <f>'Расчет ЦП - общая форма'!F215</f>
        <v>0</v>
      </c>
      <c r="G215" s="229">
        <f>'Расчет ЦП - общая форма'!G215</f>
        <v>0</v>
      </c>
      <c r="H215" s="229">
        <f>'Расчет ЦП - общая форма'!H215</f>
        <v>0</v>
      </c>
      <c r="I215" s="172">
        <f>'Расчет ЦП - общая форма'!Q215</f>
        <v>0.45662000000000003</v>
      </c>
      <c r="J215" s="172">
        <f>'Расчет ЦП - общая форма'!R215</f>
        <v>0.45662000000000003</v>
      </c>
      <c r="K215" s="213" t="str">
        <f>'Расчет ЦП - общая форма'!S215</f>
        <v/>
      </c>
      <c r="L215" s="257" t="str">
        <f>'Расчет ЦП - общая форма'!T215</f>
        <v/>
      </c>
      <c r="M215" s="768">
        <f>'Расчет ЦП - общая форма'!U215</f>
        <v>17.4647619047619</v>
      </c>
      <c r="N215" s="924"/>
      <c r="O215" s="924"/>
      <c r="P215" s="924"/>
    </row>
    <row r="216" spans="1:16" s="232" customFormat="1" ht="30" hidden="1" customHeight="1" x14ac:dyDescent="0.25">
      <c r="A216" s="213">
        <f>'Расчет ЦП - общая форма'!A216</f>
        <v>155</v>
      </c>
      <c r="B216" s="213">
        <f>COUNTIFS($C$8:C216,"*ПС*",$L$8:L216,"*закрыт*")</f>
        <v>17</v>
      </c>
      <c r="C216" s="213" t="str">
        <f>'Расчет ЦП - общая форма'!C216</f>
        <v>ПС 35/10 кВ Пожня</v>
      </c>
      <c r="D216" s="230">
        <f>'Расчет ЦП - общая форма'!D216</f>
        <v>1.6</v>
      </c>
      <c r="E216" s="229">
        <f>'Расчет ЦП - общая форма'!E216</f>
        <v>0</v>
      </c>
      <c r="F216" s="229">
        <f>'Расчет ЦП - общая форма'!F216</f>
        <v>0</v>
      </c>
      <c r="G216" s="229">
        <f>'Расчет ЦП - общая форма'!G216</f>
        <v>0</v>
      </c>
      <c r="H216" s="229">
        <f>'Расчет ЦП - общая форма'!H216</f>
        <v>0</v>
      </c>
      <c r="I216" s="172">
        <f>'Расчет ЦП - общая форма'!Q216</f>
        <v>0.30134</v>
      </c>
      <c r="J216" s="172">
        <f>'Расчет ЦП - общая форма'!R216</f>
        <v>0.30134</v>
      </c>
      <c r="K216" s="213" t="str">
        <f>'Расчет ЦП - общая форма'!S216</f>
        <v/>
      </c>
      <c r="L216" s="257" t="str">
        <f>'Расчет ЦП - общая форма'!T216</f>
        <v/>
      </c>
      <c r="M216" s="768">
        <f>'Расчет ЦП - общая форма'!U216</f>
        <v>24.920238095238094</v>
      </c>
      <c r="N216" s="919"/>
      <c r="O216" s="919"/>
      <c r="P216" s="919"/>
    </row>
    <row r="217" spans="1:16" s="232" customFormat="1" ht="15" hidden="1" customHeight="1" x14ac:dyDescent="0.25">
      <c r="A217" s="213">
        <f>'Расчет ЦП - общая форма'!A217</f>
        <v>156</v>
      </c>
      <c r="B217" s="213">
        <f>COUNTIFS($C$8:C217,"*ПС*",$L$8:L217,"*закрыт*")</f>
        <v>17</v>
      </c>
      <c r="C217" s="213" t="str">
        <f>'Расчет ЦП - общая форма'!C217</f>
        <v>ПС 35/10 кВ Половцово</v>
      </c>
      <c r="D217" s="230">
        <f>'Расчет ЦП - общая форма'!D217</f>
        <v>1.6</v>
      </c>
      <c r="E217" s="229">
        <f>'Расчет ЦП - общая форма'!E217</f>
        <v>0</v>
      </c>
      <c r="F217" s="229">
        <f>'Расчет ЦП - общая форма'!F217</f>
        <v>0</v>
      </c>
      <c r="G217" s="229">
        <f>'Расчет ЦП - общая форма'!G217</f>
        <v>0</v>
      </c>
      <c r="H217" s="229">
        <f>'Расчет ЦП - общая форма'!H217</f>
        <v>0</v>
      </c>
      <c r="I217" s="172">
        <f>'Расчет ЦП - общая форма'!Q217</f>
        <v>1.23</v>
      </c>
      <c r="J217" s="172">
        <f>'Расчет ЦП - общая форма'!R217</f>
        <v>1.23</v>
      </c>
      <c r="K217" s="213" t="str">
        <f>'Расчет ЦП - общая форма'!S217</f>
        <v/>
      </c>
      <c r="L217" s="257" t="str">
        <f>'Расчет ЦП - общая форма'!T217</f>
        <v/>
      </c>
      <c r="M217" s="768">
        <f>'Расчет ЦП - общая форма'!U217</f>
        <v>29.761904761904759</v>
      </c>
      <c r="N217" s="919"/>
      <c r="O217" s="919"/>
      <c r="P217" s="919"/>
    </row>
    <row r="218" spans="1:16" ht="20.100000000000001" hidden="1" customHeight="1" x14ac:dyDescent="0.25">
      <c r="A218" s="213">
        <f>'Расчет ЦП - общая форма'!A218</f>
        <v>157</v>
      </c>
      <c r="B218" s="213">
        <f>COUNTIFS($C$8:C218,"*ПС*",$L$8:L218,"*закрыт*")</f>
        <v>17</v>
      </c>
      <c r="C218" s="213" t="str">
        <f>'Расчет ЦП - общая форма'!C218</f>
        <v>ПС 110/10 кВ Понизовье</v>
      </c>
      <c r="D218" s="230">
        <f>'Расчет ЦП - общая форма'!D218</f>
        <v>2.5</v>
      </c>
      <c r="E218" s="229">
        <f>'Расчет ЦП - общая форма'!E218</f>
        <v>0</v>
      </c>
      <c r="F218" s="229">
        <f>'Расчет ЦП - общая форма'!F218</f>
        <v>0</v>
      </c>
      <c r="G218" s="229">
        <f>'Расчет ЦП - общая форма'!G218</f>
        <v>0</v>
      </c>
      <c r="H218" s="229">
        <f>'Расчет ЦП - общая форма'!H218</f>
        <v>0</v>
      </c>
      <c r="I218" s="172">
        <f>'Расчет ЦП - общая форма'!Q218</f>
        <v>1.9115779999999998</v>
      </c>
      <c r="J218" s="172">
        <f>'Расчет ЦП - общая форма'!R218</f>
        <v>1.9115779999999998</v>
      </c>
      <c r="K218" s="213" t="str">
        <f>'Расчет ЦП - общая форма'!S218</f>
        <v/>
      </c>
      <c r="L218" s="257" t="str">
        <f>'Расчет ЦП - общая форма'!T218</f>
        <v/>
      </c>
      <c r="M218" s="768">
        <f>'Расчет ЦП - общая форма'!U218</f>
        <v>13.273219047619047</v>
      </c>
      <c r="N218" s="919"/>
      <c r="O218" s="919"/>
      <c r="P218" s="919"/>
    </row>
    <row r="219" spans="1:16" s="232" customFormat="1" ht="15" hidden="1" customHeight="1" x14ac:dyDescent="0.25">
      <c r="A219" s="213">
        <f>'Расчет ЦП - общая форма'!A219</f>
        <v>158</v>
      </c>
      <c r="B219" s="213">
        <f>COUNTIFS($C$8:C219,"*ПС*",$L$8:L219,"*закрыт*")</f>
        <v>17</v>
      </c>
      <c r="C219" s="213" t="str">
        <f>'Расчет ЦП - общая форма'!C219</f>
        <v>ПС 35/10 кВ Синьково</v>
      </c>
      <c r="D219" s="230">
        <f>'Расчет ЦП - общая форма'!D219</f>
        <v>1</v>
      </c>
      <c r="E219" s="229">
        <f>'Расчет ЦП - общая форма'!E219</f>
        <v>0</v>
      </c>
      <c r="F219" s="229">
        <f>'Расчет ЦП - общая форма'!F219</f>
        <v>0</v>
      </c>
      <c r="G219" s="229">
        <f>'Расчет ЦП - общая форма'!G219</f>
        <v>0</v>
      </c>
      <c r="H219" s="229">
        <f>'Расчет ЦП - общая форма'!H219</f>
        <v>0</v>
      </c>
      <c r="I219" s="172">
        <f>'Расчет ЦП - общая форма'!Q219</f>
        <v>8.688499999999999E-2</v>
      </c>
      <c r="J219" s="172">
        <f>'Расчет ЦП - общая форма'!R219</f>
        <v>8.688499999999999E-2</v>
      </c>
      <c r="K219" s="213" t="str">
        <f>'Расчет ЦП - общая форма'!S219</f>
        <v/>
      </c>
      <c r="L219" s="257" t="str">
        <f>'Расчет ЦП - общая форма'!T219</f>
        <v/>
      </c>
      <c r="M219" s="768">
        <f>'Расчет ЦП - общая форма'!U219</f>
        <v>53.63</v>
      </c>
      <c r="N219" s="919"/>
      <c r="O219" s="919"/>
      <c r="P219" s="919"/>
    </row>
    <row r="220" spans="1:16" ht="20.100000000000001" customHeight="1" x14ac:dyDescent="0.25">
      <c r="A220" s="213">
        <f>'Расчет ЦП - общая форма'!A220</f>
        <v>159</v>
      </c>
      <c r="B220" s="213">
        <f>COUNTIFS($C$8:C220,"*ПС*",$L$8:L220,"*закрыт*")</f>
        <v>18</v>
      </c>
      <c r="C220" s="213" t="str">
        <f>'Расчет ЦП - общая форма'!C220</f>
        <v>ПС 35/10 кВ Улин</v>
      </c>
      <c r="D220" s="230">
        <f>'Расчет ЦП - общая форма'!D220</f>
        <v>1.6</v>
      </c>
      <c r="E220" s="229">
        <f>'Расчет ЦП - общая форма'!E220</f>
        <v>0</v>
      </c>
      <c r="F220" s="229">
        <f>'Расчет ЦП - общая форма'!F220</f>
        <v>0</v>
      </c>
      <c r="G220" s="229">
        <f>'Расчет ЦП - общая форма'!G220</f>
        <v>0</v>
      </c>
      <c r="H220" s="229">
        <f>'Расчет ЦП - общая форма'!H220</f>
        <v>0</v>
      </c>
      <c r="I220" s="172">
        <f>'Расчет ЦП - общая форма'!Q220</f>
        <v>-0.31468699999999994</v>
      </c>
      <c r="J220" s="172">
        <f>'Расчет ЦП - общая форма'!R220</f>
        <v>-0.31468699999999994</v>
      </c>
      <c r="K220" s="213" t="str">
        <f>'Расчет ЦП - общая форма'!S220</f>
        <v>закрыт</v>
      </c>
      <c r="L220" s="257" t="str">
        <f>'Расчет ЦП - общая форма'!T220</f>
        <v>закрыт</v>
      </c>
      <c r="M220" s="768">
        <f>'Расчет ЦП - общая форма'!U220</f>
        <v>18.731369047619044</v>
      </c>
      <c r="N220" s="924"/>
      <c r="O220" s="924"/>
      <c r="P220" s="924"/>
    </row>
    <row r="221" spans="1:16" s="232" customFormat="1" ht="15" hidden="1" customHeight="1" x14ac:dyDescent="0.25">
      <c r="A221" s="213">
        <f>'Расчет ЦП - общая форма'!A221</f>
        <v>160</v>
      </c>
      <c r="B221" s="213">
        <f>COUNTIFS($C$8:C221,"*ПС*",$L$8:L221,"*закрыт*")</f>
        <v>18</v>
      </c>
      <c r="C221" s="213" t="str">
        <f>'Расчет ЦП - общая форма'!C221</f>
        <v>ПС 35/10 кВ Кавельщино</v>
      </c>
      <c r="D221" s="230">
        <f>'Расчет ЦП - общая форма'!D221</f>
        <v>2.5</v>
      </c>
      <c r="E221" s="229">
        <f>'Расчет ЦП - общая форма'!E221</f>
        <v>0</v>
      </c>
      <c r="F221" s="229">
        <f>'Расчет ЦП - общая форма'!F221</f>
        <v>0</v>
      </c>
      <c r="G221" s="229">
        <f>'Расчет ЦП - общая форма'!G221</f>
        <v>0</v>
      </c>
      <c r="H221" s="229">
        <f>'Расчет ЦП - общая форма'!H221</f>
        <v>0</v>
      </c>
      <c r="I221" s="172">
        <f>'Расчет ЦП - общая форма'!Q221</f>
        <v>1.5483499999999999</v>
      </c>
      <c r="J221" s="172">
        <f>'Расчет ЦП - общая форма'!R221</f>
        <v>1.5483499999999999</v>
      </c>
      <c r="K221" s="768" t="str">
        <f>'Расчет ЦП - общая форма'!S221</f>
        <v/>
      </c>
      <c r="L221" s="257" t="str">
        <f>'Расчет ЦП - общая форма'!T221</f>
        <v/>
      </c>
      <c r="M221" s="768">
        <f>'Расчет ЦП - общая форма'!U221</f>
        <v>6.92</v>
      </c>
      <c r="N221" s="919"/>
      <c r="O221" s="919"/>
      <c r="P221" s="919"/>
    </row>
    <row r="222" spans="1:16" s="232" customFormat="1" ht="15" hidden="1" customHeight="1" x14ac:dyDescent="0.25">
      <c r="A222" s="213">
        <f>'Расчет ЦП - общая форма'!A222</f>
        <v>161</v>
      </c>
      <c r="B222" s="213">
        <f>COUNTIFS($C$8:C222,"*ПС*",$L$8:L222,"*закрыт*")</f>
        <v>18</v>
      </c>
      <c r="C222" s="213" t="str">
        <f>'Расчет ЦП - общая форма'!C222</f>
        <v>ПС 35/10 кВ Бологово</v>
      </c>
      <c r="D222" s="230">
        <f>'Расчет ЦП - общая форма'!D222</f>
        <v>1.6</v>
      </c>
      <c r="E222" s="229" t="str">
        <f>'Расчет ЦП - общая форма'!E222</f>
        <v>+</v>
      </c>
      <c r="F222" s="229">
        <f>'Расчет ЦП - общая форма'!F222</f>
        <v>2.5</v>
      </c>
      <c r="G222" s="229">
        <f>'Расчет ЦП - общая форма'!G222</f>
        <v>0</v>
      </c>
      <c r="H222" s="229">
        <f>'Расчет ЦП - общая форма'!H222</f>
        <v>0</v>
      </c>
      <c r="I222" s="172">
        <f>'Расчет ЦП - общая форма'!Q222</f>
        <v>1.237895</v>
      </c>
      <c r="J222" s="172">
        <f>'Расчет ЦП - общая форма'!R222</f>
        <v>1.237895</v>
      </c>
      <c r="K222" s="768" t="str">
        <f>'Расчет ЦП - общая форма'!S222</f>
        <v/>
      </c>
      <c r="L222" s="257" t="str">
        <f>'Расчет ЦП - общая форма'!T222</f>
        <v/>
      </c>
      <c r="M222" s="768">
        <f>'Расчет ЦП - общая форма'!U222</f>
        <v>40.006250000000001</v>
      </c>
      <c r="N222" s="919"/>
      <c r="O222" s="919"/>
      <c r="P222" s="919"/>
    </row>
    <row r="223" spans="1:16" s="232" customFormat="1" ht="15" hidden="1" customHeight="1" x14ac:dyDescent="0.25">
      <c r="A223" s="213">
        <f>'Расчет ЦП - общая форма'!A223</f>
        <v>162</v>
      </c>
      <c r="B223" s="213">
        <f>COUNTIFS($C$8:C223,"*ПС*",$L$8:L223,"*закрыт*")</f>
        <v>18</v>
      </c>
      <c r="C223" s="213" t="str">
        <f>'Расчет ЦП - общая форма'!C223</f>
        <v>ПС 35/10 кВ Верховье</v>
      </c>
      <c r="D223" s="230">
        <f>'Расчет ЦП - общая форма'!D223</f>
        <v>1</v>
      </c>
      <c r="E223" s="229" t="str">
        <f>'Расчет ЦП - общая форма'!E223</f>
        <v>+</v>
      </c>
      <c r="F223" s="229">
        <f>'Расчет ЦП - общая форма'!F223</f>
        <v>2.5</v>
      </c>
      <c r="G223" s="229">
        <f>'Расчет ЦП - общая форма'!G223</f>
        <v>0</v>
      </c>
      <c r="H223" s="229">
        <f>'Расчет ЦП - общая форма'!H223</f>
        <v>0</v>
      </c>
      <c r="I223" s="172">
        <f>'Расчет ЦП - общая форма'!Q223</f>
        <v>1.01468</v>
      </c>
      <c r="J223" s="172">
        <f>'Расчет ЦП - общая форма'!R223</f>
        <v>1.01468</v>
      </c>
      <c r="K223" s="768" t="str">
        <f>'Расчет ЦП - общая форма'!S223</f>
        <v/>
      </c>
      <c r="L223" s="257" t="str">
        <f>'Расчет ЦП - общая форма'!T223</f>
        <v/>
      </c>
      <c r="M223" s="768">
        <f>'Расчет ЦП - общая форма'!U223</f>
        <v>13.84</v>
      </c>
      <c r="N223" s="919"/>
      <c r="O223" s="919"/>
      <c r="P223" s="919"/>
    </row>
    <row r="224" spans="1:16" s="232" customFormat="1" ht="15" hidden="1" customHeight="1" x14ac:dyDescent="0.25">
      <c r="A224" s="213">
        <f>'Расчет ЦП - общая форма'!A224</f>
        <v>163</v>
      </c>
      <c r="B224" s="213">
        <f>COUNTIFS($C$8:C224,"*ПС*",$L$8:L224,"*закрыт*")</f>
        <v>18</v>
      </c>
      <c r="C224" s="213" t="str">
        <f>'Расчет ЦП - общая форма'!C224</f>
        <v>ПС 35/10 кВ Воскресенское</v>
      </c>
      <c r="D224" s="230">
        <f>'Расчет ЦП - общая форма'!D224</f>
        <v>1.6</v>
      </c>
      <c r="E224" s="229" t="str">
        <f>'Расчет ЦП - общая форма'!E224</f>
        <v>+</v>
      </c>
      <c r="F224" s="229">
        <f>'Расчет ЦП - общая форма'!F224</f>
        <v>1.6</v>
      </c>
      <c r="G224" s="229">
        <f>'Расчет ЦП - общая форма'!G224</f>
        <v>0</v>
      </c>
      <c r="H224" s="229">
        <f>'Расчет ЦП - общая форма'!H224</f>
        <v>0</v>
      </c>
      <c r="I224" s="172">
        <f>'Расчет ЦП - общая форма'!Q224</f>
        <v>1.6282260000000002</v>
      </c>
      <c r="J224" s="172">
        <f>'Расчет ЦП - общая форма'!R224</f>
        <v>1.6282260000000002</v>
      </c>
      <c r="K224" s="768" t="str">
        <f>'Расчет ЦП - общая форма'!S224</f>
        <v/>
      </c>
      <c r="L224" s="257" t="str">
        <f>'Расчет ЦП - общая форма'!T224</f>
        <v/>
      </c>
      <c r="M224" s="768">
        <f>'Расчет ЦП - общая форма'!U224</f>
        <v>25.10559523809523</v>
      </c>
      <c r="N224" s="919"/>
      <c r="O224" s="919"/>
      <c r="P224" s="919"/>
    </row>
    <row r="225" spans="1:16" s="232" customFormat="1" ht="15" hidden="1" customHeight="1" x14ac:dyDescent="0.25">
      <c r="A225" s="213">
        <f>'Расчет ЦП - общая форма'!A225</f>
        <v>164</v>
      </c>
      <c r="B225" s="213">
        <f>COUNTIFS($C$8:C225,"*ПС*",$L$8:L225,"*закрыт*")</f>
        <v>18</v>
      </c>
      <c r="C225" s="213" t="str">
        <f>'Расчет ЦП - общая форма'!C225</f>
        <v>ПС 35/10 кВ Дашково</v>
      </c>
      <c r="D225" s="230">
        <f>'Расчет ЦП - общая форма'!D225</f>
        <v>2.5</v>
      </c>
      <c r="E225" s="229" t="str">
        <f>'Расчет ЦП - общая форма'!E225</f>
        <v>+</v>
      </c>
      <c r="F225" s="229">
        <f>'Расчет ЦП - общая форма'!F225</f>
        <v>2.5</v>
      </c>
      <c r="G225" s="229">
        <f>'Расчет ЦП - общая форма'!G225</f>
        <v>0</v>
      </c>
      <c r="H225" s="229">
        <f>'Расчет ЦП - общая форма'!H225</f>
        <v>0</v>
      </c>
      <c r="I225" s="172">
        <f>'Расчет ЦП - общая форма'!Q225</f>
        <v>1.304608</v>
      </c>
      <c r="J225" s="172">
        <f>'Расчет ЦП - общая форма'!R225</f>
        <v>1.304608</v>
      </c>
      <c r="K225" s="768" t="str">
        <f>'Расчет ЦП - общая форма'!S225</f>
        <v/>
      </c>
      <c r="L225" s="257" t="str">
        <f>'Расчет ЦП - общая форма'!T225</f>
        <v/>
      </c>
      <c r="M225" s="768">
        <f>'Расчет ЦП - общая форма'!U225</f>
        <v>58.681599999999996</v>
      </c>
      <c r="N225" s="919"/>
      <c r="O225" s="919"/>
      <c r="P225" s="919"/>
    </row>
    <row r="226" spans="1:16" s="232" customFormat="1" ht="15" hidden="1" customHeight="1" x14ac:dyDescent="0.25">
      <c r="A226" s="213">
        <f>'Расчет ЦП - общая форма'!A226</f>
        <v>165</v>
      </c>
      <c r="B226" s="213">
        <f>COUNTIFS($C$8:C226,"*ПС*",$L$8:L226,"*закрыт*")</f>
        <v>18</v>
      </c>
      <c r="C226" s="213" t="str">
        <f>'Расчет ЦП - общая форма'!C226</f>
        <v>ПС 110/10 кВ Ерохино</v>
      </c>
      <c r="D226" s="230">
        <f>'Расчет ЦП - общая форма'!D226</f>
        <v>25</v>
      </c>
      <c r="E226" s="229" t="str">
        <f>'Расчет ЦП - общая форма'!E226</f>
        <v>+</v>
      </c>
      <c r="F226" s="229">
        <f>'Расчет ЦП - общая форма'!F226</f>
        <v>25</v>
      </c>
      <c r="G226" s="229">
        <f>'Расчет ЦП - общая форма'!G226</f>
        <v>0</v>
      </c>
      <c r="H226" s="229">
        <f>'Расчет ЦП - общая форма'!H226</f>
        <v>0</v>
      </c>
      <c r="I226" s="796">
        <f>'Расчет ЦП - общая форма'!Q226</f>
        <v>23.22</v>
      </c>
      <c r="J226" s="796">
        <f>'Расчет ЦП - общая форма'!R226</f>
        <v>23.22</v>
      </c>
      <c r="K226" s="797" t="str">
        <f>'Расчет ЦП - общая форма'!S226</f>
        <v/>
      </c>
      <c r="L226" s="257" t="str">
        <f>'Расчет ЦП - общая форма'!T226</f>
        <v/>
      </c>
      <c r="M226" s="797">
        <f>'Расчет ЦП - общая форма'!U226</f>
        <v>11.542857142857143</v>
      </c>
      <c r="N226" s="919"/>
      <c r="O226" s="919"/>
      <c r="P226" s="919"/>
    </row>
    <row r="227" spans="1:16" s="232" customFormat="1" ht="15" hidden="1" customHeight="1" x14ac:dyDescent="0.25">
      <c r="A227" s="213">
        <f>'Расчет ЦП - общая форма'!A227</f>
        <v>166</v>
      </c>
      <c r="B227" s="213">
        <f>COUNTIFS($C$8:C227,"*ПС*",$L$8:L227,"*закрыт*")</f>
        <v>18</v>
      </c>
      <c r="C227" s="213" t="str">
        <f>'Расчет ЦП - общая форма'!C227</f>
        <v>ПС 35/10 кВ Ильино</v>
      </c>
      <c r="D227" s="230">
        <f>'Расчет ЦП - общая форма'!D227</f>
        <v>1.6</v>
      </c>
      <c r="E227" s="229" t="str">
        <f>'Расчет ЦП - общая форма'!E227</f>
        <v>+</v>
      </c>
      <c r="F227" s="229">
        <f>'Расчет ЦП - общая форма'!F227</f>
        <v>2.5</v>
      </c>
      <c r="G227" s="229">
        <f>'Расчет ЦП - общая форма'!G227</f>
        <v>0</v>
      </c>
      <c r="H227" s="229">
        <f>'Расчет ЦП - общая форма'!H227</f>
        <v>0</v>
      </c>
      <c r="I227" s="172">
        <f>'Расчет ЦП - общая форма'!Q227</f>
        <v>1.1190900000000001</v>
      </c>
      <c r="J227" s="172">
        <f>'Расчет ЦП - общая форма'!R227</f>
        <v>1.1190900000000001</v>
      </c>
      <c r="K227" s="768" t="str">
        <f>'Расчет ЦП - общая форма'!S227</f>
        <v/>
      </c>
      <c r="L227" s="257" t="str">
        <f>'Расчет ЦП - общая форма'!T227</f>
        <v/>
      </c>
      <c r="M227" s="768">
        <f>'Расчет ЦП - общая форма'!U227</f>
        <v>58.387499999999989</v>
      </c>
      <c r="N227" s="919"/>
      <c r="O227" s="919"/>
      <c r="P227" s="919"/>
    </row>
    <row r="228" spans="1:16" s="232" customFormat="1" ht="15" hidden="1" customHeight="1" x14ac:dyDescent="0.25">
      <c r="A228" s="213">
        <f>'Расчет ЦП - общая форма'!A228</f>
        <v>167</v>
      </c>
      <c r="B228" s="213">
        <f>COUNTIFS($C$8:C228,"*ПС*",$L$8:L228,"*закрыт*")</f>
        <v>18</v>
      </c>
      <c r="C228" s="213" t="str">
        <f>'Расчет ЦП - общая форма'!C228</f>
        <v>ПС 35/10 кВ Плоскошь</v>
      </c>
      <c r="D228" s="230">
        <f>'Расчет ЦП - общая форма'!D228</f>
        <v>3.2</v>
      </c>
      <c r="E228" s="229" t="str">
        <f>'Расчет ЦП - общая форма'!E228</f>
        <v>+</v>
      </c>
      <c r="F228" s="229">
        <f>'Расчет ЦП - общая форма'!F228</f>
        <v>4</v>
      </c>
      <c r="G228" s="229">
        <f>'Расчет ЦП - общая форма'!G228</f>
        <v>0</v>
      </c>
      <c r="H228" s="229">
        <f>'Расчет ЦП - общая форма'!H228</f>
        <v>0</v>
      </c>
      <c r="I228" s="172">
        <f>'Расчет ЦП - общая форма'!Q228</f>
        <v>3.0036500000000004</v>
      </c>
      <c r="J228" s="172">
        <f>'Расчет ЦП - общая форма'!R228</f>
        <v>3.0036500000000004</v>
      </c>
      <c r="K228" s="768" t="str">
        <f>'Расчет ЦП - общая форма'!S228</f>
        <v/>
      </c>
      <c r="L228" s="257" t="str">
        <f>'Расчет ЦП - общая форма'!T228</f>
        <v/>
      </c>
      <c r="M228" s="768">
        <f>'Расчет ЦП - общая форма'!U228</f>
        <v>25.486607142857142</v>
      </c>
      <c r="N228" s="919"/>
      <c r="O228" s="919"/>
      <c r="P228" s="919"/>
    </row>
    <row r="229" spans="1:16" s="232" customFormat="1" ht="15" hidden="1" customHeight="1" x14ac:dyDescent="0.25">
      <c r="A229" s="213">
        <f>'Расчет ЦП - общая форма'!A229</f>
        <v>168</v>
      </c>
      <c r="B229" s="213">
        <f>COUNTIFS($C$8:C229,"*ПС*",$L$8:L229,"*закрыт*")</f>
        <v>18</v>
      </c>
      <c r="C229" s="213" t="str">
        <f>'Расчет ЦП - общая форма'!C229</f>
        <v>ПС 35/6 кВ Половцово</v>
      </c>
      <c r="D229" s="230">
        <f>'Расчет ЦП - общая форма'!D229</f>
        <v>5.6</v>
      </c>
      <c r="E229" s="229" t="str">
        <f>'Расчет ЦП - общая форма'!E229</f>
        <v>+</v>
      </c>
      <c r="F229" s="229">
        <f>'Расчет ЦП - общая форма'!F229</f>
        <v>5.6</v>
      </c>
      <c r="G229" s="229">
        <f>'Расчет ЦП - общая форма'!G229</f>
        <v>0</v>
      </c>
      <c r="H229" s="229">
        <f>'Расчет ЦП - общая форма'!H229</f>
        <v>0</v>
      </c>
      <c r="I229" s="172">
        <f>'Расчет ЦП - общая форма'!Q229</f>
        <v>2.2299999999999995</v>
      </c>
      <c r="J229" s="172">
        <f>'Расчет ЦП - общая форма'!R229</f>
        <v>2.2299999999999995</v>
      </c>
      <c r="K229" s="768" t="str">
        <f>'Расчет ЦП - общая форма'!S229</f>
        <v/>
      </c>
      <c r="L229" s="257" t="str">
        <f>'Расчет ЦП - общая форма'!T229</f>
        <v/>
      </c>
      <c r="M229" s="768">
        <f>'Расчет ЦП - общая форма'!U229</f>
        <v>67.517006802721085</v>
      </c>
      <c r="N229" s="919"/>
      <c r="O229" s="919"/>
      <c r="P229" s="919"/>
    </row>
    <row r="230" spans="1:16" s="232" customFormat="1" ht="15" hidden="1" customHeight="1" x14ac:dyDescent="0.25">
      <c r="A230" s="213">
        <f>'Расчет ЦП - общая форма'!A230</f>
        <v>169</v>
      </c>
      <c r="B230" s="213">
        <f>COUNTIFS($C$8:C230,"*ПС*",$L$8:L230,"*закрыт*")</f>
        <v>18</v>
      </c>
      <c r="C230" s="213" t="str">
        <f>'Расчет ЦП - общая форма'!C230</f>
        <v>ПС 35/10 кВ Ст. Торопа</v>
      </c>
      <c r="D230" s="230">
        <f>'Расчет ЦП - общая форма'!D230</f>
        <v>4</v>
      </c>
      <c r="E230" s="229" t="str">
        <f>'Расчет ЦП - общая форма'!E230</f>
        <v>+</v>
      </c>
      <c r="F230" s="229">
        <f>'Расчет ЦП - общая форма'!F230</f>
        <v>4</v>
      </c>
      <c r="G230" s="229">
        <f>'Расчет ЦП - общая форма'!G230</f>
        <v>0</v>
      </c>
      <c r="H230" s="229">
        <f>'Расчет ЦП - общая форма'!H230</f>
        <v>0</v>
      </c>
      <c r="I230" s="172">
        <f>'Расчет ЦП - общая форма'!Q230</f>
        <v>1.9500000000000002</v>
      </c>
      <c r="J230" s="172">
        <f>'Расчет ЦП - общая форма'!R230</f>
        <v>1.9500000000000002</v>
      </c>
      <c r="K230" s="768" t="str">
        <f>'Расчет ЦП - общая форма'!S230</f>
        <v/>
      </c>
      <c r="L230" s="257" t="str">
        <f>'Расчет ЦП - общая форма'!T230</f>
        <v/>
      </c>
      <c r="M230" s="768">
        <f>'Расчет ЦП - общая форма'!U230</f>
        <v>53.571428571428569</v>
      </c>
      <c r="N230" s="919"/>
      <c r="O230" s="919"/>
      <c r="P230" s="919"/>
    </row>
    <row r="231" spans="1:16" s="232" customFormat="1" ht="15" hidden="1" customHeight="1" x14ac:dyDescent="0.25">
      <c r="A231" s="1371">
        <f>'Расчет ЦП - общая форма'!A231</f>
        <v>170</v>
      </c>
      <c r="B231" s="1376">
        <f>COUNTIFS($C$8:C231,"*ПС*",$L$8:L231,"*закрыт*")</f>
        <v>18</v>
      </c>
      <c r="C231" s="213" t="str">
        <f>'Расчет ЦП - общая форма'!C231</f>
        <v>ПС 110/35/10 кВ Андреаполь</v>
      </c>
      <c r="D231" s="230">
        <f>'Расчет ЦП - общая форма'!D231</f>
        <v>10</v>
      </c>
      <c r="E231" s="229" t="str">
        <f>'Расчет ЦП - общая форма'!E231</f>
        <v>+</v>
      </c>
      <c r="F231" s="229">
        <f>'Расчет ЦП - общая форма'!F231</f>
        <v>10</v>
      </c>
      <c r="G231" s="229">
        <f>'Расчет ЦП - общая форма'!G231</f>
        <v>0</v>
      </c>
      <c r="H231" s="229">
        <f>'Расчет ЦП - общая форма'!H231</f>
        <v>0</v>
      </c>
      <c r="I231" s="172">
        <f>'Расчет ЦП - общая форма'!Q231</f>
        <v>2.5100000000000007</v>
      </c>
      <c r="J231" s="1379">
        <f>'Расчет ЦП - общая форма'!R231</f>
        <v>2.5100000000000007</v>
      </c>
      <c r="K231" s="1362" t="str">
        <f>'Расчет ЦП - общая форма'!S231</f>
        <v/>
      </c>
      <c r="L231" s="257" t="str">
        <f>'Расчет ЦП - общая форма'!T231</f>
        <v/>
      </c>
      <c r="M231" s="1362">
        <f>'Расчет ЦП - общая форма'!U231</f>
        <v>83.714285714285708</v>
      </c>
      <c r="N231" s="919"/>
      <c r="O231" s="919"/>
      <c r="P231" s="919"/>
    </row>
    <row r="232" spans="1:16" s="232" customFormat="1" ht="15" hidden="1" customHeight="1" x14ac:dyDescent="0.25">
      <c r="A232" s="1371">
        <f>'Расчет ЦП - общая форма'!A232</f>
        <v>0</v>
      </c>
      <c r="B232" s="1393"/>
      <c r="C232" s="7" t="str">
        <f>'Расчет ЦП - общая форма'!C232</f>
        <v xml:space="preserve">Ном. Мощность СН, МВА </v>
      </c>
      <c r="D232" s="230">
        <f>'Расчет ЦП - общая форма'!D232</f>
        <v>10</v>
      </c>
      <c r="E232" s="229" t="str">
        <f>'Расчет ЦП - общая форма'!E232</f>
        <v>+</v>
      </c>
      <c r="F232" s="229">
        <f>'Расчет ЦП - общая форма'!F232</f>
        <v>10</v>
      </c>
      <c r="G232" s="229">
        <f>'Расчет ЦП - общая форма'!G232</f>
        <v>0</v>
      </c>
      <c r="H232" s="229">
        <f>'Расчет ЦП - общая форма'!H232</f>
        <v>0</v>
      </c>
      <c r="I232" s="172">
        <f>'Расчет ЦП - общая форма'!Q232</f>
        <v>7.77</v>
      </c>
      <c r="J232" s="1379">
        <f>'Расчет ЦП - общая форма'!R232</f>
        <v>0</v>
      </c>
      <c r="K232" s="1363" t="str">
        <f>'Расчет ЦП - общая форма'!S232</f>
        <v/>
      </c>
      <c r="L232" s="257" t="str">
        <f>'Расчет ЦП - общая форма'!T232</f>
        <v/>
      </c>
      <c r="M232" s="1363">
        <f>'Расчет ЦП - общая форма'!U232</f>
        <v>0</v>
      </c>
      <c r="N232" s="919"/>
      <c r="O232" s="919"/>
      <c r="P232" s="919"/>
    </row>
    <row r="233" spans="1:16" s="232" customFormat="1" ht="15" hidden="1" customHeight="1" x14ac:dyDescent="0.25">
      <c r="A233" s="1371">
        <f>'Расчет ЦП - общая форма'!A233</f>
        <v>0</v>
      </c>
      <c r="B233" s="1394"/>
      <c r="C233" s="7" t="str">
        <f>'Расчет ЦП - общая форма'!C233</f>
        <v>Ном. мощность НН, МВА</v>
      </c>
      <c r="D233" s="230">
        <f>'Расчет ЦП - общая форма'!D233</f>
        <v>10</v>
      </c>
      <c r="E233" s="229" t="str">
        <f>'Расчет ЦП - общая форма'!E233</f>
        <v>+</v>
      </c>
      <c r="F233" s="229">
        <f>'Расчет ЦП - общая форма'!F233</f>
        <v>10</v>
      </c>
      <c r="G233" s="229">
        <f>'Расчет ЦП - общая форма'!G233</f>
        <v>0</v>
      </c>
      <c r="H233" s="229">
        <f>'Расчет ЦП - общая форма'!H233</f>
        <v>0</v>
      </c>
      <c r="I233" s="172">
        <f>'Расчет ЦП - общая форма'!Q233</f>
        <v>5.24</v>
      </c>
      <c r="J233" s="1379">
        <f>'Расчет ЦП - общая форма'!R233</f>
        <v>0</v>
      </c>
      <c r="K233" s="1363" t="str">
        <f>'Расчет ЦП - общая форма'!S233</f>
        <v/>
      </c>
      <c r="L233" s="257" t="str">
        <f>'Расчет ЦП - общая форма'!T233</f>
        <v/>
      </c>
      <c r="M233" s="1363">
        <f>'Расчет ЦП - общая форма'!U233</f>
        <v>0</v>
      </c>
      <c r="N233" s="919"/>
      <c r="O233" s="919"/>
      <c r="P233" s="919"/>
    </row>
    <row r="234" spans="1:16" s="232" customFormat="1" ht="15" hidden="1" customHeight="1" x14ac:dyDescent="0.25">
      <c r="A234" s="1371">
        <f>'Расчет ЦП - общая форма'!A234</f>
        <v>171</v>
      </c>
      <c r="B234" s="1376">
        <f>COUNTIFS($C$8:C234,"*ПС*",$L$8:L234,"*закрыт*")</f>
        <v>18</v>
      </c>
      <c r="C234" s="213" t="str">
        <f>'Расчет ЦП - общая форма'!C234</f>
        <v>ПС 110/35/10 кВ Белый</v>
      </c>
      <c r="D234" s="230">
        <f>'Расчет ЦП - общая форма'!D234</f>
        <v>16</v>
      </c>
      <c r="E234" s="229" t="str">
        <f>'Расчет ЦП - общая форма'!E234</f>
        <v>+</v>
      </c>
      <c r="F234" s="229">
        <f>'Расчет ЦП - общая форма'!F234</f>
        <v>10</v>
      </c>
      <c r="G234" s="229">
        <f>'Расчет ЦП - общая форма'!G234</f>
        <v>0</v>
      </c>
      <c r="H234" s="229">
        <f>'Расчет ЦП - общая форма'!H234</f>
        <v>0</v>
      </c>
      <c r="I234" s="172">
        <f>'Расчет ЦП - общая форма'!Q234</f>
        <v>6.46</v>
      </c>
      <c r="J234" s="1379">
        <f>'Расчет ЦП - общая форма'!R234</f>
        <v>6.46</v>
      </c>
      <c r="K234" s="1362" t="str">
        <f>'Расчет ЦП - общая форма'!S234</f>
        <v/>
      </c>
      <c r="L234" s="257" t="str">
        <f>'Расчет ЦП - общая форма'!T234</f>
        <v/>
      </c>
      <c r="M234" s="1362">
        <f>'Расчет ЦП - общая форма'!U234</f>
        <v>52.761904761904759</v>
      </c>
      <c r="N234" s="919"/>
      <c r="O234" s="919"/>
      <c r="P234" s="919"/>
    </row>
    <row r="235" spans="1:16" s="232" customFormat="1" ht="15" hidden="1" customHeight="1" x14ac:dyDescent="0.25">
      <c r="A235" s="1371">
        <f>'Расчет ЦП - общая форма'!A235</f>
        <v>0</v>
      </c>
      <c r="B235" s="1393"/>
      <c r="C235" s="7" t="str">
        <f>'Расчет ЦП - общая форма'!C235</f>
        <v xml:space="preserve">Ном. Мощность СН, МВА </v>
      </c>
      <c r="D235" s="230">
        <f>'Расчет ЦП - общая форма'!D235</f>
        <v>16</v>
      </c>
      <c r="E235" s="229" t="str">
        <f>'Расчет ЦП - общая форма'!E235</f>
        <v>+</v>
      </c>
      <c r="F235" s="229">
        <f>'Расчет ЦП - общая форма'!F235</f>
        <v>10</v>
      </c>
      <c r="G235" s="229">
        <f>'Расчет ЦП - общая форма'!G235</f>
        <v>0</v>
      </c>
      <c r="H235" s="229">
        <f>'Расчет ЦП - общая форма'!H235</f>
        <v>0</v>
      </c>
      <c r="I235" s="172">
        <f>'Расчет ЦП - общая форма'!Q235</f>
        <v>7.7200000000000006</v>
      </c>
      <c r="J235" s="1379">
        <f>'Расчет ЦП - общая форма'!R235</f>
        <v>0</v>
      </c>
      <c r="K235" s="1363" t="str">
        <f>'Расчет ЦП - общая форма'!S235</f>
        <v/>
      </c>
      <c r="L235" s="257" t="str">
        <f>'Расчет ЦП - общая форма'!T235</f>
        <v/>
      </c>
      <c r="M235" s="1363">
        <f>'Расчет ЦП - общая форма'!U235</f>
        <v>0</v>
      </c>
      <c r="N235" s="919"/>
      <c r="O235" s="919"/>
      <c r="P235" s="919"/>
    </row>
    <row r="236" spans="1:16" s="232" customFormat="1" ht="15" hidden="1" customHeight="1" x14ac:dyDescent="0.25">
      <c r="A236" s="1371">
        <f>'Расчет ЦП - общая форма'!A236</f>
        <v>0</v>
      </c>
      <c r="B236" s="1394"/>
      <c r="C236" s="7" t="str">
        <f>'Расчет ЦП - общая форма'!C236</f>
        <v>Ном. мощность НН, МВА</v>
      </c>
      <c r="D236" s="230">
        <f>'Расчет ЦП - общая форма'!D236</f>
        <v>16</v>
      </c>
      <c r="E236" s="229" t="str">
        <f>'Расчет ЦП - общая форма'!E236</f>
        <v>+</v>
      </c>
      <c r="F236" s="229">
        <f>'Расчет ЦП - общая форма'!F236</f>
        <v>10</v>
      </c>
      <c r="G236" s="229">
        <f>'Расчет ЦП - общая форма'!G236</f>
        <v>0</v>
      </c>
      <c r="H236" s="229">
        <f>'Расчет ЦП - общая форма'!H236</f>
        <v>0</v>
      </c>
      <c r="I236" s="172">
        <f>'Расчет ЦП - общая форма'!Q236</f>
        <v>9.24</v>
      </c>
      <c r="J236" s="1379">
        <f>'Расчет ЦП - общая форма'!R236</f>
        <v>0</v>
      </c>
      <c r="K236" s="1363" t="str">
        <f>'Расчет ЦП - общая форма'!S236</f>
        <v/>
      </c>
      <c r="L236" s="257" t="str">
        <f>'Расчет ЦП - общая форма'!T236</f>
        <v/>
      </c>
      <c r="M236" s="1363">
        <f>'Расчет ЦП - общая форма'!U236</f>
        <v>0</v>
      </c>
      <c r="N236" s="919"/>
      <c r="O236" s="919"/>
      <c r="P236" s="919"/>
    </row>
    <row r="237" spans="1:16" s="232" customFormat="1" ht="15" hidden="1" customHeight="1" x14ac:dyDescent="0.25">
      <c r="A237" s="1371">
        <f>'Расчет ЦП - общая форма'!A237</f>
        <v>172</v>
      </c>
      <c r="B237" s="1376">
        <f>COUNTIFS($C$8:C237,"*ПС*",$L$8:L237,"*закрыт*")</f>
        <v>18</v>
      </c>
      <c r="C237" s="213" t="str">
        <f>'Расчет ЦП - общая форма'!C237</f>
        <v>ПС 110/35/10 кВ Западная Двина</v>
      </c>
      <c r="D237" s="230">
        <f>'Расчет ЦП - общая форма'!D237</f>
        <v>10</v>
      </c>
      <c r="E237" s="229" t="str">
        <f>'Расчет ЦП - общая форма'!E237</f>
        <v>+</v>
      </c>
      <c r="F237" s="229">
        <f>'Расчет ЦП - общая форма'!F237</f>
        <v>10</v>
      </c>
      <c r="G237" s="229">
        <f>'Расчет ЦП - общая форма'!G237</f>
        <v>0</v>
      </c>
      <c r="H237" s="229">
        <f>'Расчет ЦП - общая форма'!H237</f>
        <v>0</v>
      </c>
      <c r="I237" s="172">
        <f>'Расчет ЦП - общая форма'!Q237</f>
        <v>0.90000000000000036</v>
      </c>
      <c r="J237" s="1379">
        <f>'Расчет ЦП - общая форма'!R237</f>
        <v>0.90000000000000036</v>
      </c>
      <c r="K237" s="1362" t="str">
        <f>'Расчет ЦП - общая форма'!S237</f>
        <v/>
      </c>
      <c r="L237" s="257" t="str">
        <f>'Расчет ЦП - общая форма'!T237</f>
        <v/>
      </c>
      <c r="M237" s="1362">
        <f>'Расчет ЦП - общая форма'!U237</f>
        <v>114.28571428571429</v>
      </c>
      <c r="N237" s="919"/>
      <c r="O237" s="919"/>
      <c r="P237" s="919"/>
    </row>
    <row r="238" spans="1:16" s="232" customFormat="1" ht="15" hidden="1" customHeight="1" x14ac:dyDescent="0.25">
      <c r="A238" s="1371">
        <f>'Расчет ЦП - общая форма'!A238</f>
        <v>0</v>
      </c>
      <c r="B238" s="1393"/>
      <c r="C238" s="7" t="str">
        <f>'Расчет ЦП - общая форма'!C238</f>
        <v xml:space="preserve">Ном. Мощность СН, МВА </v>
      </c>
      <c r="D238" s="230">
        <f>'Расчет ЦП - общая форма'!D238</f>
        <v>10</v>
      </c>
      <c r="E238" s="229" t="str">
        <f>'Расчет ЦП - общая форма'!E238</f>
        <v>+</v>
      </c>
      <c r="F238" s="229">
        <f>'Расчет ЦП - общая форма'!F238</f>
        <v>10</v>
      </c>
      <c r="G238" s="229">
        <f>'Расчет ЦП - общая форма'!G238</f>
        <v>0</v>
      </c>
      <c r="H238" s="229">
        <f>'Расчет ЦП - общая форма'!H238</f>
        <v>0</v>
      </c>
      <c r="I238" s="172">
        <f>'Расчет ЦП - общая форма'!Q238</f>
        <v>7.98</v>
      </c>
      <c r="J238" s="1379">
        <f>'Расчет ЦП - общая форма'!R238</f>
        <v>0</v>
      </c>
      <c r="K238" s="1363" t="str">
        <f>'Расчет ЦП - общая форма'!S238</f>
        <v/>
      </c>
      <c r="L238" s="257" t="str">
        <f>'Расчет ЦП - общая форма'!T238</f>
        <v/>
      </c>
      <c r="M238" s="1363">
        <f>'Расчет ЦП - общая форма'!U238</f>
        <v>0</v>
      </c>
      <c r="N238" s="919"/>
      <c r="O238" s="919"/>
      <c r="P238" s="919"/>
    </row>
    <row r="239" spans="1:16" ht="20.100000000000001" hidden="1" customHeight="1" x14ac:dyDescent="0.25">
      <c r="A239" s="1371">
        <f>'Расчет ЦП - общая форма'!A239</f>
        <v>0</v>
      </c>
      <c r="B239" s="1394"/>
      <c r="C239" s="7" t="str">
        <f>'Расчет ЦП - общая форма'!C239</f>
        <v>Ном. мощность НН, МВА</v>
      </c>
      <c r="D239" s="230">
        <f>'Расчет ЦП - общая форма'!D239</f>
        <v>10</v>
      </c>
      <c r="E239" s="229" t="str">
        <f>'Расчет ЦП - общая форма'!E239</f>
        <v>+</v>
      </c>
      <c r="F239" s="229">
        <f>'Расчет ЦП - общая форма'!F239</f>
        <v>10</v>
      </c>
      <c r="G239" s="229">
        <f>'Расчет ЦП - общая форма'!G239</f>
        <v>0</v>
      </c>
      <c r="H239" s="229">
        <f>'Расчет ЦП - общая форма'!H239</f>
        <v>0</v>
      </c>
      <c r="I239" s="172">
        <f>'Расчет ЦП - общая форма'!Q239</f>
        <v>3.42</v>
      </c>
      <c r="J239" s="1379">
        <f>'Расчет ЦП - общая форма'!R239</f>
        <v>0</v>
      </c>
      <c r="K239" s="1363" t="str">
        <f>'Расчет ЦП - общая форма'!S239</f>
        <v/>
      </c>
      <c r="L239" s="257" t="str">
        <f>'Расчет ЦП - общая форма'!T239</f>
        <v/>
      </c>
      <c r="M239" s="1363">
        <f>'Расчет ЦП - общая форма'!U239</f>
        <v>0</v>
      </c>
      <c r="N239" s="919"/>
      <c r="O239" s="919"/>
      <c r="P239" s="919"/>
    </row>
    <row r="240" spans="1:16" ht="20.100000000000001" hidden="1" customHeight="1" x14ac:dyDescent="0.25">
      <c r="A240" s="1371">
        <f>'Расчет ЦП - общая форма'!A240</f>
        <v>173</v>
      </c>
      <c r="B240" s="1376">
        <f>COUNTIFS($C$8:C240,"*ПС*",$L$8:L240,"*закрыт*")</f>
        <v>18</v>
      </c>
      <c r="C240" s="213" t="str">
        <f>'Расчет ЦП - общая форма'!C240</f>
        <v>ПС 110/35/10 кВ Торопец</v>
      </c>
      <c r="D240" s="230">
        <f>'Расчет ЦП - общая форма'!D240</f>
        <v>25</v>
      </c>
      <c r="E240" s="229" t="str">
        <f>'Расчет ЦП - общая форма'!E240</f>
        <v>+</v>
      </c>
      <c r="F240" s="229">
        <f>'Расчет ЦП - общая форма'!F240</f>
        <v>25</v>
      </c>
      <c r="G240" s="229">
        <f>'Расчет ЦП - общая форма'!G240</f>
        <v>0</v>
      </c>
      <c r="H240" s="229">
        <f>'Расчет ЦП - общая форма'!H240</f>
        <v>0</v>
      </c>
      <c r="I240" s="172">
        <f>'Расчет ЦП - общая форма'!Q240</f>
        <v>8.129999999999999</v>
      </c>
      <c r="J240" s="1364">
        <f>'Расчет ЦП - общая форма'!R240</f>
        <v>8.129999999999999</v>
      </c>
      <c r="K240" s="1362" t="str">
        <f>'Расчет ЦП - общая форма'!S240</f>
        <v/>
      </c>
      <c r="L240" s="257" t="str">
        <f>'Расчет ЦП - общая форма'!T240</f>
        <v/>
      </c>
      <c r="M240" s="1362">
        <f>'Расчет ЦП - общая форма'!U240</f>
        <v>77.409523809523805</v>
      </c>
      <c r="N240" s="919"/>
      <c r="O240" s="919"/>
      <c r="P240" s="919"/>
    </row>
    <row r="241" spans="1:48" ht="20.100000000000001" hidden="1" customHeight="1" x14ac:dyDescent="0.25">
      <c r="A241" s="1371">
        <f>'Расчет ЦП - общая форма'!A241</f>
        <v>0</v>
      </c>
      <c r="B241" s="1393"/>
      <c r="C241" s="7" t="str">
        <f>'Расчет ЦП - общая форма'!C241</f>
        <v xml:space="preserve">Ном. Мощность СН, МВА </v>
      </c>
      <c r="D241" s="230">
        <f>'Расчет ЦП - общая форма'!D241</f>
        <v>25</v>
      </c>
      <c r="E241" s="229" t="str">
        <f>'Расчет ЦП - общая форма'!E241</f>
        <v>+</v>
      </c>
      <c r="F241" s="229">
        <f>'Расчет ЦП - общая форма'!F241</f>
        <v>25</v>
      </c>
      <c r="G241" s="229">
        <f>'Расчет ЦП - общая форма'!G241</f>
        <v>0</v>
      </c>
      <c r="H241" s="229">
        <f>'Расчет ЦП - общая форма'!H241</f>
        <v>0</v>
      </c>
      <c r="I241" s="172">
        <f>'Расчет ЦП - общая форма'!Q241</f>
        <v>21.37</v>
      </c>
      <c r="J241" s="1365">
        <f>'Расчет ЦП - общая форма'!R241</f>
        <v>0</v>
      </c>
      <c r="K241" s="1362">
        <f>'Расчет ЦП - общая форма'!S241</f>
        <v>0</v>
      </c>
      <c r="L241" s="257" t="str">
        <f>'Расчет ЦП - общая форма'!T241</f>
        <v/>
      </c>
      <c r="M241" s="1362">
        <f>'Расчет ЦП - общая форма'!U241</f>
        <v>0</v>
      </c>
      <c r="N241" s="919"/>
      <c r="O241" s="919"/>
      <c r="P241" s="919"/>
    </row>
    <row r="242" spans="1:48" s="232" customFormat="1" ht="31.5" hidden="1" customHeight="1" x14ac:dyDescent="0.25">
      <c r="A242" s="1371">
        <f>'Расчет ЦП - общая форма'!A242</f>
        <v>0</v>
      </c>
      <c r="B242" s="1394"/>
      <c r="C242" s="7" t="str">
        <f>'Расчет ЦП - общая форма'!C242</f>
        <v>Ном. мощность НН, МВА</v>
      </c>
      <c r="D242" s="230">
        <f>'Расчет ЦП - общая форма'!D242</f>
        <v>25</v>
      </c>
      <c r="E242" s="229" t="str">
        <f>'Расчет ЦП - общая форма'!E242</f>
        <v>+</v>
      </c>
      <c r="F242" s="229">
        <f>'Расчет ЦП - общая форма'!F242</f>
        <v>25</v>
      </c>
      <c r="G242" s="229">
        <f>'Расчет ЦП - общая форма'!G242</f>
        <v>0</v>
      </c>
      <c r="H242" s="229">
        <f>'Расчет ЦП - общая форма'!H242</f>
        <v>0</v>
      </c>
      <c r="I242" s="172">
        <f>'Расчет ЦП - общая форма'!Q242</f>
        <v>13.01</v>
      </c>
      <c r="J242" s="1366">
        <f>'Расчет ЦП - общая форма'!R242</f>
        <v>0</v>
      </c>
      <c r="K242" s="1362">
        <f>'Расчет ЦП - общая форма'!S242</f>
        <v>0</v>
      </c>
      <c r="L242" s="257" t="str">
        <f>'Расчет ЦП - общая форма'!T242</f>
        <v/>
      </c>
      <c r="M242" s="1362">
        <f>'Расчет ЦП - общая форма'!U242</f>
        <v>0</v>
      </c>
      <c r="N242" s="919"/>
      <c r="O242" s="919"/>
      <c r="P242" s="919"/>
    </row>
    <row r="243" spans="1:48" s="232" customFormat="1" ht="31.5" hidden="1" customHeight="1" x14ac:dyDescent="0.25">
      <c r="A243" s="213">
        <f>'Расчет ЦП - общая форма'!A243</f>
        <v>174</v>
      </c>
      <c r="B243" s="213">
        <f>COUNTIFS($C$8:C243,"*ПС*",$L$8:L243,"*закрыт*")</f>
        <v>18</v>
      </c>
      <c r="C243" s="213" t="str">
        <f>'Расчет ЦП - общая форма'!C243</f>
        <v xml:space="preserve">ПС 35/10 кВ Бахмутово </v>
      </c>
      <c r="D243" s="230">
        <f>'Расчет ЦП - общая форма'!D243</f>
        <v>2.5</v>
      </c>
      <c r="E243" s="229">
        <f>'Расчет ЦП - общая форма'!E243</f>
        <v>0</v>
      </c>
      <c r="F243" s="229">
        <f>'Расчет ЦП - общая форма'!F243</f>
        <v>0</v>
      </c>
      <c r="G243" s="229">
        <f>'Расчет ЦП - общая форма'!G243</f>
        <v>0</v>
      </c>
      <c r="H243" s="229">
        <f>'Расчет ЦП - общая форма'!H243</f>
        <v>0</v>
      </c>
      <c r="I243" s="172">
        <f>'Расчет ЦП - общая форма'!Q243</f>
        <v>0.44442474292514839</v>
      </c>
      <c r="J243" s="172">
        <f>'Расчет ЦП - общая форма'!R243</f>
        <v>0.44442474292514839</v>
      </c>
      <c r="K243" s="768" t="str">
        <f>'Расчет ЦП - общая форма'!S243</f>
        <v/>
      </c>
      <c r="L243" s="257" t="str">
        <f>'Расчет ЦП - общая форма'!T243</f>
        <v/>
      </c>
      <c r="M243" s="768">
        <f>'Расчет ЦП - общая форма'!U243</f>
        <v>17.736200269518157</v>
      </c>
      <c r="N243" s="924"/>
      <c r="O243" s="924"/>
      <c r="P243" s="924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</row>
    <row r="244" spans="1:48" ht="20.100000000000001" hidden="1" customHeight="1" x14ac:dyDescent="0.25">
      <c r="A244" s="213">
        <f>'Расчет ЦП - общая форма'!A244</f>
        <v>175</v>
      </c>
      <c r="B244" s="213">
        <f>COUNTIFS($C$8:C244,"*ПС*",$L$8:L244,"*закрыт*")</f>
        <v>18</v>
      </c>
      <c r="C244" s="213" t="str">
        <f>'Расчет ЦП - общая форма'!C244</f>
        <v xml:space="preserve">ПС 35/10 кВ Пятницкое </v>
      </c>
      <c r="D244" s="230">
        <f>'Расчет ЦП - общая форма'!D244</f>
        <v>2.5</v>
      </c>
      <c r="E244" s="229">
        <f>'Расчет ЦП - общая форма'!E244</f>
        <v>0</v>
      </c>
      <c r="F244" s="229">
        <f>'Расчет ЦП - общая форма'!F244</f>
        <v>0</v>
      </c>
      <c r="G244" s="229">
        <f>'Расчет ЦП - общая форма'!G244</f>
        <v>0</v>
      </c>
      <c r="H244" s="229">
        <f>'Расчет ЦП - общая форма'!H244</f>
        <v>0</v>
      </c>
      <c r="I244" s="172">
        <f>'Расчет ЦП - общая форма'!Q244</f>
        <v>5.3787171326646899E-4</v>
      </c>
      <c r="J244" s="172">
        <f>'Расчет ЦП - общая форма'!R244</f>
        <v>5.3787171326646899E-4</v>
      </c>
      <c r="K244" s="768" t="str">
        <f>'Расчет ЦП - общая форма'!S244</f>
        <v/>
      </c>
      <c r="L244" s="257" t="str">
        <f>'Расчет ЦП - общая форма'!T244</f>
        <v/>
      </c>
      <c r="M244" s="768">
        <f>'Расчет ЦП - общая форма'!U244</f>
        <v>5.6937953633041349</v>
      </c>
      <c r="N244" s="924"/>
      <c r="O244" s="924"/>
      <c r="P244" s="924"/>
    </row>
    <row r="245" spans="1:48" ht="20.100000000000001" customHeight="1" x14ac:dyDescent="0.25">
      <c r="A245" s="213">
        <f>'Расчет ЦП - общая форма'!A245</f>
        <v>176</v>
      </c>
      <c r="B245" s="213">
        <f>COUNTIFS($C$8:C245,"*ПС*",$L$8:L245,"*закрыт*")</f>
        <v>19</v>
      </c>
      <c r="C245" s="213" t="str">
        <f>'Расчет ЦП - общая форма'!C245</f>
        <v xml:space="preserve">ПС 35/10 кВ Карамзино </v>
      </c>
      <c r="D245" s="230">
        <f>'Расчет ЦП - общая форма'!D245</f>
        <v>1.6</v>
      </c>
      <c r="E245" s="229">
        <f>'Расчет ЦП - общая форма'!E245</f>
        <v>0</v>
      </c>
      <c r="F245" s="229">
        <f>'Расчет ЦП - общая форма'!F245</f>
        <v>0</v>
      </c>
      <c r="G245" s="229">
        <f>'Расчет ЦП - общая форма'!G245</f>
        <v>0</v>
      </c>
      <c r="H245" s="229">
        <f>'Расчет ЦП - общая форма'!H245</f>
        <v>0</v>
      </c>
      <c r="I245" s="172">
        <f>'Расчет ЦП - общая форма'!Q245</f>
        <v>-0.70972513890904021</v>
      </c>
      <c r="J245" s="172">
        <f>'Расчет ЦП - общая форма'!R245</f>
        <v>-0.70972513890904021</v>
      </c>
      <c r="K245" s="768" t="str">
        <f>'Расчет ЦП - общая форма'!S245</f>
        <v>закрыт</v>
      </c>
      <c r="L245" s="257" t="str">
        <f>'Расчет ЦП - общая форма'!T245</f>
        <v>закрыт</v>
      </c>
      <c r="M245" s="768">
        <f>'Расчет ЦП - общая форма'!U245</f>
        <v>42.245543982680964</v>
      </c>
      <c r="N245" s="924"/>
      <c r="O245" s="924"/>
      <c r="P245" s="924"/>
    </row>
    <row r="246" spans="1:48" ht="20.100000000000001" customHeight="1" x14ac:dyDescent="0.25">
      <c r="A246" s="213">
        <f>'Расчет ЦП - общая форма'!A246</f>
        <v>177</v>
      </c>
      <c r="B246" s="213">
        <f>COUNTIFS($C$8:C246,"*ПС*",$L$8:L246,"*закрыт*")</f>
        <v>20</v>
      </c>
      <c r="C246" s="213" t="str">
        <f>'Расчет ЦП - общая форма'!C246</f>
        <v xml:space="preserve">ПС 35/10 кВ Кн.Горы  </v>
      </c>
      <c r="D246" s="230">
        <f>'Расчет ЦП - общая форма'!D246</f>
        <v>2.5</v>
      </c>
      <c r="E246" s="229">
        <f>'Расчет ЦП - общая форма'!E246</f>
        <v>0</v>
      </c>
      <c r="F246" s="229">
        <f>'Расчет ЦП - общая форма'!F246</f>
        <v>0</v>
      </c>
      <c r="G246" s="229">
        <f>'Расчет ЦП - общая форма'!G246</f>
        <v>0</v>
      </c>
      <c r="H246" s="229">
        <f>'Расчет ЦП - общая форма'!H246</f>
        <v>0</v>
      </c>
      <c r="I246" s="172">
        <f>'Расчет ЦП - общая форма'!Q246</f>
        <v>-2.132778082408096</v>
      </c>
      <c r="J246" s="172">
        <f>'Расчет ЦП - общая форма'!R246</f>
        <v>-2.132778082408096</v>
      </c>
      <c r="K246" s="768" t="str">
        <f>'Расчет ЦП - общая форма'!S246</f>
        <v>закрыт</v>
      </c>
      <c r="L246" s="257" t="str">
        <f>'Расчет ЦП - общая форма'!T246</f>
        <v>закрыт</v>
      </c>
      <c r="M246" s="768">
        <f>'Расчет ЦП - общая форма'!U246</f>
        <v>81.248688853641752</v>
      </c>
      <c r="N246" s="924"/>
      <c r="O246" s="924"/>
      <c r="P246" s="924"/>
    </row>
    <row r="247" spans="1:48" s="232" customFormat="1" ht="31.5" customHeight="1" x14ac:dyDescent="0.25">
      <c r="A247" s="213">
        <f>'Расчет ЦП - общая форма'!A247</f>
        <v>178</v>
      </c>
      <c r="B247" s="213">
        <f>COUNTIFS($C$8:C247,"*ПС*",$L$8:L247,"*закрыт*")</f>
        <v>21</v>
      </c>
      <c r="C247" s="213" t="str">
        <f>'Расчет ЦП - общая форма'!C247</f>
        <v xml:space="preserve">ПС 35/10 кВ Салино </v>
      </c>
      <c r="D247" s="230">
        <f>'Расчет ЦП - общая форма'!D247</f>
        <v>2.5</v>
      </c>
      <c r="E247" s="229">
        <f>'Расчет ЦП - общая форма'!E247</f>
        <v>0</v>
      </c>
      <c r="F247" s="229">
        <f>'Расчет ЦП - общая форма'!F247</f>
        <v>0</v>
      </c>
      <c r="G247" s="229">
        <f>'Расчет ЦП - общая форма'!G247</f>
        <v>0</v>
      </c>
      <c r="H247" s="229">
        <f>'Расчет ЦП - общая форма'!H247</f>
        <v>0</v>
      </c>
      <c r="I247" s="172">
        <f>'Расчет ЦП - общая форма'!Q247</f>
        <v>-0.8069971122630023</v>
      </c>
      <c r="J247" s="172">
        <f>'Расчет ЦП - общая форма'!R247</f>
        <v>-0.8069971122630023</v>
      </c>
      <c r="K247" s="768" t="str">
        <f>'Расчет ЦП - общая форма'!S247</f>
        <v>закрыт</v>
      </c>
      <c r="L247" s="257" t="str">
        <f>'Расчет ЦП - общая форма'!T247</f>
        <v>закрыт</v>
      </c>
      <c r="M247" s="768">
        <f>'Расчет ЦП - общая форма'!U247</f>
        <v>30.742747133828658</v>
      </c>
      <c r="N247" s="924"/>
      <c r="O247" s="924"/>
      <c r="P247" s="924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</row>
    <row r="248" spans="1:48" s="232" customFormat="1" ht="31.5" hidden="1" customHeight="1" x14ac:dyDescent="0.25">
      <c r="A248" s="213">
        <f>'Расчет ЦП - общая форма'!A248</f>
        <v>179</v>
      </c>
      <c r="B248" s="213">
        <f>COUNTIFS($C$8:C248,"*ПС*",$L$8:L248,"*закрыт*")</f>
        <v>21</v>
      </c>
      <c r="C248" s="213" t="str">
        <f>'Расчет ЦП - общая форма'!C248</f>
        <v xml:space="preserve">ПС 35/10 кВ Гусево </v>
      </c>
      <c r="D248" s="230">
        <f>'Расчет ЦП - общая форма'!D248</f>
        <v>2.5</v>
      </c>
      <c r="E248" s="229">
        <f>'Расчет ЦП - общая форма'!E248</f>
        <v>0</v>
      </c>
      <c r="F248" s="229">
        <f>'Расчет ЦП - общая форма'!F248</f>
        <v>0</v>
      </c>
      <c r="G248" s="229">
        <f>'Расчет ЦП - общая форма'!G248</f>
        <v>0</v>
      </c>
      <c r="H248" s="229">
        <f>'Расчет ЦП - общая форма'!H248</f>
        <v>0</v>
      </c>
      <c r="I248" s="172">
        <f>'Расчет ЦП - общая форма'!Q248</f>
        <v>7.1058083754116652E-3</v>
      </c>
      <c r="J248" s="172">
        <f>'Расчет ЦП - общая форма'!R248</f>
        <v>7.1058083754116652E-3</v>
      </c>
      <c r="K248" s="768" t="str">
        <f>'Расчет ЦП - общая форма'!S248</f>
        <v/>
      </c>
      <c r="L248" s="257" t="str">
        <f>'Расчет ЦП - общая форма'!T248</f>
        <v/>
      </c>
      <c r="M248" s="768">
        <f>'Расчет ЦП - общая форма'!U248</f>
        <v>5.4435882523652692</v>
      </c>
      <c r="N248" s="924"/>
      <c r="O248" s="924"/>
      <c r="P248" s="924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</row>
    <row r="249" spans="1:48" s="232" customFormat="1" ht="31.5" hidden="1" customHeight="1" x14ac:dyDescent="0.25">
      <c r="A249" s="213">
        <f>'Расчет ЦП - общая форма'!A249</f>
        <v>180</v>
      </c>
      <c r="B249" s="213">
        <f>COUNTIFS($C$8:C249,"*ПС*",$L$8:L249,"*закрыт*")</f>
        <v>21</v>
      </c>
      <c r="C249" s="213" t="str">
        <f>'Расчет ЦП - общая форма'!C249</f>
        <v xml:space="preserve">ПС 35/10 кВ Мол.Туд </v>
      </c>
      <c r="D249" s="230">
        <f>'Расчет ЦП - общая форма'!D249</f>
        <v>2.5</v>
      </c>
      <c r="E249" s="229">
        <f>'Расчет ЦП - общая форма'!E249</f>
        <v>0</v>
      </c>
      <c r="F249" s="229">
        <f>'Расчет ЦП - общая форма'!F249</f>
        <v>0</v>
      </c>
      <c r="G249" s="229">
        <f>'Расчет ЦП - общая форма'!G249</f>
        <v>0</v>
      </c>
      <c r="H249" s="229">
        <f>'Расчет ЦП - общая форма'!H249</f>
        <v>0</v>
      </c>
      <c r="I249" s="172">
        <f>'Расчет ЦП - общая форма'!Q249</f>
        <v>6.2900777200442515E-3</v>
      </c>
      <c r="J249" s="172">
        <f>'Расчет ЦП - общая форма'!R249</f>
        <v>6.2900777200442515E-3</v>
      </c>
      <c r="K249" s="768" t="str">
        <f>'Расчет ЦП - общая форма'!S249</f>
        <v/>
      </c>
      <c r="L249" s="257" t="str">
        <f>'Расчет ЦП - общая форма'!T249</f>
        <v/>
      </c>
      <c r="M249" s="768">
        <f>'Расчет ЦП - общая форма'!U249</f>
        <v>10.807997039236408</v>
      </c>
      <c r="N249" s="924"/>
      <c r="O249" s="924"/>
      <c r="P249" s="924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</row>
    <row r="250" spans="1:48" s="232" customFormat="1" ht="31.5" hidden="1" customHeight="1" x14ac:dyDescent="0.25">
      <c r="A250" s="213">
        <f>'Расчет ЦП - общая форма'!A250</f>
        <v>181</v>
      </c>
      <c r="B250" s="213">
        <f>COUNTIFS($C$8:C250,"*ПС*",$L$8:L250,"*закрыт*")</f>
        <v>21</v>
      </c>
      <c r="C250" s="213" t="str">
        <f>'Расчет ЦП - общая форма'!C250</f>
        <v xml:space="preserve">ПС 35/10 кВ Ильенки </v>
      </c>
      <c r="D250" s="230">
        <f>'Расчет ЦП - общая форма'!D250</f>
        <v>2.5</v>
      </c>
      <c r="E250" s="229">
        <f>'Расчет ЦП - общая форма'!E250</f>
        <v>0</v>
      </c>
      <c r="F250" s="229">
        <f>'Расчет ЦП - общая форма'!F250</f>
        <v>0</v>
      </c>
      <c r="G250" s="229">
        <f>'Расчет ЦП - общая форма'!G250</f>
        <v>0</v>
      </c>
      <c r="H250" s="229">
        <f>'Расчет ЦП - общая форма'!H250</f>
        <v>0</v>
      </c>
      <c r="I250" s="172">
        <f>'Расчет ЦП - общая форма'!Q250</f>
        <v>3.4477543699908408E-3</v>
      </c>
      <c r="J250" s="172">
        <f>'Расчет ЦП - общая форма'!R250</f>
        <v>3.4477543699908408E-3</v>
      </c>
      <c r="K250" s="768" t="str">
        <f>'Расчет ЦП - общая форма'!S250</f>
        <v/>
      </c>
      <c r="L250" s="257" t="str">
        <f>'Расчет ЦП - общая форма'!T250</f>
        <v/>
      </c>
      <c r="M250" s="768">
        <f>'Расчет ЦП - общая форма'!U250</f>
        <v>8.6305617382860635</v>
      </c>
      <c r="N250" s="924"/>
      <c r="O250" s="924"/>
      <c r="P250" s="924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</row>
    <row r="251" spans="1:48" s="232" customFormat="1" ht="31.5" hidden="1" customHeight="1" x14ac:dyDescent="0.25">
      <c r="A251" s="213">
        <f>'Расчет ЦП - общая форма'!A251</f>
        <v>182</v>
      </c>
      <c r="B251" s="213">
        <f>COUNTIFS($C$8:C251,"*ПС*",$L$8:L251,"*закрыт*")</f>
        <v>21</v>
      </c>
      <c r="C251" s="213" t="str">
        <f>'Расчет ЦП - общая форма'!C251</f>
        <v xml:space="preserve">ПС 35/10 кВ Каденка </v>
      </c>
      <c r="D251" s="230">
        <f>'Расчет ЦП - общая форма'!D251</f>
        <v>1</v>
      </c>
      <c r="E251" s="229">
        <f>'Расчет ЦП - общая форма'!E251</f>
        <v>0</v>
      </c>
      <c r="F251" s="229">
        <f>'Расчет ЦП - общая форма'!F251</f>
        <v>0</v>
      </c>
      <c r="G251" s="229">
        <f>'Расчет ЦП - общая форма'!G251</f>
        <v>0</v>
      </c>
      <c r="H251" s="229">
        <f>'Расчет ЦП - общая форма'!H251</f>
        <v>0</v>
      </c>
      <c r="I251" s="172">
        <f>'Расчет ЦП - общая форма'!Q251</f>
        <v>9.4146752643650689E-4</v>
      </c>
      <c r="J251" s="172">
        <f>'Расчет ЦП - общая форма'!R251</f>
        <v>9.4146752643650689E-4</v>
      </c>
      <c r="K251" s="768" t="str">
        <f>'Расчет ЦП - общая форма'!S251</f>
        <v/>
      </c>
      <c r="L251" s="257" t="str">
        <f>'Расчет ЦП - общая форма'!T251</f>
        <v/>
      </c>
      <c r="M251" s="768">
        <f>'Расчет ЦП - общая форма'!U251</f>
        <v>19.910336426053664</v>
      </c>
      <c r="N251" s="924"/>
      <c r="O251" s="924"/>
      <c r="P251" s="924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</row>
    <row r="252" spans="1:48" ht="20.100000000000001" hidden="1" customHeight="1" x14ac:dyDescent="0.25">
      <c r="A252" s="213">
        <f>'Расчет ЦП - общая форма'!A252</f>
        <v>183</v>
      </c>
      <c r="B252" s="213">
        <f>COUNTIFS($C$8:C252,"*ПС*",$L$8:L252,"*закрыт*")</f>
        <v>21</v>
      </c>
      <c r="C252" s="213" t="str">
        <f>'Расчет ЦП - общая форма'!C252</f>
        <v xml:space="preserve">ПС 35/10 кВ Родня </v>
      </c>
      <c r="D252" s="230">
        <f>'Расчет ЦП - общая форма'!D252</f>
        <v>2.5</v>
      </c>
      <c r="E252" s="229">
        <f>'Расчет ЦП - общая форма'!E252</f>
        <v>0</v>
      </c>
      <c r="F252" s="229">
        <f>'Расчет ЦП - общая форма'!F252</f>
        <v>0</v>
      </c>
      <c r="G252" s="229">
        <f>'Расчет ЦП - общая форма'!G252</f>
        <v>0</v>
      </c>
      <c r="H252" s="229">
        <f>'Расчет ЦП - общая форма'!H252</f>
        <v>0</v>
      </c>
      <c r="I252" s="172">
        <f>'Расчет ЦП - общая форма'!Q252</f>
        <v>2.9211363244150301E-2</v>
      </c>
      <c r="J252" s="172">
        <f>'Расчет ЦП - общая форма'!R252</f>
        <v>2.9211363244150301E-2</v>
      </c>
      <c r="K252" s="768" t="str">
        <f>'Расчет ЦП - общая форма'!S252</f>
        <v/>
      </c>
      <c r="L252" s="257" t="str">
        <f>'Расчет ЦП - общая форма'!T252</f>
        <v/>
      </c>
      <c r="M252" s="768">
        <f>'Расчет ЦП - общая форма'!U252</f>
        <v>25.553852828794273</v>
      </c>
      <c r="N252" s="924"/>
      <c r="O252" s="924"/>
      <c r="P252" s="924"/>
    </row>
    <row r="253" spans="1:48" s="232" customFormat="1" ht="31.5" customHeight="1" x14ac:dyDescent="0.25">
      <c r="A253" s="213">
        <f>'Расчет ЦП - общая форма'!A253</f>
        <v>184</v>
      </c>
      <c r="B253" s="213">
        <f>COUNTIFS($C$8:C253,"*ПС*",$L$8:L253,"*закрыт*")</f>
        <v>22</v>
      </c>
      <c r="C253" s="213" t="str">
        <f>'Расчет ЦП - общая форма'!C253</f>
        <v xml:space="preserve">ПС 35/10 кВ Берново </v>
      </c>
      <c r="D253" s="230">
        <f>'Расчет ЦП - общая форма'!D253</f>
        <v>1.6</v>
      </c>
      <c r="E253" s="229">
        <f>'Расчет ЦП - общая форма'!E253</f>
        <v>0</v>
      </c>
      <c r="F253" s="229">
        <f>'Расчет ЦП - общая форма'!F253</f>
        <v>0</v>
      </c>
      <c r="G253" s="229">
        <f>'Расчет ЦП - общая форма'!G253</f>
        <v>0</v>
      </c>
      <c r="H253" s="229">
        <f>'Расчет ЦП - общая форма'!H253</f>
        <v>0</v>
      </c>
      <c r="I253" s="172">
        <f>'Расчет ЦП - общая форма'!Q253</f>
        <v>-0.60910336064826898</v>
      </c>
      <c r="J253" s="172">
        <f>'Расчет ЦП - общая форма'!R253</f>
        <v>-0.60910336064826898</v>
      </c>
      <c r="K253" s="768" t="str">
        <f>'Расчет ЦП - общая форма'!S253</f>
        <v>закрыт</v>
      </c>
      <c r="L253" s="257" t="str">
        <f>'Расчет ЦП - общая форма'!T253</f>
        <v>закрыт</v>
      </c>
      <c r="M253" s="768">
        <f>'Расчет ЦП - общая форма'!U253</f>
        <v>38.637104800492203</v>
      </c>
      <c r="N253" s="924"/>
      <c r="O253" s="924"/>
      <c r="P253" s="924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</row>
    <row r="254" spans="1:48" s="232" customFormat="1" ht="15.75" customHeight="1" x14ac:dyDescent="0.25">
      <c r="A254" s="213">
        <f>'Расчет ЦП - общая форма'!A254</f>
        <v>185</v>
      </c>
      <c r="B254" s="213">
        <f>COUNTIFS($C$8:C254,"*ПС*",$L$8:L254,"*закрыт*")</f>
        <v>23</v>
      </c>
      <c r="C254" s="213" t="str">
        <f>'Расчет ЦП - общая форма'!C254</f>
        <v xml:space="preserve">ПС 35/10 кВ РМК </v>
      </c>
      <c r="D254" s="230">
        <f>'Расчет ЦП - общая форма'!D254</f>
        <v>10</v>
      </c>
      <c r="E254" s="229" t="str">
        <f>'Расчет ЦП - общая форма'!E254</f>
        <v>+</v>
      </c>
      <c r="F254" s="229">
        <f>'Расчет ЦП - общая форма'!F254</f>
        <v>10</v>
      </c>
      <c r="G254" s="229">
        <f>'Расчет ЦП - общая форма'!G254</f>
        <v>0</v>
      </c>
      <c r="H254" s="229">
        <f>'Расчет ЦП - общая форма'!H254</f>
        <v>0</v>
      </c>
      <c r="I254" s="172">
        <f>'Расчет ЦП - общая форма'!Q254</f>
        <v>-1.0700000000000003</v>
      </c>
      <c r="J254" s="172">
        <f>'Расчет ЦП - общая форма'!R254</f>
        <v>-1.0700000000000003</v>
      </c>
      <c r="K254" s="768" t="str">
        <f>'Расчет ЦП - общая форма'!S254</f>
        <v>закрыт</v>
      </c>
      <c r="L254" s="257" t="str">
        <f>'Расчет ЦП - общая форма'!T254</f>
        <v>закрыт</v>
      </c>
      <c r="M254" s="768">
        <f>'Расчет ЦП - общая форма'!U254</f>
        <v>144.66666666666666</v>
      </c>
      <c r="N254" s="924"/>
      <c r="O254" s="924"/>
      <c r="P254" s="924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</row>
    <row r="255" spans="1:48" s="232" customFormat="1" ht="15.75" hidden="1" customHeight="1" x14ac:dyDescent="0.25">
      <c r="A255" s="213">
        <f>'Расчет ЦП - общая форма'!A255</f>
        <v>186</v>
      </c>
      <c r="B255" s="213">
        <f>COUNTIFS($C$8:C255,"*ПС*",$L$8:L255,"*закрыт*")</f>
        <v>23</v>
      </c>
      <c r="C255" s="213" t="str">
        <f>'Расчет ЦП - общая форма'!C255</f>
        <v xml:space="preserve">ПС 35/10 кВ Осуга </v>
      </c>
      <c r="D255" s="230">
        <f>'Расчет ЦП - общая форма'!D255</f>
        <v>2.5</v>
      </c>
      <c r="E255" s="229" t="str">
        <f>'Расчет ЦП - общая форма'!E255</f>
        <v>+</v>
      </c>
      <c r="F255" s="229">
        <f>'Расчет ЦП - общая форма'!F255</f>
        <v>2.5</v>
      </c>
      <c r="G255" s="229">
        <f>'Расчет ЦП - общая форма'!G255</f>
        <v>0</v>
      </c>
      <c r="H255" s="229">
        <f>'Расчет ЦП - общая форма'!H255</f>
        <v>0</v>
      </c>
      <c r="I255" s="172">
        <f>'Расчет ЦП - общая форма'!Q255</f>
        <v>2.145</v>
      </c>
      <c r="J255" s="172">
        <f>'Расчет ЦП - общая форма'!R255</f>
        <v>2.145</v>
      </c>
      <c r="K255" s="768" t="str">
        <f>'Расчет ЦП - общая форма'!S255</f>
        <v/>
      </c>
      <c r="L255" s="257" t="str">
        <f>'Расчет ЦП - общая форма'!T255</f>
        <v/>
      </c>
      <c r="M255" s="768">
        <f>'Расчет ЦП - общая форма'!U255</f>
        <v>18.285714285714285</v>
      </c>
      <c r="N255" s="919"/>
      <c r="O255" s="919"/>
      <c r="P255" s="919"/>
    </row>
    <row r="256" spans="1:48" s="232" customFormat="1" ht="15.75" hidden="1" customHeight="1" x14ac:dyDescent="0.25">
      <c r="A256" s="213">
        <f>'Расчет ЦП - общая форма'!A256</f>
        <v>187</v>
      </c>
      <c r="B256" s="213">
        <f>COUNTIFS($C$8:C256,"*ПС*",$L$8:L256,"*закрыт*")</f>
        <v>23</v>
      </c>
      <c r="C256" s="213" t="str">
        <f>'Расчет ЦП - общая форма'!C256</f>
        <v xml:space="preserve">ПС 35/10 кВ Мин.Дворы </v>
      </c>
      <c r="D256" s="230">
        <f>'Расчет ЦП - общая форма'!D256</f>
        <v>2.5</v>
      </c>
      <c r="E256" s="229" t="str">
        <f>'Расчет ЦП - общая форма'!E256</f>
        <v>+</v>
      </c>
      <c r="F256" s="229">
        <f>'Расчет ЦП - общая форма'!F256</f>
        <v>3.2</v>
      </c>
      <c r="G256" s="229">
        <f>'Расчет ЦП - общая форма'!G256</f>
        <v>0</v>
      </c>
      <c r="H256" s="229">
        <f>'Расчет ЦП - общая форма'!H256</f>
        <v>0</v>
      </c>
      <c r="I256" s="172">
        <f>'Расчет ЦП - общая форма'!Q256</f>
        <v>1.845</v>
      </c>
      <c r="J256" s="172">
        <f>'Расчет ЦП - общая форма'!R256</f>
        <v>1.845</v>
      </c>
      <c r="K256" s="768" t="str">
        <f>'Расчет ЦП - общая форма'!S256</f>
        <v/>
      </c>
      <c r="L256" s="257" t="str">
        <f>'Расчет ЦП - общая форма'!T256</f>
        <v/>
      </c>
      <c r="M256" s="768">
        <f>'Расчет ЦП - общая форма'!U256</f>
        <v>29.714285714285715</v>
      </c>
      <c r="N256" s="919"/>
      <c r="O256" s="919"/>
      <c r="P256" s="919"/>
    </row>
    <row r="257" spans="1:16" ht="20.100000000000001" hidden="1" customHeight="1" x14ac:dyDescent="0.25">
      <c r="A257" s="213">
        <f>'Расчет ЦП - общая форма'!A257</f>
        <v>188</v>
      </c>
      <c r="B257" s="213">
        <f>COUNTIFS($C$8:C257,"*ПС*",$L$8:L257,"*закрыт*")</f>
        <v>23</v>
      </c>
      <c r="C257" s="213" t="str">
        <f>'Расчет ЦП - общая форма'!C257</f>
        <v xml:space="preserve">ПС 35/10 кВ Клешнево </v>
      </c>
      <c r="D257" s="230">
        <f>'Расчет ЦП - общая форма'!D257</f>
        <v>4</v>
      </c>
      <c r="E257" s="229" t="str">
        <f>'Расчет ЦП - общая форма'!E257</f>
        <v>+</v>
      </c>
      <c r="F257" s="229">
        <f>'Расчет ЦП - общая форма'!F257</f>
        <v>4</v>
      </c>
      <c r="G257" s="229">
        <f>'Расчет ЦП - общая форма'!G257</f>
        <v>0</v>
      </c>
      <c r="H257" s="229">
        <f>'Расчет ЦП - общая форма'!H257</f>
        <v>0</v>
      </c>
      <c r="I257" s="172">
        <f>'Расчет ЦП - общая форма'!Q257</f>
        <v>4.1400000000000006</v>
      </c>
      <c r="J257" s="172">
        <f>'Расчет ЦП - общая форма'!R257</f>
        <v>4.1400000000000006</v>
      </c>
      <c r="K257" s="768" t="str">
        <f>'Расчет ЦП - общая форма'!S257</f>
        <v/>
      </c>
      <c r="L257" s="257" t="str">
        <f>'Расчет ЦП - общая форма'!T257</f>
        <v/>
      </c>
      <c r="M257" s="768">
        <f>'Расчет ЦП - общая форма'!U257</f>
        <v>29.523809523809522</v>
      </c>
      <c r="N257" s="919"/>
      <c r="O257" s="919"/>
      <c r="P257" s="919"/>
    </row>
    <row r="258" spans="1:16" s="232" customFormat="1" ht="15.75" hidden="1" customHeight="1" x14ac:dyDescent="0.25">
      <c r="A258" s="1371">
        <f>'Расчет ЦП - общая форма'!A258</f>
        <v>189</v>
      </c>
      <c r="B258" s="1376">
        <f>COUNTIFS($C$8:C258,"*ПС*",$L$8:L258,"*закрыт*")</f>
        <v>23</v>
      </c>
      <c r="C258" s="213" t="str">
        <f>'Расчет ЦП - общая форма'!C258</f>
        <v xml:space="preserve">ПС 110/35/10 кВ Зубцов </v>
      </c>
      <c r="D258" s="230">
        <f>'Расчет ЦП - общая форма'!D258</f>
        <v>25</v>
      </c>
      <c r="E258" s="229" t="str">
        <f>'Расчет ЦП - общая форма'!E258</f>
        <v>+</v>
      </c>
      <c r="F258" s="229">
        <f>'Расчет ЦП - общая форма'!F258</f>
        <v>25</v>
      </c>
      <c r="G258" s="229">
        <f>'Расчет ЦП - общая форма'!G258</f>
        <v>0</v>
      </c>
      <c r="H258" s="229">
        <f>'Расчет ЦП - общая форма'!H258</f>
        <v>0</v>
      </c>
      <c r="I258" s="172">
        <f>'Расчет ЦП - общая форма'!Q258</f>
        <v>14.61</v>
      </c>
      <c r="J258" s="1364">
        <f>'Расчет ЦП - общая форма'!R258</f>
        <v>0</v>
      </c>
      <c r="K258" s="1364" t="str">
        <f>'Расчет ЦП - общая форма'!S258</f>
        <v/>
      </c>
      <c r="L258" s="257" t="str">
        <f>'Расчет ЦП - общая форма'!T258</f>
        <v/>
      </c>
      <c r="M258" s="1362">
        <f>'Расчет ЦП - общая форма'!U258</f>
        <v>76.876190476190473</v>
      </c>
      <c r="N258" s="919"/>
      <c r="O258" s="919"/>
      <c r="P258" s="919"/>
    </row>
    <row r="259" spans="1:16" s="232" customFormat="1" ht="15.75" hidden="1" customHeight="1" x14ac:dyDescent="0.25">
      <c r="A259" s="1371">
        <f>'Расчет ЦП - общая форма'!A259</f>
        <v>0</v>
      </c>
      <c r="B259" s="1393"/>
      <c r="C259" s="7" t="str">
        <f>'Расчет ЦП - общая форма'!C259</f>
        <v xml:space="preserve">Ном. мощность СН, МВА </v>
      </c>
      <c r="D259" s="230">
        <f>'Расчет ЦП - общая форма'!D259</f>
        <v>25</v>
      </c>
      <c r="E259" s="229" t="str">
        <f>'Расчет ЦП - общая форма'!E259</f>
        <v>+</v>
      </c>
      <c r="F259" s="229">
        <f>'Расчет ЦП - общая форма'!F259</f>
        <v>25</v>
      </c>
      <c r="G259" s="229">
        <f>'Расчет ЦП - общая форма'!G259</f>
        <v>0</v>
      </c>
      <c r="H259" s="229">
        <f>'Расчет ЦП - общая форма'!H259</f>
        <v>0</v>
      </c>
      <c r="I259" s="172">
        <f>'Расчет ЦП - общая форма'!Q259</f>
        <v>0</v>
      </c>
      <c r="J259" s="1365">
        <f>'Расчет ЦП - общая форма'!R259</f>
        <v>0</v>
      </c>
      <c r="K259" s="1365">
        <f>'Расчет ЦП - общая форма'!S259</f>
        <v>0</v>
      </c>
      <c r="L259" s="913" t="str">
        <f>'Расчет ЦП - общая форма'!T259</f>
        <v/>
      </c>
      <c r="M259" s="1362">
        <f>'Расчет ЦП - общая форма'!U259</f>
        <v>0</v>
      </c>
      <c r="N259" s="919"/>
      <c r="O259" s="919"/>
      <c r="P259" s="919"/>
    </row>
    <row r="260" spans="1:16" s="232" customFormat="1" ht="15.75" hidden="1" customHeight="1" x14ac:dyDescent="0.25">
      <c r="A260" s="1371">
        <f>'Расчет ЦП - общая форма'!A260</f>
        <v>0</v>
      </c>
      <c r="B260" s="1394"/>
      <c r="C260" s="7" t="str">
        <f>'Расчет ЦП - общая форма'!C260</f>
        <v>Ном. мощность НН, МВА</v>
      </c>
      <c r="D260" s="230">
        <f>'Расчет ЦП - общая форма'!D260</f>
        <v>25</v>
      </c>
      <c r="E260" s="229" t="str">
        <f>'Расчет ЦП - общая форма'!E260</f>
        <v>+</v>
      </c>
      <c r="F260" s="229">
        <f>'Расчет ЦП - общая форма'!F260</f>
        <v>25</v>
      </c>
      <c r="G260" s="229">
        <f>'Расчет ЦП - общая форма'!G260</f>
        <v>0</v>
      </c>
      <c r="H260" s="229">
        <f>'Расчет ЦП - общая форма'!H260</f>
        <v>0</v>
      </c>
      <c r="I260" s="172">
        <f>'Расчет ЦП - общая форма'!Q260</f>
        <v>0</v>
      </c>
      <c r="J260" s="1366">
        <f>'Расчет ЦП - общая форма'!R260</f>
        <v>0</v>
      </c>
      <c r="K260" s="1366">
        <f>'Расчет ЦП - общая форма'!S260</f>
        <v>0</v>
      </c>
      <c r="L260" s="913" t="str">
        <f>'Расчет ЦП - общая форма'!T260</f>
        <v/>
      </c>
      <c r="M260" s="1362">
        <f>'Расчет ЦП - общая форма'!U260</f>
        <v>0</v>
      </c>
      <c r="N260" s="919"/>
      <c r="O260" s="919"/>
      <c r="P260" s="919"/>
    </row>
    <row r="261" spans="1:16" s="232" customFormat="1" ht="15.75" hidden="1" customHeight="1" x14ac:dyDescent="0.25">
      <c r="A261" s="213">
        <f>'Расчет ЦП - общая форма'!A261</f>
        <v>190</v>
      </c>
      <c r="B261" s="213">
        <f>COUNTIFS($C$8:C261,"*ПС*",$L$8:L261,"*закрыт*")</f>
        <v>23</v>
      </c>
      <c r="C261" s="213" t="str">
        <f>'Расчет ЦП - общая форма'!C261</f>
        <v xml:space="preserve">ПС 35/10 кВ П.Городище </v>
      </c>
      <c r="D261" s="230">
        <f>'Расчет ЦП - общая форма'!D261</f>
        <v>5.6</v>
      </c>
      <c r="E261" s="229" t="str">
        <f>'Расчет ЦП - общая форма'!E261</f>
        <v>+</v>
      </c>
      <c r="F261" s="229">
        <f>'Расчет ЦП - общая форма'!F261</f>
        <v>5.6</v>
      </c>
      <c r="G261" s="229">
        <f>'Расчет ЦП - общая форма'!G261</f>
        <v>0</v>
      </c>
      <c r="H261" s="229">
        <f>'Расчет ЦП - общая форма'!H261</f>
        <v>0</v>
      </c>
      <c r="I261" s="172">
        <f>'Расчет ЦП - общая форма'!Q261</f>
        <v>0.53000000000000025</v>
      </c>
      <c r="J261" s="172">
        <f>'Расчет ЦП - общая форма'!R261</f>
        <v>0.53000000000000025</v>
      </c>
      <c r="K261" s="768" t="str">
        <f>'Расчет ЦП - общая форма'!S261</f>
        <v/>
      </c>
      <c r="L261" s="257" t="str">
        <f>'Расчет ЦП - общая форма'!T261</f>
        <v/>
      </c>
      <c r="M261" s="768">
        <f>'Расчет ЦП - общая форма'!U261</f>
        <v>121.42857142857143</v>
      </c>
      <c r="N261" s="919"/>
      <c r="O261" s="919"/>
      <c r="P261" s="919"/>
    </row>
    <row r="262" spans="1:16" s="232" customFormat="1" ht="15.75" hidden="1" customHeight="1" x14ac:dyDescent="0.25">
      <c r="A262" s="213">
        <f>'Расчет ЦП - общая форма'!A262</f>
        <v>191</v>
      </c>
      <c r="B262" s="213">
        <f>COUNTIFS($C$8:C262,"*ПС*",$L$8:L262,"*закрыт*")</f>
        <v>23</v>
      </c>
      <c r="C262" s="213" t="str">
        <f>'Расчет ЦП - общая форма'!C262</f>
        <v xml:space="preserve">ПС 35/10 кВ Степурино </v>
      </c>
      <c r="D262" s="230">
        <f>'Расчет ЦП - общая форма'!D262</f>
        <v>4</v>
      </c>
      <c r="E262" s="229" t="str">
        <f>'Расчет ЦП - общая форма'!E262</f>
        <v>+</v>
      </c>
      <c r="F262" s="229">
        <f>'Расчет ЦП - общая форма'!F262</f>
        <v>4</v>
      </c>
      <c r="G262" s="229">
        <f>'Расчет ЦП - общая форма'!G262</f>
        <v>0</v>
      </c>
      <c r="H262" s="229">
        <f>'Расчет ЦП - общая форма'!H262</f>
        <v>0</v>
      </c>
      <c r="I262" s="172">
        <f>'Расчет ЦП - общая форма'!Q262</f>
        <v>2.6500000000000004</v>
      </c>
      <c r="J262" s="172">
        <f>'Расчет ЦП - общая форма'!R262</f>
        <v>2.6500000000000004</v>
      </c>
      <c r="K262" s="768" t="str">
        <f>'Расчет ЦП - общая форма'!S262</f>
        <v/>
      </c>
      <c r="L262" s="257" t="str">
        <f>'Расчет ЦП - общая форма'!T262</f>
        <v/>
      </c>
      <c r="M262" s="768">
        <f>'Расчет ЦП - общая форма'!U262</f>
        <v>36.904761904761905</v>
      </c>
      <c r="N262" s="919"/>
      <c r="O262" s="919"/>
      <c r="P262" s="919"/>
    </row>
    <row r="263" spans="1:16" s="232" customFormat="1" ht="15.75" hidden="1" customHeight="1" x14ac:dyDescent="0.25">
      <c r="A263" s="213">
        <f>'Расчет ЦП - общая форма'!A263</f>
        <v>192</v>
      </c>
      <c r="B263" s="213">
        <f>COUNTIFS($C$8:C263,"*ПС*",$L$8:L263,"*закрыт*")</f>
        <v>23</v>
      </c>
      <c r="C263" s="213" t="str">
        <f>'Расчет ЦП - общая форма'!C263</f>
        <v xml:space="preserve">ПС 35/10 кВ Максимово </v>
      </c>
      <c r="D263" s="230">
        <f>'Расчет ЦП - общая форма'!D263</f>
        <v>2.5</v>
      </c>
      <c r="E263" s="229" t="str">
        <f>'Расчет ЦП - общая форма'!E263</f>
        <v>+</v>
      </c>
      <c r="F263" s="229">
        <f>'Расчет ЦП - общая форма'!F263</f>
        <v>2.5</v>
      </c>
      <c r="G263" s="229">
        <f>'Расчет ЦП - общая форма'!G263</f>
        <v>0</v>
      </c>
      <c r="H263" s="229">
        <f>'Расчет ЦП - общая форма'!H263</f>
        <v>0</v>
      </c>
      <c r="I263" s="172">
        <f>'Расчет ЦП - общая форма'!Q263</f>
        <v>2.605</v>
      </c>
      <c r="J263" s="172">
        <f>'Расчет ЦП - общая форма'!R263</f>
        <v>2.605</v>
      </c>
      <c r="K263" s="768" t="str">
        <f>'Расчет ЦП - общая форма'!S263</f>
        <v/>
      </c>
      <c r="L263" s="257" t="str">
        <f>'Расчет ЦП - общая форма'!T263</f>
        <v/>
      </c>
      <c r="M263" s="768">
        <f>'Расчет ЦП - общая форма'!U263</f>
        <v>24.38095238095238</v>
      </c>
      <c r="N263" s="919"/>
      <c r="O263" s="919"/>
      <c r="P263" s="919"/>
    </row>
    <row r="264" spans="1:16" ht="20.100000000000001" hidden="1" customHeight="1" x14ac:dyDescent="0.25">
      <c r="A264" s="213">
        <f>'Расчет ЦП - общая форма'!A264</f>
        <v>193</v>
      </c>
      <c r="B264" s="213">
        <f>COUNTIFS($C$8:C264,"*ПС*",$L$8:L264,"*закрыт*")</f>
        <v>23</v>
      </c>
      <c r="C264" s="213" t="str">
        <f>'Расчет ЦП - общая форма'!C264</f>
        <v xml:space="preserve">ПС 35/10 кВ Луковниково </v>
      </c>
      <c r="D264" s="230">
        <f>'Расчет ЦП - общая форма'!D264</f>
        <v>4</v>
      </c>
      <c r="E264" s="229" t="str">
        <f>'Расчет ЦП - общая форма'!E264</f>
        <v>+</v>
      </c>
      <c r="F264" s="229">
        <f>'Расчет ЦП - общая форма'!F264</f>
        <v>2.5</v>
      </c>
      <c r="G264" s="229">
        <f>'Расчет ЦП - общая форма'!G264</f>
        <v>0</v>
      </c>
      <c r="H264" s="229">
        <f>'Расчет ЦП - общая форма'!H264</f>
        <v>0</v>
      </c>
      <c r="I264" s="172">
        <f>'Расчет ЦП - общая форма'!Q264</f>
        <v>1.405</v>
      </c>
      <c r="J264" s="172">
        <f>'Расчет ЦП - общая форма'!R264</f>
        <v>1.405</v>
      </c>
      <c r="K264" s="768" t="str">
        <f>'Расчет ЦП - общая форма'!S264</f>
        <v/>
      </c>
      <c r="L264" s="257" t="str">
        <f>'Расчет ЦП - общая форма'!T264</f>
        <v/>
      </c>
      <c r="M264" s="768">
        <f>'Расчет ЦП - общая форма'!U264</f>
        <v>46.476190476190474</v>
      </c>
      <c r="N264" s="919"/>
      <c r="O264" s="919"/>
      <c r="P264" s="919"/>
    </row>
    <row r="265" spans="1:16" ht="20.100000000000001" hidden="1" customHeight="1" x14ac:dyDescent="0.25">
      <c r="A265" s="213">
        <f>'Расчет ЦП - общая форма'!A265</f>
        <v>194</v>
      </c>
      <c r="B265" s="213">
        <f>COUNTIFS($C$8:C265,"*ПС*",$L$8:L265,"*закрыт*")</f>
        <v>23</v>
      </c>
      <c r="C265" s="213" t="str">
        <f>'Расчет ЦП - общая форма'!C265</f>
        <v xml:space="preserve">ПС 110/10 кВ НТПФ </v>
      </c>
      <c r="D265" s="230">
        <f>'Расчет ЦП - общая форма'!D265</f>
        <v>6.3</v>
      </c>
      <c r="E265" s="229" t="str">
        <f>'Расчет ЦП - общая форма'!E265</f>
        <v>+</v>
      </c>
      <c r="F265" s="229">
        <f>'Расчет ЦП - общая форма'!F265</f>
        <v>6.3</v>
      </c>
      <c r="G265" s="229">
        <f>'Расчет ЦП - общая форма'!G265</f>
        <v>0</v>
      </c>
      <c r="H265" s="229">
        <f>'Расчет ЦП - общая форма'!H265</f>
        <v>0</v>
      </c>
      <c r="I265" s="172">
        <f>'Расчет ЦП - общая форма'!Q265</f>
        <v>5.0250000000000004</v>
      </c>
      <c r="J265" s="172">
        <f>'Расчет ЦП - общая форма'!R265</f>
        <v>5.0250000000000004</v>
      </c>
      <c r="K265" s="768" t="str">
        <f>'Расчет ЦП - общая форма'!S265</f>
        <v/>
      </c>
      <c r="L265" s="257" t="str">
        <f>'Расчет ЦП - общая форма'!T265</f>
        <v/>
      </c>
      <c r="M265" s="768">
        <f>'Расчет ЦП - общая форма'!U265</f>
        <v>35.222978080120939</v>
      </c>
      <c r="N265" s="919"/>
      <c r="O265" s="919"/>
      <c r="P265" s="919"/>
    </row>
    <row r="266" spans="1:16" ht="20.100000000000001" hidden="1" customHeight="1" x14ac:dyDescent="0.25">
      <c r="A266" s="213">
        <f>'Расчет ЦП - общая форма'!A266</f>
        <v>195</v>
      </c>
      <c r="B266" s="213">
        <f>COUNTIFS($C$8:C266,"*ПС*",$L$8:L266,"*закрыт*")</f>
        <v>23</v>
      </c>
      <c r="C266" s="213" t="str">
        <f>'Расчет ЦП - общая форма'!C266</f>
        <v xml:space="preserve">ПС 110/10 кВ Мостовая </v>
      </c>
      <c r="D266" s="230">
        <f>'Расчет ЦП - общая форма'!D266</f>
        <v>6.3</v>
      </c>
      <c r="E266" s="229" t="str">
        <f>'Расчет ЦП - общая форма'!E266</f>
        <v>+</v>
      </c>
      <c r="F266" s="229">
        <f>'Расчет ЦП - общая форма'!F266</f>
        <v>6.3</v>
      </c>
      <c r="G266" s="229">
        <f>'Расчет ЦП - общая форма'!G266</f>
        <v>0</v>
      </c>
      <c r="H266" s="229">
        <f>'Расчет ЦП - общая форма'!H266</f>
        <v>0</v>
      </c>
      <c r="I266" s="172">
        <f>'Расчет ЦП - общая форма'!Q266</f>
        <v>5.335</v>
      </c>
      <c r="J266" s="172">
        <f>'Расчет ЦП - общая форма'!R266</f>
        <v>5.335</v>
      </c>
      <c r="K266" s="768" t="str">
        <f>'Расчет ЦП - общая форма'!S266</f>
        <v/>
      </c>
      <c r="L266" s="257" t="str">
        <f>'Расчет ЦП - общая форма'!T266</f>
        <v/>
      </c>
      <c r="M266" s="768">
        <f>'Расчет ЦП - общая форма'!U266</f>
        <v>24.489795918367346</v>
      </c>
      <c r="N266" s="919"/>
      <c r="O266" s="919"/>
      <c r="P266" s="919"/>
    </row>
    <row r="267" spans="1:16" s="232" customFormat="1" ht="15.75" hidden="1" customHeight="1" x14ac:dyDescent="0.25">
      <c r="A267" s="1371">
        <f>'Расчет ЦП - общая форма'!A267</f>
        <v>196</v>
      </c>
      <c r="B267" s="1376">
        <f>COUNTIFS($C$8:C267,"*ПС*",$L$8:L267,"*закрыт*")</f>
        <v>23</v>
      </c>
      <c r="C267" s="213" t="str">
        <f>'Расчет ЦП - общая форма'!C267</f>
        <v xml:space="preserve">ПС 110/35/10кВ Ржев </v>
      </c>
      <c r="D267" s="230">
        <f>'Расчет ЦП - общая форма'!D267</f>
        <v>40.5</v>
      </c>
      <c r="E267" s="229" t="str">
        <f>'Расчет ЦП - общая форма'!E267</f>
        <v>+</v>
      </c>
      <c r="F267" s="229">
        <f>'Расчет ЦП - общая форма'!F267</f>
        <v>40</v>
      </c>
      <c r="G267" s="229">
        <f>'Расчет ЦП - общая форма'!G267</f>
        <v>0</v>
      </c>
      <c r="H267" s="229">
        <f>'Расчет ЦП - общая форма'!H267</f>
        <v>0</v>
      </c>
      <c r="I267" s="172">
        <f>'Расчет ЦП - общая форма'!Q267</f>
        <v>15.839017731367363</v>
      </c>
      <c r="J267" s="1364">
        <f>'Расчет ЦП - общая форма'!R267</f>
        <v>15.839017731367363</v>
      </c>
      <c r="K267" s="1362" t="str">
        <f>'Расчет ЦП - общая форма'!S267</f>
        <v/>
      </c>
      <c r="L267" s="257" t="str">
        <f>'Расчет ЦП - общая форма'!T267</f>
        <v/>
      </c>
      <c r="M267" s="1362">
        <f>'Расчет ЦП - общая форма'!U267</f>
        <v>76.261904761904759</v>
      </c>
      <c r="N267" s="919"/>
      <c r="O267" s="919"/>
      <c r="P267" s="919"/>
    </row>
    <row r="268" spans="1:16" s="232" customFormat="1" ht="15.75" hidden="1" customHeight="1" x14ac:dyDescent="0.25">
      <c r="A268" s="1371">
        <f>'Расчет ЦП - общая форма'!A268</f>
        <v>0</v>
      </c>
      <c r="B268" s="1393"/>
      <c r="C268" s="7" t="str">
        <f>'Расчет ЦП - общая форма'!C268</f>
        <v xml:space="preserve">Ном. мощность СН, МВА </v>
      </c>
      <c r="D268" s="230">
        <f>'Расчет ЦП - общая форма'!D268</f>
        <v>40.5</v>
      </c>
      <c r="E268" s="229" t="str">
        <f>'Расчет ЦП - общая форма'!E268</f>
        <v>+</v>
      </c>
      <c r="F268" s="229">
        <f>'Расчет ЦП - общая форма'!F268</f>
        <v>40</v>
      </c>
      <c r="G268" s="229">
        <f>'Расчет ЦП - общая форма'!G268</f>
        <v>0</v>
      </c>
      <c r="H268" s="229">
        <f>'Расчет ЦП - общая форма'!H268</f>
        <v>0</v>
      </c>
      <c r="I268" s="172">
        <f>'Расчет ЦП - общая форма'!Q268</f>
        <v>26.799017731367368</v>
      </c>
      <c r="J268" s="1365">
        <f>'Расчет ЦП - общая форма'!R268</f>
        <v>0</v>
      </c>
      <c r="K268" s="1362">
        <f>'Расчет ЦП - общая форма'!S268</f>
        <v>0</v>
      </c>
      <c r="L268" s="257" t="str">
        <f>'Расчет ЦП - общая форма'!T268</f>
        <v/>
      </c>
      <c r="M268" s="1362">
        <f>'Расчет ЦП - общая форма'!U268</f>
        <v>0</v>
      </c>
      <c r="N268" s="919"/>
      <c r="O268" s="919"/>
      <c r="P268" s="919"/>
    </row>
    <row r="269" spans="1:16" s="232" customFormat="1" ht="15.75" hidden="1" customHeight="1" x14ac:dyDescent="0.25">
      <c r="A269" s="1371">
        <f>'Расчет ЦП - общая форма'!A269</f>
        <v>0</v>
      </c>
      <c r="B269" s="1394"/>
      <c r="C269" s="7" t="str">
        <f>'Расчет ЦП - общая форма'!C269</f>
        <v>Ном. мощность НН, МВА</v>
      </c>
      <c r="D269" s="230">
        <f>'Расчет ЦП - общая форма'!D269</f>
        <v>40.5</v>
      </c>
      <c r="E269" s="229" t="str">
        <f>'Расчет ЦП - общая форма'!E269</f>
        <v>+</v>
      </c>
      <c r="F269" s="229">
        <f>'Расчет ЦП - общая форма'!F269</f>
        <v>40</v>
      </c>
      <c r="G269" s="229">
        <f>'Расчет ЦП - общая форма'!G269</f>
        <v>0</v>
      </c>
      <c r="H269" s="229">
        <f>'Расчет ЦП - общая форма'!H269</f>
        <v>0</v>
      </c>
      <c r="I269" s="172">
        <f>'Расчет ЦП - общая форма'!Q269</f>
        <v>31.04</v>
      </c>
      <c r="J269" s="1366">
        <f>'Расчет ЦП - общая форма'!R269</f>
        <v>0</v>
      </c>
      <c r="K269" s="1362">
        <f>'Расчет ЦП - общая форма'!S269</f>
        <v>0</v>
      </c>
      <c r="L269" s="257" t="str">
        <f>'Расчет ЦП - общая форма'!T269</f>
        <v/>
      </c>
      <c r="M269" s="1362">
        <f>'Расчет ЦП - общая форма'!U269</f>
        <v>0</v>
      </c>
      <c r="N269" s="919"/>
      <c r="O269" s="919"/>
      <c r="P269" s="919"/>
    </row>
    <row r="270" spans="1:16" s="232" customFormat="1" ht="15.75" hidden="1" customHeight="1" x14ac:dyDescent="0.25">
      <c r="A270" s="1371">
        <f>'Расчет ЦП - общая форма'!A270</f>
        <v>197</v>
      </c>
      <c r="B270" s="1376">
        <f>COUNTIFS($C$8:C270,"*ПС*",$L$8:L270,"*закрыт*")</f>
        <v>23</v>
      </c>
      <c r="C270" s="213" t="str">
        <f>'Расчет ЦП - общая форма'!C270</f>
        <v>ПС  110/35/10 кВ Чертолино</v>
      </c>
      <c r="D270" s="230">
        <f>'Расчет ЦП - общая форма'!D270</f>
        <v>5.6</v>
      </c>
      <c r="E270" s="229" t="str">
        <f>'Расчет ЦП - общая форма'!E270</f>
        <v>+</v>
      </c>
      <c r="F270" s="229">
        <f>'Расчет ЦП - общая форма'!F270</f>
        <v>6.3</v>
      </c>
      <c r="G270" s="229">
        <f>'Расчет ЦП - общая форма'!G270</f>
        <v>0</v>
      </c>
      <c r="H270" s="229">
        <f>'Расчет ЦП - общая форма'!H270</f>
        <v>0</v>
      </c>
      <c r="I270" s="172">
        <f>'Расчет ЦП - общая форма'!Q270</f>
        <v>4.7</v>
      </c>
      <c r="J270" s="1379">
        <f>'Расчет ЦП - общая форма'!R270</f>
        <v>4.7</v>
      </c>
      <c r="K270" s="1362" t="str">
        <f>'Расчет ЦП - общая форма'!S270</f>
        <v/>
      </c>
      <c r="L270" s="257" t="str">
        <f>'Расчет ЦП - общая форма'!T270</f>
        <v/>
      </c>
      <c r="M270" s="1362">
        <f>'Расчет ЦП - общая форма'!U270</f>
        <v>34.353741496598637</v>
      </c>
      <c r="N270" s="919"/>
      <c r="O270" s="919"/>
      <c r="P270" s="919"/>
    </row>
    <row r="271" spans="1:16" s="232" customFormat="1" ht="15.75" hidden="1" customHeight="1" x14ac:dyDescent="0.25">
      <c r="A271" s="1371">
        <f>'Расчет ЦП - общая форма'!A271</f>
        <v>0</v>
      </c>
      <c r="B271" s="1393"/>
      <c r="C271" s="7" t="str">
        <f>'Расчет ЦП - общая форма'!C271</f>
        <v xml:space="preserve">Ном. мощность СН, МВА </v>
      </c>
      <c r="D271" s="230">
        <f>'Расчет ЦП - общая форма'!D271</f>
        <v>5.6</v>
      </c>
      <c r="E271" s="229" t="str">
        <f>'Расчет ЦП - общая форма'!E271</f>
        <v>+</v>
      </c>
      <c r="F271" s="229">
        <f>'Расчет ЦП - общая форма'!F271</f>
        <v>6.3</v>
      </c>
      <c r="G271" s="229">
        <f>'Расчет ЦП - общая форма'!G271</f>
        <v>0</v>
      </c>
      <c r="H271" s="229">
        <f>'Расчет ЦП - общая форма'!H271</f>
        <v>0</v>
      </c>
      <c r="I271" s="172">
        <f>'Расчет ЦП - общая форма'!Q271</f>
        <v>5.68</v>
      </c>
      <c r="J271" s="1379">
        <f>'Расчет ЦП - общая форма'!R271</f>
        <v>0</v>
      </c>
      <c r="K271" s="1363" t="str">
        <f>'Расчет ЦП - общая форма'!S271</f>
        <v/>
      </c>
      <c r="L271" s="257" t="str">
        <f>'Расчет ЦП - общая форма'!T271</f>
        <v/>
      </c>
      <c r="M271" s="1363">
        <f>'Расчет ЦП - общая форма'!U271</f>
        <v>0</v>
      </c>
      <c r="N271" s="919"/>
      <c r="O271" s="919"/>
      <c r="P271" s="919"/>
    </row>
    <row r="272" spans="1:16" s="232" customFormat="1" ht="15.75" hidden="1" customHeight="1" x14ac:dyDescent="0.25">
      <c r="A272" s="1371">
        <f>'Расчет ЦП - общая форма'!A272</f>
        <v>0</v>
      </c>
      <c r="B272" s="1394"/>
      <c r="C272" s="7" t="str">
        <f>'Расчет ЦП - общая форма'!C272</f>
        <v>Ном. мощность НН, МВА</v>
      </c>
      <c r="D272" s="230">
        <f>'Расчет ЦП - общая форма'!D272</f>
        <v>5.6</v>
      </c>
      <c r="E272" s="229" t="str">
        <f>'Расчет ЦП - общая форма'!E272</f>
        <v>+</v>
      </c>
      <c r="F272" s="229">
        <f>'Расчет ЦП - общая форма'!F272</f>
        <v>6.3</v>
      </c>
      <c r="G272" s="229">
        <f>'Расчет ЦП - общая форма'!G272</f>
        <v>0</v>
      </c>
      <c r="H272" s="229">
        <f>'Расчет ЦП - общая форма'!H272</f>
        <v>0</v>
      </c>
      <c r="I272" s="172">
        <f>'Расчет ЦП - общая форма'!Q272</f>
        <v>4.9000000000000004</v>
      </c>
      <c r="J272" s="1379">
        <f>'Расчет ЦП - общая форма'!R272</f>
        <v>0</v>
      </c>
      <c r="K272" s="1363" t="str">
        <f>'Расчет ЦП - общая форма'!S272</f>
        <v/>
      </c>
      <c r="L272" s="257" t="str">
        <f>'Расчет ЦП - общая форма'!T272</f>
        <v/>
      </c>
      <c r="M272" s="1363">
        <f>'Расчет ЦП - общая форма'!U272</f>
        <v>0</v>
      </c>
      <c r="N272" s="919"/>
      <c r="O272" s="919"/>
      <c r="P272" s="919"/>
    </row>
    <row r="273" spans="1:48" s="232" customFormat="1" ht="15.75" hidden="1" customHeight="1" x14ac:dyDescent="0.25">
      <c r="A273" s="1371">
        <f>'Расчет ЦП - общая форма'!A273</f>
        <v>198</v>
      </c>
      <c r="B273" s="1376">
        <f>COUNTIFS($C$8:C273,"*ПС*",$L$8:L273,"*закрыт*")</f>
        <v>23</v>
      </c>
      <c r="C273" s="213" t="str">
        <f>'Расчет ЦП - общая форма'!C273</f>
        <v xml:space="preserve">ПС 110/35/10 кВ Оленино </v>
      </c>
      <c r="D273" s="230">
        <f>'Расчет ЦП - общая форма'!D273</f>
        <v>16</v>
      </c>
      <c r="E273" s="229" t="str">
        <f>'Расчет ЦП - общая форма'!E273</f>
        <v>+</v>
      </c>
      <c r="F273" s="229">
        <f>'Расчет ЦП - общая форма'!F273</f>
        <v>10</v>
      </c>
      <c r="G273" s="229">
        <f>'Расчет ЦП - общая форма'!G273</f>
        <v>0</v>
      </c>
      <c r="H273" s="229">
        <f>'Расчет ЦП - общая форма'!H273</f>
        <v>0</v>
      </c>
      <c r="I273" s="172">
        <f>'Расчет ЦП - общая форма'!Q273</f>
        <v>3.4107236052880152</v>
      </c>
      <c r="J273" s="1379">
        <f>'Расчет ЦП - общая форма'!R273</f>
        <v>3.4107236052880152</v>
      </c>
      <c r="K273" s="1362" t="str">
        <f>'Расчет ЦП - общая форма'!S273</f>
        <v/>
      </c>
      <c r="L273" s="257" t="str">
        <f>'Расчет ЦП - общая форма'!T273</f>
        <v/>
      </c>
      <c r="M273" s="1362">
        <f>'Расчет ЦП - общая форма'!U273</f>
        <v>71.142857142857139</v>
      </c>
      <c r="N273" s="919"/>
      <c r="O273" s="919"/>
      <c r="P273" s="919"/>
    </row>
    <row r="274" spans="1:48" s="232" customFormat="1" ht="15.75" hidden="1" customHeight="1" x14ac:dyDescent="0.25">
      <c r="A274" s="1371">
        <f>'Расчет ЦП - общая форма'!A274</f>
        <v>0</v>
      </c>
      <c r="B274" s="1393"/>
      <c r="C274" s="7" t="str">
        <f>'Расчет ЦП - общая форма'!C274</f>
        <v xml:space="preserve">Ном. мощность СН, МВА </v>
      </c>
      <c r="D274" s="230">
        <f>'Расчет ЦП - общая форма'!D274</f>
        <v>16</v>
      </c>
      <c r="E274" s="229" t="str">
        <f>'Расчет ЦП - общая форма'!E274</f>
        <v>+</v>
      </c>
      <c r="F274" s="229">
        <f>'Расчет ЦП - общая форма'!F274</f>
        <v>10</v>
      </c>
      <c r="G274" s="229">
        <f>'Расчет ЦП - общая форма'!G274</f>
        <v>0</v>
      </c>
      <c r="H274" s="229">
        <f>'Расчет ЦП - общая форма'!H274</f>
        <v>0</v>
      </c>
      <c r="I274" s="172">
        <f>'Расчет ЦП - общая форма'!Q274</f>
        <v>9.4107236052880143</v>
      </c>
      <c r="J274" s="1379">
        <f>'Расчет ЦП - общая форма'!R274</f>
        <v>0</v>
      </c>
      <c r="K274" s="1363" t="str">
        <f>'Расчет ЦП - общая форма'!S274</f>
        <v/>
      </c>
      <c r="L274" s="257" t="str">
        <f>'Расчет ЦП - общая форма'!T274</f>
        <v/>
      </c>
      <c r="M274" s="1363">
        <f>'Расчет ЦП - общая форма'!U274</f>
        <v>0</v>
      </c>
      <c r="N274" s="919"/>
      <c r="O274" s="919"/>
      <c r="P274" s="919"/>
    </row>
    <row r="275" spans="1:48" s="232" customFormat="1" ht="15.75" hidden="1" customHeight="1" x14ac:dyDescent="0.25">
      <c r="A275" s="1371">
        <f>'Расчет ЦП - общая форма'!A275</f>
        <v>0</v>
      </c>
      <c r="B275" s="1394"/>
      <c r="C275" s="7" t="str">
        <f>'Расчет ЦП - общая форма'!C275</f>
        <v>Ном. мощность НН, МВА</v>
      </c>
      <c r="D275" s="230">
        <f>'Расчет ЦП - общая форма'!D275</f>
        <v>16</v>
      </c>
      <c r="E275" s="229" t="str">
        <f>'Расчет ЦП - общая форма'!E275</f>
        <v>+</v>
      </c>
      <c r="F275" s="229">
        <f>'Расчет ЦП - общая форма'!F275</f>
        <v>10</v>
      </c>
      <c r="G275" s="229">
        <f>'Расчет ЦП - общая форма'!G275</f>
        <v>0</v>
      </c>
      <c r="H275" s="229">
        <f>'Расчет ЦП - общая форма'!H275</f>
        <v>0</v>
      </c>
      <c r="I275" s="172">
        <f>'Расчет ЦП - общая форма'!Q275</f>
        <v>4.5</v>
      </c>
      <c r="J275" s="1379">
        <f>'Расчет ЦП - общая форма'!R275</f>
        <v>0</v>
      </c>
      <c r="K275" s="1363" t="str">
        <f>'Расчет ЦП - общая форма'!S275</f>
        <v/>
      </c>
      <c r="L275" s="257" t="str">
        <f>'Расчет ЦП - общая форма'!T275</f>
        <v/>
      </c>
      <c r="M275" s="1363">
        <f>'Расчет ЦП - общая форма'!U275</f>
        <v>0</v>
      </c>
      <c r="N275" s="919"/>
      <c r="O275" s="919"/>
      <c r="P275" s="919"/>
    </row>
    <row r="276" spans="1:48" s="232" customFormat="1" ht="15.75" hidden="1" customHeight="1" x14ac:dyDescent="0.25">
      <c r="A276" s="1371">
        <f>'Расчет ЦП - общая форма'!A276</f>
        <v>199</v>
      </c>
      <c r="B276" s="1376">
        <f>COUNTIFS($C$8:C276,"*ПС*",$L$8:L276,"*закрыт*")</f>
        <v>23</v>
      </c>
      <c r="C276" s="213" t="str">
        <f>'Расчет ЦП - общая форма'!C276</f>
        <v xml:space="preserve">ПС 110/35/10 кВ Старица </v>
      </c>
      <c r="D276" s="230">
        <f>'Расчет ЦП - общая форма'!D276</f>
        <v>16</v>
      </c>
      <c r="E276" s="229" t="str">
        <f>'Расчет ЦП - общая форма'!E276</f>
        <v>+</v>
      </c>
      <c r="F276" s="229">
        <f>'Расчет ЦП - общая форма'!F276</f>
        <v>16</v>
      </c>
      <c r="G276" s="229">
        <f>'Расчет ЦП - общая форма'!G276</f>
        <v>0</v>
      </c>
      <c r="H276" s="229">
        <f>'Расчет ЦП - общая форма'!H276</f>
        <v>0</v>
      </c>
      <c r="I276" s="172">
        <f>'Расчет ЦП - общая форма'!Q276</f>
        <v>7.7306372045180858</v>
      </c>
      <c r="J276" s="1379">
        <f>'Расчет ЦП - общая форма'!R276</f>
        <v>7.7306372045180858</v>
      </c>
      <c r="K276" s="1362" t="str">
        <f>'Расчет ЦП - общая форма'!S276</f>
        <v/>
      </c>
      <c r="L276" s="257" t="str">
        <f>'Расчет ЦП - общая форма'!T276</f>
        <v/>
      </c>
      <c r="M276" s="1362">
        <f>'Расчет ЦП - общая форма'!U276</f>
        <v>86.19047619047619</v>
      </c>
      <c r="N276" s="919"/>
      <c r="O276" s="919"/>
      <c r="P276" s="919"/>
    </row>
    <row r="277" spans="1:48" s="232" customFormat="1" ht="15.75" hidden="1" customHeight="1" x14ac:dyDescent="0.25">
      <c r="A277" s="1371">
        <f>'Расчет ЦП - общая форма'!A277</f>
        <v>0</v>
      </c>
      <c r="B277" s="1393"/>
      <c r="C277" s="7" t="str">
        <f>'Расчет ЦП - общая форма'!C277</f>
        <v xml:space="preserve">Ном. мощность СН, МВА </v>
      </c>
      <c r="D277" s="230">
        <f>'Расчет ЦП - общая форма'!D277</f>
        <v>16</v>
      </c>
      <c r="E277" s="229" t="str">
        <f>'Расчет ЦП - общая форма'!E277</f>
        <v>+</v>
      </c>
      <c r="F277" s="229">
        <f>'Расчет ЦП - общая форма'!F277</f>
        <v>16</v>
      </c>
      <c r="G277" s="229">
        <f>'Расчет ЦП - общая форма'!G277</f>
        <v>0</v>
      </c>
      <c r="H277" s="229">
        <f>'Расчет ЦП - общая форма'!H277</f>
        <v>0</v>
      </c>
      <c r="I277" s="172">
        <f>'Расчет ЦП - общая форма'!Q277</f>
        <v>16.380637204518088</v>
      </c>
      <c r="J277" s="1379">
        <f>'Расчет ЦП - общая форма'!R277</f>
        <v>0</v>
      </c>
      <c r="K277" s="1363" t="str">
        <f>'Расчет ЦП - общая форма'!S277</f>
        <v/>
      </c>
      <c r="L277" s="257" t="str">
        <f>'Расчет ЦП - общая форма'!T277</f>
        <v/>
      </c>
      <c r="M277" s="1363">
        <f>'Расчет ЦП - общая форма'!U277</f>
        <v>0</v>
      </c>
      <c r="N277" s="919"/>
      <c r="O277" s="919"/>
      <c r="P277" s="919"/>
    </row>
    <row r="278" spans="1:48" s="232" customFormat="1" ht="15.75" hidden="1" customHeight="1" x14ac:dyDescent="0.25">
      <c r="A278" s="1371">
        <f>'Расчет ЦП - общая форма'!A278</f>
        <v>0</v>
      </c>
      <c r="B278" s="1394"/>
      <c r="C278" s="7" t="str">
        <f>'Расчет ЦП - общая форма'!C278</f>
        <v>Ном. мощность НН, МВА</v>
      </c>
      <c r="D278" s="230">
        <f>'Расчет ЦП - общая форма'!D278</f>
        <v>16</v>
      </c>
      <c r="E278" s="229" t="str">
        <f>'Расчет ЦП - общая форма'!E278</f>
        <v>+</v>
      </c>
      <c r="F278" s="229">
        <f>'Расчет ЦП - общая форма'!F278</f>
        <v>16</v>
      </c>
      <c r="G278" s="229">
        <f>'Расчет ЦП - общая форма'!G278</f>
        <v>0</v>
      </c>
      <c r="H278" s="229">
        <f>'Расчет ЦП - общая форма'!H278</f>
        <v>0</v>
      </c>
      <c r="I278" s="172">
        <f>'Расчет ЦП - общая форма'!Q278</f>
        <v>8.1500000000000021</v>
      </c>
      <c r="J278" s="1379">
        <f>'Расчет ЦП - общая форма'!R278</f>
        <v>0</v>
      </c>
      <c r="K278" s="1363" t="str">
        <f>'Расчет ЦП - общая форма'!S278</f>
        <v/>
      </c>
      <c r="L278" s="257" t="str">
        <f>'Расчет ЦП - общая форма'!T278</f>
        <v/>
      </c>
      <c r="M278" s="1363">
        <f>'Расчет ЦП - общая форма'!U278</f>
        <v>0</v>
      </c>
      <c r="N278" s="919"/>
      <c r="O278" s="919"/>
      <c r="P278" s="919"/>
    </row>
    <row r="279" spans="1:48" s="232" customFormat="1" ht="30" hidden="1" customHeight="1" x14ac:dyDescent="0.25">
      <c r="A279" s="1371">
        <f>'Расчет ЦП - общая форма'!A279</f>
        <v>200</v>
      </c>
      <c r="B279" s="1376">
        <f>COUNTIFS($C$8:C279,"*ПС*",$L$8:L279,"*закрыт*")</f>
        <v>23</v>
      </c>
      <c r="C279" s="213" t="str">
        <f>'Расчет ЦП - общая форма'!C279</f>
        <v xml:space="preserve">ПС 110/35/10 кВ З.Поле </v>
      </c>
      <c r="D279" s="230">
        <f>'Расчет ЦП - общая форма'!D279</f>
        <v>6.3</v>
      </c>
      <c r="E279" s="229" t="str">
        <f>'Расчет ЦП - общая форма'!E279</f>
        <v>+</v>
      </c>
      <c r="F279" s="229">
        <f>'Расчет ЦП - общая форма'!F279</f>
        <v>6.3</v>
      </c>
      <c r="G279" s="229">
        <f>'Расчет ЦП - общая форма'!G279</f>
        <v>0</v>
      </c>
      <c r="H279" s="229">
        <f>'Расчет ЦП - общая форма'!H279</f>
        <v>0</v>
      </c>
      <c r="I279" s="172">
        <f>'Расчет ЦП - общая форма'!Q279</f>
        <v>3.9250000000000003</v>
      </c>
      <c r="J279" s="1379">
        <f>'Расчет ЦП - общая форма'!R279</f>
        <v>3.9250000000000003</v>
      </c>
      <c r="K279" s="1362" t="str">
        <f>'Расчет ЦП - общая форма'!S279</f>
        <v/>
      </c>
      <c r="L279" s="257" t="str">
        <f>'Расчет ЦП - общая форма'!T279</f>
        <v/>
      </c>
      <c r="M279" s="1362">
        <f>'Расчет ЦП - общая форма'!U279</f>
        <v>40.665154950869237</v>
      </c>
      <c r="N279" s="919"/>
      <c r="O279" s="919"/>
      <c r="P279" s="919"/>
    </row>
    <row r="280" spans="1:48" ht="20.100000000000001" hidden="1" customHeight="1" x14ac:dyDescent="0.25">
      <c r="A280" s="1371">
        <f>'Расчет ЦП - общая форма'!A280</f>
        <v>0</v>
      </c>
      <c r="B280" s="1393"/>
      <c r="C280" s="7" t="str">
        <f>'Расчет ЦП - общая форма'!C280</f>
        <v xml:space="preserve">Ном. мощность СН, МВА </v>
      </c>
      <c r="D280" s="230">
        <f>'Расчет ЦП - общая форма'!D280</f>
        <v>6.3</v>
      </c>
      <c r="E280" s="229" t="str">
        <f>'Расчет ЦП - общая форма'!E280</f>
        <v>+</v>
      </c>
      <c r="F280" s="229">
        <f>'Расчет ЦП - общая форма'!F280</f>
        <v>6.3</v>
      </c>
      <c r="G280" s="229">
        <f>'Расчет ЦП - общая форма'!G280</f>
        <v>0</v>
      </c>
      <c r="H280" s="229">
        <f>'Расчет ЦП - общая форма'!H280</f>
        <v>0</v>
      </c>
      <c r="I280" s="172">
        <f>'Расчет ЦП - общая форма'!Q280</f>
        <v>6.6150000000000002</v>
      </c>
      <c r="J280" s="1379">
        <f>'Расчет ЦП - общая форма'!R280</f>
        <v>0</v>
      </c>
      <c r="K280" s="1363" t="str">
        <f>'Расчет ЦП - общая форма'!S280</f>
        <v/>
      </c>
      <c r="L280" s="257" t="str">
        <f>'Расчет ЦП - общая форма'!T280</f>
        <v/>
      </c>
      <c r="M280" s="1363">
        <f>'Расчет ЦП - общая форма'!U280</f>
        <v>0</v>
      </c>
      <c r="N280" s="919"/>
      <c r="O280" s="919"/>
      <c r="P280" s="919"/>
    </row>
    <row r="281" spans="1:48" ht="20.100000000000001" hidden="1" customHeight="1" x14ac:dyDescent="0.25">
      <c r="A281" s="1371">
        <f>'Расчет ЦП - общая форма'!A281</f>
        <v>0</v>
      </c>
      <c r="B281" s="1394"/>
      <c r="C281" s="7" t="str">
        <f>'Расчет ЦП - общая форма'!C281</f>
        <v>Ном. мощность НН, МВА</v>
      </c>
      <c r="D281" s="230">
        <f>'Расчет ЦП - общая форма'!D281</f>
        <v>6.3</v>
      </c>
      <c r="E281" s="229" t="str">
        <f>'Расчет ЦП - общая форма'!E281</f>
        <v>+</v>
      </c>
      <c r="F281" s="229">
        <f>'Расчет ЦП - общая форма'!F281</f>
        <v>6.3</v>
      </c>
      <c r="G281" s="229">
        <f>'Расчет ЦП - общая форма'!G281</f>
        <v>0</v>
      </c>
      <c r="H281" s="229">
        <f>'Расчет ЦП - общая форма'!H281</f>
        <v>0</v>
      </c>
      <c r="I281" s="172">
        <f>'Расчет ЦП - общая форма'!Q281</f>
        <v>3.9250000000000003</v>
      </c>
      <c r="J281" s="1379">
        <f>'Расчет ЦП - общая форма'!R281</f>
        <v>0</v>
      </c>
      <c r="K281" s="1363" t="str">
        <f>'Расчет ЦП - общая форма'!S281</f>
        <v/>
      </c>
      <c r="L281" s="257" t="str">
        <f>'Расчет ЦП - общая форма'!T281</f>
        <v/>
      </c>
      <c r="M281" s="1363">
        <f>'Расчет ЦП - общая форма'!U281</f>
        <v>0</v>
      </c>
      <c r="N281" s="919"/>
      <c r="O281" s="919"/>
      <c r="P281" s="919"/>
    </row>
    <row r="282" spans="1:48" ht="20.100000000000001" customHeight="1" x14ac:dyDescent="0.25">
      <c r="A282" s="213">
        <f>'Расчет ЦП - общая форма'!A282</f>
        <v>201</v>
      </c>
      <c r="B282" s="213">
        <f>COUNTIFS($C$8:C282,"*ПС*",$L$8:L282,"*закрыт*")</f>
        <v>24</v>
      </c>
      <c r="C282" s="213" t="str">
        <f>'Расчет ЦП - общая форма'!C282</f>
        <v xml:space="preserve">ПС 110/10 кВ Золоотвал </v>
      </c>
      <c r="D282" s="230">
        <f>'Расчет ЦП - общая форма'!D282</f>
        <v>2.5</v>
      </c>
      <c r="E282" s="229">
        <f>'Расчет ЦП - общая форма'!E282</f>
        <v>0</v>
      </c>
      <c r="F282" s="229">
        <f>'Расчет ЦП - общая форма'!F282</f>
        <v>0</v>
      </c>
      <c r="G282" s="229">
        <f>'Расчет ЦП - общая форма'!G282</f>
        <v>0</v>
      </c>
      <c r="H282" s="229">
        <f>'Расчет ЦП - общая форма'!H282</f>
        <v>0</v>
      </c>
      <c r="I282" s="172">
        <f>'Расчет ЦП - общая форма'!Q282</f>
        <v>-0.41344999999999998</v>
      </c>
      <c r="J282" s="172">
        <f>'Расчет ЦП - общая форма'!R282</f>
        <v>-0.41344999999999998</v>
      </c>
      <c r="K282" s="768" t="str">
        <f>'Расчет ЦП - общая форма'!S282</f>
        <v>закрыт</v>
      </c>
      <c r="L282" s="257" t="str">
        <f>'Расчет ЦП - общая форма'!T282</f>
        <v>закрыт</v>
      </c>
      <c r="M282" s="768">
        <f>'Расчет ЦП - общая форма'!U282</f>
        <v>50.417142857142856</v>
      </c>
      <c r="N282" s="924"/>
      <c r="O282" s="924"/>
      <c r="P282" s="924"/>
    </row>
    <row r="283" spans="1:48" ht="20.100000000000001" customHeight="1" x14ac:dyDescent="0.25">
      <c r="A283" s="213">
        <f>'Расчет ЦП - общая форма'!A283</f>
        <v>202</v>
      </c>
      <c r="B283" s="213">
        <f>COUNTIFS($C$8:C283,"*ПС*",$L$8:L283,"*закрыт*")</f>
        <v>25</v>
      </c>
      <c r="C283" s="213" t="str">
        <f>'Расчет ЦП - общая форма'!C283</f>
        <v xml:space="preserve">ПС 35/10 кВ Красногорская </v>
      </c>
      <c r="D283" s="230">
        <f>'Расчет ЦП - общая форма'!D283</f>
        <v>1.6</v>
      </c>
      <c r="E283" s="229">
        <f>'Расчет ЦП - общая форма'!E283</f>
        <v>0</v>
      </c>
      <c r="F283" s="229">
        <f>'Расчет ЦП - общая форма'!F283</f>
        <v>0</v>
      </c>
      <c r="G283" s="229">
        <f>'Расчет ЦП - общая форма'!G283</f>
        <v>0</v>
      </c>
      <c r="H283" s="229">
        <f>'Расчет ЦП - общая форма'!H283</f>
        <v>0</v>
      </c>
      <c r="I283" s="172">
        <f>'Расчет ЦП - общая форма'!Q283</f>
        <v>-1.2954240000000001</v>
      </c>
      <c r="J283" s="172">
        <f>'Расчет ЦП - общая форма'!R283</f>
        <v>-1.2954240000000001</v>
      </c>
      <c r="K283" s="172" t="str">
        <f>'Расчет ЦП - общая форма'!S283</f>
        <v>закрыт</v>
      </c>
      <c r="L283" s="257" t="str">
        <f>'Расчет ЦП - общая форма'!T283</f>
        <v>закрыт</v>
      </c>
      <c r="M283" s="768">
        <f>'Расчет ЦП - общая форма'!U283</f>
        <v>77.108571428571423</v>
      </c>
      <c r="N283" s="924"/>
      <c r="O283" s="924"/>
      <c r="P283" s="924"/>
    </row>
    <row r="284" spans="1:48" ht="20.100000000000001" customHeight="1" x14ac:dyDescent="0.25">
      <c r="A284" s="213">
        <f>'Расчет ЦП - общая форма'!A284</f>
        <v>203</v>
      </c>
      <c r="B284" s="213">
        <f>COUNTIFS($C$8:C284,"*ПС*",$L$8:L284,"*закрыт*")</f>
        <v>26</v>
      </c>
      <c r="C284" s="213" t="str">
        <f>'Расчет ЦП - общая форма'!C284</f>
        <v xml:space="preserve">ПС 35/10 кВ Лисицкий Бор </v>
      </c>
      <c r="D284" s="230">
        <f>'Расчет ЦП - общая форма'!D284</f>
        <v>2.5</v>
      </c>
      <c r="E284" s="229">
        <f>'Расчет ЦП - общая форма'!E284</f>
        <v>0</v>
      </c>
      <c r="F284" s="229">
        <f>'Расчет ЦП - общая форма'!F284</f>
        <v>0</v>
      </c>
      <c r="G284" s="229">
        <f>'Расчет ЦП - общая форма'!G284</f>
        <v>0</v>
      </c>
      <c r="H284" s="229">
        <f>'Расчет ЦП - общая форма'!H284</f>
        <v>0</v>
      </c>
      <c r="I284" s="172">
        <f>'Расчет ЦП - общая форма'!Q284</f>
        <v>-1.6037100000000002</v>
      </c>
      <c r="J284" s="172">
        <f>'Расчет ЦП - общая форма'!R284</f>
        <v>-1.6037100000000002</v>
      </c>
      <c r="K284" s="172" t="str">
        <f>'Расчет ЦП - общая форма'!S284</f>
        <v>закрыт</v>
      </c>
      <c r="L284" s="257" t="str">
        <f>'Расчет ЦП - общая форма'!T284</f>
        <v>закрыт</v>
      </c>
      <c r="M284" s="768">
        <f>'Расчет ЦП - общая форма'!U284</f>
        <v>61.093714285714292</v>
      </c>
      <c r="N284" s="924"/>
      <c r="O284" s="924"/>
      <c r="P284" s="924"/>
    </row>
    <row r="285" spans="1:48" ht="20.100000000000001" customHeight="1" x14ac:dyDescent="0.25">
      <c r="A285" s="213">
        <f>'Расчет ЦП - общая форма'!A285</f>
        <v>204</v>
      </c>
      <c r="B285" s="213">
        <f>COUNTIFS($C$8:C285,"*ПС*",$L$8:L285,"*закрыт*")</f>
        <v>27</v>
      </c>
      <c r="C285" s="213" t="str">
        <f>'Расчет ЦП - общая форма'!C285</f>
        <v xml:space="preserve">ПС  35/3 кВ №6 </v>
      </c>
      <c r="D285" s="230">
        <f>'Расчет ЦП - общая форма'!D285</f>
        <v>1</v>
      </c>
      <c r="E285" s="229">
        <f>'Расчет ЦП - общая форма'!E285</f>
        <v>0</v>
      </c>
      <c r="F285" s="229">
        <f>'Расчет ЦП - общая форма'!F285</f>
        <v>0</v>
      </c>
      <c r="G285" s="229">
        <f>'Расчет ЦП - общая форма'!G285</f>
        <v>0</v>
      </c>
      <c r="H285" s="229">
        <f>'Расчет ЦП - общая форма'!H285</f>
        <v>0</v>
      </c>
      <c r="I285" s="172">
        <f>'Расчет ЦП - общая форма'!Q285</f>
        <v>-0.14532</v>
      </c>
      <c r="J285" s="172">
        <f>'Расчет ЦП - общая форма'!R285</f>
        <v>-0.14532</v>
      </c>
      <c r="K285" s="172" t="str">
        <f>'Расчет ЦП - общая форма'!S285</f>
        <v>закрыт</v>
      </c>
      <c r="L285" s="257" t="str">
        <f>'Расчет ЦП - общая форма'!T285</f>
        <v>закрыт</v>
      </c>
      <c r="M285" s="768">
        <f>'Расчет ЦП - общая форма'!U285</f>
        <v>13.84</v>
      </c>
      <c r="N285" s="924"/>
      <c r="O285" s="924"/>
      <c r="P285" s="924"/>
    </row>
    <row r="286" spans="1:48" ht="20.100000000000001" customHeight="1" x14ac:dyDescent="0.25">
      <c r="A286" s="213">
        <f>'Расчет ЦП - общая форма'!A286</f>
        <v>205</v>
      </c>
      <c r="B286" s="213">
        <f>COUNTIFS($C$8:C286,"*ПС*",$L$8:L286,"*закрыт*")</f>
        <v>28</v>
      </c>
      <c r="C286" s="213" t="str">
        <f>'Расчет ЦП - общая форма'!C286</f>
        <v xml:space="preserve">ПС 35/6 кВ №1 </v>
      </c>
      <c r="D286" s="230">
        <f>'Расчет ЦП - общая форма'!D286</f>
        <v>1</v>
      </c>
      <c r="E286" s="229">
        <f>'Расчет ЦП - общая форма'!E286</f>
        <v>0</v>
      </c>
      <c r="F286" s="229">
        <f>'Расчет ЦП - общая форма'!F286</f>
        <v>0</v>
      </c>
      <c r="G286" s="229">
        <f>'Расчет ЦП - общая форма'!G286</f>
        <v>0</v>
      </c>
      <c r="H286" s="229">
        <f>'Расчет ЦП - общая форма'!H286</f>
        <v>0</v>
      </c>
      <c r="I286" s="172">
        <f>'Расчет ЦП - общая форма'!Q286</f>
        <v>-0.68646400000000007</v>
      </c>
      <c r="J286" s="172">
        <f>'Расчет ЦП - общая форма'!R286</f>
        <v>-0.68646400000000007</v>
      </c>
      <c r="K286" s="172" t="str">
        <f>'Расчет ЦП - общая форма'!S286</f>
        <v>закрыт</v>
      </c>
      <c r="L286" s="257" t="str">
        <f>'Расчет ЦП - общая форма'!T286</f>
        <v>закрыт</v>
      </c>
      <c r="M286" s="768">
        <f>'Расчет ЦП - общая форма'!U286</f>
        <v>65.377523809523822</v>
      </c>
      <c r="N286" s="924"/>
      <c r="O286" s="924"/>
      <c r="P286" s="924"/>
    </row>
    <row r="287" spans="1:48" s="232" customFormat="1" ht="15" customHeight="1" x14ac:dyDescent="0.25">
      <c r="A287" s="213">
        <f>'Расчет ЦП - общая форма'!A287</f>
        <v>206</v>
      </c>
      <c r="B287" s="213">
        <f>COUNTIFS($C$8:C287,"*ПС*",$L$8:L287,"*закрыт*")</f>
        <v>29</v>
      </c>
      <c r="C287" s="213" t="str">
        <f>'Расчет ЦП - общая форма'!C287</f>
        <v xml:space="preserve">  ПС  35/10 кВ №1 </v>
      </c>
      <c r="D287" s="230">
        <f>'Расчет ЦП - общая форма'!D287</f>
        <v>2.5</v>
      </c>
      <c r="E287" s="229">
        <f>'Расчет ЦП - общая форма'!E287</f>
        <v>0</v>
      </c>
      <c r="F287" s="229">
        <f>'Расчет ЦП - общая форма'!F287</f>
        <v>0</v>
      </c>
      <c r="G287" s="229">
        <f>'Расчет ЦП - общая форма'!G287</f>
        <v>0</v>
      </c>
      <c r="H287" s="229">
        <f>'Расчет ЦП - общая форма'!H287</f>
        <v>0</v>
      </c>
      <c r="I287" s="172">
        <f>'Расчет ЦП - общая форма'!Q287</f>
        <v>-2.2057500000000001</v>
      </c>
      <c r="J287" s="172">
        <f>'Расчет ЦП - общая форма'!R287</f>
        <v>-2.2057500000000001</v>
      </c>
      <c r="K287" s="172" t="str">
        <f>'Расчет ЦП - общая форма'!S287</f>
        <v>закрыт</v>
      </c>
      <c r="L287" s="257" t="str">
        <f>'Расчет ЦП - общая форма'!T287</f>
        <v>закрыт</v>
      </c>
      <c r="M287" s="768">
        <f>'Расчет ЦП - общая форма'!U287</f>
        <v>84.028571428571439</v>
      </c>
      <c r="N287" s="924"/>
      <c r="O287" s="924"/>
      <c r="P287" s="924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33"/>
      <c r="AN287" s="233"/>
      <c r="AO287" s="233"/>
      <c r="AP287" s="233"/>
      <c r="AQ287" s="233"/>
      <c r="AR287" s="233"/>
      <c r="AS287" s="233"/>
      <c r="AT287" s="233"/>
      <c r="AU287" s="233"/>
      <c r="AV287" s="233"/>
    </row>
    <row r="288" spans="1:48" s="232" customFormat="1" ht="15" customHeight="1" x14ac:dyDescent="0.25">
      <c r="A288" s="213">
        <f>'Расчет ЦП - общая форма'!A288</f>
        <v>207</v>
      </c>
      <c r="B288" s="213">
        <f>COUNTIFS($C$8:C288,"*ПС*",$L$8:L288,"*закрыт*")</f>
        <v>30</v>
      </c>
      <c r="C288" s="213" t="str">
        <f>'Расчет ЦП - общая форма'!C288</f>
        <v>ПС  35/6 кВ №16</v>
      </c>
      <c r="D288" s="230">
        <f>'Расчет ЦП - общая форма'!D288</f>
        <v>1</v>
      </c>
      <c r="E288" s="229">
        <f>'Расчет ЦП - общая форма'!E288</f>
        <v>0</v>
      </c>
      <c r="F288" s="229">
        <f>'Расчет ЦП - общая форма'!F288</f>
        <v>0</v>
      </c>
      <c r="G288" s="229">
        <f>'Расчет ЦП - общая форма'!G288</f>
        <v>0</v>
      </c>
      <c r="H288" s="229">
        <f>'Расчет ЦП - общая форма'!H288</f>
        <v>0</v>
      </c>
      <c r="I288" s="172">
        <f>'Расчет ЦП - общая форма'!Q288</f>
        <v>-0.25742400000000004</v>
      </c>
      <c r="J288" s="172">
        <f>'Расчет ЦП - общая форма'!R288</f>
        <v>-0.25742400000000004</v>
      </c>
      <c r="K288" s="172" t="str">
        <f>'Расчет ЦП - общая форма'!S288</f>
        <v>закрыт</v>
      </c>
      <c r="L288" s="257" t="str">
        <f>'Расчет ЦП - общая форма'!T288</f>
        <v>закрыт</v>
      </c>
      <c r="M288" s="768">
        <f>'Расчет ЦП - общая форма'!U288</f>
        <v>24.516571428571432</v>
      </c>
      <c r="N288" s="924"/>
      <c r="O288" s="924"/>
      <c r="P288" s="924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233"/>
      <c r="AN288" s="233"/>
      <c r="AO288" s="233"/>
      <c r="AP288" s="233"/>
      <c r="AQ288" s="233"/>
      <c r="AR288" s="233"/>
      <c r="AS288" s="233"/>
      <c r="AT288" s="233"/>
      <c r="AU288" s="233"/>
      <c r="AV288" s="233"/>
    </row>
    <row r="289" spans="1:48" s="232" customFormat="1" ht="15" customHeight="1" x14ac:dyDescent="0.25">
      <c r="A289" s="213">
        <f>'Расчет ЦП - общая форма'!A289</f>
        <v>208</v>
      </c>
      <c r="B289" s="213">
        <f>COUNTIFS($C$8:C289,"*ПС*",$L$8:L289,"*закрыт*")</f>
        <v>31</v>
      </c>
      <c r="C289" s="213" t="str">
        <f>'Расчет ЦП - общая форма'!C289</f>
        <v>ПС  35/10 кВ №16</v>
      </c>
      <c r="D289" s="230">
        <f>'Расчет ЦП - общая форма'!D289</f>
        <v>2.5</v>
      </c>
      <c r="E289" s="229">
        <f>'Расчет ЦП - общая форма'!E289</f>
        <v>0</v>
      </c>
      <c r="F289" s="229">
        <f>'Расчет ЦП - общая форма'!F289</f>
        <v>0</v>
      </c>
      <c r="G289" s="229">
        <f>'Расчет ЦП - общая форма'!G289</f>
        <v>0</v>
      </c>
      <c r="H289" s="229">
        <f>'Расчет ЦП - общая форма'!H289</f>
        <v>0</v>
      </c>
      <c r="I289" s="172">
        <f>'Расчет ЦП - общая форма'!Q289</f>
        <v>-1.1002799999999999</v>
      </c>
      <c r="J289" s="172">
        <f>'Расчет ЦП - общая форма'!R289</f>
        <v>-1.1002799999999999</v>
      </c>
      <c r="K289" s="172" t="str">
        <f>'Расчет ЦП - общая форма'!S289</f>
        <v>закрыт</v>
      </c>
      <c r="L289" s="257" t="str">
        <f>'Расчет ЦП - общая форма'!T289</f>
        <v>закрыт</v>
      </c>
      <c r="M289" s="768">
        <f>'Расчет ЦП - общая форма'!U289</f>
        <v>41.915428571428571</v>
      </c>
      <c r="N289" s="924"/>
      <c r="O289" s="924"/>
      <c r="P289" s="924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233"/>
      <c r="AO289" s="233"/>
      <c r="AP289" s="233"/>
      <c r="AQ289" s="233"/>
      <c r="AR289" s="233"/>
      <c r="AS289" s="233"/>
      <c r="AT289" s="233"/>
      <c r="AU289" s="233"/>
      <c r="AV289" s="233"/>
    </row>
    <row r="290" spans="1:48" ht="20.100000000000001" hidden="1" customHeight="1" x14ac:dyDescent="0.25">
      <c r="A290" s="213">
        <f>'Расчет ЦП - общая форма'!A290</f>
        <v>209</v>
      </c>
      <c r="B290" s="213">
        <f>COUNTIFS($C$8:C290,"*ПС*",$L$8:L290,"*закрыт*")</f>
        <v>31</v>
      </c>
      <c r="C290" s="213" t="str">
        <f>'Расчет ЦП - общая форма'!C290</f>
        <v xml:space="preserve">ПС 35/10 кВ Золотиха </v>
      </c>
      <c r="D290" s="230">
        <f>'Расчет ЦП - общая форма'!D290</f>
        <v>2.5</v>
      </c>
      <c r="E290" s="229">
        <f>'Расчет ЦП - общая форма'!E290</f>
        <v>0</v>
      </c>
      <c r="F290" s="229">
        <f>'Расчет ЦП - общая форма'!F290</f>
        <v>0</v>
      </c>
      <c r="G290" s="229">
        <f>'Расчет ЦП - общая форма'!G290</f>
        <v>0</v>
      </c>
      <c r="H290" s="229">
        <f>'Расчет ЦП - общая форма'!H290</f>
        <v>0</v>
      </c>
      <c r="I290" s="172">
        <f>'Расчет ЦП - общая форма'!Q290</f>
        <v>8.0710000000001614E-3</v>
      </c>
      <c r="J290" s="172">
        <f>'Расчет ЦП - общая форма'!R290</f>
        <v>8.0710000000001614E-3</v>
      </c>
      <c r="K290" s="172" t="str">
        <f>'Расчет ЦП - общая форма'!S290</f>
        <v/>
      </c>
      <c r="L290" s="257" t="str">
        <f>'Расчет ЦП - общая форма'!T290</f>
        <v/>
      </c>
      <c r="M290" s="768">
        <f>'Расчет ЦП - общая форма'!U290</f>
        <v>27.502057142857137</v>
      </c>
      <c r="N290" s="924"/>
      <c r="O290" s="924"/>
      <c r="P290" s="924"/>
    </row>
    <row r="291" spans="1:48" ht="20.100000000000001" hidden="1" customHeight="1" x14ac:dyDescent="0.25">
      <c r="A291" s="213">
        <f>'Расчет ЦП - общая форма'!A291</f>
        <v>210</v>
      </c>
      <c r="B291" s="213">
        <f>COUNTIFS($C$8:C291,"*ПС*",$L$8:L291,"*закрыт*")</f>
        <v>31</v>
      </c>
      <c r="C291" s="213" t="str">
        <f>'Расчет ЦП - общая форма'!C291</f>
        <v>ПС  35/10 кВ Новый Стан</v>
      </c>
      <c r="D291" s="230">
        <f>'Расчет ЦП - общая форма'!D291</f>
        <v>2.5</v>
      </c>
      <c r="E291" s="229">
        <f>'Расчет ЦП - общая форма'!E291</f>
        <v>0</v>
      </c>
      <c r="F291" s="229">
        <f>'Расчет ЦП - общая форма'!F291</f>
        <v>0</v>
      </c>
      <c r="G291" s="229">
        <f>'Расчет ЦП - общая форма'!G291</f>
        <v>0</v>
      </c>
      <c r="H291" s="229">
        <f>'Расчет ЦП - общая форма'!H291</f>
        <v>0</v>
      </c>
      <c r="I291" s="172">
        <f>'Расчет ЦП - общая форма'!Q291</f>
        <v>5.3130000000000677E-3</v>
      </c>
      <c r="J291" s="172">
        <f>'Расчет ЦП - общая форма'!R291</f>
        <v>5.3130000000000677E-3</v>
      </c>
      <c r="K291" s="172" t="str">
        <f>'Расчет ЦП - общая форма'!S291</f>
        <v/>
      </c>
      <c r="L291" s="257" t="str">
        <f>'Расчет ЦП - общая форма'!T291</f>
        <v/>
      </c>
      <c r="M291" s="768">
        <f>'Расчет ЦП - общая форма'!U291</f>
        <v>11.988076190476189</v>
      </c>
      <c r="N291" s="924"/>
      <c r="O291" s="924"/>
      <c r="P291" s="924"/>
    </row>
    <row r="292" spans="1:48" ht="20.100000000000001" hidden="1" customHeight="1" x14ac:dyDescent="0.25">
      <c r="A292" s="213">
        <f>'Расчет ЦП - общая форма'!A292</f>
        <v>211</v>
      </c>
      <c r="B292" s="213">
        <f>COUNTIFS($C$8:C292,"*ПС*",$L$8:L292,"*закрыт*")</f>
        <v>31</v>
      </c>
      <c r="C292" s="213" t="str">
        <f>'Расчет ЦП - общая форма'!C292</f>
        <v>ПС  35/10 кВ Романово</v>
      </c>
      <c r="D292" s="230">
        <f>'Расчет ЦП - общая форма'!D292</f>
        <v>2.5</v>
      </c>
      <c r="E292" s="229">
        <f>'Расчет ЦП - общая форма'!E292</f>
        <v>0</v>
      </c>
      <c r="F292" s="229">
        <f>'Расчет ЦП - общая форма'!F292</f>
        <v>0</v>
      </c>
      <c r="G292" s="229">
        <f>'Расчет ЦП - общая форма'!G292</f>
        <v>0</v>
      </c>
      <c r="H292" s="229">
        <f>'Расчет ЦП - общая форма'!H292</f>
        <v>0</v>
      </c>
      <c r="I292" s="172">
        <f>'Расчет ЦП - общая форма'!Q292</f>
        <v>5.5499999999997218E-4</v>
      </c>
      <c r="J292" s="172">
        <f>'Расчет ЦП - общая форма'!R292</f>
        <v>5.5499999999997218E-4</v>
      </c>
      <c r="K292" s="172" t="str">
        <f>'Расчет ЦП - общая форма'!S292</f>
        <v/>
      </c>
      <c r="L292" s="257" t="str">
        <f>'Расчет ЦП - общая форма'!T292</f>
        <v/>
      </c>
      <c r="M292" s="768">
        <f>'Расчет ЦП - общая форма'!U292</f>
        <v>22.835999999999999</v>
      </c>
      <c r="N292" s="924"/>
      <c r="O292" s="924"/>
      <c r="P292" s="924"/>
    </row>
    <row r="293" spans="1:48" ht="20.100000000000001" customHeight="1" x14ac:dyDescent="0.25">
      <c r="A293" s="213">
        <f>'Расчет ЦП - общая форма'!A293</f>
        <v>212</v>
      </c>
      <c r="B293" s="213">
        <f>COUNTIFS($C$8:C293,"*ПС*",$L$8:L293,"*закрыт*")</f>
        <v>32</v>
      </c>
      <c r="C293" s="213" t="str">
        <f>'Расчет ЦП - общая форма'!C293</f>
        <v xml:space="preserve">ПС 35/10 кВ Первитино </v>
      </c>
      <c r="D293" s="230">
        <f>'Расчет ЦП - общая форма'!D293</f>
        <v>1.6</v>
      </c>
      <c r="E293" s="229">
        <f>'Расчет ЦП - общая форма'!E293</f>
        <v>0</v>
      </c>
      <c r="F293" s="229">
        <f>'Расчет ЦП - общая форма'!F293</f>
        <v>0</v>
      </c>
      <c r="G293" s="229">
        <f>'Расчет ЦП - общая форма'!G293</f>
        <v>0</v>
      </c>
      <c r="H293" s="229">
        <f>'Расчет ЦП - общая форма'!H293</f>
        <v>0</v>
      </c>
      <c r="I293" s="172">
        <f>'Расчет ЦП - общая форма'!Q293</f>
        <v>-0.28544999999999998</v>
      </c>
      <c r="J293" s="172">
        <f>'Расчет ЦП - общая форма'!R293</f>
        <v>-0.28544999999999998</v>
      </c>
      <c r="K293" s="172" t="str">
        <f>'Расчет ЦП - общая форма'!S293</f>
        <v>закрыт</v>
      </c>
      <c r="L293" s="257" t="str">
        <f>'Расчет ЦП - общая форма'!T293</f>
        <v>закрыт</v>
      </c>
      <c r="M293" s="768">
        <f>'Расчет ЦП - общая форма'!U293</f>
        <v>16.991071428571427</v>
      </c>
      <c r="N293" s="924"/>
      <c r="O293" s="924"/>
      <c r="P293" s="924"/>
    </row>
    <row r="294" spans="1:48" s="232" customFormat="1" ht="30" customHeight="1" x14ac:dyDescent="0.25">
      <c r="A294" s="213">
        <f>'Расчет ЦП - общая форма'!A294</f>
        <v>213</v>
      </c>
      <c r="B294" s="213">
        <f>COUNTIFS($C$8:C294,"*ПС*",$L$8:L294,"*закрыт*")</f>
        <v>33</v>
      </c>
      <c r="C294" s="213" t="str">
        <f>'Расчет ЦП - общая форма'!C294</f>
        <v xml:space="preserve">ПС 35/10 кВ № 8  </v>
      </c>
      <c r="D294" s="230">
        <f>'Расчет ЦП - общая форма'!D294</f>
        <v>2.5</v>
      </c>
      <c r="E294" s="229">
        <f>'Расчет ЦП - общая форма'!E294</f>
        <v>0</v>
      </c>
      <c r="F294" s="229">
        <f>'Расчет ЦП - общая форма'!F294</f>
        <v>0</v>
      </c>
      <c r="G294" s="229">
        <f>'Расчет ЦП - общая форма'!G294</f>
        <v>0</v>
      </c>
      <c r="H294" s="229">
        <f>'Расчет ЦП - общая форма'!H294</f>
        <v>0</v>
      </c>
      <c r="I294" s="172">
        <f>'Расчет ЦП - общая форма'!Q294</f>
        <v>-1.7256749999999998</v>
      </c>
      <c r="J294" s="172">
        <f>'Расчет ЦП - общая форма'!R294</f>
        <v>-1.7256749999999998</v>
      </c>
      <c r="K294" s="172" t="str">
        <f>'Расчет ЦП - общая форма'!S294</f>
        <v>закрыт</v>
      </c>
      <c r="L294" s="257" t="str">
        <f>'Расчет ЦП - общая форма'!T294</f>
        <v>закрыт</v>
      </c>
      <c r="M294" s="768">
        <f>'Расчет ЦП - общая форма'!U294</f>
        <v>65.739999999999995</v>
      </c>
      <c r="N294" s="924"/>
      <c r="O294" s="924"/>
      <c r="P294" s="924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233"/>
      <c r="AO294" s="233"/>
      <c r="AP294" s="233"/>
      <c r="AQ294" s="233"/>
      <c r="AR294" s="233"/>
      <c r="AS294" s="233"/>
      <c r="AT294" s="233"/>
      <c r="AU294" s="233"/>
      <c r="AV294" s="233"/>
    </row>
    <row r="295" spans="1:48" ht="20.100000000000001" customHeight="1" x14ac:dyDescent="0.25">
      <c r="A295" s="213">
        <f>'Расчет ЦП - общая форма'!A295</f>
        <v>214</v>
      </c>
      <c r="B295" s="213">
        <f>COUNTIFS($C$8:C295,"*ПС*",$L$8:L295,"*закрыт*")</f>
        <v>34</v>
      </c>
      <c r="C295" s="213" t="str">
        <f>'Расчет ЦП - общая форма'!C295</f>
        <v xml:space="preserve">ПС 35/6 кВ Алексино </v>
      </c>
      <c r="D295" s="230">
        <f>'Расчет ЦП - общая форма'!D295</f>
        <v>2.5</v>
      </c>
      <c r="E295" s="229">
        <f>'Расчет ЦП - общая форма'!E295</f>
        <v>0</v>
      </c>
      <c r="F295" s="229">
        <f>'Расчет ЦП - общая форма'!F295</f>
        <v>0</v>
      </c>
      <c r="G295" s="229">
        <f>'Расчет ЦП - общая форма'!G295</f>
        <v>0</v>
      </c>
      <c r="H295" s="229">
        <f>'Расчет ЦП - общая форма'!H295</f>
        <v>0</v>
      </c>
      <c r="I295" s="172">
        <f>'Расчет ЦП - общая форма'!Q295</f>
        <v>-1.89954</v>
      </c>
      <c r="J295" s="172">
        <f>'Расчет ЦП - общая форма'!R295</f>
        <v>-1.89954</v>
      </c>
      <c r="K295" s="172" t="str">
        <f>'Расчет ЦП - общая форма'!S295</f>
        <v>закрыт</v>
      </c>
      <c r="L295" s="257" t="str">
        <f>'Расчет ЦП - общая форма'!T295</f>
        <v>закрыт</v>
      </c>
      <c r="M295" s="768">
        <f>'Расчет ЦП - общая форма'!U295</f>
        <v>72.363428571428571</v>
      </c>
      <c r="N295" s="924"/>
      <c r="O295" s="924"/>
      <c r="P295" s="924"/>
    </row>
    <row r="296" spans="1:48" s="232" customFormat="1" ht="15" customHeight="1" x14ac:dyDescent="0.25">
      <c r="A296" s="213">
        <f>'Расчет ЦП - общая форма'!A296</f>
        <v>215</v>
      </c>
      <c r="B296" s="213">
        <f>COUNTIFS($C$8:C296,"*ПС*",$L$8:L296,"*закрыт*")</f>
        <v>35</v>
      </c>
      <c r="C296" s="213" t="str">
        <f>'Расчет ЦП - общая форма'!C296</f>
        <v xml:space="preserve">ПС 35/10 кВ Безбородово </v>
      </c>
      <c r="D296" s="230">
        <f>'Расчет ЦП - общая форма'!D296</f>
        <v>2.5</v>
      </c>
      <c r="E296" s="229">
        <f>'Расчет ЦП - общая форма'!E296</f>
        <v>0</v>
      </c>
      <c r="F296" s="229">
        <f>'Расчет ЦП - общая форма'!F296</f>
        <v>0</v>
      </c>
      <c r="G296" s="229">
        <f>'Расчет ЦП - общая форма'!G296</f>
        <v>0</v>
      </c>
      <c r="H296" s="229">
        <f>'Расчет ЦП - общая форма'!H296</f>
        <v>0</v>
      </c>
      <c r="I296" s="172">
        <f>'Расчет ЦП - общая форма'!Q296</f>
        <v>-0.87970500000000007</v>
      </c>
      <c r="J296" s="172">
        <f>'Расчет ЦП - общая форма'!R296</f>
        <v>-0.87970500000000007</v>
      </c>
      <c r="K296" s="172" t="str">
        <f>'Расчет ЦП - общая форма'!S296</f>
        <v>закрыт</v>
      </c>
      <c r="L296" s="257" t="str">
        <f>'Расчет ЦП - общая форма'!T296</f>
        <v>закрыт</v>
      </c>
      <c r="M296" s="768">
        <f>'Расчет ЦП - общая форма'!U296</f>
        <v>33.512571428571427</v>
      </c>
      <c r="N296" s="924"/>
      <c r="O296" s="924"/>
      <c r="P296" s="924"/>
      <c r="Q296" s="233"/>
      <c r="R296" s="233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</row>
    <row r="297" spans="1:48" s="232" customFormat="1" ht="15" hidden="1" customHeight="1" x14ac:dyDescent="0.25">
      <c r="A297" s="213">
        <f>'Расчет ЦП - общая форма'!A297</f>
        <v>216</v>
      </c>
      <c r="B297" s="213">
        <f>COUNTIFS($C$8:C297,"*ПС*",$L$8:L297,"*закрыт*")</f>
        <v>35</v>
      </c>
      <c r="C297" s="213" t="str">
        <f>'Расчет ЦП - общая форма'!C297</f>
        <v xml:space="preserve">ПС 110/10 кВ Медведиха </v>
      </c>
      <c r="D297" s="230">
        <f>'Расчет ЦП - общая форма'!D297</f>
        <v>2.5</v>
      </c>
      <c r="E297" s="229">
        <f>'Расчет ЦП - общая форма'!E297</f>
        <v>0</v>
      </c>
      <c r="F297" s="229">
        <f>'Расчет ЦП - общая форма'!F297</f>
        <v>0</v>
      </c>
      <c r="G297" s="229">
        <f>'Расчет ЦП - общая форма'!G297</f>
        <v>0</v>
      </c>
      <c r="H297" s="229">
        <f>'Расчет ЦП - общая форма'!H297</f>
        <v>0</v>
      </c>
      <c r="I297" s="172">
        <f>'Расчет ЦП - общая форма'!Q297</f>
        <v>1.0000000000010001E-4</v>
      </c>
      <c r="J297" s="172">
        <f>'Расчет ЦП - общая форма'!R297</f>
        <v>1.0000000000010001E-4</v>
      </c>
      <c r="K297" s="172" t="str">
        <f>'Расчет ЦП - общая форма'!S297</f>
        <v/>
      </c>
      <c r="L297" s="257" t="str">
        <f>'Расчет ЦП - общая форма'!T297</f>
        <v/>
      </c>
      <c r="M297" s="768">
        <f>'Расчет ЦП - общая форма'!U297</f>
        <v>34.929523809523808</v>
      </c>
      <c r="N297" s="924"/>
      <c r="O297" s="924"/>
      <c r="P297" s="924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</row>
    <row r="298" spans="1:48" s="232" customFormat="1" ht="15" customHeight="1" x14ac:dyDescent="0.25">
      <c r="A298" s="213">
        <f>'Расчет ЦП - общая форма'!A298</f>
        <v>217</v>
      </c>
      <c r="B298" s="213">
        <f>COUNTIFS($C$8:C298,"*ПС*",$L$8:L298,"*закрыт*")</f>
        <v>36</v>
      </c>
      <c r="C298" s="213" t="str">
        <f>'Расчет ЦП - общая форма'!C298</f>
        <v xml:space="preserve">ПС 35/10 кВ Киверичи </v>
      </c>
      <c r="D298" s="230">
        <f>'Расчет ЦП - общая форма'!D298</f>
        <v>2.5</v>
      </c>
      <c r="E298" s="229">
        <f>'Расчет ЦП - общая форма'!E298</f>
        <v>0</v>
      </c>
      <c r="F298" s="229">
        <f>'Расчет ЦП - общая форма'!F298</f>
        <v>0</v>
      </c>
      <c r="G298" s="229">
        <f>'Расчет ЦП - общая форма'!G298</f>
        <v>0</v>
      </c>
      <c r="H298" s="229">
        <f>'Расчет ЦП - общая форма'!H298</f>
        <v>0</v>
      </c>
      <c r="I298" s="172">
        <f>'Расчет ЦП - общая форма'!Q298</f>
        <v>-0.586816</v>
      </c>
      <c r="J298" s="172">
        <f>'Расчет ЦП - общая форма'!R298</f>
        <v>-0.586816</v>
      </c>
      <c r="K298" s="172" t="str">
        <f>'Расчет ЦП - общая форма'!S298</f>
        <v>закрыт</v>
      </c>
      <c r="L298" s="257" t="str">
        <f>'Расчет ЦП - общая форма'!T298</f>
        <v>закрыт</v>
      </c>
      <c r="M298" s="768">
        <f>'Расчет ЦП - общая форма'!U298</f>
        <v>22.354895238095239</v>
      </c>
      <c r="N298" s="924"/>
      <c r="O298" s="924"/>
      <c r="P298" s="924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3"/>
      <c r="AN298" s="233"/>
      <c r="AO298" s="233"/>
      <c r="AP298" s="233"/>
      <c r="AQ298" s="233"/>
      <c r="AR298" s="233"/>
      <c r="AS298" s="233"/>
      <c r="AT298" s="233"/>
      <c r="AU298" s="233"/>
      <c r="AV298" s="233"/>
    </row>
    <row r="299" spans="1:48" s="232" customFormat="1" ht="15" hidden="1" customHeight="1" x14ac:dyDescent="0.25">
      <c r="A299" s="213">
        <f>'Расчет ЦП - общая форма'!A299</f>
        <v>218</v>
      </c>
      <c r="B299" s="213">
        <f>COUNTIFS($C$8:C299,"*ПС*",$L$8:L299,"*закрыт*")</f>
        <v>36</v>
      </c>
      <c r="C299" s="213" t="str">
        <f>'Расчет ЦП - общая форма'!C299</f>
        <v xml:space="preserve">ПС 35/10 кВ Диево </v>
      </c>
      <c r="D299" s="230">
        <f>'Расчет ЦП - общая форма'!D299</f>
        <v>2.5</v>
      </c>
      <c r="E299" s="229">
        <f>'Расчет ЦП - общая форма'!E299</f>
        <v>0</v>
      </c>
      <c r="F299" s="229">
        <f>'Расчет ЦП - общая форма'!F299</f>
        <v>0</v>
      </c>
      <c r="G299" s="229">
        <f>'Расчет ЦП - общая форма'!G299</f>
        <v>0</v>
      </c>
      <c r="H299" s="229">
        <f>'Расчет ЦП - общая форма'!H299</f>
        <v>0</v>
      </c>
      <c r="I299" s="172">
        <f>'Расчет ЦП - общая форма'!Q299</f>
        <v>6.6200000000000148E-3</v>
      </c>
      <c r="J299" s="172">
        <f>'Расчет ЦП - общая форма'!R299</f>
        <v>6.6200000000000148E-3</v>
      </c>
      <c r="K299" s="172" t="str">
        <f>'Расчет ЦП - общая форма'!S299</f>
        <v/>
      </c>
      <c r="L299" s="257" t="str">
        <f>'Расчет ЦП - общая форма'!T299</f>
        <v/>
      </c>
      <c r="M299" s="768">
        <f>'Расчет ЦП - общая форма'!U299</f>
        <v>6.9859047619047612</v>
      </c>
      <c r="N299" s="924"/>
      <c r="O299" s="924"/>
      <c r="P299" s="924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/>
      <c r="AA299" s="233"/>
      <c r="AB299" s="233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33"/>
      <c r="AM299" s="233"/>
      <c r="AN299" s="233"/>
      <c r="AO299" s="233"/>
      <c r="AP299" s="233"/>
      <c r="AQ299" s="233"/>
      <c r="AR299" s="233"/>
    </row>
    <row r="300" spans="1:48" s="232" customFormat="1" ht="15" hidden="1" customHeight="1" x14ac:dyDescent="0.25">
      <c r="A300" s="213">
        <f>'Расчет ЦП - общая форма'!A300</f>
        <v>219</v>
      </c>
      <c r="B300" s="213">
        <f>COUNTIFS($C$8:C300,"*ПС*",$L$8:L300,"*закрыт*")</f>
        <v>36</v>
      </c>
      <c r="C300" s="213" t="str">
        <f>'Расчет ЦП - общая форма'!C300</f>
        <v xml:space="preserve">ПС 35/10 кВ №17 </v>
      </c>
      <c r="D300" s="230">
        <f>'Расчет ЦП - общая форма'!D300</f>
        <v>4</v>
      </c>
      <c r="E300" s="229" t="str">
        <f>'Расчет ЦП - общая форма'!E300</f>
        <v>+</v>
      </c>
      <c r="F300" s="229">
        <f>'Расчет ЦП - общая форма'!F300</f>
        <v>4</v>
      </c>
      <c r="G300" s="229">
        <f>'Расчет ЦП - общая форма'!G300</f>
        <v>0</v>
      </c>
      <c r="H300" s="229">
        <f>'Расчет ЦП - общая форма'!H300</f>
        <v>0</v>
      </c>
      <c r="I300" s="172">
        <f>'Расчет ЦП - общая форма'!Q300</f>
        <v>3.1516200000000003</v>
      </c>
      <c r="J300" s="172">
        <f>'Расчет ЦП - общая форма'!R300</f>
        <v>3.1516200000000003</v>
      </c>
      <c r="K300" s="172" t="str">
        <f>'Расчет ЦП - общая форма'!S300</f>
        <v/>
      </c>
      <c r="L300" s="257" t="str">
        <f>'Расчет ЦП - общая форма'!T300</f>
        <v/>
      </c>
      <c r="M300" s="768">
        <f>'Расчет ЦП - общая форма'!U300</f>
        <v>24.96142857142857</v>
      </c>
      <c r="N300" s="919"/>
      <c r="O300" s="919"/>
      <c r="P300" s="919"/>
    </row>
    <row r="301" spans="1:48" s="232" customFormat="1" ht="15" hidden="1" customHeight="1" x14ac:dyDescent="0.25">
      <c r="A301" s="213">
        <f>'Расчет ЦП - общая форма'!A301</f>
        <v>220</v>
      </c>
      <c r="B301" s="213">
        <f>COUNTIFS($C$8:C301,"*ПС*",$L$8:L301,"*закрыт*")</f>
        <v>36</v>
      </c>
      <c r="C301" s="213" t="str">
        <f>'Расчет ЦП - общая форма'!C301</f>
        <v>ПС  35/6 кВ Даниловская</v>
      </c>
      <c r="D301" s="230">
        <f>'Расчет ЦП - общая форма'!D301</f>
        <v>2.5</v>
      </c>
      <c r="E301" s="229" t="str">
        <f>'Расчет ЦП - общая форма'!E301</f>
        <v>+</v>
      </c>
      <c r="F301" s="229">
        <f>'Расчет ЦП - общая форма'!F301</f>
        <v>6.3</v>
      </c>
      <c r="G301" s="229">
        <f>'Расчет ЦП - общая форма'!G301</f>
        <v>0</v>
      </c>
      <c r="H301" s="229">
        <f>'Расчет ЦП - общая форма'!H301</f>
        <v>0</v>
      </c>
      <c r="I301" s="172">
        <f>'Расчет ЦП - общая форма'!Q301</f>
        <v>1.151905</v>
      </c>
      <c r="J301" s="172">
        <f>'Расчет ЦП - общая форма'!R301</f>
        <v>1.151905</v>
      </c>
      <c r="K301" s="172" t="str">
        <f>'Расчет ЦП - общая форма'!S301</f>
        <v/>
      </c>
      <c r="L301" s="257" t="str">
        <f>'Расчет ЦП - общая форма'!T301</f>
        <v/>
      </c>
      <c r="M301" s="768">
        <f>'Расчет ЦП - общая форма'!U301</f>
        <v>56.117904761904768</v>
      </c>
      <c r="N301" s="919"/>
      <c r="O301" s="919"/>
      <c r="P301" s="919"/>
    </row>
    <row r="302" spans="1:48" ht="20.100000000000001" hidden="1" customHeight="1" x14ac:dyDescent="0.25">
      <c r="A302" s="213">
        <f>'Расчет ЦП - общая форма'!A302</f>
        <v>221</v>
      </c>
      <c r="B302" s="213">
        <f>COUNTIFS($C$8:C302,"*ПС*",$L$8:L302,"*закрыт*")</f>
        <v>36</v>
      </c>
      <c r="C302" s="213" t="str">
        <f>'Расчет ЦП - общая форма'!C302</f>
        <v>ПС 35/10 кВ Кушалино</v>
      </c>
      <c r="D302" s="230">
        <f>'Расчет ЦП - общая форма'!D302</f>
        <v>2.5</v>
      </c>
      <c r="E302" s="229" t="str">
        <f>'Расчет ЦП - общая форма'!E302</f>
        <v>+</v>
      </c>
      <c r="F302" s="229">
        <f>'Расчет ЦП - общая форма'!F302</f>
        <v>2.5</v>
      </c>
      <c r="G302" s="229">
        <f>'Расчет ЦП - общая форма'!G302</f>
        <v>0</v>
      </c>
      <c r="H302" s="229">
        <f>'Расчет ЦП - общая форма'!H302</f>
        <v>0</v>
      </c>
      <c r="I302" s="172">
        <f>'Расчет ЦП - общая форма'!Q302</f>
        <v>1.0264800000000001</v>
      </c>
      <c r="J302" s="172">
        <f>'Расчет ЦП - общая форма'!R302</f>
        <v>1.0264800000000001</v>
      </c>
      <c r="K302" s="172" t="str">
        <f>'Расчет ЦП - общая форма'!S302</f>
        <v/>
      </c>
      <c r="L302" s="257" t="str">
        <f>'Расчет ЦП - общая форма'!T302</f>
        <v/>
      </c>
      <c r="M302" s="768">
        <f>'Расчет ЦП - общая форма'!U302</f>
        <v>60.896000000000001</v>
      </c>
      <c r="N302" s="919"/>
      <c r="O302" s="919"/>
      <c r="P302" s="919"/>
    </row>
    <row r="303" spans="1:48" ht="20.100000000000001" hidden="1" customHeight="1" x14ac:dyDescent="0.25">
      <c r="A303" s="213">
        <f>'Расчет ЦП - общая форма'!A303</f>
        <v>222</v>
      </c>
      <c r="B303" s="213">
        <f>COUNTIFS($C$8:C303,"*ПС*",$L$8:L303,"*закрыт*")</f>
        <v>36</v>
      </c>
      <c r="C303" s="213" t="str">
        <f>'Расчет ЦП - общая форма'!C303</f>
        <v xml:space="preserve">ПС 35/6 кВ №4 </v>
      </c>
      <c r="D303" s="230">
        <f>'Расчет ЦП - общая форма'!D303</f>
        <v>5.6</v>
      </c>
      <c r="E303" s="229" t="str">
        <f>'Расчет ЦП - общая форма'!E303</f>
        <v>+</v>
      </c>
      <c r="F303" s="229">
        <f>'Расчет ЦП - общая форма'!F303</f>
        <v>5.6</v>
      </c>
      <c r="G303" s="229">
        <f>'Расчет ЦП - общая форма'!G303</f>
        <v>0</v>
      </c>
      <c r="H303" s="229">
        <f>'Расчет ЦП - общая форма'!H303</f>
        <v>0</v>
      </c>
      <c r="I303" s="172">
        <f>'Расчет ЦП - общая форма'!Q303</f>
        <v>3.26424</v>
      </c>
      <c r="J303" s="172">
        <f>'Расчет ЦП - общая форма'!R303</f>
        <v>3.26424</v>
      </c>
      <c r="K303" s="172" t="str">
        <f>'Расчет ЦП - общая форма'!S303</f>
        <v/>
      </c>
      <c r="L303" s="257" t="str">
        <f>'Расчет ЦП - общая форма'!T303</f>
        <v/>
      </c>
      <c r="M303" s="768">
        <f>'Расчет ЦП - общая форма'!U303</f>
        <v>44.48571428571428</v>
      </c>
      <c r="N303" s="919"/>
      <c r="O303" s="919"/>
      <c r="P303" s="919"/>
    </row>
    <row r="304" spans="1:48" s="232" customFormat="1" ht="15" hidden="1" customHeight="1" x14ac:dyDescent="0.25">
      <c r="A304" s="213">
        <f>'Расчет ЦП - общая форма'!A304</f>
        <v>223</v>
      </c>
      <c r="B304" s="213">
        <f>COUNTIFS($C$8:C304,"*ПС*",$L$8:L304,"*закрыт*")</f>
        <v>36</v>
      </c>
      <c r="C304" s="213" t="str">
        <f>'Расчет ЦП - общая форма'!C304</f>
        <v>ПС  35/6 кВ №13</v>
      </c>
      <c r="D304" s="230">
        <f>'Расчет ЦП - общая форма'!D304</f>
        <v>3.2</v>
      </c>
      <c r="E304" s="229" t="str">
        <f>'Расчет ЦП - общая форма'!E304</f>
        <v>+</v>
      </c>
      <c r="F304" s="229">
        <f>'Расчет ЦП - общая форма'!F304</f>
        <v>3.2</v>
      </c>
      <c r="G304" s="229">
        <f>'Расчет ЦП - общая форма'!G304</f>
        <v>0</v>
      </c>
      <c r="H304" s="229">
        <f>'Расчет ЦП - общая форма'!H304</f>
        <v>0</v>
      </c>
      <c r="I304" s="172">
        <f>'Расчет ЦП - общая форма'!Q304</f>
        <v>1.6161600000000005</v>
      </c>
      <c r="J304" s="172">
        <f>'Расчет ЦП - общая форма'!R304</f>
        <v>1.6161600000000005</v>
      </c>
      <c r="K304" s="172" t="str">
        <f>'Расчет ЦП - общая форма'!S304</f>
        <v/>
      </c>
      <c r="L304" s="257" t="str">
        <f>'Расчет ЦП - общая форма'!T304</f>
        <v/>
      </c>
      <c r="M304" s="768">
        <f>'Расчет ЦП - общая форма'!U304</f>
        <v>51.899999999999991</v>
      </c>
      <c r="N304" s="919"/>
      <c r="O304" s="919"/>
      <c r="P304" s="919"/>
    </row>
    <row r="305" spans="1:48" s="232" customFormat="1" ht="15" customHeight="1" x14ac:dyDescent="0.25">
      <c r="A305" s="213">
        <f>'Расчет ЦП - общая форма'!A305</f>
        <v>224</v>
      </c>
      <c r="B305" s="213">
        <f>COUNTIFS($C$8:C305,"*ПС*",$L$8:L305,"*закрыт*")</f>
        <v>37</v>
      </c>
      <c r="C305" s="213" t="str">
        <f>'Расчет ЦП - общая форма'!C305</f>
        <v xml:space="preserve">ПС 35/6 кВ №27 </v>
      </c>
      <c r="D305" s="230">
        <f>'Расчет ЦП - общая форма'!D305</f>
        <v>10</v>
      </c>
      <c r="E305" s="229" t="str">
        <f>'Расчет ЦП - общая форма'!E305</f>
        <v>+</v>
      </c>
      <c r="F305" s="229">
        <f>'Расчет ЦП - общая форма'!F305</f>
        <v>10</v>
      </c>
      <c r="G305" s="229">
        <f>'Расчет ЦП - общая форма'!G305</f>
        <v>0</v>
      </c>
      <c r="H305" s="229">
        <f>'Расчет ЦП - общая форма'!H305</f>
        <v>0</v>
      </c>
      <c r="I305" s="172">
        <f>'Расчет ЦП - общая форма'!Q305</f>
        <v>-3.4673280000000002</v>
      </c>
      <c r="J305" s="172">
        <f>'Расчет ЦП - общая форма'!R305</f>
        <v>-3.4673280000000002</v>
      </c>
      <c r="K305" s="172" t="str">
        <f>'Расчет ЦП - общая форма'!S305</f>
        <v>закрыт</v>
      </c>
      <c r="L305" s="257" t="str">
        <f>'Расчет ЦП - общая форма'!T305</f>
        <v>закрыт</v>
      </c>
      <c r="M305" s="768">
        <f>'Расчет ЦП - общая форма'!U305</f>
        <v>133.02217142857143</v>
      </c>
      <c r="N305" s="924"/>
      <c r="O305" s="924"/>
      <c r="P305" s="924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33"/>
      <c r="AG305" s="233"/>
      <c r="AH305" s="233"/>
      <c r="AI305" s="233"/>
      <c r="AJ305" s="233"/>
      <c r="AK305" s="233"/>
      <c r="AL305" s="233"/>
      <c r="AM305" s="233"/>
      <c r="AN305" s="233"/>
      <c r="AO305" s="233"/>
      <c r="AP305" s="233"/>
      <c r="AQ305" s="233"/>
      <c r="AR305" s="233"/>
      <c r="AS305" s="233"/>
      <c r="AT305" s="233"/>
      <c r="AU305" s="233"/>
      <c r="AV305" s="233"/>
    </row>
    <row r="306" spans="1:48" s="232" customFormat="1" ht="15" customHeight="1" x14ac:dyDescent="0.25">
      <c r="A306" s="213">
        <f>'Расчет ЦП - общая форма'!A306</f>
        <v>225</v>
      </c>
      <c r="B306" s="213">
        <f>COUNTIFS($C$8:C306,"*ПС*",$L$8:L306,"*закрыт*")</f>
        <v>38</v>
      </c>
      <c r="C306" s="213" t="str">
        <f>'Расчет ЦП - общая форма'!C306</f>
        <v xml:space="preserve">ПС 35/6 кВ Вагжановская </v>
      </c>
      <c r="D306" s="230">
        <f>'Расчет ЦП - общая форма'!D306</f>
        <v>16</v>
      </c>
      <c r="E306" s="229" t="str">
        <f>'Расчет ЦП - общая форма'!E306</f>
        <v>+</v>
      </c>
      <c r="F306" s="229">
        <f>'Расчет ЦП - общая форма'!F306</f>
        <v>16</v>
      </c>
      <c r="G306" s="229">
        <f>'Расчет ЦП - общая форма'!G306</f>
        <v>0</v>
      </c>
      <c r="H306" s="229">
        <f>'Расчет ЦП - общая форма'!H306</f>
        <v>0</v>
      </c>
      <c r="I306" s="172">
        <f>'Расчет ЦП - общая форма'!Q306</f>
        <v>-3.2956800000000008</v>
      </c>
      <c r="J306" s="172">
        <f>'Расчет ЦП - общая форма'!R306</f>
        <v>-3.2956800000000008</v>
      </c>
      <c r="K306" s="172" t="str">
        <f>'Расчет ЦП - общая форма'!S306</f>
        <v>закрыт</v>
      </c>
      <c r="L306" s="257" t="str">
        <f>'Расчет ЦП - общая форма'!T306</f>
        <v>закрыт</v>
      </c>
      <c r="M306" s="768">
        <f>'Расчет ЦП - общая форма'!U306</f>
        <v>119.61714285714287</v>
      </c>
      <c r="N306" s="924"/>
      <c r="O306" s="924"/>
      <c r="P306" s="924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233"/>
      <c r="AN306" s="233"/>
      <c r="AO306" s="233"/>
      <c r="AP306" s="233"/>
      <c r="AQ306" s="233"/>
      <c r="AR306" s="233"/>
      <c r="AS306" s="233"/>
      <c r="AT306" s="233"/>
      <c r="AU306" s="233"/>
      <c r="AV306" s="233"/>
    </row>
    <row r="307" spans="1:48" s="232" customFormat="1" ht="15" hidden="1" customHeight="1" x14ac:dyDescent="0.25">
      <c r="A307" s="213">
        <f>'Расчет ЦП - общая форма'!A307</f>
        <v>226</v>
      </c>
      <c r="B307" s="213">
        <f>COUNTIFS($C$8:C307,"*ПС*",$L$8:L307,"*закрыт*")</f>
        <v>38</v>
      </c>
      <c r="C307" s="213" t="str">
        <f>'Расчет ЦП - общая форма'!C307</f>
        <v>ПС  35/6 кВ Завод 1 Мая</v>
      </c>
      <c r="D307" s="230">
        <f>'Расчет ЦП - общая форма'!D307</f>
        <v>10</v>
      </c>
      <c r="E307" s="229" t="str">
        <f>'Расчет ЦП - общая форма'!E307</f>
        <v>+</v>
      </c>
      <c r="F307" s="229">
        <f>'Расчет ЦП - общая форма'!F307</f>
        <v>10</v>
      </c>
      <c r="G307" s="229">
        <f>'Расчет ЦП - общая форма'!G307</f>
        <v>0</v>
      </c>
      <c r="H307" s="229">
        <f>'Расчет ЦП - общая форма'!H307</f>
        <v>0</v>
      </c>
      <c r="I307" s="172">
        <f>'Расчет ЦП - общая форма'!Q307</f>
        <v>6.70092</v>
      </c>
      <c r="J307" s="172">
        <f>'Расчет ЦП - общая форма'!R307</f>
        <v>6.70092</v>
      </c>
      <c r="K307" s="172" t="str">
        <f>'Расчет ЦП - общая форма'!S307</f>
        <v/>
      </c>
      <c r="L307" s="257" t="str">
        <f>'Расчет ЦП - общая форма'!T307</f>
        <v/>
      </c>
      <c r="M307" s="768">
        <f>'Расчет ЦП - общая форма'!U307</f>
        <v>36.181714285714285</v>
      </c>
      <c r="N307" s="919"/>
      <c r="O307" s="919"/>
      <c r="P307" s="919"/>
    </row>
    <row r="308" spans="1:48" s="232" customFormat="1" hidden="1" x14ac:dyDescent="0.25">
      <c r="A308" s="213">
        <f>'Расчет ЦП - общая форма'!A308</f>
        <v>227</v>
      </c>
      <c r="B308" s="213">
        <f>COUNTIFS($C$8:C308,"*ПС*",$L$8:L308,"*закрыт*")</f>
        <v>38</v>
      </c>
      <c r="C308" s="213" t="str">
        <f>'Расчет ЦП - общая форма'!C308</f>
        <v xml:space="preserve">ПС 35/6 кВ Стекловолокно </v>
      </c>
      <c r="D308" s="230">
        <f>'Расчет ЦП - общая форма'!D308</f>
        <v>10</v>
      </c>
      <c r="E308" s="229" t="str">
        <f>'Расчет ЦП - общая форма'!E308</f>
        <v>+</v>
      </c>
      <c r="F308" s="229">
        <f>'Расчет ЦП - общая форма'!F308</f>
        <v>10</v>
      </c>
      <c r="G308" s="229">
        <f>'Расчет ЦП - общая форма'!G308</f>
        <v>0</v>
      </c>
      <c r="H308" s="229">
        <f>'Расчет ЦП - общая форма'!H308</f>
        <v>0</v>
      </c>
      <c r="I308" s="172">
        <f>'Расчет ЦП - общая форма'!Q308</f>
        <v>4.2789200000000003</v>
      </c>
      <c r="J308" s="172">
        <f>'Расчет ЦП - общая форма'!R308</f>
        <v>4.2789200000000003</v>
      </c>
      <c r="K308" s="172" t="str">
        <f>'Расчет ЦП - общая форма'!S308</f>
        <v/>
      </c>
      <c r="L308" s="257" t="str">
        <f>'Расчет ЦП - общая форма'!T308</f>
        <v/>
      </c>
      <c r="M308" s="768">
        <f>'Расчет ЦП - общая форма'!U308</f>
        <v>59.248380952380948</v>
      </c>
      <c r="N308" s="919"/>
      <c r="O308" s="919"/>
      <c r="P308" s="919"/>
    </row>
    <row r="309" spans="1:48" s="232" customFormat="1" ht="15" hidden="1" customHeight="1" x14ac:dyDescent="0.25">
      <c r="A309" s="213">
        <f>'Расчет ЦП - общая форма'!A309</f>
        <v>228</v>
      </c>
      <c r="B309" s="213">
        <f>COUNTIFS($C$8:C309,"*ПС*",$L$8:L309,"*закрыт*")</f>
        <v>38</v>
      </c>
      <c r="C309" s="213" t="str">
        <f>'Расчет ЦП - общая форма'!C309</f>
        <v xml:space="preserve">ПС 35/10 кВ Соминка </v>
      </c>
      <c r="D309" s="230">
        <f>'Расчет ЦП - общая форма'!D309</f>
        <v>16</v>
      </c>
      <c r="E309" s="229" t="str">
        <f>'Расчет ЦП - общая форма'!E309</f>
        <v>+</v>
      </c>
      <c r="F309" s="229">
        <f>'Расчет ЦП - общая форма'!F309</f>
        <v>16</v>
      </c>
      <c r="G309" s="229">
        <f>'Расчет ЦП - общая форма'!G309</f>
        <v>0</v>
      </c>
      <c r="H309" s="229">
        <f>'Расчет ЦП - общая форма'!H309</f>
        <v>0</v>
      </c>
      <c r="I309" s="172">
        <f>'Расчет ЦП - общая форма'!Q309</f>
        <v>0.24009400000000269</v>
      </c>
      <c r="J309" s="172">
        <f>'Расчет ЦП - общая форма'!R309</f>
        <v>0.24009400000000269</v>
      </c>
      <c r="K309" s="172" t="str">
        <f>'Расчет ЦП - общая форма'!S309</f>
        <v/>
      </c>
      <c r="L309" s="257" t="str">
        <f>'Расчет ЦП - общая форма'!T309</f>
        <v/>
      </c>
      <c r="M309" s="768">
        <f>'Расчет ЦП - общая форма'!U309</f>
        <v>98.570869047619041</v>
      </c>
      <c r="N309" s="919"/>
      <c r="O309" s="919"/>
      <c r="P309" s="919"/>
    </row>
    <row r="310" spans="1:48" ht="20.100000000000001" hidden="1" customHeight="1" x14ac:dyDescent="0.25">
      <c r="A310" s="213">
        <f>'Расчет ЦП - общая форма'!A310</f>
        <v>229</v>
      </c>
      <c r="B310" s="213">
        <f>COUNTIFS($C$8:C310,"*ПС*",$L$8:L310,"*закрыт*")</f>
        <v>38</v>
      </c>
      <c r="C310" s="213" t="str">
        <f>'Расчет ЦП - общая форма'!C310</f>
        <v>ПС  35/6 кВ Заволжская</v>
      </c>
      <c r="D310" s="230">
        <f>'Расчет ЦП - общая форма'!D310</f>
        <v>7.5</v>
      </c>
      <c r="E310" s="229" t="str">
        <f>'Расчет ЦП - общая форма'!E310</f>
        <v>+</v>
      </c>
      <c r="F310" s="229">
        <f>'Расчет ЦП - общая форма'!F310</f>
        <v>10</v>
      </c>
      <c r="G310" s="229">
        <f>'Расчет ЦП - общая форма'!G310</f>
        <v>0</v>
      </c>
      <c r="H310" s="229">
        <f>'Расчет ЦП - общая форма'!H310</f>
        <v>0</v>
      </c>
      <c r="I310" s="172">
        <f>'Расчет ЦП - общая форма'!Q310</f>
        <v>1.3900950000000005</v>
      </c>
      <c r="J310" s="172">
        <f>'Расчет ЦП - общая форма'!R310</f>
        <v>1.3900950000000005</v>
      </c>
      <c r="K310" s="172" t="str">
        <f>'Расчет ЦП - общая форма'!S310</f>
        <v/>
      </c>
      <c r="L310" s="257" t="str">
        <f>'Расчет ЦП - общая форма'!T310</f>
        <v/>
      </c>
      <c r="M310" s="768">
        <f>'Расчет ЦП - общая форма'!U310</f>
        <v>82.347999999999999</v>
      </c>
      <c r="N310" s="919"/>
      <c r="O310" s="919"/>
      <c r="P310" s="919"/>
    </row>
    <row r="311" spans="1:48" s="232" customFormat="1" ht="15" customHeight="1" x14ac:dyDescent="0.25">
      <c r="A311" s="213">
        <f>'Расчет ЦП - общая форма'!A311</f>
        <v>230</v>
      </c>
      <c r="B311" s="213">
        <f>COUNTIFS($C$8:C311,"*ПС*",$L$8:L311,"*закрыт*")</f>
        <v>39</v>
      </c>
      <c r="C311" s="213" t="str">
        <f>'Расчет ЦП - общая форма'!C311</f>
        <v xml:space="preserve">ПС 35/10 кВ Капошвар </v>
      </c>
      <c r="D311" s="230">
        <f>'Расчет ЦП - общая форма'!D311</f>
        <v>10</v>
      </c>
      <c r="E311" s="229" t="str">
        <f>'Расчет ЦП - общая форма'!E311</f>
        <v>+</v>
      </c>
      <c r="F311" s="229">
        <f>'Расчет ЦП - общая форма'!F311</f>
        <v>10</v>
      </c>
      <c r="G311" s="229">
        <f>'Расчет ЦП - общая форма'!G311</f>
        <v>0</v>
      </c>
      <c r="H311" s="229">
        <f>'Расчет ЦП - общая форма'!H311</f>
        <v>0</v>
      </c>
      <c r="I311" s="172">
        <f>'Расчет ЦП - общая форма'!Q311</f>
        <v>-0.79344000000000037</v>
      </c>
      <c r="J311" s="172">
        <f>'Расчет ЦП - общая форма'!R311</f>
        <v>-0.79344000000000037</v>
      </c>
      <c r="K311" s="172" t="str">
        <f>'Расчет ЦП - общая форма'!S311</f>
        <v>закрыт</v>
      </c>
      <c r="L311" s="257" t="str">
        <f>'Расчет ЦП - общая форма'!T311</f>
        <v>закрыт</v>
      </c>
      <c r="M311" s="768">
        <f>'Расчет ЦП - общая форма'!U311</f>
        <v>107.55657142857143</v>
      </c>
      <c r="N311" s="924"/>
      <c r="O311" s="924"/>
      <c r="P311" s="924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  <c r="AV311" s="233"/>
    </row>
    <row r="312" spans="1:48" s="232" customFormat="1" hidden="1" x14ac:dyDescent="0.25">
      <c r="A312" s="213">
        <f>'Расчет ЦП - общая форма'!A312</f>
        <v>231</v>
      </c>
      <c r="B312" s="213">
        <f>COUNTIFS($C$8:C312,"*ПС*",$L$8:L312,"*закрыт*")</f>
        <v>39</v>
      </c>
      <c r="C312" s="213" t="str">
        <f>'Расчет ЦП - общая форма'!C312</f>
        <v>ПС  110/10 кВ Мамулино</v>
      </c>
      <c r="D312" s="230">
        <f>'Расчет ЦП - общая форма'!D312</f>
        <v>6.3</v>
      </c>
      <c r="E312" s="229" t="str">
        <f>'Расчет ЦП - общая форма'!E312</f>
        <v>+</v>
      </c>
      <c r="F312" s="229">
        <f>'Расчет ЦП - общая форма'!F312</f>
        <v>6.3</v>
      </c>
      <c r="G312" s="229">
        <f>'Расчет ЦП - общая форма'!G312</f>
        <v>0</v>
      </c>
      <c r="H312" s="229">
        <f>'Расчет ЦП - общая форма'!H312</f>
        <v>0</v>
      </c>
      <c r="I312" s="172">
        <f>'Расчет ЦП - общая форма'!Q312</f>
        <v>1.9666630000000005</v>
      </c>
      <c r="J312" s="172">
        <f>'Расчет ЦП - общая форма'!R312</f>
        <v>1.9666630000000005</v>
      </c>
      <c r="K312" s="172" t="str">
        <f>'Расчет ЦП - общая форма'!S312</f>
        <v/>
      </c>
      <c r="L312" s="257" t="str">
        <f>'Расчет ЦП - общая форма'!T312</f>
        <v/>
      </c>
      <c r="M312" s="768">
        <f>'Расчет ЦП - общая форма'!U312</f>
        <v>70.269644746787591</v>
      </c>
      <c r="N312" s="919"/>
      <c r="O312" s="919"/>
      <c r="P312" s="919"/>
    </row>
    <row r="313" spans="1:48" s="232" customFormat="1" ht="15" hidden="1" customHeight="1" x14ac:dyDescent="0.25">
      <c r="A313" s="213">
        <f>'Расчет ЦП - общая форма'!A313</f>
        <v>232</v>
      </c>
      <c r="B313" s="213">
        <f>COUNTIFS($C$8:C313,"*ПС*",$L$8:L313,"*закрыт*")</f>
        <v>39</v>
      </c>
      <c r="C313" s="213" t="str">
        <f>'Расчет ЦП - общая форма'!C313</f>
        <v xml:space="preserve">ПС 110/10 кВ Глазково </v>
      </c>
      <c r="D313" s="230">
        <f>'Расчет ЦП - общая форма'!D313</f>
        <v>6.3</v>
      </c>
      <c r="E313" s="229" t="str">
        <f>'Расчет ЦП - общая форма'!E313</f>
        <v>+</v>
      </c>
      <c r="F313" s="229">
        <f>'Расчет ЦП - общая форма'!F313</f>
        <v>6.3</v>
      </c>
      <c r="G313" s="229">
        <f>'Расчет ЦП - общая форма'!G313</f>
        <v>0</v>
      </c>
      <c r="H313" s="229">
        <f>'Расчет ЦП - общая форма'!H313</f>
        <v>0</v>
      </c>
      <c r="I313" s="172">
        <f>'Расчет ЦП - общая форма'!Q313</f>
        <v>7.5600000000000556E-2</v>
      </c>
      <c r="J313" s="172">
        <f>'Расчет ЦП - общая форма'!R313</f>
        <v>7.5600000000000556E-2</v>
      </c>
      <c r="K313" s="172" t="str">
        <f>'Расчет ЦП - общая форма'!S313</f>
        <v/>
      </c>
      <c r="L313" s="257" t="str">
        <f>'Расчет ЦП - общая форма'!T313</f>
        <v/>
      </c>
      <c r="M313" s="768">
        <f>'Расчет ЦП - общая форма'!U313</f>
        <v>98.857142857142847</v>
      </c>
      <c r="N313" s="919"/>
      <c r="O313" s="919"/>
      <c r="P313" s="919"/>
    </row>
    <row r="314" spans="1:48" s="232" customFormat="1" ht="15" hidden="1" customHeight="1" x14ac:dyDescent="0.25">
      <c r="A314" s="213">
        <f>'Расчет ЦП - общая форма'!A314</f>
        <v>233</v>
      </c>
      <c r="B314" s="213">
        <f>COUNTIFS($C$8:C314,"*ПС*",$L$8:L314,"*закрыт*")</f>
        <v>39</v>
      </c>
      <c r="C314" s="213" t="str">
        <f>'Расчет ЦП - общая форма'!C314</f>
        <v xml:space="preserve">ПС 110/10 кВ Пролетарская </v>
      </c>
      <c r="D314" s="230">
        <f>'Расчет ЦП - общая форма'!D314</f>
        <v>16</v>
      </c>
      <c r="E314" s="229" t="str">
        <f>'Расчет ЦП - общая форма'!E314</f>
        <v>+</v>
      </c>
      <c r="F314" s="229">
        <f>'Расчет ЦП - общая форма'!F314</f>
        <v>16</v>
      </c>
      <c r="G314" s="229">
        <f>'Расчет ЦП - общая форма'!G314</f>
        <v>0</v>
      </c>
      <c r="H314" s="229">
        <f>'Расчет ЦП - общая форма'!H314</f>
        <v>0</v>
      </c>
      <c r="I314" s="172">
        <f>'Расчет ЦП - общая форма'!Q314</f>
        <v>7.1549040000000019</v>
      </c>
      <c r="J314" s="172">
        <f>'Расчет ЦП - общая форма'!R314</f>
        <v>7.1549040000000019</v>
      </c>
      <c r="K314" s="172" t="str">
        <f>'Расчет ЦП - общая форма'!S314</f>
        <v/>
      </c>
      <c r="L314" s="257" t="str">
        <f>'Расчет ЦП - общая форма'!T314</f>
        <v/>
      </c>
      <c r="M314" s="768">
        <f>'Расчет ЦП - общая форма'!U314</f>
        <v>57.411285714285704</v>
      </c>
      <c r="N314" s="919"/>
      <c r="O314" s="919"/>
      <c r="P314" s="919"/>
    </row>
    <row r="315" spans="1:48" s="232" customFormat="1" hidden="1" x14ac:dyDescent="0.25">
      <c r="A315" s="213">
        <f>'Расчет ЦП - общая форма'!A315</f>
        <v>234</v>
      </c>
      <c r="B315" s="213">
        <f>COUNTIFS($C$8:C315,"*ПС*",$L$8:L315,"*закрыт*")</f>
        <v>39</v>
      </c>
      <c r="C315" s="213" t="str">
        <f>'Расчет ЦП - общая форма'!C315</f>
        <v xml:space="preserve">ПС 35/10 кВ Тургиново </v>
      </c>
      <c r="D315" s="230">
        <f>'Расчет ЦП - общая форма'!D315</f>
        <v>6.3</v>
      </c>
      <c r="E315" s="229" t="str">
        <f>'Расчет ЦП - общая форма'!E315</f>
        <v>+</v>
      </c>
      <c r="F315" s="229">
        <f>'Расчет ЦП - общая форма'!F315</f>
        <v>6.3</v>
      </c>
      <c r="G315" s="229">
        <f>'Расчет ЦП - общая форма'!G315</f>
        <v>0</v>
      </c>
      <c r="H315" s="229">
        <f>'Расчет ЦП - общая форма'!H315</f>
        <v>0</v>
      </c>
      <c r="I315" s="172">
        <f>'Расчет ЦП - общая форма'!Q315</f>
        <v>1.3388460000000011</v>
      </c>
      <c r="J315" s="172">
        <f>'Расчет ЦП - общая форма'!R315</f>
        <v>1.3388460000000011</v>
      </c>
      <c r="K315" s="172" t="str">
        <f>'Расчет ЦП - общая форма'!S315</f>
        <v/>
      </c>
      <c r="L315" s="257" t="str">
        <f>'Расчет ЦП - общая форма'!T315</f>
        <v/>
      </c>
      <c r="M315" s="768">
        <f>'Расчет ЦП - общая форма'!U315</f>
        <v>79.760453514739211</v>
      </c>
      <c r="N315" s="924"/>
      <c r="O315" s="924"/>
      <c r="P315" s="924"/>
      <c r="Q315" s="233"/>
      <c r="R315" s="233"/>
      <c r="S315" s="233"/>
      <c r="T315" s="233"/>
      <c r="U315" s="233"/>
      <c r="V315" s="233"/>
      <c r="W315" s="233"/>
      <c r="X315" s="233"/>
      <c r="Y315" s="233"/>
      <c r="Z315" s="233"/>
      <c r="AA315" s="233"/>
      <c r="AB315" s="233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</row>
    <row r="316" spans="1:48" s="232" customFormat="1" ht="15" hidden="1" customHeight="1" x14ac:dyDescent="0.25">
      <c r="A316" s="213">
        <f>'Расчет ЦП - общая форма'!A316</f>
        <v>235</v>
      </c>
      <c r="B316" s="213">
        <f>COUNTIFS($C$8:C316,"*ПС*",$L$8:L316,"*закрыт*")</f>
        <v>39</v>
      </c>
      <c r="C316" s="213" t="str">
        <f>'Расчет ЦП - общая форма'!C316</f>
        <v xml:space="preserve">ПС 35/10 кВ Сахарово </v>
      </c>
      <c r="D316" s="230">
        <f>'Расчет ЦП - общая форма'!D316</f>
        <v>4</v>
      </c>
      <c r="E316" s="229" t="str">
        <f>'Расчет ЦП - общая форма'!E316</f>
        <v>+</v>
      </c>
      <c r="F316" s="229">
        <f>'Расчет ЦП - общая форма'!F316</f>
        <v>4</v>
      </c>
      <c r="G316" s="229">
        <f>'Расчет ЦП - общая форма'!G316</f>
        <v>0</v>
      </c>
      <c r="H316" s="229">
        <f>'Расчет ЦП - общая форма'!H316</f>
        <v>0</v>
      </c>
      <c r="I316" s="172">
        <f>'Расчет ЦП - общая форма'!Q316</f>
        <v>0.93030000000000035</v>
      </c>
      <c r="J316" s="172">
        <f>'Расчет ЦП - общая форма'!R316</f>
        <v>0.93030000000000035</v>
      </c>
      <c r="K316" s="172" t="str">
        <f>'Расчет ЦП - общая форма'!S316</f>
        <v/>
      </c>
      <c r="L316" s="257" t="str">
        <f>'Расчет ЦП - общая форма'!T316</f>
        <v/>
      </c>
      <c r="M316" s="768">
        <f>'Расчет ЦП - общая форма'!U316</f>
        <v>77.849999999999994</v>
      </c>
      <c r="N316" s="919"/>
      <c r="O316" s="919"/>
      <c r="P316" s="919"/>
    </row>
    <row r="317" spans="1:48" s="232" customFormat="1" hidden="1" x14ac:dyDescent="0.25">
      <c r="A317" s="213">
        <f>'Расчет ЦП - общая форма'!A317</f>
        <v>236</v>
      </c>
      <c r="B317" s="213">
        <f>COUNTIFS($C$8:C317,"*ПС*",$L$8:L317,"*закрыт*")</f>
        <v>39</v>
      </c>
      <c r="C317" s="213" t="str">
        <f>'Расчет ЦП - общая форма'!C317</f>
        <v>ПС  35/10 кВ Головино</v>
      </c>
      <c r="D317" s="230">
        <f>'Расчет ЦП - общая форма'!D317</f>
        <v>2.5</v>
      </c>
      <c r="E317" s="229" t="str">
        <f>'Расчет ЦП - общая форма'!E317</f>
        <v>+</v>
      </c>
      <c r="F317" s="229">
        <f>'Расчет ЦП - общая форма'!F317</f>
        <v>2.5</v>
      </c>
      <c r="G317" s="229">
        <f>'Расчет ЦП - общая форма'!G317</f>
        <v>0</v>
      </c>
      <c r="H317" s="229">
        <f>'Расчет ЦП - общая форма'!H317</f>
        <v>0</v>
      </c>
      <c r="I317" s="172">
        <f>'Расчет ЦП - общая форма'!Q317</f>
        <v>0.70128999999999975</v>
      </c>
      <c r="J317" s="172">
        <f>'Расчет ЦП - общая форма'!R317</f>
        <v>0.70128999999999975</v>
      </c>
      <c r="K317" s="172" t="str">
        <f>'Расчет ЦП - общая форма'!S317</f>
        <v/>
      </c>
      <c r="L317" s="257" t="str">
        <f>'Расчет ЦП - общая форма'!T317</f>
        <v/>
      </c>
      <c r="M317" s="768">
        <f>'Расчет ЦП - общая форма'!U317</f>
        <v>61.093714285714292</v>
      </c>
      <c r="N317" s="919"/>
      <c r="O317" s="919"/>
      <c r="P317" s="919"/>
    </row>
    <row r="318" spans="1:48" s="232" customFormat="1" ht="15" hidden="1" customHeight="1" x14ac:dyDescent="0.25">
      <c r="A318" s="213">
        <f>'Расчет ЦП - общая форма'!A318</f>
        <v>237</v>
      </c>
      <c r="B318" s="213">
        <f>COUNTIFS($C$8:C318,"*ПС*",$L$8:L318,"*закрыт*")</f>
        <v>39</v>
      </c>
      <c r="C318" s="213" t="str">
        <f>'Расчет ЦП - общая форма'!C318</f>
        <v>ПС  35/6 кВ Каликино</v>
      </c>
      <c r="D318" s="230">
        <f>'Расчет ЦП - общая форма'!D318</f>
        <v>2</v>
      </c>
      <c r="E318" s="229" t="str">
        <f>'Расчет ЦП - общая форма'!E318</f>
        <v>+</v>
      </c>
      <c r="F318" s="229">
        <f>'Расчет ЦП - общая форма'!F318</f>
        <v>3.2</v>
      </c>
      <c r="G318" s="229">
        <f>'Расчет ЦП - общая форма'!G318</f>
        <v>0</v>
      </c>
      <c r="H318" s="229">
        <f>'Расчет ЦП - общая форма'!H318</f>
        <v>0</v>
      </c>
      <c r="I318" s="172">
        <f>'Расчет ЦП - общая форма'!Q318</f>
        <v>0.14769500000000013</v>
      </c>
      <c r="J318" s="172">
        <f>'Расчет ЦП - общая форма'!R318</f>
        <v>0.14769500000000013</v>
      </c>
      <c r="K318" s="172" t="str">
        <f>'Расчет ЦП - общая форма'!S318</f>
        <v/>
      </c>
      <c r="L318" s="257" t="str">
        <f>'Расчет ЦП - общая форма'!T318</f>
        <v/>
      </c>
      <c r="M318" s="768">
        <f>'Расчет ЦП - общая форма'!U318</f>
        <v>92.966904761904757</v>
      </c>
      <c r="N318" s="924"/>
      <c r="O318" s="924"/>
      <c r="P318" s="924"/>
      <c r="Q318" s="233"/>
      <c r="R318" s="233"/>
      <c r="S318" s="233"/>
      <c r="T318" s="233"/>
      <c r="U318" s="233"/>
      <c r="V318" s="233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233"/>
      <c r="AN318" s="233"/>
      <c r="AO318" s="233"/>
      <c r="AP318" s="233"/>
      <c r="AQ318" s="233"/>
      <c r="AR318" s="233"/>
      <c r="AS318" s="233"/>
      <c r="AT318" s="233"/>
      <c r="AU318" s="233"/>
      <c r="AV318" s="233"/>
    </row>
    <row r="319" spans="1:48" s="232" customFormat="1" ht="15" hidden="1" customHeight="1" x14ac:dyDescent="0.25">
      <c r="A319" s="213">
        <f>'Расчет ЦП - общая форма'!A319</f>
        <v>238</v>
      </c>
      <c r="B319" s="213">
        <f>COUNTIFS($C$8:C319,"*ПС*",$L$8:L319,"*закрыт*")</f>
        <v>39</v>
      </c>
      <c r="C319" s="213" t="str">
        <f>'Расчет ЦП - общая форма'!C319</f>
        <v>ПС 35/10 кВ Квакшино</v>
      </c>
      <c r="D319" s="230">
        <f>'Расчет ЦП - общая форма'!D319</f>
        <v>4</v>
      </c>
      <c r="E319" s="229" t="str">
        <f>'Расчет ЦП - общая форма'!E319</f>
        <v>+</v>
      </c>
      <c r="F319" s="229">
        <f>'Расчет ЦП - общая форма'!F319</f>
        <v>4</v>
      </c>
      <c r="G319" s="229">
        <f>'Расчет ЦП - общая форма'!G319</f>
        <v>0</v>
      </c>
      <c r="H319" s="229">
        <f>'Расчет ЦП - общая форма'!H319</f>
        <v>0</v>
      </c>
      <c r="I319" s="172">
        <f>'Расчет ЦП - общая форма'!Q319</f>
        <v>2.9419440000000003</v>
      </c>
      <c r="J319" s="172">
        <f>'Расчет ЦП - общая форма'!R319</f>
        <v>2.9419440000000003</v>
      </c>
      <c r="K319" s="172" t="str">
        <f>'Расчет ЦП - общая форма'!S319</f>
        <v/>
      </c>
      <c r="L319" s="257" t="str">
        <f>'Расчет ЦП - общая форма'!T319</f>
        <v/>
      </c>
      <c r="M319" s="768">
        <f>'Расчет ЦП - общая форма'!U319</f>
        <v>29.95371428571428</v>
      </c>
      <c r="N319" s="919"/>
      <c r="O319" s="919"/>
      <c r="P319" s="919"/>
    </row>
    <row r="320" spans="1:48" s="232" customFormat="1" ht="15" hidden="1" customHeight="1" x14ac:dyDescent="0.25">
      <c r="A320" s="213">
        <f>'Расчет ЦП - общая форма'!A320</f>
        <v>239</v>
      </c>
      <c r="B320" s="213">
        <f>COUNTIFS($C$8:C320,"*ПС*",$L$8:L320,"*закрыт*")</f>
        <v>39</v>
      </c>
      <c r="C320" s="213" t="str">
        <f>'Расчет ЦП - общая форма'!C320</f>
        <v>ПС  35/10 кВ Городня</v>
      </c>
      <c r="D320" s="230">
        <f>'Расчет ЦП - общая форма'!D320</f>
        <v>6.3</v>
      </c>
      <c r="E320" s="229" t="str">
        <f>'Расчет ЦП - общая форма'!E320</f>
        <v>+</v>
      </c>
      <c r="F320" s="229">
        <f>'Расчет ЦП - общая форма'!F320</f>
        <v>6.3</v>
      </c>
      <c r="G320" s="229">
        <f>'Расчет ЦП - общая форма'!G320</f>
        <v>0</v>
      </c>
      <c r="H320" s="229">
        <f>'Расчет ЦП - общая форма'!H320</f>
        <v>0</v>
      </c>
      <c r="I320" s="172">
        <f>'Расчет ЦП - общая форма'!Q320</f>
        <v>2.8003500000000003</v>
      </c>
      <c r="J320" s="172">
        <f>'Расчет ЦП - общая форма'!R320</f>
        <v>2.8003500000000003</v>
      </c>
      <c r="K320" s="172" t="str">
        <f>'Расчет ЦП - общая форма'!S320</f>
        <v/>
      </c>
      <c r="L320" s="257" t="str">
        <f>'Расчет ЦП - общая форма'!T320</f>
        <v/>
      </c>
      <c r="M320" s="768">
        <f>'Расчет ЦП - общая форма'!U320</f>
        <v>57.666666666666664</v>
      </c>
      <c r="N320" s="924"/>
      <c r="O320" s="924"/>
      <c r="P320" s="924"/>
      <c r="Q320" s="233"/>
      <c r="R320" s="233"/>
      <c r="S320" s="233"/>
      <c r="T320" s="233"/>
      <c r="U320" s="233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33"/>
      <c r="AM320" s="233"/>
      <c r="AN320" s="233"/>
      <c r="AO320" s="233"/>
      <c r="AP320" s="233"/>
      <c r="AQ320" s="233"/>
      <c r="AR320" s="233"/>
    </row>
    <row r="321" spans="1:48" s="232" customFormat="1" ht="15" hidden="1" customHeight="1" x14ac:dyDescent="0.25">
      <c r="A321" s="213">
        <f>'Расчет ЦП - общая форма'!A321</f>
        <v>240</v>
      </c>
      <c r="B321" s="213">
        <f>COUNTIFS($C$8:C321,"*ПС*",$L$8:L321,"*закрыт*")</f>
        <v>39</v>
      </c>
      <c r="C321" s="213" t="str">
        <f>'Расчет ЦП - общая форма'!C321</f>
        <v xml:space="preserve">ПС 35/10 кВ Рязаново </v>
      </c>
      <c r="D321" s="230">
        <f>'Расчет ЦП - общая форма'!D321</f>
        <v>4</v>
      </c>
      <c r="E321" s="229" t="str">
        <f>'Расчет ЦП - общая форма'!E321</f>
        <v>+</v>
      </c>
      <c r="F321" s="229">
        <f>'Расчет ЦП - общая форма'!F321</f>
        <v>4</v>
      </c>
      <c r="G321" s="229">
        <f>'Расчет ЦП - общая форма'!G321</f>
        <v>0</v>
      </c>
      <c r="H321" s="229">
        <f>'Расчет ЦП - общая форма'!H321</f>
        <v>0</v>
      </c>
      <c r="I321" s="172">
        <f>'Расчет ЦП - общая форма'!Q321</f>
        <v>0.50926600000000033</v>
      </c>
      <c r="J321" s="172">
        <f>'Расчет ЦП - общая форма'!R321</f>
        <v>0.50926600000000033</v>
      </c>
      <c r="K321" s="172" t="str">
        <f>'Расчет ЦП - общая форма'!S321</f>
        <v/>
      </c>
      <c r="L321" s="257" t="str">
        <f>'Расчет ЦП - общая форма'!T321</f>
        <v/>
      </c>
      <c r="M321" s="768">
        <f>'Расчет ЦП - общая форма'!U321</f>
        <v>65.731761904761896</v>
      </c>
      <c r="N321" s="919"/>
      <c r="O321" s="919"/>
      <c r="P321" s="919"/>
    </row>
    <row r="322" spans="1:48" ht="20.100000000000001" hidden="1" customHeight="1" x14ac:dyDescent="0.25">
      <c r="A322" s="213">
        <f>'Расчет ЦП - общая форма'!A322</f>
        <v>241</v>
      </c>
      <c r="B322" s="213">
        <f>COUNTIFS($C$8:C322,"*ПС*",$L$8:L322,"*закрыт*")</f>
        <v>39</v>
      </c>
      <c r="C322" s="213" t="str">
        <f>'Расчет ЦП - общая форма'!C322</f>
        <v xml:space="preserve">ПС 35/10 кВ Савватьево </v>
      </c>
      <c r="D322" s="230">
        <f>'Расчет ЦП - общая форма'!D322</f>
        <v>1.6</v>
      </c>
      <c r="E322" s="229" t="str">
        <f>'Расчет ЦП - общая форма'!E322</f>
        <v>+</v>
      </c>
      <c r="F322" s="229">
        <f>'Расчет ЦП - общая форма'!F322</f>
        <v>2.5</v>
      </c>
      <c r="G322" s="229">
        <f>'Расчет ЦП - общая форма'!G322</f>
        <v>0</v>
      </c>
      <c r="H322" s="229">
        <f>'Расчет ЦП - общая форма'!H322</f>
        <v>0</v>
      </c>
      <c r="I322" s="172">
        <f>'Расчет ЦП - общая форма'!Q322</f>
        <v>0.46830799999999995</v>
      </c>
      <c r="J322" s="172">
        <f>'Расчет ЦП - общая форма'!R322</f>
        <v>0.46830799999999995</v>
      </c>
      <c r="K322" s="172" t="str">
        <f>'Расчет ЦП - общая форма'!S322</f>
        <v/>
      </c>
      <c r="L322" s="257" t="str">
        <f>'Расчет ЦП - общая форма'!T322</f>
        <v/>
      </c>
      <c r="M322" s="768">
        <f>'Расчет ЦП - общая форма'!U322</f>
        <v>72.124523809523808</v>
      </c>
      <c r="N322" s="919"/>
      <c r="O322" s="919"/>
      <c r="P322" s="919"/>
    </row>
    <row r="323" spans="1:48" s="232" customFormat="1" ht="15" hidden="1" customHeight="1" x14ac:dyDescent="0.25">
      <c r="A323" s="213">
        <f>'Расчет ЦП - общая форма'!A323</f>
        <v>242</v>
      </c>
      <c r="B323" s="213">
        <f>COUNTIFS($C$8:C323,"*ПС*",$L$8:L323,"*закрыт*")</f>
        <v>39</v>
      </c>
      <c r="C323" s="213" t="str">
        <f>'Расчет ЦП - общая форма'!C323</f>
        <v xml:space="preserve">ПС 35/10 кВ Беле-Кушаль </v>
      </c>
      <c r="D323" s="230">
        <f>'Расчет ЦП - общая форма'!D323</f>
        <v>1.6</v>
      </c>
      <c r="E323" s="229" t="str">
        <f>'Расчет ЦП - общая форма'!E323</f>
        <v>+</v>
      </c>
      <c r="F323" s="229">
        <f>'Расчет ЦП - общая форма'!F323</f>
        <v>2.5</v>
      </c>
      <c r="G323" s="229">
        <f>'Расчет ЦП - общая форма'!G323</f>
        <v>0</v>
      </c>
      <c r="H323" s="229">
        <f>'Расчет ЦП - общая форма'!H323</f>
        <v>0</v>
      </c>
      <c r="I323" s="172">
        <f>'Расчет ЦП - общая форма'!Q323</f>
        <v>0.5555000000000001</v>
      </c>
      <c r="J323" s="172">
        <f>'Расчет ЦП - общая форма'!R323</f>
        <v>0.5555000000000001</v>
      </c>
      <c r="K323" s="172" t="str">
        <f>'Расчет ЦП - общая форма'!S323</f>
        <v/>
      </c>
      <c r="L323" s="257" t="str">
        <f>'Расчет ЦП - общая форма'!T323</f>
        <v/>
      </c>
      <c r="M323" s="768">
        <f>'Расчет ЦП - общая форма'!U323</f>
        <v>66.93452380952381</v>
      </c>
      <c r="N323" s="919"/>
      <c r="O323" s="919"/>
      <c r="P323" s="919"/>
    </row>
    <row r="324" spans="1:48" s="232" customFormat="1" hidden="1" x14ac:dyDescent="0.25">
      <c r="A324" s="213">
        <f>'Расчет ЦП - общая форма'!A324</f>
        <v>243</v>
      </c>
      <c r="B324" s="213">
        <f>COUNTIFS($C$8:C324,"*ПС*",$L$8:L324,"*закрыт*")</f>
        <v>39</v>
      </c>
      <c r="C324" s="213" t="str">
        <f>'Расчет ЦП - общая форма'!C324</f>
        <v xml:space="preserve">ПС 35/10 кВ Стеклозавод </v>
      </c>
      <c r="D324" s="230">
        <f>'Расчет ЦП - общая форма'!D324</f>
        <v>2.5</v>
      </c>
      <c r="E324" s="229" t="str">
        <f>'Расчет ЦП - общая форма'!E324</f>
        <v>+</v>
      </c>
      <c r="F324" s="229">
        <f>'Расчет ЦП - общая форма'!F324</f>
        <v>2.5</v>
      </c>
      <c r="G324" s="229">
        <f>'Расчет ЦП - общая форма'!G324</f>
        <v>0</v>
      </c>
      <c r="H324" s="229">
        <f>'Расчет ЦП - общая форма'!H324</f>
        <v>0</v>
      </c>
      <c r="I324" s="172">
        <f>'Расчет ЦП - общая форма'!Q324</f>
        <v>1.55932</v>
      </c>
      <c r="J324" s="172">
        <f>'Расчет ЦП - общая форма'!R324</f>
        <v>1.55932</v>
      </c>
      <c r="K324" s="172" t="str">
        <f>'Расчет ЦП - общая форма'!S324</f>
        <v/>
      </c>
      <c r="L324" s="257" t="str">
        <f>'Расчет ЦП - общая форма'!T324</f>
        <v/>
      </c>
      <c r="M324" s="768">
        <f>'Расчет ЦП - общая форма'!U324</f>
        <v>27.416380952380955</v>
      </c>
      <c r="N324" s="919"/>
      <c r="O324" s="919"/>
      <c r="P324" s="919"/>
    </row>
    <row r="325" spans="1:48" s="232" customFormat="1" ht="15" customHeight="1" x14ac:dyDescent="0.25">
      <c r="A325" s="213">
        <f>'Расчет ЦП - общая форма'!A325</f>
        <v>244</v>
      </c>
      <c r="B325" s="213">
        <f>COUNTIFS($C$8:C325,"*ПС*",$L$8:L325,"*закрыт*")</f>
        <v>40</v>
      </c>
      <c r="C325" s="213" t="str">
        <f>'Расчет ЦП - общая форма'!C325</f>
        <v>ПС  35/10 кВ Гришкино</v>
      </c>
      <c r="D325" s="230">
        <f>'Расчет ЦП - общая форма'!D325</f>
        <v>6.3</v>
      </c>
      <c r="E325" s="229" t="str">
        <f>'Расчет ЦП - общая форма'!E325</f>
        <v>+</v>
      </c>
      <c r="F325" s="229">
        <f>'Расчет ЦП - общая форма'!F325</f>
        <v>6.3</v>
      </c>
      <c r="G325" s="229">
        <f>'Расчет ЦП - общая форма'!G325</f>
        <v>0</v>
      </c>
      <c r="H325" s="229">
        <f>'Расчет ЦП - общая форма'!H325</f>
        <v>0</v>
      </c>
      <c r="I325" s="172">
        <f>'Расчет ЦП - общая форма'!Q325</f>
        <v>-1.6786200000000004</v>
      </c>
      <c r="J325" s="172">
        <f>'Расчет ЦП - общая форма'!R325</f>
        <v>-1.6786200000000004</v>
      </c>
      <c r="K325" s="172" t="str">
        <f>'Расчет ЦП - общая форма'!S325</f>
        <v>закрыт</v>
      </c>
      <c r="L325" s="257" t="str">
        <f>'Расчет ЦП - общая форма'!T325</f>
        <v>закрыт</v>
      </c>
      <c r="M325" s="768">
        <f>'Расчет ЦП - общая форма'!U325</f>
        <v>125.37596371882087</v>
      </c>
      <c r="N325" s="924"/>
      <c r="O325" s="924"/>
      <c r="P325" s="924"/>
      <c r="Q325" s="233"/>
      <c r="R325" s="233"/>
      <c r="S325" s="233"/>
      <c r="T325" s="233"/>
      <c r="U325" s="233"/>
      <c r="V325" s="233"/>
      <c r="W325" s="233"/>
      <c r="X325" s="233"/>
      <c r="Y325" s="233"/>
      <c r="Z325" s="233"/>
      <c r="AA325" s="233"/>
      <c r="AB325" s="233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</row>
    <row r="326" spans="1:48" s="232" customFormat="1" ht="15" hidden="1" customHeight="1" x14ac:dyDescent="0.25">
      <c r="A326" s="213">
        <f>'Расчет ЦП - общая форма'!A326</f>
        <v>245</v>
      </c>
      <c r="B326" s="213">
        <f>COUNTIFS($C$8:C326,"*ПС*",$L$8:L326,"*закрыт*")</f>
        <v>40</v>
      </c>
      <c r="C326" s="213" t="str">
        <f>'Расчет ЦП - общая форма'!C326</f>
        <v xml:space="preserve">ПС 35/3 кВ №2 </v>
      </c>
      <c r="D326" s="230">
        <f>'Расчет ЦП - общая форма'!D326</f>
        <v>1</v>
      </c>
      <c r="E326" s="229" t="str">
        <f>'Расчет ЦП - общая форма'!E326</f>
        <v>+</v>
      </c>
      <c r="F326" s="229">
        <f>'Расчет ЦП - общая форма'!F326</f>
        <v>1</v>
      </c>
      <c r="G326" s="229">
        <f>'Расчет ЦП - общая форма'!G326</f>
        <v>0</v>
      </c>
      <c r="H326" s="229">
        <f>'Расчет ЦП - общая форма'!H326</f>
        <v>0</v>
      </c>
      <c r="I326" s="172">
        <f>'Расчет ЦП - общая форма'!Q326</f>
        <v>0.2974500000000001</v>
      </c>
      <c r="J326" s="172">
        <f>'Расчет ЦП - общая форма'!R326</f>
        <v>0.2974500000000001</v>
      </c>
      <c r="K326" s="172" t="str">
        <f>'Расчет ЦП - общая форма'!S326</f>
        <v/>
      </c>
      <c r="L326" s="257" t="str">
        <f>'Расчет ЦП - общая форма'!T326</f>
        <v/>
      </c>
      <c r="M326" s="768">
        <f>'Расчет ЦП - общая форма'!U326</f>
        <v>71.671428571428564</v>
      </c>
      <c r="N326" s="919"/>
      <c r="O326" s="919"/>
      <c r="P326" s="919"/>
    </row>
    <row r="327" spans="1:48" s="232" customFormat="1" ht="15" hidden="1" customHeight="1" x14ac:dyDescent="0.25">
      <c r="A327" s="213">
        <f>'Расчет ЦП - общая форма'!A327</f>
        <v>246</v>
      </c>
      <c r="B327" s="213">
        <f>COUNTIFS($C$8:C327,"*ПС*",$L$8:L327,"*закрыт*")</f>
        <v>40</v>
      </c>
      <c r="C327" s="213" t="str">
        <f>'Расчет ЦП - общая форма'!C327</f>
        <v>ПС  35/10 кВ №15</v>
      </c>
      <c r="D327" s="230">
        <f>'Расчет ЦП - общая форма'!D327</f>
        <v>4</v>
      </c>
      <c r="E327" s="229" t="str">
        <f>'Расчет ЦП - общая форма'!E327</f>
        <v>+</v>
      </c>
      <c r="F327" s="229">
        <f>'Расчет ЦП - общая форма'!F327</f>
        <v>6.3</v>
      </c>
      <c r="G327" s="229">
        <f>'Расчет ЦП - общая форма'!G327</f>
        <v>0</v>
      </c>
      <c r="H327" s="229">
        <f>'Расчет ЦП - общая форма'!H327</f>
        <v>0</v>
      </c>
      <c r="I327" s="172">
        <f>'Расчет ЦП - общая форма'!Q327</f>
        <v>0.5306700000000002</v>
      </c>
      <c r="J327" s="172">
        <f>'Расчет ЦП - общая форма'!R327</f>
        <v>0.5306700000000002</v>
      </c>
      <c r="K327" s="172" t="str">
        <f>'Расчет ЦП - общая форма'!S327</f>
        <v/>
      </c>
      <c r="L327" s="257" t="str">
        <f>'Расчет ЦП - общая форма'!T327</f>
        <v/>
      </c>
      <c r="M327" s="768">
        <f>'Расчет ЦП - общая форма'!U327</f>
        <v>87.364999999999995</v>
      </c>
      <c r="N327" s="924"/>
      <c r="O327" s="924"/>
      <c r="P327" s="924"/>
      <c r="Q327" s="233"/>
      <c r="R327" s="233"/>
      <c r="S327" s="233"/>
      <c r="T327" s="233"/>
      <c r="U327" s="233"/>
      <c r="V327" s="233"/>
      <c r="W327" s="233"/>
      <c r="X327" s="233"/>
      <c r="Y327" s="233"/>
      <c r="Z327" s="233"/>
      <c r="AA327" s="233"/>
      <c r="AB327" s="233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233"/>
      <c r="AN327" s="233"/>
      <c r="AO327" s="233"/>
      <c r="AP327" s="233"/>
      <c r="AQ327" s="233"/>
      <c r="AR327" s="233"/>
      <c r="AS327" s="233"/>
      <c r="AT327" s="233"/>
      <c r="AU327" s="233"/>
      <c r="AV327" s="233"/>
    </row>
    <row r="328" spans="1:48" s="232" customFormat="1" ht="15" hidden="1" customHeight="1" x14ac:dyDescent="0.25">
      <c r="A328" s="213">
        <f>'Расчет ЦП - общая форма'!A328</f>
        <v>247</v>
      </c>
      <c r="B328" s="213">
        <f>COUNTIFS($C$8:C328,"*ПС*",$L$8:L328,"*закрыт*")</f>
        <v>40</v>
      </c>
      <c r="C328" s="213" t="str">
        <f>'Расчет ЦП - общая форма'!C328</f>
        <v xml:space="preserve">ПС 35/10 кВ Медное </v>
      </c>
      <c r="D328" s="230">
        <f>'Расчет ЦП - общая форма'!D328</f>
        <v>6.3</v>
      </c>
      <c r="E328" s="229" t="str">
        <f>'Расчет ЦП - общая форма'!E328</f>
        <v>+</v>
      </c>
      <c r="F328" s="229">
        <f>'Расчет ЦП - общая форма'!F328</f>
        <v>6.3</v>
      </c>
      <c r="G328" s="229">
        <f>'Расчет ЦП - общая форма'!G328</f>
        <v>0</v>
      </c>
      <c r="H328" s="229">
        <f>'Расчет ЦП - общая форма'!H328</f>
        <v>0</v>
      </c>
      <c r="I328" s="172">
        <f>'Расчет ЦП - общая форма'!Q328</f>
        <v>1.1699780000000013</v>
      </c>
      <c r="J328" s="172">
        <f>'Расчет ЦП - общая форма'!R328</f>
        <v>1.1699780000000013</v>
      </c>
      <c r="K328" s="172" t="str">
        <f>'Расчет ЦП - общая форма'!S328</f>
        <v/>
      </c>
      <c r="L328" s="257" t="str">
        <f>'Расчет ЦП - общая форма'!T328</f>
        <v/>
      </c>
      <c r="M328" s="768">
        <f>'Расчет ЦП - общая форма'!U328</f>
        <v>68.556643990929686</v>
      </c>
      <c r="N328" s="919"/>
      <c r="O328" s="919"/>
      <c r="P328" s="919"/>
    </row>
    <row r="329" spans="1:48" s="232" customFormat="1" ht="30" hidden="1" customHeight="1" x14ac:dyDescent="0.25">
      <c r="A329" s="213">
        <f>'Расчет ЦП - общая форма'!A329</f>
        <v>248</v>
      </c>
      <c r="B329" s="213">
        <f>COUNTIFS($C$8:C329,"*ПС*",$L$8:L329,"*закрыт*")</f>
        <v>40</v>
      </c>
      <c r="C329" s="213" t="str">
        <f>'Расчет ЦП - общая форма'!C329</f>
        <v xml:space="preserve">ПС 35/10 кВ Толмачи       </v>
      </c>
      <c r="D329" s="230">
        <f>'Расчет ЦП - общая форма'!D329</f>
        <v>2.5</v>
      </c>
      <c r="E329" s="229" t="str">
        <f>'Расчет ЦП - общая форма'!E329</f>
        <v>+</v>
      </c>
      <c r="F329" s="229">
        <f>'Расчет ЦП - общая форма'!F329</f>
        <v>1.8</v>
      </c>
      <c r="G329" s="229">
        <f>'Расчет ЦП - общая форма'!G329</f>
        <v>0</v>
      </c>
      <c r="H329" s="229">
        <f>'Расчет ЦП - общая форма'!H329</f>
        <v>0</v>
      </c>
      <c r="I329" s="172">
        <f>'Расчет ЦП - общая форма'!Q329</f>
        <v>1.0687690000000001</v>
      </c>
      <c r="J329" s="172">
        <f>'Расчет ЦП - общая форма'!R329</f>
        <v>1.0687690000000001</v>
      </c>
      <c r="K329" s="172" t="str">
        <f>'Расчет ЦП - общая форма'!S329</f>
        <v/>
      </c>
      <c r="L329" s="257" t="str">
        <f>'Расчет ЦП - общая форма'!T329</f>
        <v/>
      </c>
      <c r="M329" s="768">
        <f>'Расчет ЦП - общая форма'!U329</f>
        <v>43.451375661375664</v>
      </c>
      <c r="N329" s="919"/>
      <c r="O329" s="919"/>
      <c r="P329" s="919"/>
    </row>
    <row r="330" spans="1:48" s="232" customFormat="1" ht="15" hidden="1" customHeight="1" x14ac:dyDescent="0.25">
      <c r="A330" s="213">
        <f>'Расчет ЦП - общая форма'!A330</f>
        <v>249</v>
      </c>
      <c r="B330" s="213">
        <f>COUNTIFS($C$8:C330,"*ПС*",$L$8:L330,"*закрыт*")</f>
        <v>40</v>
      </c>
      <c r="C330" s="213" t="str">
        <f>'Расчет ЦП - общая форма'!C330</f>
        <v xml:space="preserve">ПС 35/10 кВ № 7 </v>
      </c>
      <c r="D330" s="230">
        <f>'Расчет ЦП - общая форма'!D330</f>
        <v>1.8</v>
      </c>
      <c r="E330" s="229" t="str">
        <f>'Расчет ЦП - общая форма'!E330</f>
        <v>+</v>
      </c>
      <c r="F330" s="229">
        <f>'Расчет ЦП - общая форма'!F330</f>
        <v>2.5</v>
      </c>
      <c r="G330" s="229">
        <f>'Расчет ЦП - общая форма'!G330</f>
        <v>0</v>
      </c>
      <c r="H330" s="229">
        <f>'Расчет ЦП - общая форма'!H330</f>
        <v>0</v>
      </c>
      <c r="I330" s="172">
        <f>'Расчет ЦП - общая форма'!Q330</f>
        <v>1.4523100000000002</v>
      </c>
      <c r="J330" s="172">
        <f>'Расчет ЦП - общая форма'!R330</f>
        <v>1.4523100000000002</v>
      </c>
      <c r="K330" s="172" t="str">
        <f>'Расчет ЦП - общая форма'!S330</f>
        <v/>
      </c>
      <c r="L330" s="257" t="str">
        <f>'Расчет ЦП - общая форма'!T330</f>
        <v/>
      </c>
      <c r="M330" s="768">
        <f>'Расчет ЦП - общая форма'!U330</f>
        <v>23.158201058201058</v>
      </c>
      <c r="N330" s="919"/>
      <c r="O330" s="919"/>
      <c r="P330" s="919"/>
    </row>
    <row r="331" spans="1:48" ht="20.100000000000001" hidden="1" customHeight="1" x14ac:dyDescent="0.25">
      <c r="A331" s="213">
        <f>'Расчет ЦП - общая форма'!A331</f>
        <v>250</v>
      </c>
      <c r="B331" s="213">
        <f>COUNTIFS($C$8:C331,"*ПС*",$L$8:L331,"*закрыт*")</f>
        <v>40</v>
      </c>
      <c r="C331" s="213" t="str">
        <f>'Расчет ЦП - общая форма'!C331</f>
        <v xml:space="preserve">ПС  35/6 кВ № 5 </v>
      </c>
      <c r="D331" s="230">
        <f>'Расчет ЦП - общая форма'!D331</f>
        <v>5.6</v>
      </c>
      <c r="E331" s="229" t="str">
        <f>'Расчет ЦП - общая форма'!E331</f>
        <v>+</v>
      </c>
      <c r="F331" s="229">
        <f>'Расчет ЦП - общая форма'!F331</f>
        <v>4</v>
      </c>
      <c r="G331" s="229">
        <f>'Расчет ЦП - общая форма'!G331</f>
        <v>0</v>
      </c>
      <c r="H331" s="229">
        <f>'Расчет ЦП - общая форма'!H331</f>
        <v>0</v>
      </c>
      <c r="I331" s="172">
        <f>'Расчет ЦП - общая форма'!Q331</f>
        <v>1.5188460000000004</v>
      </c>
      <c r="J331" s="172">
        <f>'Расчет ЦП - общая форма'!R331</f>
        <v>1.5188460000000004</v>
      </c>
      <c r="K331" s="172" t="str">
        <f>'Расчет ЦП - общая форма'!S331</f>
        <v/>
      </c>
      <c r="L331" s="257" t="str">
        <f>'Расчет ЦП - общая форма'!T331</f>
        <v/>
      </c>
      <c r="M331" s="768">
        <f>'Расчет ЦП - общая форма'!U331</f>
        <v>63.836999999999989</v>
      </c>
      <c r="N331" s="919"/>
      <c r="O331" s="919"/>
      <c r="P331" s="919"/>
    </row>
    <row r="332" spans="1:48" s="232" customFormat="1" ht="15" hidden="1" customHeight="1" x14ac:dyDescent="0.25">
      <c r="A332" s="213">
        <f>'Расчет ЦП - общая форма'!A332</f>
        <v>251</v>
      </c>
      <c r="B332" s="213">
        <f>COUNTIFS($C$8:C332,"*ПС*",$L$8:L332,"*закрыт*")</f>
        <v>40</v>
      </c>
      <c r="C332" s="213" t="str">
        <f>'Расчет ЦП - общая форма'!C332</f>
        <v xml:space="preserve">ПС  35/6 кВ № 9 </v>
      </c>
      <c r="D332" s="230">
        <f>'Расчет ЦП - общая форма'!D332</f>
        <v>5.6</v>
      </c>
      <c r="E332" s="229" t="str">
        <f>'Расчет ЦП - общая форма'!E332</f>
        <v>+</v>
      </c>
      <c r="F332" s="229">
        <f>'Расчет ЦП - общая форма'!F332</f>
        <v>6.3</v>
      </c>
      <c r="G332" s="229">
        <f>'Расчет ЦП - общая форма'!G332</f>
        <v>0</v>
      </c>
      <c r="H332" s="229">
        <f>'Расчет ЦП - общая форма'!H332</f>
        <v>0</v>
      </c>
      <c r="I332" s="172">
        <f>'Расчет ЦП - общая форма'!Q332</f>
        <v>0.238124</v>
      </c>
      <c r="J332" s="172">
        <f>'Расчет ЦП - общая форма'!R332</f>
        <v>0.238124</v>
      </c>
      <c r="K332" s="172" t="str">
        <f>'Расчет ЦП - общая форма'!S332</f>
        <v/>
      </c>
      <c r="L332" s="257" t="str">
        <f>'Расчет ЦП - общая форма'!T332</f>
        <v/>
      </c>
      <c r="M332" s="768">
        <f>'Расчет ЦП - общая форма'!U332</f>
        <v>95.950272108843535</v>
      </c>
      <c r="N332" s="919"/>
      <c r="O332" s="919"/>
      <c r="P332" s="919"/>
    </row>
    <row r="333" spans="1:48" ht="20.100000000000001" hidden="1" customHeight="1" x14ac:dyDescent="0.25">
      <c r="A333" s="213">
        <f>'Расчет ЦП - общая форма'!A333</f>
        <v>252</v>
      </c>
      <c r="B333" s="213">
        <f>COUNTIFS($C$8:C333,"*ПС*",$L$8:L333,"*закрыт*")</f>
        <v>40</v>
      </c>
      <c r="C333" s="213" t="str">
        <f>'Расчет ЦП - общая форма'!C333</f>
        <v xml:space="preserve">ПС 35/10 кВ № 9  </v>
      </c>
      <c r="D333" s="230">
        <f>'Расчет ЦП - общая форма'!D333</f>
        <v>4</v>
      </c>
      <c r="E333" s="229" t="str">
        <f>'Расчет ЦП - общая форма'!E333</f>
        <v>+</v>
      </c>
      <c r="F333" s="229">
        <f>'Расчет ЦП - общая форма'!F333</f>
        <v>6.3</v>
      </c>
      <c r="G333" s="229">
        <f>'Расчет ЦП - общая форма'!G333</f>
        <v>0</v>
      </c>
      <c r="H333" s="229">
        <f>'Расчет ЦП - общая форма'!H333</f>
        <v>0</v>
      </c>
      <c r="I333" s="172">
        <f>'Расчет ЦП - общая форма'!Q333</f>
        <v>0.2085439999999994</v>
      </c>
      <c r="J333" s="172">
        <f>'Расчет ЦП - общая форма'!R333</f>
        <v>0.2085439999999994</v>
      </c>
      <c r="K333" s="172" t="str">
        <f>'Расчет ЦП - общая форма'!S333</f>
        <v/>
      </c>
      <c r="L333" s="257" t="str">
        <f>'Расчет ЦП - общая форма'!T333</f>
        <v/>
      </c>
      <c r="M333" s="768">
        <f>'Расчет ЦП - общая форма'!U333</f>
        <v>95.034666666666681</v>
      </c>
      <c r="N333" s="919"/>
      <c r="O333" s="919"/>
      <c r="P333" s="919"/>
    </row>
    <row r="334" spans="1:48" s="232" customFormat="1" ht="15" hidden="1" customHeight="1" x14ac:dyDescent="0.25">
      <c r="A334" s="213">
        <f>'Расчет ЦП - общая форма'!A334</f>
        <v>253</v>
      </c>
      <c r="B334" s="213">
        <f>COUNTIFS($C$8:C334,"*ПС*",$L$8:L334,"*закрыт*")</f>
        <v>40</v>
      </c>
      <c r="C334" s="213" t="str">
        <f>'Расчет ЦП - общая форма'!C334</f>
        <v xml:space="preserve">ПС 35/6 кВ № 10 </v>
      </c>
      <c r="D334" s="230">
        <f>'Расчет ЦП - общая форма'!D334</f>
        <v>1.8</v>
      </c>
      <c r="E334" s="229" t="str">
        <f>'Расчет ЦП - общая форма'!E334</f>
        <v>+</v>
      </c>
      <c r="F334" s="229">
        <f>'Расчет ЦП - общая форма'!F334</f>
        <v>1.8</v>
      </c>
      <c r="G334" s="229">
        <f>'Расчет ЦП - общая форма'!G334</f>
        <v>0</v>
      </c>
      <c r="H334" s="229">
        <f>'Расчет ЦП - общая форма'!H334</f>
        <v>0</v>
      </c>
      <c r="I334" s="172">
        <f>'Расчет ЦП - общая форма'!Q334</f>
        <v>0.43735360000000023</v>
      </c>
      <c r="J334" s="172">
        <f>'Расчет ЦП - общая форма'!R334</f>
        <v>0.43735360000000023</v>
      </c>
      <c r="K334" s="172" t="str">
        <f>'Расчет ЦП - общая форма'!S334</f>
        <v/>
      </c>
      <c r="L334" s="257" t="str">
        <f>'Расчет ЦП - общая форма'!T334</f>
        <v/>
      </c>
      <c r="M334" s="768">
        <f>'Расчет ЦП - общая форма'!U334</f>
        <v>76.859597883597871</v>
      </c>
      <c r="N334" s="919"/>
      <c r="O334" s="919"/>
      <c r="P334" s="919"/>
    </row>
    <row r="335" spans="1:48" s="232" customFormat="1" ht="15" hidden="1" customHeight="1" x14ac:dyDescent="0.25">
      <c r="A335" s="213">
        <f>'Расчет ЦП - общая форма'!A335</f>
        <v>254</v>
      </c>
      <c r="B335" s="213">
        <f>COUNTIFS($C$8:C335,"*ПС*",$L$8:L335,"*закрыт*")</f>
        <v>40</v>
      </c>
      <c r="C335" s="213" t="str">
        <f>'Расчет ЦП - общая форма'!C335</f>
        <v xml:space="preserve">ПС 35/10 кВ № 11  </v>
      </c>
      <c r="D335" s="230">
        <f>'Расчет ЦП - общая форма'!D335</f>
        <v>10</v>
      </c>
      <c r="E335" s="229" t="str">
        <f>'Расчет ЦП - общая форма'!E335</f>
        <v>+</v>
      </c>
      <c r="F335" s="229">
        <f>'Расчет ЦП - общая форма'!F335</f>
        <v>6.3</v>
      </c>
      <c r="G335" s="229">
        <f>'Расчет ЦП - общая форма'!G335</f>
        <v>0</v>
      </c>
      <c r="H335" s="229">
        <f>'Расчет ЦП - общая форма'!H335</f>
        <v>0</v>
      </c>
      <c r="I335" s="172">
        <f>'Расчет ЦП - общая форма'!Q335</f>
        <v>0.81396400000000035</v>
      </c>
      <c r="J335" s="172">
        <f>'Расчет ЦП - общая форма'!R335</f>
        <v>0.81396400000000035</v>
      </c>
      <c r="K335" s="172" t="str">
        <f>'Расчет ЦП - общая форма'!S335</f>
        <v/>
      </c>
      <c r="L335" s="257" t="str">
        <f>'Расчет ЦП - общая форма'!T335</f>
        <v/>
      </c>
      <c r="M335" s="768">
        <f>'Расчет ЦП - общая форма'!U335</f>
        <v>87.695177626606196</v>
      </c>
      <c r="N335" s="919"/>
      <c r="O335" s="919"/>
      <c r="P335" s="919"/>
    </row>
    <row r="336" spans="1:48" s="232" customFormat="1" ht="15" hidden="1" customHeight="1" x14ac:dyDescent="0.25">
      <c r="A336" s="213">
        <f>'Расчет ЦП - общая форма'!A336</f>
        <v>255</v>
      </c>
      <c r="B336" s="213">
        <f>COUNTIFS($C$8:C336,"*ПС*",$L$8:L336,"*закрыт*")</f>
        <v>40</v>
      </c>
      <c r="C336" s="213" t="str">
        <f>'Расчет ЦП - общая форма'!C336</f>
        <v xml:space="preserve">ПС 35/10 кВ Дм.Гора  </v>
      </c>
      <c r="D336" s="230">
        <f>'Расчет ЦП - общая форма'!D336</f>
        <v>10</v>
      </c>
      <c r="E336" s="229" t="str">
        <f>'Расчет ЦП - общая форма'!E336</f>
        <v>+</v>
      </c>
      <c r="F336" s="229">
        <f>'Расчет ЦП - общая форма'!F336</f>
        <v>10</v>
      </c>
      <c r="G336" s="229">
        <f>'Расчет ЦП - общая форма'!G336</f>
        <v>0</v>
      </c>
      <c r="H336" s="229">
        <f>'Расчет ЦП - общая форма'!H336</f>
        <v>0</v>
      </c>
      <c r="I336" s="172">
        <f>'Расчет ЦП - общая форма'!Q336</f>
        <v>3.2132399999999999</v>
      </c>
      <c r="J336" s="172">
        <f>'Расчет ЦП - общая форма'!R336</f>
        <v>3.2132399999999999</v>
      </c>
      <c r="K336" s="172" t="str">
        <f>'Расчет ЦП - общая форма'!S336</f>
        <v/>
      </c>
      <c r="L336" s="257" t="str">
        <f>'Расчет ЦП - общая форма'!T336</f>
        <v/>
      </c>
      <c r="M336" s="768">
        <f>'Расчет ЦП - общая форма'!U336</f>
        <v>69.397714285714287</v>
      </c>
      <c r="N336" s="919"/>
      <c r="O336" s="919"/>
      <c r="P336" s="919"/>
    </row>
    <row r="337" spans="1:48" ht="20.100000000000001" hidden="1" customHeight="1" x14ac:dyDescent="0.25">
      <c r="A337" s="213">
        <f>'Расчет ЦП - общая форма'!A337</f>
        <v>256</v>
      </c>
      <c r="B337" s="213">
        <f>COUNTIFS($C$8:C337,"*ПС*",$L$8:L337,"*закрыт*")</f>
        <v>40</v>
      </c>
      <c r="C337" s="213" t="str">
        <f>'Расчет ЦП - общая форма'!C337</f>
        <v xml:space="preserve">ПС 35/6 кВ ЗМИ  </v>
      </c>
      <c r="D337" s="230">
        <f>'Расчет ЦП - общая форма'!D337</f>
        <v>10</v>
      </c>
      <c r="E337" s="229" t="str">
        <f>'Расчет ЦП - общая форма'!E337</f>
        <v>+</v>
      </c>
      <c r="F337" s="229">
        <f>'Расчет ЦП - общая форма'!F337</f>
        <v>16</v>
      </c>
      <c r="G337" s="229">
        <f>'Расчет ЦП - общая форма'!G337</f>
        <v>0</v>
      </c>
      <c r="H337" s="229">
        <f>'Расчет ЦП - общая форма'!H337</f>
        <v>0</v>
      </c>
      <c r="I337" s="172">
        <f>'Расчет ЦП - общая форма'!Q337</f>
        <v>5.7615299999999996</v>
      </c>
      <c r="J337" s="172">
        <f>'Расчет ЦП - общая форма'!R337</f>
        <v>5.7615299999999996</v>
      </c>
      <c r="K337" s="172" t="str">
        <f>'Расчет ЦП - общая форма'!S337</f>
        <v/>
      </c>
      <c r="L337" s="257" t="str">
        <f>'Расчет ЦП - общая форма'!T337</f>
        <v/>
      </c>
      <c r="M337" s="768">
        <f>'Расчет ЦП - общая форма'!U337</f>
        <v>45.128285714285717</v>
      </c>
      <c r="N337" s="919"/>
      <c r="O337" s="919"/>
      <c r="P337" s="919"/>
    </row>
    <row r="338" spans="1:48" s="232" customFormat="1" ht="15" hidden="1" customHeight="1" x14ac:dyDescent="0.25">
      <c r="A338" s="213">
        <f>'Расчет ЦП - общая форма'!A338</f>
        <v>257</v>
      </c>
      <c r="B338" s="213">
        <f>COUNTIFS($C$8:C338,"*ПС*",$L$8:L338,"*закрыт*")</f>
        <v>40</v>
      </c>
      <c r="C338" s="213" t="str">
        <f>'Расчет ЦП - общая форма'!C338</f>
        <v xml:space="preserve">ПС 35/10 кВ Изоплит  </v>
      </c>
      <c r="D338" s="230">
        <f>'Расчет ЦП - общая форма'!D338</f>
        <v>6.3</v>
      </c>
      <c r="E338" s="229" t="str">
        <f>'Расчет ЦП - общая форма'!E338</f>
        <v>+</v>
      </c>
      <c r="F338" s="229">
        <f>'Расчет ЦП - общая форма'!F338</f>
        <v>6.3</v>
      </c>
      <c r="G338" s="229">
        <f>'Расчет ЦП - общая форма'!G338</f>
        <v>0</v>
      </c>
      <c r="H338" s="229">
        <f>'Расчет ЦП - общая форма'!H338</f>
        <v>0</v>
      </c>
      <c r="I338" s="172">
        <f>'Расчет ЦП - общая форма'!Q338</f>
        <v>5.596895</v>
      </c>
      <c r="J338" s="172">
        <f>'Расчет ЦП - общая форма'!R338</f>
        <v>5.596895</v>
      </c>
      <c r="K338" s="172" t="str">
        <f>'Расчет ЦП - общая форма'!S338</f>
        <v/>
      </c>
      <c r="L338" s="257" t="str">
        <f>'Расчет ЦП - общая форма'!T338</f>
        <v/>
      </c>
      <c r="M338" s="768">
        <f>'Расчет ЦП - общая форма'!U338</f>
        <v>15.390854119425548</v>
      </c>
      <c r="N338" s="919"/>
      <c r="O338" s="919"/>
      <c r="P338" s="919"/>
    </row>
    <row r="339" spans="1:48" s="232" customFormat="1" ht="15" hidden="1" customHeight="1" x14ac:dyDescent="0.25">
      <c r="A339" s="213">
        <f>'Расчет ЦП - общая форма'!A339</f>
        <v>258</v>
      </c>
      <c r="B339" s="213">
        <f>COUNTIFS($C$8:C339,"*ПС*",$L$8:L339,"*закрыт*")</f>
        <v>40</v>
      </c>
      <c r="C339" s="213" t="str">
        <f>'Расчет ЦП - общая форма'!C339</f>
        <v>ПС 35/6 кВ Карачарово</v>
      </c>
      <c r="D339" s="230">
        <f>'Расчет ЦП - общая форма'!D339</f>
        <v>4</v>
      </c>
      <c r="E339" s="229" t="str">
        <f>'Расчет ЦП - общая форма'!E339</f>
        <v>+</v>
      </c>
      <c r="F339" s="229">
        <f>'Расчет ЦП - общая форма'!F339</f>
        <v>6.3</v>
      </c>
      <c r="G339" s="229">
        <f>'Расчет ЦП - общая форма'!G339</f>
        <v>0</v>
      </c>
      <c r="H339" s="229">
        <f>'Расчет ЦП - общая форма'!H339</f>
        <v>0</v>
      </c>
      <c r="I339" s="172">
        <f>'Расчет ЦП - общая форма'!Q339</f>
        <v>0.15691100000000002</v>
      </c>
      <c r="J339" s="172">
        <f>'Расчет ЦП - общая форма'!R339</f>
        <v>0.15691100000000002</v>
      </c>
      <c r="K339" s="172" t="str">
        <f>'Расчет ЦП - общая форма'!S339</f>
        <v/>
      </c>
      <c r="L339" s="257" t="str">
        <f>'Расчет ЦП - общая форма'!T339</f>
        <v/>
      </c>
      <c r="M339" s="768">
        <f>'Расчет ЦП - общая форма'!U339</f>
        <v>58.544023809523807</v>
      </c>
      <c r="N339" s="919"/>
      <c r="O339" s="919"/>
      <c r="P339" s="919"/>
    </row>
    <row r="340" spans="1:48" s="232" customFormat="1" ht="15" customHeight="1" x14ac:dyDescent="0.25">
      <c r="A340" s="213">
        <f>'Расчет ЦП - общая форма'!A340</f>
        <v>259</v>
      </c>
      <c r="B340" s="213">
        <f>COUNTIFS($C$8:C340,"*ПС*",$L$8:L340,"*закрыт*")</f>
        <v>41</v>
      </c>
      <c r="C340" s="213" t="str">
        <f>'Расчет ЦП - общая форма'!C340</f>
        <v xml:space="preserve">ПС 35/6 кВ Кр. Луч  </v>
      </c>
      <c r="D340" s="230">
        <f>'Расчет ЦП - общая форма'!D340</f>
        <v>2.5</v>
      </c>
      <c r="E340" s="229" t="str">
        <f>'Расчет ЦП - общая форма'!E340</f>
        <v>+</v>
      </c>
      <c r="F340" s="229">
        <f>'Расчет ЦП - общая форма'!F340</f>
        <v>3.2</v>
      </c>
      <c r="G340" s="229">
        <f>'Расчет ЦП - общая форма'!G340</f>
        <v>0</v>
      </c>
      <c r="H340" s="229">
        <f>'Расчет ЦП - общая форма'!H340</f>
        <v>0</v>
      </c>
      <c r="I340" s="172">
        <f>'Расчет ЦП - общая форма'!Q340</f>
        <v>-0.29577999999999965</v>
      </c>
      <c r="J340" s="172">
        <f>'Расчет ЦП - общая форма'!R340</f>
        <v>-0.29577999999999965</v>
      </c>
      <c r="K340" s="172" t="str">
        <f>'Расчет ЦП - общая форма'!S340</f>
        <v>закрыт</v>
      </c>
      <c r="L340" s="257" t="str">
        <f>'Расчет ЦП - общая форма'!T340</f>
        <v>закрыт</v>
      </c>
      <c r="M340" s="768">
        <f>'Расчет ЦП - общая форма'!U340</f>
        <v>104.52495238095237</v>
      </c>
      <c r="N340" s="924"/>
      <c r="O340" s="924"/>
      <c r="P340" s="924"/>
      <c r="Q340" s="233"/>
      <c r="R340" s="233"/>
      <c r="S340" s="233"/>
      <c r="T340" s="233"/>
      <c r="U340" s="233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33"/>
      <c r="AG340" s="233"/>
      <c r="AH340" s="233"/>
      <c r="AI340" s="233"/>
      <c r="AJ340" s="233"/>
      <c r="AK340" s="233"/>
      <c r="AL340" s="233"/>
      <c r="AM340" s="233"/>
      <c r="AN340" s="233"/>
      <c r="AO340" s="233"/>
      <c r="AP340" s="233"/>
      <c r="AQ340" s="233"/>
      <c r="AR340" s="233"/>
      <c r="AS340" s="233"/>
      <c r="AT340" s="233"/>
      <c r="AU340" s="233"/>
      <c r="AV340" s="233"/>
    </row>
    <row r="341" spans="1:48" s="232" customFormat="1" ht="15" hidden="1" customHeight="1" x14ac:dyDescent="0.25">
      <c r="A341" s="213">
        <f>'Расчет ЦП - общая форма'!A341</f>
        <v>260</v>
      </c>
      <c r="B341" s="213">
        <f>COUNTIFS($C$8:C341,"*ПС*",$L$8:L341,"*закрыт*")</f>
        <v>41</v>
      </c>
      <c r="C341" s="213" t="str">
        <f>'Расчет ЦП - общая форма'!C341</f>
        <v xml:space="preserve">ПС 35/6 кВ Мелково  </v>
      </c>
      <c r="D341" s="230">
        <f>'Расчет ЦП - общая форма'!D341</f>
        <v>1.6</v>
      </c>
      <c r="E341" s="229" t="str">
        <f>'Расчет ЦП - общая форма'!E341</f>
        <v>+</v>
      </c>
      <c r="F341" s="229">
        <f>'Расчет ЦП - общая форма'!F341</f>
        <v>2.5</v>
      </c>
      <c r="G341" s="229">
        <f>'Расчет ЦП - общая форма'!G341</f>
        <v>0</v>
      </c>
      <c r="H341" s="229">
        <f>'Расчет ЦП - общая форма'!H341</f>
        <v>0</v>
      </c>
      <c r="I341" s="172">
        <f>'Расчет ЦП - общая форма'!Q341</f>
        <v>0.32921599999999995</v>
      </c>
      <c r="J341" s="172">
        <f>'Расчет ЦП - общая форма'!R341</f>
        <v>0.32921599999999995</v>
      </c>
      <c r="K341" s="172" t="str">
        <f>'Расчет ЦП - общая форма'!S341</f>
        <v/>
      </c>
      <c r="L341" s="257" t="str">
        <f>'Расчет ЦП - общая форма'!T341</f>
        <v/>
      </c>
      <c r="M341" s="768">
        <f>'Расчет ЦП - общая форма'!U341</f>
        <v>80.403809523809528</v>
      </c>
      <c r="N341" s="919"/>
      <c r="O341" s="919"/>
      <c r="P341" s="919"/>
    </row>
    <row r="342" spans="1:48" ht="20.100000000000001" hidden="1" customHeight="1" x14ac:dyDescent="0.25">
      <c r="A342" s="213">
        <f>'Расчет ЦП - общая форма'!A342</f>
        <v>261</v>
      </c>
      <c r="B342" s="213">
        <f>COUNTIFS($C$8:C342,"*ПС*",$L$8:L342,"*закрыт*")</f>
        <v>41</v>
      </c>
      <c r="C342" s="213" t="str">
        <f>'Расчет ЦП - общая форма'!C342</f>
        <v xml:space="preserve">ПС 35/6 кВ Селихово </v>
      </c>
      <c r="D342" s="230">
        <f>'Расчет ЦП - общая форма'!D342</f>
        <v>2.5</v>
      </c>
      <c r="E342" s="229" t="str">
        <f>'Расчет ЦП - общая форма'!E342</f>
        <v>+</v>
      </c>
      <c r="F342" s="229">
        <f>'Расчет ЦП - общая форма'!F342</f>
        <v>2.5</v>
      </c>
      <c r="G342" s="229">
        <f>'Расчет ЦП - общая форма'!G342</f>
        <v>0</v>
      </c>
      <c r="H342" s="229">
        <f>'Расчет ЦП - общая форма'!H342</f>
        <v>0</v>
      </c>
      <c r="I342" s="172">
        <f>'Расчет ЦП - общая форма'!Q342</f>
        <v>0.47218800000000005</v>
      </c>
      <c r="J342" s="172">
        <f>'Расчет ЦП - общая форма'!R342</f>
        <v>0.47218800000000005</v>
      </c>
      <c r="K342" s="172" t="str">
        <f>'Расчет ЦП - общая форма'!S342</f>
        <v/>
      </c>
      <c r="L342" s="257" t="str">
        <f>'Расчет ЦП - общая форма'!T342</f>
        <v/>
      </c>
      <c r="M342" s="768">
        <f>'Расчет ЦП - общая форма'!U342</f>
        <v>82.011885714285711</v>
      </c>
      <c r="N342" s="919"/>
      <c r="O342" s="919"/>
      <c r="P342" s="919"/>
    </row>
    <row r="343" spans="1:48" s="232" customFormat="1" ht="15" hidden="1" customHeight="1" x14ac:dyDescent="0.25">
      <c r="A343" s="213">
        <f>'Расчет ЦП - общая форма'!A343</f>
        <v>262</v>
      </c>
      <c r="B343" s="213">
        <f>COUNTIFS($C$8:C343,"*ПС*",$L$8:L343,"*закрыт*")</f>
        <v>41</v>
      </c>
      <c r="C343" s="213" t="str">
        <f>'Расчет ЦП - общая форма'!C343</f>
        <v>ПС 35/10 кВ Мокшино</v>
      </c>
      <c r="D343" s="230">
        <f>'Расчет ЦП - общая форма'!D343</f>
        <v>6.3</v>
      </c>
      <c r="E343" s="229" t="str">
        <f>'Расчет ЦП - общая форма'!E343</f>
        <v>+</v>
      </c>
      <c r="F343" s="229">
        <f>'Расчет ЦП - общая форма'!F343</f>
        <v>10</v>
      </c>
      <c r="G343" s="229">
        <f>'Расчет ЦП - общая форма'!G343</f>
        <v>0</v>
      </c>
      <c r="H343" s="229">
        <f>'Расчет ЦП - общая форма'!H343</f>
        <v>0</v>
      </c>
      <c r="I343" s="172">
        <f>'Расчет ЦП - общая форма'!Q343</f>
        <v>1.089899</v>
      </c>
      <c r="J343" s="172">
        <f>'Расчет ЦП - общая форма'!R343</f>
        <v>1.089899</v>
      </c>
      <c r="K343" s="172" t="str">
        <f>'Расчет ЦП - общая форма'!S343</f>
        <v/>
      </c>
      <c r="L343" s="257" t="str">
        <f>'Расчет ЦП - общая форма'!T343</f>
        <v/>
      </c>
      <c r="M343" s="768">
        <f>'Расчет ЦП - общая форма'!U343</f>
        <v>83.523824640967504</v>
      </c>
      <c r="N343" s="924"/>
      <c r="O343" s="924"/>
      <c r="P343" s="924"/>
      <c r="Q343" s="233"/>
      <c r="R343" s="233"/>
      <c r="S343" s="233"/>
      <c r="T343" s="233"/>
      <c r="U343" s="233"/>
      <c r="V343" s="233"/>
      <c r="W343" s="233"/>
      <c r="X343" s="233"/>
      <c r="Y343" s="233"/>
      <c r="Z343" s="233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  <c r="AM343" s="233"/>
      <c r="AN343" s="233"/>
      <c r="AO343" s="233"/>
      <c r="AP343" s="233"/>
      <c r="AQ343" s="233"/>
      <c r="AR343" s="233"/>
    </row>
    <row r="344" spans="1:48" ht="20.100000000000001" hidden="1" customHeight="1" x14ac:dyDescent="0.25">
      <c r="A344" s="213">
        <f>'Расчет ЦП - общая форма'!A344</f>
        <v>263</v>
      </c>
      <c r="B344" s="213">
        <f>COUNTIFS($C$8:C344,"*ПС*",$L$8:L344,"*закрыт*")</f>
        <v>41</v>
      </c>
      <c r="C344" s="213" t="str">
        <f>'Расчет ЦП - общая форма'!C344</f>
        <v xml:space="preserve">ПС 35/10 кВ Энергетик </v>
      </c>
      <c r="D344" s="230">
        <f>'Расчет ЦП - общая форма'!D344</f>
        <v>4</v>
      </c>
      <c r="E344" s="229" t="str">
        <f>'Расчет ЦП - общая форма'!E344</f>
        <v>+</v>
      </c>
      <c r="F344" s="229">
        <f>'Расчет ЦП - общая форма'!F344</f>
        <v>2.5</v>
      </c>
      <c r="G344" s="229">
        <f>'Расчет ЦП - общая форма'!G344</f>
        <v>0</v>
      </c>
      <c r="H344" s="229">
        <f>'Расчет ЦП - общая форма'!H344</f>
        <v>0</v>
      </c>
      <c r="I344" s="172">
        <f>'Расчет ЦП - общая форма'!Q344</f>
        <v>1.236675</v>
      </c>
      <c r="J344" s="172">
        <f>'Расчет ЦП - общая форма'!R344</f>
        <v>1.236675</v>
      </c>
      <c r="K344" s="172" t="str">
        <f>'Расчет ЦП - общая форма'!S344</f>
        <v/>
      </c>
      <c r="L344" s="257" t="str">
        <f>'Расчет ЦП - общая форма'!T344</f>
        <v/>
      </c>
      <c r="M344" s="768">
        <f>'Расчет ЦП - общая форма'!U344</f>
        <v>52.888571428571431</v>
      </c>
      <c r="N344" s="919"/>
      <c r="O344" s="919"/>
      <c r="P344" s="919"/>
    </row>
    <row r="345" spans="1:48" s="232" customFormat="1" ht="30" hidden="1" customHeight="1" x14ac:dyDescent="0.25">
      <c r="A345" s="213">
        <f>'Расчет ЦП - общая форма'!A345</f>
        <v>264</v>
      </c>
      <c r="B345" s="213">
        <f>COUNTIFS($C$8:C345,"*ПС*",$L$8:L345,"*закрыт*")</f>
        <v>41</v>
      </c>
      <c r="C345" s="213" t="str">
        <f>'Расчет ЦП - общая форма'!C345</f>
        <v xml:space="preserve">ПС 35/10 кВ Эммаус  </v>
      </c>
      <c r="D345" s="230">
        <f>'Расчет ЦП - общая форма'!D345</f>
        <v>4</v>
      </c>
      <c r="E345" s="229" t="str">
        <f>'Расчет ЦП - общая форма'!E345</f>
        <v>+</v>
      </c>
      <c r="F345" s="229">
        <f>'Расчет ЦП - общая форма'!F345</f>
        <v>4</v>
      </c>
      <c r="G345" s="229">
        <f>'Расчет ЦП - общая форма'!G345</f>
        <v>0</v>
      </c>
      <c r="H345" s="229">
        <f>'Расчет ЦП - общая форма'!H345</f>
        <v>0</v>
      </c>
      <c r="I345" s="172">
        <f>'Расчет ЦП - общая форма'!Q345</f>
        <v>1.1456850000000007</v>
      </c>
      <c r="J345" s="172">
        <f>'Расчет ЦП - общая форма'!R345</f>
        <v>1.1456850000000007</v>
      </c>
      <c r="K345" s="172" t="str">
        <f>'Расчет ЦП - общая форма'!S345</f>
        <v/>
      </c>
      <c r="L345" s="257" t="str">
        <f>'Расчет ЦП - общая форма'!T345</f>
        <v/>
      </c>
      <c r="M345" s="768">
        <f>'Расчет ЦП - общая форма'!U345</f>
        <v>72.721785714285701</v>
      </c>
      <c r="N345" s="919"/>
      <c r="O345" s="919"/>
      <c r="P345" s="919"/>
    </row>
    <row r="346" spans="1:48" ht="20.100000000000001" hidden="1" customHeight="1" x14ac:dyDescent="0.25">
      <c r="A346" s="213">
        <f>'Расчет ЦП - общая форма'!A346</f>
        <v>265</v>
      </c>
      <c r="B346" s="213">
        <f>COUNTIFS($C$8:C346,"*ПС*",$L$8:L346,"*закрыт*")</f>
        <v>41</v>
      </c>
      <c r="C346" s="213" t="str">
        <f>'Расчет ЦП - общая форма'!C346</f>
        <v>ПС  35/10 кВ Ю.-Девичье</v>
      </c>
      <c r="D346" s="230">
        <f>'Расчет ЦП - общая форма'!D346</f>
        <v>4</v>
      </c>
      <c r="E346" s="229" t="str">
        <f>'Расчет ЦП - общая форма'!E346</f>
        <v>+</v>
      </c>
      <c r="F346" s="229">
        <f>'Расчет ЦП - общая форма'!F346</f>
        <v>4</v>
      </c>
      <c r="G346" s="229">
        <f>'Расчет ЦП - общая форма'!G346</f>
        <v>0</v>
      </c>
      <c r="H346" s="229">
        <f>'Расчет ЦП - общая форма'!H346</f>
        <v>0</v>
      </c>
      <c r="I346" s="172">
        <f>'Расчет ЦП - общая форма'!Q346</f>
        <v>0.39088600000000051</v>
      </c>
      <c r="J346" s="172">
        <f>'Расчет ЦП - общая форма'!R346</f>
        <v>0.39088600000000051</v>
      </c>
      <c r="K346" s="172" t="str">
        <f>'Расчет ЦП - общая форма'!S346</f>
        <v/>
      </c>
      <c r="L346" s="257" t="str">
        <f>'Расчет ЦП - общая форма'!T346</f>
        <v/>
      </c>
      <c r="M346" s="768">
        <f>'Расчет ЦП - общая форма'!U346</f>
        <v>90.693190476190466</v>
      </c>
      <c r="N346" s="919"/>
      <c r="O346" s="919"/>
      <c r="P346" s="919"/>
    </row>
    <row r="347" spans="1:48" ht="20.100000000000001" customHeight="1" x14ac:dyDescent="0.25">
      <c r="A347" s="213">
        <f>'Расчет ЦП - общая форма'!A347</f>
        <v>266</v>
      </c>
      <c r="B347" s="213">
        <f>COUNTIFS($C$8:C347,"*ПС*",$L$8:L347,"*закрыт*")</f>
        <v>42</v>
      </c>
      <c r="C347" s="213" t="str">
        <f>'Расчет ЦП - общая форма'!C347</f>
        <v xml:space="preserve">ПС 35/6 кВ №18  </v>
      </c>
      <c r="D347" s="230">
        <f>'Расчет ЦП - общая форма'!D347</f>
        <v>10</v>
      </c>
      <c r="E347" s="229" t="str">
        <f>'Расчет ЦП - общая форма'!E347</f>
        <v>+</v>
      </c>
      <c r="F347" s="229">
        <f>'Расчет ЦП - общая форма'!F347</f>
        <v>10</v>
      </c>
      <c r="G347" s="229" t="str">
        <f>'Расчет ЦП - общая форма'!G347</f>
        <v>+</v>
      </c>
      <c r="H347" s="229">
        <f>'Расчет ЦП - общая форма'!H347</f>
        <v>10</v>
      </c>
      <c r="I347" s="172">
        <f>'Расчет ЦП - общая форма'!Q347</f>
        <v>-11.9208</v>
      </c>
      <c r="J347" s="172">
        <f>'Расчет ЦП - общая форма'!R347</f>
        <v>-11.9208</v>
      </c>
      <c r="K347" s="172" t="str">
        <f>'Расчет ЦП - общая форма'!S347</f>
        <v>закрыт</v>
      </c>
      <c r="L347" s="257" t="str">
        <f>'Расчет ЦП - общая форма'!T347</f>
        <v>закрыт</v>
      </c>
      <c r="M347" s="768">
        <f>'Расчет ЦП - общая форма'!U347</f>
        <v>106.76571428571428</v>
      </c>
      <c r="N347" s="924"/>
      <c r="O347" s="924"/>
      <c r="P347" s="924"/>
    </row>
    <row r="348" spans="1:48" ht="20.100000000000001" hidden="1" customHeight="1" x14ac:dyDescent="0.25">
      <c r="A348" s="213">
        <f>'Расчет ЦП - общая форма'!A348</f>
        <v>267</v>
      </c>
      <c r="B348" s="213">
        <f>COUNTIFS($C$8:C348,"*ПС*",$L$8:L348,"*закрыт*")</f>
        <v>42</v>
      </c>
      <c r="C348" s="213" t="str">
        <f>'Расчет ЦП - общая форма'!C348</f>
        <v xml:space="preserve">ПС 35/6  кВ Затверецкая </v>
      </c>
      <c r="D348" s="230">
        <f>'Расчет ЦП - общая форма'!D348</f>
        <v>10</v>
      </c>
      <c r="E348" s="229" t="str">
        <f>'Расчет ЦП - общая форма'!E348</f>
        <v>+</v>
      </c>
      <c r="F348" s="229">
        <f>'Расчет ЦП - общая форма'!F348</f>
        <v>10</v>
      </c>
      <c r="G348" s="229" t="str">
        <f>'Расчет ЦП - общая форма'!G348</f>
        <v>+</v>
      </c>
      <c r="H348" s="229">
        <f>'Расчет ЦП - общая форма'!H348</f>
        <v>10</v>
      </c>
      <c r="I348" s="172">
        <f>'Расчет ЦП - общая форма'!Q348</f>
        <v>7.0132960000000004</v>
      </c>
      <c r="J348" s="172">
        <f>'Расчет ЦП - общая форма'!R348</f>
        <v>7.0132960000000004</v>
      </c>
      <c r="K348" s="172" t="str">
        <f>'Расчет ЦП - общая форма'!S348</f>
        <v/>
      </c>
      <c r="L348" s="257" t="str">
        <f>'Расчет ЦП - общая форма'!T348</f>
        <v/>
      </c>
      <c r="M348" s="768">
        <f>'Расчет ЦП - общая форма'!U348</f>
        <v>66.603352380952373</v>
      </c>
      <c r="N348" s="919"/>
      <c r="O348" s="919"/>
      <c r="P348" s="919"/>
    </row>
    <row r="349" spans="1:48" s="232" customFormat="1" ht="15" customHeight="1" x14ac:dyDescent="0.25">
      <c r="A349" s="1371">
        <f>'Расчет ЦП - общая форма'!A349</f>
        <v>268</v>
      </c>
      <c r="B349" s="1376">
        <f>COUNTIFS($C$8:C349,"*ПС*",$L$8:L349,"*закрыт*")</f>
        <v>43</v>
      </c>
      <c r="C349" s="213" t="str">
        <f>'Расчет ЦП - общая форма'!C349</f>
        <v xml:space="preserve">ПС 110/35/10 кВ Пушкино </v>
      </c>
      <c r="D349" s="230">
        <f>'Расчет ЦП - общая форма'!D349</f>
        <v>10</v>
      </c>
      <c r="E349" s="229">
        <f>'Расчет ЦП - общая форма'!E349</f>
        <v>0</v>
      </c>
      <c r="F349" s="229">
        <f>'Расчет ЦП - общая форма'!F349</f>
        <v>0</v>
      </c>
      <c r="G349" s="229">
        <f>'Расчет ЦП - общая форма'!G349</f>
        <v>0</v>
      </c>
      <c r="H349" s="229">
        <f>'Расчет ЦП - общая форма'!H349</f>
        <v>0</v>
      </c>
      <c r="I349" s="172">
        <f>'Расчет ЦП - общая форма'!Q349</f>
        <v>-2.1685150000000002</v>
      </c>
      <c r="J349" s="1364">
        <f>'Расчет ЦП - общая форма'!R349</f>
        <v>-2.1685150000000002</v>
      </c>
      <c r="K349" s="1364" t="str">
        <f>'Расчет ЦП - общая форма'!S349</f>
        <v>закрыт</v>
      </c>
      <c r="L349" s="257" t="str">
        <f>'Расчет ЦП - общая форма'!T349</f>
        <v>закрыт</v>
      </c>
      <c r="M349" s="1362">
        <f>'Расчет ЦП - общая форма'!U349</f>
        <v>21.509666666666668</v>
      </c>
      <c r="N349" s="924"/>
      <c r="O349" s="924"/>
      <c r="P349" s="924"/>
      <c r="Q349" s="233"/>
      <c r="R349" s="233"/>
      <c r="S349" s="233"/>
      <c r="T349" s="233"/>
      <c r="U349" s="233"/>
      <c r="V349" s="233"/>
      <c r="W349" s="233"/>
      <c r="X349" s="233"/>
      <c r="Y349" s="233"/>
      <c r="Z349" s="233"/>
      <c r="AA349" s="233"/>
      <c r="AB349" s="233"/>
      <c r="AC349" s="233"/>
      <c r="AD349" s="233"/>
      <c r="AE349" s="233"/>
      <c r="AF349" s="233"/>
      <c r="AG349" s="233"/>
      <c r="AH349" s="233"/>
      <c r="AI349" s="233"/>
      <c r="AJ349" s="233"/>
      <c r="AK349" s="233"/>
      <c r="AL349" s="233"/>
      <c r="AM349" s="233"/>
      <c r="AN349" s="233"/>
      <c r="AO349" s="233"/>
      <c r="AP349" s="233"/>
      <c r="AQ349" s="233"/>
      <c r="AR349" s="233"/>
      <c r="AS349" s="233"/>
      <c r="AT349" s="233"/>
      <c r="AU349" s="233"/>
      <c r="AV349" s="233"/>
    </row>
    <row r="350" spans="1:48" s="232" customFormat="1" ht="15" customHeight="1" x14ac:dyDescent="0.25">
      <c r="A350" s="1371">
        <f>'Расчет ЦП - общая форма'!A350</f>
        <v>0</v>
      </c>
      <c r="B350" s="1393"/>
      <c r="C350" s="7" t="str">
        <f>'Расчет ЦП - общая форма'!C350</f>
        <v xml:space="preserve">Ном. Мощность СН, МВА </v>
      </c>
      <c r="D350" s="230">
        <f>'Расчет ЦП - общая форма'!D350</f>
        <v>10</v>
      </c>
      <c r="E350" s="229">
        <f>'Расчет ЦП - общая форма'!E350</f>
        <v>0</v>
      </c>
      <c r="F350" s="229">
        <f>'Расчет ЦП - общая форма'!F350</f>
        <v>0</v>
      </c>
      <c r="G350" s="229">
        <f>'Расчет ЦП - общая форма'!G350</f>
        <v>0</v>
      </c>
      <c r="H350" s="229">
        <f>'Расчет ЦП - общая форма'!H350</f>
        <v>0</v>
      </c>
      <c r="I350" s="172">
        <f>'Расчет ЦП - общая форма'!Q350</f>
        <v>0</v>
      </c>
      <c r="J350" s="1365">
        <f>'Расчет ЦП - общая форма'!R350</f>
        <v>0</v>
      </c>
      <c r="K350" s="1365">
        <f>'Расчет ЦП - общая форма'!S350</f>
        <v>0</v>
      </c>
      <c r="L350" s="257" t="str">
        <f>'Расчет ЦП - общая форма'!T350</f>
        <v>закрыт</v>
      </c>
      <c r="M350" s="1362">
        <f>'Расчет ЦП - общая форма'!U350</f>
        <v>0</v>
      </c>
      <c r="N350" s="924"/>
      <c r="O350" s="924"/>
      <c r="P350" s="924"/>
      <c r="Q350" s="233"/>
      <c r="R350" s="233"/>
      <c r="S350" s="233"/>
      <c r="T350" s="233"/>
      <c r="U350" s="233"/>
      <c r="V350" s="233"/>
      <c r="W350" s="233"/>
      <c r="X350" s="233"/>
      <c r="Y350" s="233"/>
      <c r="Z350" s="233"/>
      <c r="AA350" s="233"/>
      <c r="AB350" s="233"/>
      <c r="AC350" s="233"/>
      <c r="AD350" s="233"/>
      <c r="AE350" s="233"/>
      <c r="AF350" s="233"/>
      <c r="AG350" s="233"/>
      <c r="AH350" s="233"/>
      <c r="AI350" s="233"/>
      <c r="AJ350" s="233"/>
      <c r="AK350" s="233"/>
      <c r="AL350" s="233"/>
      <c r="AM350" s="233"/>
      <c r="AN350" s="233"/>
      <c r="AO350" s="233"/>
      <c r="AP350" s="233"/>
      <c r="AQ350" s="233"/>
      <c r="AR350" s="233"/>
      <c r="AS350" s="233"/>
      <c r="AT350" s="233"/>
      <c r="AU350" s="233"/>
      <c r="AV350" s="233"/>
    </row>
    <row r="351" spans="1:48" s="232" customFormat="1" ht="15" customHeight="1" x14ac:dyDescent="0.25">
      <c r="A351" s="1371">
        <f>'Расчет ЦП - общая форма'!A351</f>
        <v>0</v>
      </c>
      <c r="B351" s="1394"/>
      <c r="C351" s="7" t="str">
        <f>'Расчет ЦП - общая форма'!C351</f>
        <v>Ном. мощность НН, МВА</v>
      </c>
      <c r="D351" s="230">
        <f>'Расчет ЦП - общая форма'!D351</f>
        <v>10</v>
      </c>
      <c r="E351" s="229">
        <f>'Расчет ЦП - общая форма'!E351</f>
        <v>0</v>
      </c>
      <c r="F351" s="229">
        <f>'Расчет ЦП - общая форма'!F351</f>
        <v>0</v>
      </c>
      <c r="G351" s="229">
        <f>'Расчет ЦП - общая форма'!G351</f>
        <v>0</v>
      </c>
      <c r="H351" s="229">
        <f>'Расчет ЦП - общая форма'!H351</f>
        <v>0</v>
      </c>
      <c r="I351" s="172">
        <f>'Расчет ЦП - общая форма'!Q351</f>
        <v>0</v>
      </c>
      <c r="J351" s="1366">
        <f>'Расчет ЦП - общая форма'!R351</f>
        <v>0</v>
      </c>
      <c r="K351" s="1366">
        <f>'Расчет ЦП - общая форма'!S351</f>
        <v>0</v>
      </c>
      <c r="L351" s="257" t="str">
        <f>'Расчет ЦП - общая форма'!T351</f>
        <v>закрыт</v>
      </c>
      <c r="M351" s="1362">
        <f>'Расчет ЦП - общая форма'!U351</f>
        <v>0</v>
      </c>
      <c r="N351" s="924"/>
      <c r="O351" s="924"/>
      <c r="P351" s="924"/>
      <c r="Q351" s="233"/>
      <c r="R351" s="233"/>
      <c r="S351" s="233"/>
      <c r="T351" s="233"/>
      <c r="U351" s="233"/>
      <c r="V351" s="233"/>
      <c r="W351" s="233"/>
      <c r="X351" s="233"/>
      <c r="Y351" s="233"/>
      <c r="Z351" s="233"/>
      <c r="AA351" s="233"/>
      <c r="AB351" s="233"/>
      <c r="AC351" s="233"/>
      <c r="AD351" s="233"/>
      <c r="AE351" s="233"/>
      <c r="AF351" s="233"/>
      <c r="AG351" s="233"/>
      <c r="AH351" s="233"/>
      <c r="AI351" s="233"/>
      <c r="AJ351" s="233"/>
      <c r="AK351" s="233"/>
      <c r="AL351" s="233"/>
      <c r="AM351" s="233"/>
      <c r="AN351" s="233"/>
      <c r="AO351" s="233"/>
      <c r="AP351" s="233"/>
      <c r="AQ351" s="233"/>
      <c r="AR351" s="233"/>
      <c r="AS351" s="233"/>
      <c r="AT351" s="233"/>
      <c r="AU351" s="233"/>
      <c r="AV351" s="233"/>
    </row>
    <row r="352" spans="1:48" hidden="1" x14ac:dyDescent="0.25">
      <c r="A352" s="1371">
        <f>'Расчет ЦП - общая форма'!A352</f>
        <v>269</v>
      </c>
      <c r="B352" s="1376">
        <f>COUNTIFS($C$8:C352,"*ПС*",$L$8:L352,"*закрыт*")</f>
        <v>43</v>
      </c>
      <c r="C352" s="213" t="str">
        <f>'Расчет ЦП - общая форма'!C352</f>
        <v xml:space="preserve">ПС 110/10/6 кВ Механич.з-д </v>
      </c>
      <c r="D352" s="230">
        <f>'Расчет ЦП - общая форма'!D352</f>
        <v>40</v>
      </c>
      <c r="E352" s="229" t="str">
        <f>'Расчет ЦП - общая форма'!E352</f>
        <v>+</v>
      </c>
      <c r="F352" s="229">
        <f>'Расчет ЦП - общая форма'!F352</f>
        <v>40</v>
      </c>
      <c r="G352" s="229">
        <f>'Расчет ЦП - общая форма'!G352</f>
        <v>0</v>
      </c>
      <c r="H352" s="229">
        <f>'Расчет ЦП - общая форма'!H352</f>
        <v>0</v>
      </c>
      <c r="I352" s="172">
        <f>'Расчет ЦП - общая форма'!Q352</f>
        <v>19.072483000000002</v>
      </c>
      <c r="J352" s="1379">
        <f>'Расчет ЦП - общая форма'!R352</f>
        <v>9.5342520000000004</v>
      </c>
      <c r="K352" s="1362" t="str">
        <f>'Расчет ЦП - общая форма'!S352</f>
        <v/>
      </c>
      <c r="L352" s="257" t="str">
        <f>'Расчет ЦП - общая форма'!T352</f>
        <v/>
      </c>
      <c r="M352" s="1362">
        <f>'Расчет ЦП - общая форма'!U352</f>
        <v>54.589326190476186</v>
      </c>
      <c r="N352" s="919"/>
      <c r="O352" s="919"/>
      <c r="P352" s="919"/>
    </row>
    <row r="353" spans="1:16" hidden="1" x14ac:dyDescent="0.25">
      <c r="A353" s="1371">
        <f>'Расчет ЦП - общая форма'!A353</f>
        <v>0</v>
      </c>
      <c r="B353" s="1393"/>
      <c r="C353" s="7" t="str">
        <f>'Расчет ЦП - общая форма'!C353</f>
        <v xml:space="preserve">Ном. Мощность СН, МВА </v>
      </c>
      <c r="D353" s="230">
        <f>'Расчет ЦП - общая форма'!D353</f>
        <v>20</v>
      </c>
      <c r="E353" s="229" t="str">
        <f>'Расчет ЦП - общая форма'!E353</f>
        <v>+</v>
      </c>
      <c r="F353" s="229">
        <f>'Расчет ЦП - общая форма'!F353</f>
        <v>20</v>
      </c>
      <c r="G353" s="229">
        <f>'Расчет ЦП - общая форма'!G353</f>
        <v>0</v>
      </c>
      <c r="H353" s="229">
        <f>'Расчет ЦП - общая форма'!H353</f>
        <v>0</v>
      </c>
      <c r="I353" s="172">
        <f>'Расчет ЦП - общая форма'!Q353</f>
        <v>9.5382310000000015</v>
      </c>
      <c r="J353" s="1379">
        <f>'Расчет ЦП - общая форма'!R353</f>
        <v>0</v>
      </c>
      <c r="K353" s="1363" t="str">
        <f>'Расчет ЦП - общая форма'!S353</f>
        <v/>
      </c>
      <c r="L353" s="257" t="str">
        <f>'Расчет ЦП - общая форма'!T353</f>
        <v/>
      </c>
      <c r="M353" s="1363">
        <f>'Расчет ЦП - общая форма'!U353</f>
        <v>0</v>
      </c>
      <c r="N353" s="919"/>
      <c r="O353" s="919"/>
      <c r="P353" s="919"/>
    </row>
    <row r="354" spans="1:16" hidden="1" x14ac:dyDescent="0.25">
      <c r="A354" s="1371">
        <f>'Расчет ЦП - общая форма'!A354</f>
        <v>0</v>
      </c>
      <c r="B354" s="1394"/>
      <c r="C354" s="7" t="str">
        <f>'Расчет ЦП - общая форма'!C354</f>
        <v>Ном. мощность НН, МВА</v>
      </c>
      <c r="D354" s="230">
        <f>'Расчет ЦП - общая форма'!D354</f>
        <v>20</v>
      </c>
      <c r="E354" s="229" t="str">
        <f>'Расчет ЦП - общая форма'!E354</f>
        <v>+</v>
      </c>
      <c r="F354" s="229">
        <f>'Расчет ЦП - общая форма'!F354</f>
        <v>20</v>
      </c>
      <c r="G354" s="229">
        <f>'Расчет ЦП - общая форма'!G354</f>
        <v>0</v>
      </c>
      <c r="H354" s="229">
        <f>'Расчет ЦП - общая форма'!H354</f>
        <v>0</v>
      </c>
      <c r="I354" s="172">
        <f>'Расчет ЦП - общая форма'!Q354</f>
        <v>9.5342520000000004</v>
      </c>
      <c r="J354" s="1379">
        <f>'Расчет ЦП - общая форма'!R354</f>
        <v>0</v>
      </c>
      <c r="K354" s="1363" t="str">
        <f>'Расчет ЦП - общая форма'!S354</f>
        <v/>
      </c>
      <c r="L354" s="257" t="str">
        <f>'Расчет ЦП - общая форма'!T354</f>
        <v/>
      </c>
      <c r="M354" s="1363">
        <f>'Расчет ЦП - общая форма'!U354</f>
        <v>0</v>
      </c>
      <c r="N354" s="919"/>
      <c r="O354" s="919"/>
      <c r="P354" s="919"/>
    </row>
    <row r="355" spans="1:16" ht="15" customHeight="1" x14ac:dyDescent="0.25">
      <c r="A355" s="1371">
        <f>'Расчет ЦП - общая форма'!A355</f>
        <v>270</v>
      </c>
      <c r="B355" s="1376">
        <f>COUNTIFS($C$8:C355,"*ПС*",$L$8:L355,"*закрыт*")</f>
        <v>44</v>
      </c>
      <c r="C355" s="213" t="str">
        <f>'Расчет ЦП - общая форма'!C355</f>
        <v xml:space="preserve">ПС 110/35/10 кВ Южная </v>
      </c>
      <c r="D355" s="230">
        <f>'Расчет ЦП - общая форма'!D355</f>
        <v>40</v>
      </c>
      <c r="E355" s="229" t="str">
        <f>'Расчет ЦП - общая форма'!E355</f>
        <v>+</v>
      </c>
      <c r="F355" s="229">
        <f>'Расчет ЦП - общая форма'!F355</f>
        <v>40</v>
      </c>
      <c r="G355" s="229">
        <f>'Расчет ЦП - общая форма'!G355</f>
        <v>0</v>
      </c>
      <c r="H355" s="229">
        <f>'Расчет ЦП - общая форма'!H355</f>
        <v>0</v>
      </c>
      <c r="I355" s="172">
        <f>'Расчет ЦП - общая форма'!Q355</f>
        <v>-5.4994047999999935</v>
      </c>
      <c r="J355" s="1364">
        <f>'Расчет ЦП - общая форма'!R355</f>
        <v>-5.4994047999999935</v>
      </c>
      <c r="K355" s="1362" t="str">
        <f>'Расчет ЦП - общая форма'!S355</f>
        <v>закрыт</v>
      </c>
      <c r="L355" s="257" t="str">
        <f>'Расчет ЦП - общая форма'!T355</f>
        <v>закрыт</v>
      </c>
      <c r="M355" s="1362">
        <f>'Расчет ЦП - общая форма'!U355</f>
        <v>126.59382095238094</v>
      </c>
      <c r="N355" s="924"/>
      <c r="O355" s="924"/>
      <c r="P355" s="924"/>
    </row>
    <row r="356" spans="1:16" ht="15" customHeight="1" x14ac:dyDescent="0.25">
      <c r="A356" s="1371">
        <f>'Расчет ЦП - общая форма'!A356</f>
        <v>0</v>
      </c>
      <c r="B356" s="1393"/>
      <c r="C356" s="7" t="str">
        <f>'Расчет ЦП - общая форма'!C356</f>
        <v xml:space="preserve">Ном. Мощность СН, МВА </v>
      </c>
      <c r="D356" s="230">
        <f>'Расчет ЦП - общая форма'!D356</f>
        <v>40</v>
      </c>
      <c r="E356" s="229" t="str">
        <f>'Расчет ЦП - общая форма'!E356</f>
        <v>+</v>
      </c>
      <c r="F356" s="229">
        <f>'Расчет ЦП - общая форма'!F356</f>
        <v>40</v>
      </c>
      <c r="G356" s="229">
        <f>'Расчет ЦП - общая форма'!G356</f>
        <v>0</v>
      </c>
      <c r="H356" s="229">
        <f>'Расчет ЦП - общая форма'!H356</f>
        <v>0</v>
      </c>
      <c r="I356" s="172">
        <f>'Расчет ЦП - общая форма'!Q356</f>
        <v>15.461275200000003</v>
      </c>
      <c r="J356" s="1365">
        <f>'Расчет ЦП - общая форма'!R356</f>
        <v>0</v>
      </c>
      <c r="K356" s="1362">
        <f>'Расчет ЦП - общая форма'!S356</f>
        <v>0</v>
      </c>
      <c r="L356" s="257" t="str">
        <f>'Расчет ЦП - общая форма'!T356</f>
        <v>закрыт</v>
      </c>
      <c r="M356" s="1362">
        <f>'Расчет ЦП - общая форма'!U356</f>
        <v>0</v>
      </c>
      <c r="N356" s="924"/>
      <c r="O356" s="924"/>
      <c r="P356" s="924"/>
    </row>
    <row r="357" spans="1:16" ht="15" customHeight="1" x14ac:dyDescent="0.25">
      <c r="A357" s="1371">
        <f>'Расчет ЦП - общая форма'!A357</f>
        <v>0</v>
      </c>
      <c r="B357" s="1394"/>
      <c r="C357" s="7" t="str">
        <f>'Расчет ЦП - общая форма'!C357</f>
        <v>Ном. мощность НН, МВА</v>
      </c>
      <c r="D357" s="230">
        <f>'Расчет ЦП - общая форма'!D357</f>
        <v>40</v>
      </c>
      <c r="E357" s="229" t="str">
        <f>'Расчет ЦП - общая форма'!E357</f>
        <v>+</v>
      </c>
      <c r="F357" s="229">
        <f>'Расчет ЦП - общая форма'!F357</f>
        <v>40</v>
      </c>
      <c r="G357" s="229">
        <f>'Расчет ЦП - общая форма'!G357</f>
        <v>0</v>
      </c>
      <c r="H357" s="229">
        <f>'Расчет ЦП - общая форма'!H357</f>
        <v>0</v>
      </c>
      <c r="I357" s="172">
        <f>'Расчет ЦП - общая форма'!Q357</f>
        <v>7.5843200000000017</v>
      </c>
      <c r="J357" s="1366">
        <f>'Расчет ЦП - общая форма'!R357</f>
        <v>0</v>
      </c>
      <c r="K357" s="1362">
        <f>'Расчет ЦП - общая форма'!S357</f>
        <v>0</v>
      </c>
      <c r="L357" s="257" t="str">
        <f>'Расчет ЦП - общая форма'!T357</f>
        <v>закрыт</v>
      </c>
      <c r="M357" s="1362">
        <f>'Расчет ЦП - общая форма'!U357</f>
        <v>0</v>
      </c>
      <c r="N357" s="924"/>
      <c r="O357" s="924"/>
      <c r="P357" s="924"/>
    </row>
    <row r="358" spans="1:16" ht="15" hidden="1" customHeight="1" x14ac:dyDescent="0.25">
      <c r="A358" s="1371">
        <f>'Расчет ЦП - общая форма'!A358</f>
        <v>271</v>
      </c>
      <c r="B358" s="1376">
        <f>COUNTIFS($C$8:C358,"*ПС*",$L$8:L358,"*закрыт*")</f>
        <v>44</v>
      </c>
      <c r="C358" s="213" t="str">
        <f>'Расчет ЦП - общая форма'!C358</f>
        <v xml:space="preserve">ПС 110/35/10 кВ Северная </v>
      </c>
      <c r="D358" s="230">
        <f>'Расчет ЦП - общая форма'!D358</f>
        <v>40</v>
      </c>
      <c r="E358" s="229" t="str">
        <f>'Расчет ЦП - общая форма'!E358</f>
        <v>+</v>
      </c>
      <c r="F358" s="229">
        <f>'Расчет ЦП - общая форма'!F358</f>
        <v>40</v>
      </c>
      <c r="G358" s="229">
        <f>'Расчет ЦП - общая форма'!G358</f>
        <v>0</v>
      </c>
      <c r="H358" s="229">
        <f>'Расчет ЦП - общая форма'!H358</f>
        <v>0</v>
      </c>
      <c r="I358" s="172">
        <f>'Расчет ЦП - общая форма'!Q358</f>
        <v>11.609618000000001</v>
      </c>
      <c r="J358" s="1379">
        <f>'Расчет ЦП - общая форма'!R358</f>
        <v>11.609618000000001</v>
      </c>
      <c r="K358" s="1362" t="str">
        <f>'Расчет ЦП - общая форма'!S358</f>
        <v/>
      </c>
      <c r="L358" s="257" t="str">
        <f>'Расчет ЦП - общая форма'!T358</f>
        <v/>
      </c>
      <c r="M358" s="1362">
        <f>'Расчет ЦП - общая форма'!U358</f>
        <v>76.834242857142854</v>
      </c>
      <c r="N358" s="919"/>
      <c r="O358" s="919"/>
      <c r="P358" s="919"/>
    </row>
    <row r="359" spans="1:16" ht="15" hidden="1" customHeight="1" x14ac:dyDescent="0.25">
      <c r="A359" s="1371">
        <f>'Расчет ЦП - общая форма'!A359</f>
        <v>0</v>
      </c>
      <c r="B359" s="1393"/>
      <c r="C359" s="7" t="str">
        <f>'Расчет ЦП - общая форма'!C359</f>
        <v xml:space="preserve">Ном. Мощность СН, МВА </v>
      </c>
      <c r="D359" s="230">
        <f>'Расчет ЦП - общая форма'!D359</f>
        <v>40</v>
      </c>
      <c r="E359" s="229" t="str">
        <f>'Расчет ЦП - общая форма'!E359</f>
        <v>+</v>
      </c>
      <c r="F359" s="229">
        <f>'Расчет ЦП - общая форма'!F359</f>
        <v>40</v>
      </c>
      <c r="G359" s="229">
        <f>'Расчет ЦП - общая форма'!G359</f>
        <v>0</v>
      </c>
      <c r="H359" s="229">
        <f>'Расчет ЦП - общая форма'!H359</f>
        <v>0</v>
      </c>
      <c r="I359" s="172">
        <f>'Расчет ЦП - общая форма'!Q359</f>
        <v>15.145639999999997</v>
      </c>
      <c r="J359" s="1379">
        <f>'Расчет ЦП - общая форма'!R359</f>
        <v>0</v>
      </c>
      <c r="K359" s="1363" t="str">
        <f>'Расчет ЦП - общая форма'!S359</f>
        <v/>
      </c>
      <c r="L359" s="257" t="str">
        <f>'Расчет ЦП - общая форма'!T359</f>
        <v/>
      </c>
      <c r="M359" s="1363">
        <f>'Расчет ЦП - общая форма'!U359</f>
        <v>0</v>
      </c>
      <c r="N359" s="919"/>
      <c r="O359" s="919"/>
      <c r="P359" s="919"/>
    </row>
    <row r="360" spans="1:16" ht="15" hidden="1" customHeight="1" x14ac:dyDescent="0.25">
      <c r="A360" s="1371">
        <f>'Расчет ЦП - общая форма'!A360</f>
        <v>0</v>
      </c>
      <c r="B360" s="1394"/>
      <c r="C360" s="7" t="str">
        <f>'Расчет ЦП - общая форма'!C360</f>
        <v>Ном. мощность НН, МВА</v>
      </c>
      <c r="D360" s="230">
        <f>'Расчет ЦП - общая форма'!D360</f>
        <v>40</v>
      </c>
      <c r="E360" s="229" t="str">
        <f>'Расчет ЦП - общая форма'!E360</f>
        <v>+</v>
      </c>
      <c r="F360" s="229">
        <f>'Расчет ЦП - общая форма'!F360</f>
        <v>40</v>
      </c>
      <c r="G360" s="229">
        <f>'Расчет ЦП - общая форма'!G360</f>
        <v>0</v>
      </c>
      <c r="H360" s="229">
        <f>'Расчет ЦП - общая форма'!H360</f>
        <v>0</v>
      </c>
      <c r="I360" s="172">
        <f>'Расчет ЦП - общая форма'!Q360</f>
        <v>12.981228000000002</v>
      </c>
      <c r="J360" s="1379">
        <f>'Расчет ЦП - общая форма'!R360</f>
        <v>0</v>
      </c>
      <c r="K360" s="1363" t="str">
        <f>'Расчет ЦП - общая форма'!S360</f>
        <v/>
      </c>
      <c r="L360" s="257" t="str">
        <f>'Расчет ЦП - общая форма'!T360</f>
        <v/>
      </c>
      <c r="M360" s="1363">
        <f>'Расчет ЦП - общая форма'!U360</f>
        <v>0</v>
      </c>
      <c r="N360" s="919"/>
      <c r="O360" s="919"/>
      <c r="P360" s="919"/>
    </row>
    <row r="361" spans="1:16" ht="15" customHeight="1" x14ac:dyDescent="0.25">
      <c r="A361" s="1371">
        <f>'Расчет ЦП - общая форма'!A361</f>
        <v>272</v>
      </c>
      <c r="B361" s="1376">
        <f>COUNTIFS($C$8:C361,"*ПС*",$L$8:L361,"*закрыт*")</f>
        <v>45</v>
      </c>
      <c r="C361" s="213" t="str">
        <f>'Расчет ЦП - общая форма'!C361</f>
        <v xml:space="preserve">ПС 110/35/10 кВ Лазурная </v>
      </c>
      <c r="D361" s="230">
        <f>'Расчет ЦП - общая форма'!D361</f>
        <v>40</v>
      </c>
      <c r="E361" s="229" t="str">
        <f>'Расчет ЦП - общая форма'!E361</f>
        <v>+</v>
      </c>
      <c r="F361" s="229">
        <f>'Расчет ЦП - общая форма'!F361</f>
        <v>40</v>
      </c>
      <c r="G361" s="229">
        <f>'Расчет ЦП - общая форма'!G361</f>
        <v>0</v>
      </c>
      <c r="H361" s="229">
        <f>'Расчет ЦП - общая форма'!H361</f>
        <v>0</v>
      </c>
      <c r="I361" s="172">
        <f>'Расчет ЦП - общая форма'!Q361</f>
        <v>-0.88574850000000538</v>
      </c>
      <c r="J361" s="1379">
        <f>'Расчет ЦП - общая форма'!R361</f>
        <v>-0.88574850000000538</v>
      </c>
      <c r="K361" s="1362" t="str">
        <f>'Расчет ЦП - общая форма'!S361</f>
        <v>закрыт</v>
      </c>
      <c r="L361" s="257" t="str">
        <f>'Расчет ЦП - общая форма'!T361</f>
        <v>закрыт</v>
      </c>
      <c r="M361" s="1362">
        <f>'Расчет ЦП - общая форма'!U361</f>
        <v>102.10892500000003</v>
      </c>
      <c r="N361" s="924"/>
      <c r="O361" s="924"/>
      <c r="P361" s="924"/>
    </row>
    <row r="362" spans="1:16" ht="15" customHeight="1" x14ac:dyDescent="0.25">
      <c r="A362" s="1371">
        <f>'Расчет ЦП - общая форма'!A362</f>
        <v>0</v>
      </c>
      <c r="B362" s="1393"/>
      <c r="C362" s="7" t="str">
        <f>'Расчет ЦП - общая форма'!C362</f>
        <v xml:space="preserve">Ном. Мощность СН, МВА </v>
      </c>
      <c r="D362" s="230">
        <f>'Расчет ЦП - общая форма'!D362</f>
        <v>40</v>
      </c>
      <c r="E362" s="229" t="str">
        <f>'Расчет ЦП - общая форма'!E362</f>
        <v>+</v>
      </c>
      <c r="F362" s="229">
        <f>'Расчет ЦП - общая форма'!F362</f>
        <v>40</v>
      </c>
      <c r="G362" s="229">
        <f>'Расчет ЦП - общая форма'!G362</f>
        <v>0</v>
      </c>
      <c r="H362" s="229">
        <f>'Расчет ЦП - общая форма'!H362</f>
        <v>0</v>
      </c>
      <c r="I362" s="172">
        <f>'Расчет ЦП - общая форма'!Q362</f>
        <v>13.686733499999999</v>
      </c>
      <c r="J362" s="1379">
        <f>'Расчет ЦП - общая форма'!R362</f>
        <v>0</v>
      </c>
      <c r="K362" s="1363">
        <f>'Расчет ЦП - общая форма'!S362</f>
        <v>0</v>
      </c>
      <c r="L362" s="257" t="str">
        <f>'Расчет ЦП - общая форма'!T362</f>
        <v>закрыт</v>
      </c>
      <c r="M362" s="1363">
        <f>'Расчет ЦП - общая форма'!U362</f>
        <v>0</v>
      </c>
      <c r="N362" s="924"/>
      <c r="O362" s="924"/>
      <c r="P362" s="924"/>
    </row>
    <row r="363" spans="1:16" ht="15" customHeight="1" x14ac:dyDescent="0.25">
      <c r="A363" s="1371">
        <f>'Расчет ЦП - общая форма'!A363</f>
        <v>0</v>
      </c>
      <c r="B363" s="1394"/>
      <c r="C363" s="7" t="str">
        <f>'Расчет ЦП - общая форма'!C363</f>
        <v>Ном. мощность НН, МВА</v>
      </c>
      <c r="D363" s="230">
        <f>'Расчет ЦП - общая форма'!D363</f>
        <v>40</v>
      </c>
      <c r="E363" s="229" t="str">
        <f>'Расчет ЦП - общая форма'!E363</f>
        <v>+</v>
      </c>
      <c r="F363" s="229">
        <f>'Расчет ЦП - общая форма'!F363</f>
        <v>40</v>
      </c>
      <c r="G363" s="229">
        <f>'Расчет ЦП - общая форма'!G363</f>
        <v>0</v>
      </c>
      <c r="H363" s="229">
        <f>'Расчет ЦП - общая форма'!H363</f>
        <v>0</v>
      </c>
      <c r="I363" s="172">
        <f>'Расчет ЦП - общая форма'!Q363</f>
        <v>23.487518000000001</v>
      </c>
      <c r="J363" s="1379">
        <f>'Расчет ЦП - общая форма'!R363</f>
        <v>0</v>
      </c>
      <c r="K363" s="1363">
        <f>'Расчет ЦП - общая форма'!S363</f>
        <v>0</v>
      </c>
      <c r="L363" s="257" t="str">
        <f>'Расчет ЦП - общая форма'!T363</f>
        <v>закрыт</v>
      </c>
      <c r="M363" s="1363">
        <f>'Расчет ЦП - общая форма'!U363</f>
        <v>0</v>
      </c>
      <c r="N363" s="924"/>
      <c r="O363" s="924"/>
      <c r="P363" s="924"/>
    </row>
    <row r="364" spans="1:16" ht="15" hidden="1" customHeight="1" x14ac:dyDescent="0.25">
      <c r="A364" s="1371">
        <f>'Расчет ЦП - общая форма'!A364</f>
        <v>273</v>
      </c>
      <c r="B364" s="1376">
        <f>COUNTIFS($C$8:C364,"*ПС*",$L$8:L364,"*закрыт*")</f>
        <v>45</v>
      </c>
      <c r="C364" s="213" t="str">
        <f>'Расчет ЦП - общая форма'!C364</f>
        <v xml:space="preserve">ПС 110/10/6 кВ Экскаваторный з-д </v>
      </c>
      <c r="D364" s="230">
        <f>'Расчет ЦП - общая форма'!D364</f>
        <v>40</v>
      </c>
      <c r="E364" s="229" t="str">
        <f>'Расчет ЦП - общая форма'!E364</f>
        <v>+</v>
      </c>
      <c r="F364" s="229">
        <f>'Расчет ЦП - общая форма'!F364</f>
        <v>40</v>
      </c>
      <c r="G364" s="229">
        <f>'Расчет ЦП - общая форма'!G364</f>
        <v>0</v>
      </c>
      <c r="H364" s="229">
        <f>'Расчет ЦП - общая форма'!H364</f>
        <v>0</v>
      </c>
      <c r="I364" s="172">
        <f>'Расчет ЦП - общая форма'!Q364</f>
        <v>21.424590999999999</v>
      </c>
      <c r="J364" s="1379">
        <f>'Расчет ЦП - общая форма'!R364</f>
        <v>4.2323209999999989</v>
      </c>
      <c r="K364" s="1362" t="str">
        <f>'Расчет ЦП - общая форма'!S364</f>
        <v/>
      </c>
      <c r="L364" s="257" t="str">
        <f>'Расчет ЦП - общая форма'!T364</f>
        <v/>
      </c>
      <c r="M364" s="1362">
        <f>'Расчет ЦП - общая форма'!U364</f>
        <v>48.989069047619047</v>
      </c>
      <c r="N364" s="919"/>
      <c r="O364" s="919"/>
      <c r="P364" s="919"/>
    </row>
    <row r="365" spans="1:16" ht="15" hidden="1" customHeight="1" x14ac:dyDescent="0.25">
      <c r="A365" s="1371">
        <f>'Расчет ЦП - общая форма'!A365</f>
        <v>0</v>
      </c>
      <c r="B365" s="1393"/>
      <c r="C365" s="7" t="str">
        <f>'Расчет ЦП - общая форма'!C365</f>
        <v xml:space="preserve">Ном. Мощность СН, МВА </v>
      </c>
      <c r="D365" s="230">
        <f>'Расчет ЦП - общая форма'!D365</f>
        <v>20</v>
      </c>
      <c r="E365" s="229" t="str">
        <f>'Расчет ЦП - общая форма'!E365</f>
        <v>+</v>
      </c>
      <c r="F365" s="229">
        <f>'Расчет ЦП - общая форма'!F365</f>
        <v>20</v>
      </c>
      <c r="G365" s="229">
        <f>'Расчет ЦП - общая форма'!G365</f>
        <v>0</v>
      </c>
      <c r="H365" s="229">
        <f>'Расчет ЦП - общая форма'!H365</f>
        <v>0</v>
      </c>
      <c r="I365" s="172">
        <f>'Расчет ЦП - общая форма'!Q365</f>
        <v>4.2323209999999989</v>
      </c>
      <c r="J365" s="1379">
        <f>'Расчет ЦП - общая форма'!R365</f>
        <v>0</v>
      </c>
      <c r="K365" s="1363" t="str">
        <f>'Расчет ЦП - общая форма'!S365</f>
        <v/>
      </c>
      <c r="L365" s="257" t="str">
        <f>'Расчет ЦП - общая форма'!T365</f>
        <v/>
      </c>
      <c r="M365" s="1363">
        <f>'Расчет ЦП - общая форма'!U365</f>
        <v>0</v>
      </c>
      <c r="N365" s="919"/>
      <c r="O365" s="919"/>
      <c r="P365" s="919"/>
    </row>
    <row r="366" spans="1:16" ht="15" hidden="1" customHeight="1" x14ac:dyDescent="0.25">
      <c r="A366" s="1371">
        <f>'Расчет ЦП - общая форма'!A366</f>
        <v>0</v>
      </c>
      <c r="B366" s="1394"/>
      <c r="C366" s="7" t="str">
        <f>'Расчет ЦП - общая форма'!C366</f>
        <v>Ном. мощность НН, МВА</v>
      </c>
      <c r="D366" s="230">
        <f>'Расчет ЦП - общая форма'!D366</f>
        <v>20</v>
      </c>
      <c r="E366" s="229" t="str">
        <f>'Расчет ЦП - общая форма'!E366</f>
        <v>+</v>
      </c>
      <c r="F366" s="229">
        <f>'Расчет ЦП - общая форма'!F366</f>
        <v>20</v>
      </c>
      <c r="G366" s="229">
        <f>'Расчет ЦП - общая форма'!G366</f>
        <v>0</v>
      </c>
      <c r="H366" s="229">
        <f>'Расчет ЦП - общая форма'!H366</f>
        <v>0</v>
      </c>
      <c r="I366" s="172">
        <f>'Расчет ЦП - общая форма'!Q366</f>
        <v>17.192270000000001</v>
      </c>
      <c r="J366" s="1379">
        <f>'Расчет ЦП - общая форма'!R366</f>
        <v>0</v>
      </c>
      <c r="K366" s="1363" t="str">
        <f>'Расчет ЦП - общая форма'!S366</f>
        <v/>
      </c>
      <c r="L366" s="257" t="str">
        <f>'Расчет ЦП - общая форма'!T366</f>
        <v/>
      </c>
      <c r="M366" s="1363">
        <f>'Расчет ЦП - общая форма'!U366</f>
        <v>0</v>
      </c>
      <c r="N366" s="919"/>
      <c r="O366" s="919"/>
      <c r="P366" s="919"/>
    </row>
    <row r="367" spans="1:16" ht="15" hidden="1" customHeight="1" x14ac:dyDescent="0.25">
      <c r="A367" s="1371">
        <f>'Расчет ЦП - общая форма'!A367</f>
        <v>274</v>
      </c>
      <c r="B367" s="1376">
        <f>COUNTIFS($C$8:C367,"*ПС*",$L$8:L367,"*закрыт*")</f>
        <v>45</v>
      </c>
      <c r="C367" s="213" t="str">
        <f>'Расчет ЦП - общая форма'!C367</f>
        <v xml:space="preserve">ПС 110/35/10 кВ Медновский в-ор </v>
      </c>
      <c r="D367" s="230">
        <f>'Расчет ЦП - общая форма'!D367</f>
        <v>10</v>
      </c>
      <c r="E367" s="229" t="str">
        <f>'Расчет ЦП - общая форма'!E367</f>
        <v>+</v>
      </c>
      <c r="F367" s="229">
        <f>'Расчет ЦП - общая форма'!F367</f>
        <v>10</v>
      </c>
      <c r="G367" s="229">
        <f>'Расчет ЦП - общая форма'!G367</f>
        <v>0</v>
      </c>
      <c r="H367" s="229">
        <f>'Расчет ЦП - общая форма'!H367</f>
        <v>0</v>
      </c>
      <c r="I367" s="172">
        <f>'Расчет ЦП - общая форма'!Q367</f>
        <v>7.8739620000000006</v>
      </c>
      <c r="J367" s="1379">
        <f>'Расчет ЦП - общая форма'!R367</f>
        <v>7.8707460000000005</v>
      </c>
      <c r="K367" s="1362" t="str">
        <f>'Расчет ЦП - общая форма'!S367</f>
        <v/>
      </c>
      <c r="L367" s="257" t="str">
        <f>'Расчет ЦП - общая форма'!T367</f>
        <v/>
      </c>
      <c r="M367" s="1362">
        <f>'Расчет ЦП - общая форма'!U367</f>
        <v>74.152742857142854</v>
      </c>
      <c r="N367" s="919"/>
      <c r="O367" s="919"/>
      <c r="P367" s="919"/>
    </row>
    <row r="368" spans="1:16" ht="15" hidden="1" customHeight="1" x14ac:dyDescent="0.25">
      <c r="A368" s="1371">
        <f>'Расчет ЦП - общая форма'!A368</f>
        <v>0</v>
      </c>
      <c r="B368" s="1393"/>
      <c r="C368" s="7" t="str">
        <f>'Расчет ЦП - общая форма'!C368</f>
        <v xml:space="preserve">Ном. Мощность СН, МВА </v>
      </c>
      <c r="D368" s="230">
        <f>'Расчет ЦП - общая форма'!D368</f>
        <v>10</v>
      </c>
      <c r="E368" s="229" t="str">
        <f>'Расчет ЦП - общая форма'!E368</f>
        <v>+</v>
      </c>
      <c r="F368" s="229">
        <f>'Расчет ЦП - общая форма'!F368</f>
        <v>10</v>
      </c>
      <c r="G368" s="229">
        <f>'Расчет ЦП - общая форма'!G368</f>
        <v>0</v>
      </c>
      <c r="H368" s="229">
        <f>'Расчет ЦП - общая форма'!H368</f>
        <v>0</v>
      </c>
      <c r="I368" s="172">
        <f>'Расчет ЦП - общая форма'!Q368</f>
        <v>10.503216</v>
      </c>
      <c r="J368" s="1379">
        <f>'Расчет ЦП - общая форма'!R368</f>
        <v>0</v>
      </c>
      <c r="K368" s="1363" t="str">
        <f>'Расчет ЦП - общая форма'!S368</f>
        <v/>
      </c>
      <c r="L368" s="257" t="str">
        <f>'Расчет ЦП - общая форма'!T368</f>
        <v/>
      </c>
      <c r="M368" s="1363">
        <f>'Расчет ЦП - общая форма'!U368</f>
        <v>0</v>
      </c>
      <c r="N368" s="919"/>
      <c r="O368" s="919"/>
      <c r="P368" s="919"/>
    </row>
    <row r="369" spans="1:16" s="232" customFormat="1" ht="15" hidden="1" customHeight="1" x14ac:dyDescent="0.25">
      <c r="A369" s="1371">
        <f>'Расчет ЦП - общая форма'!A369</f>
        <v>0</v>
      </c>
      <c r="B369" s="1394"/>
      <c r="C369" s="7" t="str">
        <f>'Расчет ЦП - общая форма'!C369</f>
        <v>Ном. мощность НН, МВА</v>
      </c>
      <c r="D369" s="230">
        <f>'Расчет ЦП - общая форма'!D369</f>
        <v>10</v>
      </c>
      <c r="E369" s="229" t="str">
        <f>'Расчет ЦП - общая форма'!E369</f>
        <v>+</v>
      </c>
      <c r="F369" s="229">
        <f>'Расчет ЦП - общая форма'!F369</f>
        <v>10</v>
      </c>
      <c r="G369" s="229">
        <f>'Расчет ЦП - общая форма'!G369</f>
        <v>0</v>
      </c>
      <c r="H369" s="229">
        <f>'Расчет ЦП - общая форма'!H369</f>
        <v>0</v>
      </c>
      <c r="I369" s="172">
        <f>'Расчет ЦП - общая форма'!Q369</f>
        <v>7.8707460000000005</v>
      </c>
      <c r="J369" s="1379">
        <f>'Расчет ЦП - общая форма'!R369</f>
        <v>0</v>
      </c>
      <c r="K369" s="1363" t="str">
        <f>'Расчет ЦП - общая форма'!S369</f>
        <v/>
      </c>
      <c r="L369" s="257" t="str">
        <f>'Расчет ЦП - общая форма'!T369</f>
        <v/>
      </c>
      <c r="M369" s="1363">
        <f>'Расчет ЦП - общая форма'!U369</f>
        <v>0</v>
      </c>
      <c r="N369" s="919"/>
      <c r="O369" s="919"/>
      <c r="P369" s="919"/>
    </row>
    <row r="370" spans="1:16" s="232" customFormat="1" ht="15" hidden="1" customHeight="1" x14ac:dyDescent="0.25">
      <c r="A370" s="1371">
        <f>'Расчет ЦП - общая форма'!A370</f>
        <v>275</v>
      </c>
      <c r="B370" s="1376">
        <f>COUNTIFS($C$8:C370,"*ПС*",$L$8:L370,"*закрыт*")</f>
        <v>45</v>
      </c>
      <c r="C370" s="213" t="str">
        <f>'Расчет ЦП - общая форма'!C370</f>
        <v xml:space="preserve">ПС 110/35/10 кВ Лихославль </v>
      </c>
      <c r="D370" s="230">
        <f>'Расчет ЦП - общая форма'!D370</f>
        <v>25</v>
      </c>
      <c r="E370" s="229" t="str">
        <f>'Расчет ЦП - общая форма'!E370</f>
        <v>+</v>
      </c>
      <c r="F370" s="229">
        <f>'Расчет ЦП - общая форма'!F370</f>
        <v>25</v>
      </c>
      <c r="G370" s="229">
        <f>'Расчет ЦП - общая форма'!G370</f>
        <v>0</v>
      </c>
      <c r="H370" s="229">
        <f>'Расчет ЦП - общая форма'!H370</f>
        <v>0</v>
      </c>
      <c r="I370" s="172">
        <f>'Расчет ЦП - общая форма'!Q370</f>
        <v>13.982127999999999</v>
      </c>
      <c r="J370" s="1379">
        <f>'Расчет ЦП - общая форма'!R370</f>
        <v>10.741223999999999</v>
      </c>
      <c r="K370" s="1362" t="str">
        <f>'Расчет ЦП - общая форма'!S370</f>
        <v/>
      </c>
      <c r="L370" s="257" t="str">
        <f>'Расчет ЦП - общая форма'!T370</f>
        <v/>
      </c>
      <c r="M370" s="1362">
        <f>'Расчет ЦП - общая форма'!U370</f>
        <v>60.410940952380955</v>
      </c>
      <c r="N370" s="919"/>
      <c r="O370" s="919"/>
      <c r="P370" s="919"/>
    </row>
    <row r="371" spans="1:16" s="232" customFormat="1" ht="15" hidden="1" customHeight="1" x14ac:dyDescent="0.25">
      <c r="A371" s="1371">
        <f>'Расчет ЦП - общая форма'!A371</f>
        <v>0</v>
      </c>
      <c r="B371" s="1393"/>
      <c r="C371" s="7" t="str">
        <f>'Расчет ЦП - общая форма'!C371</f>
        <v xml:space="preserve">Ном. Мощность СН, МВА </v>
      </c>
      <c r="D371" s="230">
        <f>'Расчет ЦП - общая форма'!D371</f>
        <v>25</v>
      </c>
      <c r="E371" s="229" t="str">
        <f>'Расчет ЦП - общая форма'!E371</f>
        <v>+</v>
      </c>
      <c r="F371" s="229">
        <f>'Расчет ЦП - общая форма'!F371</f>
        <v>25</v>
      </c>
      <c r="G371" s="229">
        <f>'Расчет ЦП - общая форма'!G371</f>
        <v>0</v>
      </c>
      <c r="H371" s="229">
        <f>'Расчет ЦП - общая форма'!H371</f>
        <v>0</v>
      </c>
      <c r="I371" s="172">
        <f>'Расчет ЦП - общая форма'!Q371</f>
        <v>19.713254000000003</v>
      </c>
      <c r="J371" s="1379">
        <f>'Расчет ЦП - общая форма'!R371</f>
        <v>0</v>
      </c>
      <c r="K371" s="1363">
        <f>'Расчет ЦП - общая форма'!S371</f>
        <v>0</v>
      </c>
      <c r="L371" s="257" t="str">
        <f>'Расчет ЦП - общая форма'!T371</f>
        <v/>
      </c>
      <c r="M371" s="1363">
        <f>'Расчет ЦП - общая форма'!U371</f>
        <v>0</v>
      </c>
      <c r="N371" s="919"/>
      <c r="O371" s="919"/>
      <c r="P371" s="919"/>
    </row>
    <row r="372" spans="1:16" s="232" customFormat="1" ht="15" hidden="1" customHeight="1" x14ac:dyDescent="0.25">
      <c r="A372" s="1371">
        <f>'Расчет ЦП - общая форма'!A372</f>
        <v>0</v>
      </c>
      <c r="B372" s="1394"/>
      <c r="C372" s="7" t="str">
        <f>'Расчет ЦП - общая форма'!C372</f>
        <v>Ном. мощность НН, МВА</v>
      </c>
      <c r="D372" s="230">
        <f>'Расчет ЦП - общая форма'!D372</f>
        <v>25</v>
      </c>
      <c r="E372" s="229" t="str">
        <f>'Расчет ЦП - общая форма'!E372</f>
        <v>+</v>
      </c>
      <c r="F372" s="229">
        <f>'Расчет ЦП - общая форма'!F372</f>
        <v>25</v>
      </c>
      <c r="G372" s="229">
        <f>'Расчет ЦП - общая форма'!G372</f>
        <v>0</v>
      </c>
      <c r="H372" s="229">
        <f>'Расчет ЦП - общая форма'!H372</f>
        <v>0</v>
      </c>
      <c r="I372" s="172">
        <f>'Расчет ЦП - общая форма'!Q372</f>
        <v>10.741223999999999</v>
      </c>
      <c r="J372" s="1379">
        <f>'Расчет ЦП - общая форма'!R372</f>
        <v>0</v>
      </c>
      <c r="K372" s="1363">
        <f>'Расчет ЦП - общая форма'!S372</f>
        <v>0</v>
      </c>
      <c r="L372" s="257" t="str">
        <f>'Расчет ЦП - общая форма'!T372</f>
        <v/>
      </c>
      <c r="M372" s="1363">
        <f>'Расчет ЦП - общая форма'!U372</f>
        <v>0</v>
      </c>
      <c r="N372" s="919"/>
      <c r="O372" s="919"/>
      <c r="P372" s="919"/>
    </row>
    <row r="373" spans="1:16" s="232" customFormat="1" ht="15" hidden="1" customHeight="1" x14ac:dyDescent="0.25">
      <c r="A373" s="1371">
        <f>'Расчет ЦП - общая форма'!A373</f>
        <v>276</v>
      </c>
      <c r="B373" s="1376">
        <f>COUNTIFS($C$8:C373,"*ПС*",$L$8:L373,"*закрыт*")</f>
        <v>45</v>
      </c>
      <c r="C373" s="213" t="str">
        <f>'Расчет ЦП - общая форма'!C373</f>
        <v xml:space="preserve">ПС 110/35/6 кВ Безбородово </v>
      </c>
      <c r="D373" s="230">
        <f>'Расчет ЦП - общая форма'!D373</f>
        <v>16</v>
      </c>
      <c r="E373" s="229" t="str">
        <f>'Расчет ЦП - общая форма'!E373</f>
        <v>+</v>
      </c>
      <c r="F373" s="229">
        <f>'Расчет ЦП - общая форма'!F373</f>
        <v>16</v>
      </c>
      <c r="G373" s="229">
        <f>'Расчет ЦП - общая форма'!G373</f>
        <v>0</v>
      </c>
      <c r="H373" s="229">
        <f>'Расчет ЦП - общая форма'!H373</f>
        <v>0</v>
      </c>
      <c r="I373" s="172">
        <f>'Расчет ЦП - общая форма'!Q373</f>
        <v>1.4278649440000013</v>
      </c>
      <c r="J373" s="1379">
        <f>'Расчет ЦП - общая форма'!R373</f>
        <v>1.4278649440000013</v>
      </c>
      <c r="K373" s="1362" t="str">
        <f>'Расчет ЦП - общая форма'!S373</f>
        <v/>
      </c>
      <c r="L373" s="257" t="str">
        <f>'Расчет ЦП - общая форма'!T373</f>
        <v/>
      </c>
      <c r="M373" s="1362">
        <f>'Расчет ЦП - общая форма'!U373</f>
        <v>93.878038095238082</v>
      </c>
      <c r="N373" s="919"/>
      <c r="O373" s="919"/>
      <c r="P373" s="919"/>
    </row>
    <row r="374" spans="1:16" s="232" customFormat="1" ht="15" hidden="1" customHeight="1" x14ac:dyDescent="0.25">
      <c r="A374" s="1371">
        <f>'Расчет ЦП - общая форма'!A374</f>
        <v>0</v>
      </c>
      <c r="B374" s="1393"/>
      <c r="C374" s="7" t="str">
        <f>'Расчет ЦП - общая форма'!C374</f>
        <v xml:space="preserve">Ном. Мощность СН, МВА </v>
      </c>
      <c r="D374" s="230">
        <f>'Расчет ЦП - общая форма'!D374</f>
        <v>16</v>
      </c>
      <c r="E374" s="229" t="str">
        <f>'Расчет ЦП - общая форма'!E374</f>
        <v>+</v>
      </c>
      <c r="F374" s="229">
        <f>'Расчет ЦП - общая форма'!F374</f>
        <v>16</v>
      </c>
      <c r="G374" s="229">
        <f>'Расчет ЦП - общая форма'!G374</f>
        <v>0</v>
      </c>
      <c r="H374" s="229">
        <f>'Расчет ЦП - общая форма'!H374</f>
        <v>0</v>
      </c>
      <c r="I374" s="172">
        <f>'Расчет ЦП - общая форма'!Q374</f>
        <v>1.4278649440000013</v>
      </c>
      <c r="J374" s="1379">
        <f>'Расчет ЦП - общая форма'!R374</f>
        <v>0</v>
      </c>
      <c r="K374" s="1363" t="str">
        <f>'Расчет ЦП - общая форма'!S374</f>
        <v/>
      </c>
      <c r="L374" s="257" t="str">
        <f>'Расчет ЦП - общая форма'!T374</f>
        <v/>
      </c>
      <c r="M374" s="1363">
        <f>'Расчет ЦП - общая форма'!U374</f>
        <v>0</v>
      </c>
      <c r="N374" s="919"/>
      <c r="O374" s="919"/>
      <c r="P374" s="919"/>
    </row>
    <row r="375" spans="1:16" s="232" customFormat="1" ht="15" hidden="1" customHeight="1" x14ac:dyDescent="0.25">
      <c r="A375" s="1371">
        <f>'Расчет ЦП - общая форма'!A375</f>
        <v>0</v>
      </c>
      <c r="B375" s="1394"/>
      <c r="C375" s="7" t="str">
        <f>'Расчет ЦП - общая форма'!C375</f>
        <v>Ном. мощность НН, МВА</v>
      </c>
      <c r="D375" s="230">
        <f>'Расчет ЦП - общая форма'!D375</f>
        <v>16</v>
      </c>
      <c r="E375" s="229" t="str">
        <f>'Расчет ЦП - общая форма'!E375</f>
        <v>+</v>
      </c>
      <c r="F375" s="229">
        <f>'Расчет ЦП - общая форма'!F375</f>
        <v>16</v>
      </c>
      <c r="G375" s="229">
        <f>'Расчет ЦП - общая форма'!G375</f>
        <v>0</v>
      </c>
      <c r="H375" s="229">
        <f>'Расчет ЦП - общая форма'!H375</f>
        <v>0</v>
      </c>
      <c r="I375" s="172">
        <f>'Расчет ЦП - общая форма'!Q375</f>
        <v>16.8</v>
      </c>
      <c r="J375" s="1379">
        <f>'Расчет ЦП - общая форма'!R375</f>
        <v>0</v>
      </c>
      <c r="K375" s="1363" t="str">
        <f>'Расчет ЦП - общая форма'!S375</f>
        <v/>
      </c>
      <c r="L375" s="257" t="str">
        <f>'Расчет ЦП - общая форма'!T375</f>
        <v/>
      </c>
      <c r="M375" s="1363">
        <f>'Расчет ЦП - общая форма'!U375</f>
        <v>0</v>
      </c>
      <c r="N375" s="919"/>
      <c r="O375" s="919"/>
      <c r="P375" s="919"/>
    </row>
    <row r="376" spans="1:16" s="232" customFormat="1" ht="15" hidden="1" customHeight="1" x14ac:dyDescent="0.25">
      <c r="A376" s="1371">
        <f>'Расчет ЦП - общая форма'!A376</f>
        <v>277</v>
      </c>
      <c r="B376" s="1376">
        <f>COUNTIFS($C$8:C376,"*ПС*",$L$8:L376,"*закрыт*")</f>
        <v>45</v>
      </c>
      <c r="C376" s="213" t="str">
        <f>'Расчет ЦП - общая форма'!C376</f>
        <v xml:space="preserve">ПС 110/35/6 кВ Редкино  </v>
      </c>
      <c r="D376" s="230">
        <f>'Расчет ЦП - общая форма'!D376</f>
        <v>40</v>
      </c>
      <c r="E376" s="229" t="str">
        <f>'Расчет ЦП - общая форма'!E376</f>
        <v>+</v>
      </c>
      <c r="F376" s="229">
        <f>'Расчет ЦП - общая форма'!F376</f>
        <v>40.5</v>
      </c>
      <c r="G376" s="229">
        <f>'Расчет ЦП - общая форма'!G376</f>
        <v>0</v>
      </c>
      <c r="H376" s="229">
        <f>'Расчет ЦП - общая форма'!H376</f>
        <v>0</v>
      </c>
      <c r="I376" s="172">
        <f>'Расчет ЦП - общая форма'!Q376</f>
        <v>18.202984999999998</v>
      </c>
      <c r="J376" s="1379">
        <f>'Расчет ЦП - общая форма'!R376</f>
        <v>8.5038149999999995</v>
      </c>
      <c r="K376" s="1362" t="str">
        <f>'Расчет ЦП - общая форма'!S376</f>
        <v/>
      </c>
      <c r="L376" s="257" t="str">
        <f>'Расчет ЦП - общая форма'!T376</f>
        <v/>
      </c>
      <c r="M376" s="1362">
        <f>'Расчет ЦП - общая форма'!U376</f>
        <v>67.299059523809518</v>
      </c>
      <c r="N376" s="919"/>
      <c r="O376" s="919"/>
      <c r="P376" s="919"/>
    </row>
    <row r="377" spans="1:16" s="232" customFormat="1" ht="15" hidden="1" customHeight="1" x14ac:dyDescent="0.25">
      <c r="A377" s="1371">
        <f>'Расчет ЦП - общая форма'!A377</f>
        <v>0</v>
      </c>
      <c r="B377" s="1393"/>
      <c r="C377" s="7" t="str">
        <f>'Расчет ЦП - общая форма'!C377</f>
        <v xml:space="preserve">Ном. Мощность СН, МВА </v>
      </c>
      <c r="D377" s="230">
        <f>'Расчет ЦП - общая форма'!D377</f>
        <v>40</v>
      </c>
      <c r="E377" s="229" t="str">
        <f>'Расчет ЦП - общая форма'!E377</f>
        <v>+</v>
      </c>
      <c r="F377" s="229">
        <f>'Расчет ЦП - общая форма'!F377</f>
        <v>40</v>
      </c>
      <c r="G377" s="229">
        <f>'Расчет ЦП - общая форма'!G377</f>
        <v>0</v>
      </c>
      <c r="H377" s="229">
        <f>'Расчет ЦП - общая форма'!H377</f>
        <v>0</v>
      </c>
      <c r="I377" s="172">
        <f>'Расчет ЦП - общая форма'!Q377</f>
        <v>8.5038149999999995</v>
      </c>
      <c r="J377" s="1379">
        <f>'Расчет ЦП - общая форма'!R377</f>
        <v>0</v>
      </c>
      <c r="K377" s="1363">
        <f>'Расчет ЦП - общая форма'!S377</f>
        <v>0</v>
      </c>
      <c r="L377" s="257" t="str">
        <f>'Расчет ЦП - общая форма'!T377</f>
        <v/>
      </c>
      <c r="M377" s="1363">
        <f>'Расчет ЦП - общая форма'!U377</f>
        <v>0</v>
      </c>
      <c r="N377" s="919"/>
      <c r="O377" s="919"/>
      <c r="P377" s="919"/>
    </row>
    <row r="378" spans="1:16" s="232" customFormat="1" ht="15" hidden="1" customHeight="1" x14ac:dyDescent="0.25">
      <c r="A378" s="1371">
        <f>'Расчет ЦП - общая форма'!A378</f>
        <v>0</v>
      </c>
      <c r="B378" s="1394"/>
      <c r="C378" s="7" t="str">
        <f>'Расчет ЦП - общая форма'!C378</f>
        <v>Ном. мощность НН, МВА</v>
      </c>
      <c r="D378" s="230">
        <f>'Расчет ЦП - общая форма'!D378</f>
        <v>40</v>
      </c>
      <c r="E378" s="229" t="str">
        <f>'Расчет ЦП - общая форма'!E378</f>
        <v>+</v>
      </c>
      <c r="F378" s="229">
        <f>'Расчет ЦП - общая форма'!F378</f>
        <v>40</v>
      </c>
      <c r="G378" s="229">
        <f>'Расчет ЦП - общая форма'!G378</f>
        <v>0</v>
      </c>
      <c r="H378" s="229">
        <f>'Расчет ЦП - общая форма'!H378</f>
        <v>0</v>
      </c>
      <c r="I378" s="172">
        <f>'Расчет ЦП - общая форма'!Q378</f>
        <v>18.509270000000001</v>
      </c>
      <c r="J378" s="1379">
        <f>'Расчет ЦП - общая форма'!R378</f>
        <v>0</v>
      </c>
      <c r="K378" s="1363">
        <f>'Расчет ЦП - общая форма'!S378</f>
        <v>0</v>
      </c>
      <c r="L378" s="257" t="str">
        <f>'Расчет ЦП - общая форма'!T378</f>
        <v/>
      </c>
      <c r="M378" s="1363">
        <f>'Расчет ЦП - общая форма'!U378</f>
        <v>0</v>
      </c>
      <c r="N378" s="919"/>
      <c r="O378" s="919"/>
      <c r="P378" s="919"/>
    </row>
    <row r="379" spans="1:16" s="232" customFormat="1" ht="15" hidden="1" customHeight="1" x14ac:dyDescent="0.25">
      <c r="A379" s="1371">
        <f>'Расчет ЦП - общая форма'!A379</f>
        <v>278</v>
      </c>
      <c r="B379" s="1376">
        <f>COUNTIFS($C$8:C379,"*ПС*",$L$8:L379,"*закрыт*")</f>
        <v>45</v>
      </c>
      <c r="C379" s="213" t="str">
        <f>'Расчет ЦП - общая форма'!C379</f>
        <v xml:space="preserve">ПС 110/35/10 кВ Рамешки </v>
      </c>
      <c r="D379" s="230">
        <f>'Расчет ЦП - общая форма'!D379</f>
        <v>25</v>
      </c>
      <c r="E379" s="229" t="str">
        <f>'Расчет ЦП - общая форма'!E379</f>
        <v>+</v>
      </c>
      <c r="F379" s="229">
        <f>'Расчет ЦП - общая форма'!F379</f>
        <v>10</v>
      </c>
      <c r="G379" s="229">
        <f>'Расчет ЦП - общая форма'!G379</f>
        <v>0</v>
      </c>
      <c r="H379" s="229">
        <f>'Расчет ЦП - общая форма'!H379</f>
        <v>0</v>
      </c>
      <c r="I379" s="172">
        <f>'Расчет ЦП - общая форма'!Q379</f>
        <v>5.404458</v>
      </c>
      <c r="J379" s="1379">
        <f>'Расчет ЦП - общая форма'!R379</f>
        <v>5.404458</v>
      </c>
      <c r="K379" s="1362" t="str">
        <f>'Расчет ЦП - общая форма'!S379</f>
        <v/>
      </c>
      <c r="L379" s="257" t="str">
        <f>'Расчет ЦП - общая форма'!T379</f>
        <v/>
      </c>
      <c r="M379" s="1362">
        <f>'Расчет ЦП - общая форма'!U379</f>
        <v>60.787257142857143</v>
      </c>
      <c r="N379" s="919"/>
      <c r="O379" s="919"/>
      <c r="P379" s="919"/>
    </row>
    <row r="380" spans="1:16" s="232" customFormat="1" ht="15" hidden="1" customHeight="1" x14ac:dyDescent="0.25">
      <c r="A380" s="1371">
        <f>'Расчет ЦП - общая форма'!A380</f>
        <v>0</v>
      </c>
      <c r="B380" s="1393"/>
      <c r="C380" s="7" t="str">
        <f>'Расчет ЦП - общая форма'!C380</f>
        <v xml:space="preserve">Ном. Мощность СН, МВА </v>
      </c>
      <c r="D380" s="230">
        <f>'Расчет ЦП - общая форма'!D380</f>
        <v>25</v>
      </c>
      <c r="E380" s="229" t="str">
        <f>'Расчет ЦП - общая форма'!E380</f>
        <v>+</v>
      </c>
      <c r="F380" s="229">
        <f>'Расчет ЦП - общая форма'!F380</f>
        <v>10</v>
      </c>
      <c r="G380" s="229">
        <f>'Расчет ЦП - общая форма'!G380</f>
        <v>0</v>
      </c>
      <c r="H380" s="229">
        <f>'Расчет ЦП - общая форма'!H380</f>
        <v>0</v>
      </c>
      <c r="I380" s="172">
        <f>'Расчет ЦП - общая форма'!Q380</f>
        <v>8.5049639999999993</v>
      </c>
      <c r="J380" s="1379">
        <f>'Расчет ЦП - общая форма'!R380</f>
        <v>0</v>
      </c>
      <c r="K380" s="1363">
        <f>'Расчет ЦП - общая форма'!S380</f>
        <v>0</v>
      </c>
      <c r="L380" s="257" t="str">
        <f>'Расчет ЦП - общая форма'!T380</f>
        <v/>
      </c>
      <c r="M380" s="1363">
        <f>'Расчет ЦП - общая форма'!U380</f>
        <v>0</v>
      </c>
      <c r="N380" s="919"/>
      <c r="O380" s="919"/>
      <c r="P380" s="919"/>
    </row>
    <row r="381" spans="1:16" s="232" customFormat="1" ht="15" hidden="1" customHeight="1" x14ac:dyDescent="0.25">
      <c r="A381" s="1371">
        <f>'Расчет ЦП - общая форма'!A381</f>
        <v>0</v>
      </c>
      <c r="B381" s="1394"/>
      <c r="C381" s="7" t="str">
        <f>'Расчет ЦП - общая форма'!C381</f>
        <v>Ном. мощность НН, МВА</v>
      </c>
      <c r="D381" s="230">
        <f>'Расчет ЦП - общая форма'!D381</f>
        <v>25</v>
      </c>
      <c r="E381" s="229" t="str">
        <f>'Расчет ЦП - общая форма'!E381</f>
        <v>+</v>
      </c>
      <c r="F381" s="229">
        <f>'Расчет ЦП - общая форма'!F381</f>
        <v>10</v>
      </c>
      <c r="G381" s="229">
        <f>'Расчет ЦП - общая форма'!G381</f>
        <v>0</v>
      </c>
      <c r="H381" s="229">
        <f>'Расчет ЦП - общая форма'!H381</f>
        <v>0</v>
      </c>
      <c r="I381" s="172">
        <f>'Расчет ЦП - общая форма'!Q381</f>
        <v>7.3994940000000007</v>
      </c>
      <c r="J381" s="1379">
        <f>'Расчет ЦП - общая форма'!R381</f>
        <v>0</v>
      </c>
      <c r="K381" s="1363">
        <f>'Расчет ЦП - общая форма'!S381</f>
        <v>0</v>
      </c>
      <c r="L381" s="257" t="str">
        <f>'Расчет ЦП - общая форма'!T381</f>
        <v/>
      </c>
      <c r="M381" s="1363">
        <f>'Расчет ЦП - общая форма'!U381</f>
        <v>0</v>
      </c>
      <c r="N381" s="919"/>
      <c r="O381" s="919"/>
      <c r="P381" s="919"/>
    </row>
    <row r="382" spans="1:16" s="232" customFormat="1" ht="15" hidden="1" customHeight="1" x14ac:dyDescent="0.25">
      <c r="A382" s="1371">
        <f>'Расчет ЦП - общая форма'!A382</f>
        <v>279</v>
      </c>
      <c r="B382" s="1376">
        <f>COUNTIFS($C$8:C382,"*ПС*",$L$8:L382,"*закрыт*")</f>
        <v>45</v>
      </c>
      <c r="C382" s="213" t="str">
        <f>'Расчет ЦП - общая форма'!C382</f>
        <v xml:space="preserve">ПС 110/35/10 кВ Тучево </v>
      </c>
      <c r="D382" s="230">
        <f>'Расчет ЦП - общая форма'!D382</f>
        <v>25</v>
      </c>
      <c r="E382" s="229" t="str">
        <f>'Расчет ЦП - общая форма'!E382</f>
        <v>+</v>
      </c>
      <c r="F382" s="229">
        <f>'Расчет ЦП - общая форма'!F382</f>
        <v>25</v>
      </c>
      <c r="G382" s="229">
        <f>'Расчет ЦП - общая форма'!G382</f>
        <v>0</v>
      </c>
      <c r="H382" s="229">
        <f>'Расчет ЦП - общая форма'!H382</f>
        <v>0</v>
      </c>
      <c r="I382" s="172">
        <f>'Расчет ЦП - общая форма'!Q382</f>
        <v>25.896042000000001</v>
      </c>
      <c r="J382" s="1379">
        <f>'Расчет ЦП - общая форма'!R382</f>
        <v>14.451662000000001</v>
      </c>
      <c r="K382" s="1362" t="str">
        <f>'Расчет ЦП - общая форма'!S382</f>
        <v/>
      </c>
      <c r="L382" s="257" t="str">
        <f>'Расчет ЦП - общая форма'!T382</f>
        <v/>
      </c>
      <c r="M382" s="1362">
        <f>'Расчет ЦП - общая форма'!U382</f>
        <v>1.3484114285714288</v>
      </c>
      <c r="N382" s="919"/>
      <c r="O382" s="919"/>
      <c r="P382" s="919"/>
    </row>
    <row r="383" spans="1:16" s="232" customFormat="1" ht="15" hidden="1" customHeight="1" x14ac:dyDescent="0.25">
      <c r="A383" s="1371">
        <f>'Расчет ЦП - общая форма'!A383</f>
        <v>0</v>
      </c>
      <c r="B383" s="1393"/>
      <c r="C383" s="7" t="str">
        <f>'Расчет ЦП - общая форма'!C383</f>
        <v xml:space="preserve">Ном. Мощность СН, МВА </v>
      </c>
      <c r="D383" s="230">
        <f>'Расчет ЦП - общая форма'!D383</f>
        <v>25</v>
      </c>
      <c r="E383" s="229" t="str">
        <f>'Расчет ЦП - общая форма'!E383</f>
        <v>+</v>
      </c>
      <c r="F383" s="229">
        <f>'Расчет ЦП - общая форма'!F383</f>
        <v>25</v>
      </c>
      <c r="G383" s="229">
        <f>'Расчет ЦП - общая форма'!G383</f>
        <v>0</v>
      </c>
      <c r="H383" s="229">
        <f>'Расчет ЦП - общая форма'!H383</f>
        <v>0</v>
      </c>
      <c r="I383" s="172">
        <f>'Расчет ЦП - общая форма'!Q383</f>
        <v>25.914380000000001</v>
      </c>
      <c r="J383" s="1379">
        <f>'Расчет ЦП - общая форма'!R383</f>
        <v>0</v>
      </c>
      <c r="K383" s="1363">
        <f>'Расчет ЦП - общая форма'!S383</f>
        <v>0</v>
      </c>
      <c r="L383" s="257" t="str">
        <f>'Расчет ЦП - общая форма'!T383</f>
        <v/>
      </c>
      <c r="M383" s="1363">
        <f>'Расчет ЦП - общая форма'!U383</f>
        <v>0</v>
      </c>
      <c r="N383" s="919"/>
      <c r="O383" s="919"/>
      <c r="P383" s="919"/>
    </row>
    <row r="384" spans="1:16" ht="20.100000000000001" hidden="1" customHeight="1" x14ac:dyDescent="0.25">
      <c r="A384" s="1371">
        <f>'Расчет ЦП - общая форма'!A384</f>
        <v>0</v>
      </c>
      <c r="B384" s="1394"/>
      <c r="C384" s="7" t="str">
        <f>'Расчет ЦП - общая форма'!C384</f>
        <v>Ном. мощность НН, МВА</v>
      </c>
      <c r="D384" s="230">
        <f>'Расчет ЦП - общая форма'!D384</f>
        <v>25</v>
      </c>
      <c r="E384" s="229" t="str">
        <f>'Расчет ЦП - общая форма'!E384</f>
        <v>+</v>
      </c>
      <c r="F384" s="229">
        <f>'Расчет ЦП - общая форма'!F384</f>
        <v>25</v>
      </c>
      <c r="G384" s="229">
        <f>'Расчет ЦП - общая форма'!G384</f>
        <v>0</v>
      </c>
      <c r="H384" s="229">
        <f>'Расчет ЦП - общая форма'!H384</f>
        <v>0</v>
      </c>
      <c r="I384" s="172">
        <f>'Расчет ЦП - общая форма'!Q384</f>
        <v>14.451662000000001</v>
      </c>
      <c r="J384" s="1379">
        <f>'Расчет ЦП - общая форма'!R384</f>
        <v>0</v>
      </c>
      <c r="K384" s="1363">
        <f>'Расчет ЦП - общая форма'!S384</f>
        <v>0</v>
      </c>
      <c r="L384" s="257" t="str">
        <f>'Расчет ЦП - общая форма'!T384</f>
        <v/>
      </c>
      <c r="M384" s="1363">
        <f>'Расчет ЦП - общая форма'!U384</f>
        <v>0</v>
      </c>
      <c r="N384" s="919"/>
      <c r="O384" s="919"/>
      <c r="P384" s="919"/>
    </row>
    <row r="385" spans="1:48" s="232" customFormat="1" ht="15" hidden="1" customHeight="1" x14ac:dyDescent="0.25">
      <c r="A385" s="213">
        <f>'Расчет ЦП - общая форма'!A385</f>
        <v>280</v>
      </c>
      <c r="B385" s="213">
        <f>COUNTIFS($C$8:C385,"*ПС*",$L$8:L385,"*закрыт*")</f>
        <v>45</v>
      </c>
      <c r="C385" s="244" t="str">
        <f>'Расчет ЦП - общая форма'!C385</f>
        <v>ПС  35/10 кВ Страшевичи</v>
      </c>
      <c r="D385" s="245">
        <f>'Расчет ЦП - общая форма'!D385</f>
        <v>4</v>
      </c>
      <c r="E385" s="246">
        <f>'Расчет ЦП - общая форма'!E385</f>
        <v>0</v>
      </c>
      <c r="F385" s="246">
        <f>'Расчет ЦП - общая форма'!F385</f>
        <v>0</v>
      </c>
      <c r="G385" s="246">
        <f>'Расчет ЦП - общая форма'!G385</f>
        <v>0</v>
      </c>
      <c r="H385" s="246">
        <f>'Расчет ЦП - общая форма'!H385</f>
        <v>0</v>
      </c>
      <c r="I385" s="249">
        <f>'Расчет ЦП - общая форма'!Q385</f>
        <v>0</v>
      </c>
      <c r="J385" s="249">
        <f>'Расчет ЦП - общая форма'!R385</f>
        <v>0</v>
      </c>
      <c r="K385" s="768" t="str">
        <f>'Расчет ЦП - общая форма'!S385</f>
        <v/>
      </c>
      <c r="L385" s="257" t="str">
        <f>'Расчет ЦП - общая форма'!T385</f>
        <v/>
      </c>
      <c r="M385" s="768">
        <f>'Расчет ЦП - общая форма'!U385</f>
        <v>16.666666666666664</v>
      </c>
      <c r="N385" s="924"/>
      <c r="O385" s="924"/>
      <c r="P385" s="924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33"/>
      <c r="AS385" s="233"/>
      <c r="AT385" s="233"/>
      <c r="AU385" s="233"/>
      <c r="AV385" s="233"/>
    </row>
    <row r="386" spans="1:48" ht="20.100000000000001" hidden="1" customHeight="1" x14ac:dyDescent="0.25">
      <c r="A386" s="213">
        <f>'Расчет ЦП - общая форма'!A386</f>
        <v>281</v>
      </c>
      <c r="B386" s="213">
        <f>COUNTIFS($C$8:C386,"*ПС*",$L$8:L386,"*закрыт*")</f>
        <v>45</v>
      </c>
      <c r="C386" s="244" t="str">
        <f>'Расчет ЦП - общая форма'!C386</f>
        <v xml:space="preserve">ПС 35/10 кВ Сукромля </v>
      </c>
      <c r="D386" s="245">
        <f>'Расчет ЦП - общая форма'!D386</f>
        <v>2.5</v>
      </c>
      <c r="E386" s="246">
        <f>'Расчет ЦП - общая форма'!E386</f>
        <v>0</v>
      </c>
      <c r="F386" s="246">
        <f>'Расчет ЦП - общая форма'!F386</f>
        <v>0</v>
      </c>
      <c r="G386" s="246">
        <f>'Расчет ЦП - общая форма'!G386</f>
        <v>0</v>
      </c>
      <c r="H386" s="246">
        <f>'Расчет ЦП - общая форма'!H386</f>
        <v>0</v>
      </c>
      <c r="I386" s="249">
        <f>'Расчет ЦП - общая форма'!Q386</f>
        <v>0</v>
      </c>
      <c r="J386" s="249">
        <f>'Расчет ЦП - общая форма'!R386</f>
        <v>0</v>
      </c>
      <c r="K386" s="768" t="str">
        <f>'Расчет ЦП - общая форма'!S386</f>
        <v/>
      </c>
      <c r="L386" s="257" t="str">
        <f>'Расчет ЦП - общая форма'!T386</f>
        <v/>
      </c>
      <c r="M386" s="768">
        <f>'Расчет ЦП - общая форма'!U386</f>
        <v>7.6190476190476186</v>
      </c>
      <c r="N386" s="919"/>
      <c r="O386" s="919"/>
      <c r="P386" s="919"/>
    </row>
    <row r="387" spans="1:48" s="232" customFormat="1" ht="15" hidden="1" customHeight="1" x14ac:dyDescent="0.25">
      <c r="A387" s="213">
        <f>'Расчет ЦП - общая форма'!A387</f>
        <v>282</v>
      </c>
      <c r="B387" s="213">
        <f>COUNTIFS($C$8:C387,"*ПС*",$L$8:L387,"*закрыт*")</f>
        <v>45</v>
      </c>
      <c r="C387" s="244" t="str">
        <f>'Расчет ЦП - общая форма'!C387</f>
        <v xml:space="preserve">ПС 35/10 кВ Кр. Городок </v>
      </c>
      <c r="D387" s="245">
        <f>'Расчет ЦП - общая форма'!D387</f>
        <v>0.56000000000000005</v>
      </c>
      <c r="E387" s="246">
        <f>'Расчет ЦП - общая форма'!E387</f>
        <v>0</v>
      </c>
      <c r="F387" s="246">
        <f>'Расчет ЦП - общая форма'!F387</f>
        <v>0</v>
      </c>
      <c r="G387" s="246">
        <f>'Расчет ЦП - общая форма'!G387</f>
        <v>0</v>
      </c>
      <c r="H387" s="246">
        <f>'Расчет ЦП - общая форма'!H387</f>
        <v>0</v>
      </c>
      <c r="I387" s="249">
        <f>'Расчет ЦП - общая форма'!Q387</f>
        <v>0</v>
      </c>
      <c r="J387" s="249">
        <f>'Расчет ЦП - общая форма'!R387</f>
        <v>0</v>
      </c>
      <c r="K387" s="244" t="str">
        <f>'Расчет ЦП - общая форма'!S387</f>
        <v/>
      </c>
      <c r="L387" s="257" t="str">
        <f>'Расчет ЦП - общая форма'!T387</f>
        <v/>
      </c>
      <c r="M387" s="768">
        <f>'Расчет ЦП - общая форма'!U387</f>
        <v>3.4013605442176864</v>
      </c>
      <c r="N387" s="924"/>
      <c r="O387" s="924"/>
      <c r="P387" s="924"/>
      <c r="Q387" s="233"/>
      <c r="R387" s="233"/>
      <c r="S387" s="233"/>
      <c r="T387" s="233"/>
      <c r="U387" s="233"/>
      <c r="V387" s="233"/>
      <c r="W387" s="233"/>
      <c r="X387" s="233"/>
      <c r="Y387" s="233"/>
      <c r="Z387" s="233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233"/>
      <c r="AN387" s="233"/>
      <c r="AO387" s="233"/>
      <c r="AP387" s="233"/>
      <c r="AQ387" s="233"/>
      <c r="AR387" s="233"/>
      <c r="AS387" s="233"/>
      <c r="AT387" s="233"/>
      <c r="AU387" s="233"/>
      <c r="AV387" s="233"/>
    </row>
    <row r="388" spans="1:48" s="232" customFormat="1" ht="15" hidden="1" customHeight="1" x14ac:dyDescent="0.25">
      <c r="A388" s="213">
        <f>'Расчет ЦП - общая форма'!A388</f>
        <v>283</v>
      </c>
      <c r="B388" s="213">
        <f>COUNTIFS($C$8:C388,"*ПС*",$L$8:L388,"*закрыт*")</f>
        <v>45</v>
      </c>
      <c r="C388" s="244" t="str">
        <f>'Расчет ЦП - общая форма'!C388</f>
        <v xml:space="preserve">ПС 35/10 кВ Прямухино </v>
      </c>
      <c r="D388" s="245">
        <f>'Расчет ЦП - общая форма'!D388</f>
        <v>2.5</v>
      </c>
      <c r="E388" s="246">
        <f>'Расчет ЦП - общая форма'!E388</f>
        <v>0</v>
      </c>
      <c r="F388" s="246">
        <f>'Расчет ЦП - общая форма'!F388</f>
        <v>0</v>
      </c>
      <c r="G388" s="246">
        <f>'Расчет ЦП - общая форма'!G388</f>
        <v>0</v>
      </c>
      <c r="H388" s="246">
        <f>'Расчет ЦП - общая форма'!H388</f>
        <v>0</v>
      </c>
      <c r="I388" s="249">
        <f>'Расчет ЦП - общая форма'!Q388</f>
        <v>0</v>
      </c>
      <c r="J388" s="249">
        <f>'Расчет ЦП - общая форма'!R388</f>
        <v>0</v>
      </c>
      <c r="K388" s="244" t="str">
        <f>'Расчет ЦП - общая форма'!S388</f>
        <v/>
      </c>
      <c r="L388" s="257" t="str">
        <f>'Расчет ЦП - общая форма'!T388</f>
        <v/>
      </c>
      <c r="M388" s="768">
        <f>'Расчет ЦП - общая форма'!U388</f>
        <v>38.095238095238095</v>
      </c>
      <c r="N388" s="924"/>
      <c r="O388" s="924"/>
      <c r="P388" s="924"/>
      <c r="Q388" s="233"/>
      <c r="R388" s="233"/>
      <c r="S388" s="233"/>
      <c r="T388" s="233"/>
      <c r="U388" s="233"/>
      <c r="V388" s="233"/>
      <c r="W388" s="233"/>
      <c r="X388" s="233"/>
      <c r="Y388" s="233"/>
      <c r="Z388" s="233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  <c r="AM388" s="233"/>
      <c r="AN388" s="233"/>
      <c r="AO388" s="233"/>
      <c r="AP388" s="233"/>
      <c r="AQ388" s="233"/>
      <c r="AR388" s="233"/>
      <c r="AS388" s="233"/>
      <c r="AT388" s="233"/>
      <c r="AU388" s="233"/>
      <c r="AV388" s="233"/>
    </row>
    <row r="389" spans="1:48" s="232" customFormat="1" ht="15" customHeight="1" x14ac:dyDescent="0.25">
      <c r="A389" s="213">
        <f>'Расчет ЦП - общая форма'!A389</f>
        <v>284</v>
      </c>
      <c r="B389" s="213">
        <f>COUNTIFS($C$8:C389,"*ПС*",$L$8:L389,"*закрыт*")</f>
        <v>46</v>
      </c>
      <c r="C389" s="244" t="str">
        <f>'Расчет ЦП - общая форма'!C389</f>
        <v xml:space="preserve">ПС 35/10 кВ Пень  </v>
      </c>
      <c r="D389" s="245">
        <f>'Расчет ЦП - общая форма'!D389</f>
        <v>1.6</v>
      </c>
      <c r="E389" s="246">
        <f>'Расчет ЦП - общая форма'!E389</f>
        <v>0</v>
      </c>
      <c r="F389" s="246">
        <f>'Расчет ЦП - общая форма'!F389</f>
        <v>0</v>
      </c>
      <c r="G389" s="246">
        <f>'Расчет ЦП - общая форма'!G389</f>
        <v>0</v>
      </c>
      <c r="H389" s="246">
        <f>'Расчет ЦП - общая форма'!H389</f>
        <v>0</v>
      </c>
      <c r="I389" s="249">
        <f>'Расчет ЦП - общая форма'!Q389</f>
        <v>-0.3</v>
      </c>
      <c r="J389" s="249">
        <f>'Расчет ЦП - общая форма'!R389</f>
        <v>-0.3</v>
      </c>
      <c r="K389" s="244" t="str">
        <f>'Расчет ЦП - общая форма'!S389</f>
        <v>закрыт</v>
      </c>
      <c r="L389" s="257" t="str">
        <f>'Расчет ЦП - общая форма'!T389</f>
        <v>закрыт</v>
      </c>
      <c r="M389" s="768">
        <f>'Расчет ЦП - общая форма'!U389</f>
        <v>17.857142857142854</v>
      </c>
      <c r="N389" s="924"/>
      <c r="O389" s="924"/>
      <c r="P389" s="924"/>
      <c r="Q389" s="233"/>
      <c r="R389" s="233"/>
      <c r="S389" s="233"/>
      <c r="T389" s="233"/>
      <c r="U389" s="233"/>
      <c r="V389" s="233"/>
      <c r="W389" s="233"/>
      <c r="X389" s="233"/>
      <c r="Y389" s="233"/>
      <c r="Z389" s="233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  <c r="AM389" s="233"/>
      <c r="AN389" s="233"/>
      <c r="AO389" s="233"/>
      <c r="AP389" s="233"/>
      <c r="AQ389" s="233"/>
      <c r="AR389" s="233"/>
      <c r="AS389" s="233"/>
      <c r="AT389" s="233"/>
      <c r="AU389" s="233"/>
      <c r="AV389" s="233"/>
    </row>
    <row r="390" spans="1:48" s="232" customFormat="1" ht="15" hidden="1" customHeight="1" x14ac:dyDescent="0.25">
      <c r="A390" s="213">
        <f>'Расчет ЦП - общая форма'!A390</f>
        <v>285</v>
      </c>
      <c r="B390" s="213">
        <f>COUNTIFS($C$8:C390,"*ПС*",$L$8:L390,"*закрыт*")</f>
        <v>46</v>
      </c>
      <c r="C390" s="244" t="str">
        <f>'Расчет ЦП - общая форма'!C390</f>
        <v xml:space="preserve">ПС 35/10 кВ Печниково </v>
      </c>
      <c r="D390" s="245">
        <f>'Расчет ЦП - общая форма'!D390</f>
        <v>2.5</v>
      </c>
      <c r="E390" s="246">
        <f>'Расчет ЦП - общая форма'!E390</f>
        <v>0</v>
      </c>
      <c r="F390" s="246">
        <f>'Расчет ЦП - общая форма'!F390</f>
        <v>0</v>
      </c>
      <c r="G390" s="246">
        <f>'Расчет ЦП - общая форма'!G390</f>
        <v>0</v>
      </c>
      <c r="H390" s="246">
        <f>'Расчет ЦП - общая форма'!H390</f>
        <v>0</v>
      </c>
      <c r="I390" s="249">
        <f>'Расчет ЦП - общая форма'!Q390</f>
        <v>0</v>
      </c>
      <c r="J390" s="249">
        <f>'Расчет ЦП - общая форма'!R390</f>
        <v>0</v>
      </c>
      <c r="K390" s="244" t="str">
        <f>'Расчет ЦП - общая форма'!S390</f>
        <v/>
      </c>
      <c r="L390" s="257" t="str">
        <f>'Расчет ЦП - общая форма'!T390</f>
        <v/>
      </c>
      <c r="M390" s="768">
        <f>'Расчет ЦП - общая форма'!U390</f>
        <v>3.8095238095238093</v>
      </c>
      <c r="N390" s="919"/>
      <c r="O390" s="919"/>
      <c r="P390" s="919"/>
    </row>
    <row r="391" spans="1:48" ht="20.100000000000001" hidden="1" customHeight="1" x14ac:dyDescent="0.25">
      <c r="A391" s="213">
        <f>'Расчет ЦП - общая форма'!A391</f>
        <v>286</v>
      </c>
      <c r="B391" s="213">
        <f>COUNTIFS($C$8:C391,"*ПС*",$L$8:L391,"*закрыт*")</f>
        <v>46</v>
      </c>
      <c r="C391" s="244" t="str">
        <f>'Расчет ЦП - общая форма'!C391</f>
        <v xml:space="preserve">ПС 35/10 кВ Максимково </v>
      </c>
      <c r="D391" s="245">
        <f>'Расчет ЦП - общая форма'!D391</f>
        <v>2.5</v>
      </c>
      <c r="E391" s="246">
        <f>'Расчет ЦП - общая форма'!E391</f>
        <v>0</v>
      </c>
      <c r="F391" s="246">
        <f>'Расчет ЦП - общая форма'!F391</f>
        <v>0</v>
      </c>
      <c r="G391" s="246">
        <f>'Расчет ЦП - общая форма'!G391</f>
        <v>0</v>
      </c>
      <c r="H391" s="246">
        <f>'Расчет ЦП - общая форма'!H391</f>
        <v>0</v>
      </c>
      <c r="I391" s="249">
        <f>'Расчет ЦП - общая форма'!Q391</f>
        <v>0</v>
      </c>
      <c r="J391" s="249">
        <f>'Расчет ЦП - общая форма'!R391</f>
        <v>0</v>
      </c>
      <c r="K391" s="244" t="str">
        <f>'Расчет ЦП - общая форма'!S391</f>
        <v/>
      </c>
      <c r="L391" s="257" t="str">
        <f>'Расчет ЦП - общая форма'!T391</f>
        <v/>
      </c>
      <c r="M391" s="768">
        <f>'Расчет ЦП - общая форма'!U391</f>
        <v>22.857142857142858</v>
      </c>
      <c r="N391" s="919"/>
      <c r="O391" s="919"/>
      <c r="P391" s="919"/>
    </row>
    <row r="392" spans="1:48" ht="20.100000000000001" hidden="1" customHeight="1" x14ac:dyDescent="0.25">
      <c r="A392" s="213">
        <f>'Расчет ЦП - общая форма'!A392</f>
        <v>287</v>
      </c>
      <c r="B392" s="213">
        <f>COUNTIFS($C$8:C392,"*ПС*",$L$8:L392,"*закрыт*")</f>
        <v>46</v>
      </c>
      <c r="C392" s="244" t="str">
        <f>'Расчет ЦП - общая форма'!C392</f>
        <v xml:space="preserve">ПС 35/10 кВ Филистово </v>
      </c>
      <c r="D392" s="245">
        <f>'Расчет ЦП - общая форма'!D392</f>
        <v>1.6</v>
      </c>
      <c r="E392" s="246">
        <f>'Расчет ЦП - общая форма'!E392</f>
        <v>0</v>
      </c>
      <c r="F392" s="246">
        <f>'Расчет ЦП - общая форма'!F392</f>
        <v>0</v>
      </c>
      <c r="G392" s="246">
        <f>'Расчет ЦП - общая форма'!G392</f>
        <v>0</v>
      </c>
      <c r="H392" s="246">
        <f>'Расчет ЦП - общая форма'!H392</f>
        <v>0</v>
      </c>
      <c r="I392" s="249">
        <f>'Расчет ЦП - общая форма'!Q392</f>
        <v>0</v>
      </c>
      <c r="J392" s="249">
        <f>'Расчет ЦП - общая форма'!R392</f>
        <v>0</v>
      </c>
      <c r="K392" s="244" t="str">
        <f>'Расчет ЦП - общая форма'!S392</f>
        <v/>
      </c>
      <c r="L392" s="257" t="str">
        <f>'Расчет ЦП - общая форма'!T392</f>
        <v/>
      </c>
      <c r="M392" s="768">
        <f>'Расчет ЦП - общая форма'!U392</f>
        <v>11.904761904761903</v>
      </c>
      <c r="N392" s="919"/>
      <c r="O392" s="919"/>
      <c r="P392" s="919"/>
    </row>
    <row r="393" spans="1:48" ht="20.100000000000001" hidden="1" customHeight="1" x14ac:dyDescent="0.25">
      <c r="A393" s="213">
        <f>'Расчет ЦП - общая форма'!A393</f>
        <v>288</v>
      </c>
      <c r="B393" s="213">
        <f>COUNTIFS($C$8:C393,"*ПС*",$L$8:L393,"*закрыт*")</f>
        <v>46</v>
      </c>
      <c r="C393" s="244" t="str">
        <f>'Расчет ЦП - общая форма'!C393</f>
        <v xml:space="preserve">ПС 35/10 кВ Оковцы  </v>
      </c>
      <c r="D393" s="245">
        <f>'Расчет ЦП - общая форма'!D393</f>
        <v>1</v>
      </c>
      <c r="E393" s="246">
        <f>'Расчет ЦП - общая форма'!E393</f>
        <v>0</v>
      </c>
      <c r="F393" s="246">
        <f>'Расчет ЦП - общая форма'!F393</f>
        <v>0</v>
      </c>
      <c r="G393" s="246">
        <f>'Расчет ЦП - общая форма'!G393</f>
        <v>0</v>
      </c>
      <c r="H393" s="246">
        <f>'Расчет ЦП - общая форма'!H393</f>
        <v>0</v>
      </c>
      <c r="I393" s="249">
        <f>'Расчет ЦП - общая форма'!Q393</f>
        <v>0</v>
      </c>
      <c r="J393" s="249">
        <f>'Расчет ЦП - общая форма'!R393</f>
        <v>0</v>
      </c>
      <c r="K393" s="244" t="str">
        <f>'Расчет ЦП - общая форма'!S393</f>
        <v/>
      </c>
      <c r="L393" s="257" t="str">
        <f>'Расчет ЦП - общая форма'!T393</f>
        <v/>
      </c>
      <c r="M393" s="768">
        <f>'Расчет ЦП - общая форма'!U393</f>
        <v>28.571428571428569</v>
      </c>
      <c r="N393" s="919"/>
      <c r="O393" s="919"/>
      <c r="P393" s="919"/>
    </row>
    <row r="394" spans="1:48" ht="20.100000000000001" customHeight="1" x14ac:dyDescent="0.25">
      <c r="A394" s="213">
        <f>'Расчет ЦП - общая форма'!A394</f>
        <v>289</v>
      </c>
      <c r="B394" s="213">
        <f>COUNTIFS($C$8:C394,"*ПС*",$L$8:L394,"*закрыт*")</f>
        <v>47</v>
      </c>
      <c r="C394" s="244" t="str">
        <f>'Расчет ЦП - общая форма'!C394</f>
        <v xml:space="preserve">ПС 35/10 кВ Селигер  </v>
      </c>
      <c r="D394" s="245">
        <f>'Расчет ЦП - общая форма'!D394</f>
        <v>6.3</v>
      </c>
      <c r="E394" s="246">
        <f>'Расчет ЦП - общая форма'!E394</f>
        <v>0</v>
      </c>
      <c r="F394" s="246">
        <f>'Расчет ЦП - общая форма'!F394</f>
        <v>0</v>
      </c>
      <c r="G394" s="246">
        <f>'Расчет ЦП - общая форма'!G394</f>
        <v>0</v>
      </c>
      <c r="H394" s="246">
        <f>'Расчет ЦП - общая форма'!H394</f>
        <v>0</v>
      </c>
      <c r="I394" s="249">
        <f>'Расчет ЦП - общая форма'!Q394</f>
        <v>-4.5999999999999996</v>
      </c>
      <c r="J394" s="249">
        <f>'Расчет ЦП - общая форма'!R394</f>
        <v>-4.5999999999999996</v>
      </c>
      <c r="K394" s="244" t="str">
        <f>'Расчет ЦП - общая форма'!S394</f>
        <v>закрыт</v>
      </c>
      <c r="L394" s="257" t="str">
        <f>'Расчет ЦП - общая форма'!T394</f>
        <v>закрыт</v>
      </c>
      <c r="M394" s="768">
        <f>'Расчет ЦП - общая форма'!U394</f>
        <v>69.538926681783821</v>
      </c>
      <c r="N394" s="924"/>
      <c r="O394" s="924"/>
      <c r="P394" s="924"/>
    </row>
    <row r="395" spans="1:48" s="232" customFormat="1" ht="15" customHeight="1" x14ac:dyDescent="0.25">
      <c r="A395" s="213">
        <f>'Расчет ЦП - общая форма'!A395</f>
        <v>290</v>
      </c>
      <c r="B395" s="213">
        <f>COUNTIFS($C$8:C395,"*ПС*",$L$8:L395,"*закрыт*")</f>
        <v>48</v>
      </c>
      <c r="C395" s="244" t="str">
        <f>'Расчет ЦП - общая форма'!C395</f>
        <v xml:space="preserve">ПС 35/10 кВ Мошары  </v>
      </c>
      <c r="D395" s="245">
        <f>'Расчет ЦП - общая форма'!D395</f>
        <v>1.6</v>
      </c>
      <c r="E395" s="246">
        <f>'Расчет ЦП - общая форма'!E395</f>
        <v>0</v>
      </c>
      <c r="F395" s="246">
        <f>'Расчет ЦП - общая форма'!F395</f>
        <v>0</v>
      </c>
      <c r="G395" s="246">
        <f>'Расчет ЦП - общая форма'!G395</f>
        <v>0</v>
      </c>
      <c r="H395" s="246">
        <f>'Расчет ЦП - общая форма'!H395</f>
        <v>0</v>
      </c>
      <c r="I395" s="249">
        <f>'Расчет ЦП - общая форма'!Q395</f>
        <v>-0.2</v>
      </c>
      <c r="J395" s="249">
        <f>'Расчет ЦП - общая форма'!R395</f>
        <v>-0.2</v>
      </c>
      <c r="K395" s="244" t="str">
        <f>'Расчет ЦП - общая форма'!S395</f>
        <v>закрыт</v>
      </c>
      <c r="L395" s="257" t="str">
        <f>'Расчет ЦП - общая форма'!T395</f>
        <v>закрыт</v>
      </c>
      <c r="M395" s="768">
        <f>'Расчет ЦП - общая форма'!U395</f>
        <v>11.904761904761903</v>
      </c>
      <c r="N395" s="924"/>
      <c r="O395" s="924"/>
      <c r="P395" s="924"/>
      <c r="Q395" s="233"/>
      <c r="R395" s="233"/>
      <c r="S395" s="233"/>
      <c r="T395" s="233"/>
      <c r="U395" s="233"/>
      <c r="V395" s="233"/>
      <c r="W395" s="233"/>
      <c r="X395" s="233"/>
      <c r="Y395" s="233"/>
      <c r="Z395" s="233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  <c r="AM395" s="233"/>
      <c r="AN395" s="233"/>
      <c r="AO395" s="233"/>
      <c r="AP395" s="233"/>
      <c r="AQ395" s="233"/>
      <c r="AR395" s="233"/>
      <c r="AS395" s="233"/>
      <c r="AT395" s="233"/>
      <c r="AU395" s="233"/>
      <c r="AV395" s="233"/>
    </row>
    <row r="396" spans="1:48" s="232" customFormat="1" ht="15" customHeight="1" x14ac:dyDescent="0.25">
      <c r="A396" s="213">
        <f>'Расчет ЦП - общая форма'!A396</f>
        <v>291</v>
      </c>
      <c r="B396" s="213">
        <f>COUNTIFS($C$8:C396,"*ПС*",$L$8:L396,"*закрыт*")</f>
        <v>49</v>
      </c>
      <c r="C396" s="244" t="str">
        <f>'Расчет ЦП - общая форма'!C396</f>
        <v xml:space="preserve">ПС  35/10 кВ Ворошилово </v>
      </c>
      <c r="D396" s="245">
        <f>'Расчет ЦП - общая форма'!D396</f>
        <v>1</v>
      </c>
      <c r="E396" s="246">
        <f>'Расчет ЦП - общая форма'!E396</f>
        <v>0</v>
      </c>
      <c r="F396" s="246">
        <f>'Расчет ЦП - общая форма'!F396</f>
        <v>0</v>
      </c>
      <c r="G396" s="246">
        <f>'Расчет ЦП - общая форма'!G396</f>
        <v>0</v>
      </c>
      <c r="H396" s="246">
        <f>'Расчет ЦП - общая форма'!H396</f>
        <v>0</v>
      </c>
      <c r="I396" s="249">
        <f>'Расчет ЦП - общая форма'!Q396</f>
        <v>-0.4</v>
      </c>
      <c r="J396" s="249">
        <f>'Расчет ЦП - общая форма'!R396</f>
        <v>-0.4</v>
      </c>
      <c r="K396" s="244" t="str">
        <f>'Расчет ЦП - общая форма'!S396</f>
        <v>закрыт</v>
      </c>
      <c r="L396" s="257" t="str">
        <f>'Расчет ЦП - общая форма'!T396</f>
        <v>закрыт</v>
      </c>
      <c r="M396" s="768">
        <f>'Расчет ЦП - общая форма'!U396</f>
        <v>38.095238095238095</v>
      </c>
      <c r="N396" s="924"/>
      <c r="O396" s="924"/>
      <c r="P396" s="924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233"/>
      <c r="AN396" s="233"/>
      <c r="AO396" s="233"/>
      <c r="AP396" s="233"/>
      <c r="AQ396" s="233"/>
      <c r="AR396" s="233"/>
      <c r="AS396" s="233"/>
      <c r="AT396" s="233"/>
      <c r="AU396" s="233"/>
      <c r="AV396" s="233"/>
    </row>
    <row r="397" spans="1:48" s="232" customFormat="1" ht="15" customHeight="1" x14ac:dyDescent="0.25">
      <c r="A397" s="213">
        <f>'Расчет ЦП - общая форма'!A397</f>
        <v>292</v>
      </c>
      <c r="B397" s="213">
        <f>COUNTIFS($C$8:C397,"*ПС*",$L$8:L397,"*закрыт*")</f>
        <v>50</v>
      </c>
      <c r="C397" s="244" t="str">
        <f>'Расчет ЦП - общая форма'!C397</f>
        <v xml:space="preserve">ПС 35/10 кВ Слаутино   </v>
      </c>
      <c r="D397" s="245">
        <f>'Расчет ЦП - общая форма'!D397</f>
        <v>1.6</v>
      </c>
      <c r="E397" s="246">
        <f>'Расчет ЦП - общая форма'!E397</f>
        <v>0</v>
      </c>
      <c r="F397" s="246">
        <f>'Расчет ЦП - общая форма'!F397</f>
        <v>0</v>
      </c>
      <c r="G397" s="246">
        <f>'Расчет ЦП - общая форма'!G397</f>
        <v>0</v>
      </c>
      <c r="H397" s="246">
        <f>'Расчет ЦП - общая форма'!H397</f>
        <v>0</v>
      </c>
      <c r="I397" s="249">
        <f>'Расчет ЦП - общая форма'!Q397</f>
        <v>-0.6</v>
      </c>
      <c r="J397" s="249">
        <f>'Расчет ЦП - общая форма'!R397</f>
        <v>-0.6</v>
      </c>
      <c r="K397" s="244" t="str">
        <f>'Расчет ЦП - общая форма'!S397</f>
        <v>закрыт</v>
      </c>
      <c r="L397" s="257" t="str">
        <f>'Расчет ЦП - общая форма'!T397</f>
        <v>закрыт</v>
      </c>
      <c r="M397" s="768">
        <f>'Расчет ЦП - общая форма'!U397</f>
        <v>35.714285714285708</v>
      </c>
      <c r="N397" s="924"/>
      <c r="O397" s="924"/>
      <c r="P397" s="924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  <c r="AM397" s="233"/>
      <c r="AN397" s="233"/>
      <c r="AO397" s="233"/>
      <c r="AP397" s="233"/>
      <c r="AQ397" s="233"/>
      <c r="AR397" s="233"/>
      <c r="AS397" s="233"/>
      <c r="AT397" s="233"/>
      <c r="AU397" s="233"/>
      <c r="AV397" s="233"/>
    </row>
    <row r="398" spans="1:48" s="232" customFormat="1" ht="15" customHeight="1" x14ac:dyDescent="0.25">
      <c r="A398" s="213">
        <f>'Расчет ЦП - общая форма'!A398</f>
        <v>293</v>
      </c>
      <c r="B398" s="213">
        <f>COUNTIFS($C$8:C398,"*ПС*",$L$8:L398,"*закрыт*")</f>
        <v>51</v>
      </c>
      <c r="C398" s="244" t="str">
        <f>'Расчет ЦП - общая форма'!C398</f>
        <v xml:space="preserve">ПС 35/10 кВ Мошки </v>
      </c>
      <c r="D398" s="245">
        <f>'Расчет ЦП - общая форма'!D398</f>
        <v>2.5</v>
      </c>
      <c r="E398" s="246" t="str">
        <f>'Расчет ЦП - общая форма'!E398</f>
        <v>+</v>
      </c>
      <c r="F398" s="246">
        <f>'Расчет ЦП - общая форма'!F398</f>
        <v>1.6</v>
      </c>
      <c r="G398" s="246">
        <f>'Расчет ЦП - общая форма'!G398</f>
        <v>0</v>
      </c>
      <c r="H398" s="246">
        <f>'Расчет ЦП - общая форма'!H398</f>
        <v>0</v>
      </c>
      <c r="I398" s="249">
        <f>'Расчет ЦП - общая форма'!Q398</f>
        <v>-1.9999999999999796E-2</v>
      </c>
      <c r="J398" s="249">
        <f>'Расчет ЦП - общая форма'!R398</f>
        <v>-1.9999999999999796E-2</v>
      </c>
      <c r="K398" s="244" t="str">
        <f>'Расчет ЦП - общая форма'!S398</f>
        <v>закрыт</v>
      </c>
      <c r="L398" s="257" t="str">
        <f>'Расчет ЦП - общая форма'!T398</f>
        <v>закрыт</v>
      </c>
      <c r="M398" s="768">
        <f>'Расчет ЦП - общая форма'!U398</f>
        <v>101.19047619047618</v>
      </c>
      <c r="N398" s="924"/>
      <c r="O398" s="924"/>
      <c r="P398" s="924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</row>
    <row r="399" spans="1:48" s="232" customFormat="1" ht="15" hidden="1" customHeight="1" x14ac:dyDescent="0.25">
      <c r="A399" s="213">
        <f>'Расчет ЦП - общая форма'!A399</f>
        <v>294</v>
      </c>
      <c r="B399" s="213">
        <f>COUNTIFS($C$8:C399,"*ПС*",$L$8:L399,"*закрыт*")</f>
        <v>51</v>
      </c>
      <c r="C399" s="244" t="str">
        <f>'Расчет ЦП - общая форма'!C399</f>
        <v xml:space="preserve">ПС 35/10 кВ Высокое  </v>
      </c>
      <c r="D399" s="245">
        <f>'Расчет ЦП - общая форма'!D399</f>
        <v>4</v>
      </c>
      <c r="E399" s="246" t="str">
        <f>'Расчет ЦП - общая форма'!E399</f>
        <v>+</v>
      </c>
      <c r="F399" s="246">
        <f>'Расчет ЦП - общая форма'!F399</f>
        <v>2.5</v>
      </c>
      <c r="G399" s="246">
        <f>'Расчет ЦП - общая форма'!G399</f>
        <v>0</v>
      </c>
      <c r="H399" s="246">
        <f>'Расчет ЦП - общая форма'!H399</f>
        <v>0</v>
      </c>
      <c r="I399" s="249">
        <f>'Расчет ЦП - общая форма'!Q399</f>
        <v>1.5249999999999999</v>
      </c>
      <c r="J399" s="249">
        <f>'Расчет ЦП - общая форма'!R399</f>
        <v>1.5249999999999999</v>
      </c>
      <c r="K399" s="244" t="str">
        <f>'Расчет ЦП - общая форма'!S399</f>
        <v/>
      </c>
      <c r="L399" s="257" t="str">
        <f>'Расчет ЦП - общая форма'!T399</f>
        <v/>
      </c>
      <c r="M399" s="768">
        <f>'Расчет ЦП - общая форма'!U399</f>
        <v>41.904761904761912</v>
      </c>
      <c r="N399" s="919"/>
      <c r="O399" s="919"/>
      <c r="P399" s="919"/>
    </row>
    <row r="400" spans="1:48" s="232" customFormat="1" ht="15" hidden="1" customHeight="1" x14ac:dyDescent="0.25">
      <c r="A400" s="213">
        <f>'Расчет ЦП - общая форма'!A400</f>
        <v>295</v>
      </c>
      <c r="B400" s="213">
        <f>COUNTIFS($C$8:C400,"*ПС*",$L$8:L400,"*закрыт*")</f>
        <v>51</v>
      </c>
      <c r="C400" s="244" t="str">
        <f>'Расчет ЦП - общая форма'!C400</f>
        <v xml:space="preserve">ПС 35/10 кВ Бубеньево  </v>
      </c>
      <c r="D400" s="245">
        <f>'Расчет ЦП - общая форма'!D400</f>
        <v>4</v>
      </c>
      <c r="E400" s="246" t="str">
        <f>'Расчет ЦП - общая форма'!E400</f>
        <v>+</v>
      </c>
      <c r="F400" s="246">
        <f>'Расчет ЦП - общая форма'!F400</f>
        <v>4</v>
      </c>
      <c r="G400" s="246">
        <f>'Расчет ЦП - общая форма'!G400</f>
        <v>0</v>
      </c>
      <c r="H400" s="246">
        <f>'Расчет ЦП - общая форма'!H400</f>
        <v>0</v>
      </c>
      <c r="I400" s="249">
        <f>'Расчет ЦП - общая форма'!Q400</f>
        <v>1.3000000000000003</v>
      </c>
      <c r="J400" s="249">
        <f>'Расчет ЦП - общая форма'!R400</f>
        <v>1.3000000000000003</v>
      </c>
      <c r="K400" s="244" t="str">
        <f>'Расчет ЦП - общая форма'!S400</f>
        <v/>
      </c>
      <c r="L400" s="257" t="str">
        <f>'Расчет ЦП - общая форма'!T400</f>
        <v/>
      </c>
      <c r="M400" s="768">
        <f>'Расчет ЦП - общая форма'!U400</f>
        <v>69.047619047619051</v>
      </c>
      <c r="N400" s="919"/>
      <c r="O400" s="919"/>
      <c r="P400" s="919"/>
    </row>
    <row r="401" spans="1:16" ht="15" hidden="1" customHeight="1" x14ac:dyDescent="0.25">
      <c r="A401" s="213">
        <f>'Расчет ЦП - общая форма'!A401</f>
        <v>296</v>
      </c>
      <c r="B401" s="213">
        <f>COUNTIFS($C$8:C401,"*ПС*",$L$8:L401,"*закрыт*")</f>
        <v>51</v>
      </c>
      <c r="C401" s="244" t="str">
        <f>'Расчет ЦП - общая форма'!C401</f>
        <v xml:space="preserve">ПС 35/10 кВ Б.Вишенье </v>
      </c>
      <c r="D401" s="245">
        <f>'Расчет ЦП - общая форма'!D401</f>
        <v>2.5</v>
      </c>
      <c r="E401" s="246" t="str">
        <f>'Расчет ЦП - общая форма'!E401</f>
        <v>+</v>
      </c>
      <c r="F401" s="246">
        <f>'Расчет ЦП - общая форма'!F401</f>
        <v>2.5</v>
      </c>
      <c r="G401" s="246">
        <f>'Расчет ЦП - общая форма'!G401</f>
        <v>0</v>
      </c>
      <c r="H401" s="246">
        <f>'Расчет ЦП - общая форма'!H401</f>
        <v>0</v>
      </c>
      <c r="I401" s="249">
        <f>'Расчет ЦП - общая форма'!Q401</f>
        <v>2.5249999999999999</v>
      </c>
      <c r="J401" s="249">
        <f>'Расчет ЦП - общая форма'!R401</f>
        <v>2.5249999999999999</v>
      </c>
      <c r="K401" s="244" t="str">
        <f>'Расчет ЦП - общая форма'!S401</f>
        <v/>
      </c>
      <c r="L401" s="257" t="str">
        <f>'Расчет ЦП - общая форма'!T401</f>
        <v/>
      </c>
      <c r="M401" s="768">
        <f>'Расчет ЦП - общая форма'!U401</f>
        <v>3.8095238095238093</v>
      </c>
      <c r="N401" s="919"/>
      <c r="O401" s="919"/>
      <c r="P401" s="919"/>
    </row>
    <row r="402" spans="1:16" ht="15" customHeight="1" x14ac:dyDescent="0.25">
      <c r="A402" s="213">
        <f>'Расчет ЦП - общая форма'!A402</f>
        <v>297</v>
      </c>
      <c r="B402" s="213">
        <f>COUNTIFS($C$8:C402,"*ПС*",$L$8:L402,"*закрыт*")</f>
        <v>52</v>
      </c>
      <c r="C402" s="244" t="str">
        <f>'Расчет ЦП - общая форма'!C402</f>
        <v xml:space="preserve">ПС 35/10 кВ Будово </v>
      </c>
      <c r="D402" s="245">
        <f>'Расчет ЦП - общая форма'!D402</f>
        <v>2.5</v>
      </c>
      <c r="E402" s="246" t="str">
        <f>'Расчет ЦП - общая форма'!E402</f>
        <v>+</v>
      </c>
      <c r="F402" s="246">
        <f>'Расчет ЦП - общая форма'!F402</f>
        <v>2.5</v>
      </c>
      <c r="G402" s="246">
        <f>'Расчет ЦП - общая форма'!G402</f>
        <v>0</v>
      </c>
      <c r="H402" s="246">
        <f>'Расчет ЦП - общая форма'!H402</f>
        <v>0</v>
      </c>
      <c r="I402" s="249">
        <f>'Расчет ЦП - общая форма'!Q402</f>
        <v>-7.5000000000000178E-2</v>
      </c>
      <c r="J402" s="249">
        <f>'Расчет ЦП - общая форма'!R402</f>
        <v>-7.5000000000000178E-2</v>
      </c>
      <c r="K402" s="244" t="str">
        <f>'Расчет ЦП - общая форма'!S402</f>
        <v>закрыт</v>
      </c>
      <c r="L402" s="257" t="str">
        <f>'Расчет ЦП - общая форма'!T402</f>
        <v>закрыт</v>
      </c>
      <c r="M402" s="768">
        <f>'Расчет ЦП - общая форма'!U402</f>
        <v>102.85714285714286</v>
      </c>
      <c r="N402" s="924"/>
      <c r="O402" s="924"/>
      <c r="P402" s="924"/>
    </row>
    <row r="403" spans="1:16" ht="15" hidden="1" customHeight="1" x14ac:dyDescent="0.25">
      <c r="A403" s="213">
        <f>'Расчет ЦП - общая форма'!A403</f>
        <v>298</v>
      </c>
      <c r="B403" s="213">
        <f>COUNTIFS($C$8:C403,"*ПС*",$L$8:L403,"*закрыт*")</f>
        <v>52</v>
      </c>
      <c r="C403" s="244" t="str">
        <f>'Расчет ЦП - общая форма'!C403</f>
        <v xml:space="preserve">ПС 35/10 кВ Ельцы  </v>
      </c>
      <c r="D403" s="245">
        <f>'Расчет ЦП - общая форма'!D403</f>
        <v>4</v>
      </c>
      <c r="E403" s="246" t="str">
        <f>'Расчет ЦП - общая форма'!E403</f>
        <v>+</v>
      </c>
      <c r="F403" s="246">
        <f>'Расчет ЦП - общая форма'!F403</f>
        <v>4</v>
      </c>
      <c r="G403" s="246">
        <f>'Расчет ЦП - общая форма'!G403</f>
        <v>0</v>
      </c>
      <c r="H403" s="246">
        <f>'Расчет ЦП - общая форма'!H403</f>
        <v>0</v>
      </c>
      <c r="I403" s="249">
        <f>'Расчет ЦП - общая форма'!Q403</f>
        <v>3.6</v>
      </c>
      <c r="J403" s="249">
        <f>'Расчет ЦП - общая форма'!R403</f>
        <v>3.6</v>
      </c>
      <c r="K403" s="244" t="str">
        <f>'Расчет ЦП - общая форма'!S403</f>
        <v/>
      </c>
      <c r="L403" s="257" t="str">
        <f>'Расчет ЦП - общая форма'!T403</f>
        <v/>
      </c>
      <c r="M403" s="768">
        <f>'Расчет ЦП - общая форма'!U403</f>
        <v>14.285714285714285</v>
      </c>
      <c r="N403" s="919"/>
      <c r="O403" s="919"/>
      <c r="P403" s="919"/>
    </row>
    <row r="404" spans="1:16" ht="15" hidden="1" customHeight="1" x14ac:dyDescent="0.25">
      <c r="A404" s="213">
        <f>'Расчет ЦП - общая форма'!A404</f>
        <v>299</v>
      </c>
      <c r="B404" s="213">
        <f>COUNTIFS($C$8:C404,"*ПС*",$L$8:L404,"*закрыт*")</f>
        <v>52</v>
      </c>
      <c r="C404" s="244" t="str">
        <f>'Расчет ЦП - общая форма'!C404</f>
        <v xml:space="preserve">ПС 35/10 кВ Селище </v>
      </c>
      <c r="D404" s="245">
        <f>'Расчет ЦП - общая форма'!D404</f>
        <v>4</v>
      </c>
      <c r="E404" s="246" t="str">
        <f>'Расчет ЦП - общая форма'!E404</f>
        <v>+</v>
      </c>
      <c r="F404" s="246">
        <f>'Расчет ЦП - общая форма'!F404</f>
        <v>4</v>
      </c>
      <c r="G404" s="246">
        <f>'Расчет ЦП - общая форма'!G404</f>
        <v>0</v>
      </c>
      <c r="H404" s="246">
        <f>'Расчет ЦП - общая форма'!H404</f>
        <v>0</v>
      </c>
      <c r="I404" s="249">
        <f>'Расчет ЦП - общая форма'!Q404</f>
        <v>2.3000000000000003</v>
      </c>
      <c r="J404" s="249">
        <f>'Расчет ЦП - общая форма'!R404</f>
        <v>2.3000000000000003</v>
      </c>
      <c r="K404" s="244" t="str">
        <f>'Расчет ЦП - общая форма'!S404</f>
        <v/>
      </c>
      <c r="L404" s="257" t="str">
        <f>'Расчет ЦП - общая форма'!T404</f>
        <v/>
      </c>
      <c r="M404" s="768">
        <f>'Расчет ЦП - общая форма'!U404</f>
        <v>45.238095238095234</v>
      </c>
      <c r="N404" s="919"/>
      <c r="O404" s="919"/>
      <c r="P404" s="919"/>
    </row>
    <row r="405" spans="1:16" ht="15" hidden="1" customHeight="1" x14ac:dyDescent="0.25">
      <c r="A405" s="213">
        <f>'Расчет ЦП - общая форма'!A405</f>
        <v>300</v>
      </c>
      <c r="B405" s="213">
        <f>COUNTIFS($C$8:C405,"*ПС*",$L$8:L405,"*закрыт*")</f>
        <v>52</v>
      </c>
      <c r="C405" s="244" t="str">
        <f>'Расчет ЦП - общая форма'!C405</f>
        <v xml:space="preserve">ПС 35/10 кВ Святое </v>
      </c>
      <c r="D405" s="245">
        <f>'Расчет ЦП - общая форма'!D405</f>
        <v>2.5</v>
      </c>
      <c r="E405" s="246" t="str">
        <f>'Расчет ЦП - общая форма'!E405</f>
        <v>+</v>
      </c>
      <c r="F405" s="246">
        <f>'Расчет ЦП - общая форма'!F405</f>
        <v>1.6</v>
      </c>
      <c r="G405" s="246">
        <f>'Расчет ЦП - общая форма'!G405</f>
        <v>0</v>
      </c>
      <c r="H405" s="246">
        <f>'Расчет ЦП - общая форма'!H405</f>
        <v>0</v>
      </c>
      <c r="I405" s="249">
        <f>'Расчет ЦП - общая форма'!Q405</f>
        <v>0.68000000000000016</v>
      </c>
      <c r="J405" s="249">
        <f>'Расчет ЦП - общая форма'!R405</f>
        <v>0.68000000000000016</v>
      </c>
      <c r="K405" s="244" t="str">
        <f>'Расчет ЦП - общая форма'!S405</f>
        <v/>
      </c>
      <c r="L405" s="257" t="str">
        <f>'Расчет ЦП - общая форма'!T405</f>
        <v/>
      </c>
      <c r="M405" s="768">
        <f>'Расчет ЦП - общая форма'!U405</f>
        <v>59.523809523809518</v>
      </c>
      <c r="N405" s="919"/>
      <c r="O405" s="919"/>
      <c r="P405" s="919"/>
    </row>
    <row r="406" spans="1:16" ht="15" hidden="1" customHeight="1" x14ac:dyDescent="0.25">
      <c r="A406" s="213">
        <f>'Расчет ЦП - общая форма'!A406</f>
        <v>301</v>
      </c>
      <c r="B406" s="213">
        <f>COUNTIFS($C$8:C406,"*ПС*",$L$8:L406,"*закрыт*")</f>
        <v>52</v>
      </c>
      <c r="C406" s="244" t="str">
        <f>'Расчет ЦП - общая форма'!C406</f>
        <v xml:space="preserve">ПС 35/10 кВ Крапивня  </v>
      </c>
      <c r="D406" s="245">
        <f>'Расчет ЦП - общая форма'!D406</f>
        <v>2.5</v>
      </c>
      <c r="E406" s="246" t="str">
        <f>'Расчет ЦП - общая форма'!E406</f>
        <v>+</v>
      </c>
      <c r="F406" s="246">
        <f>'Расчет ЦП - общая форма'!F406</f>
        <v>2.5</v>
      </c>
      <c r="G406" s="246">
        <f>'Расчет ЦП - общая форма'!G406</f>
        <v>0</v>
      </c>
      <c r="H406" s="246">
        <f>'Расчет ЦП - общая форма'!H406</f>
        <v>0</v>
      </c>
      <c r="I406" s="249">
        <f>'Расчет ЦП - общая форма'!Q406</f>
        <v>2.125</v>
      </c>
      <c r="J406" s="249">
        <f>'Расчет ЦП - общая форма'!R406</f>
        <v>2.125</v>
      </c>
      <c r="K406" s="244" t="str">
        <f>'Расчет ЦП - общая форма'!S406</f>
        <v/>
      </c>
      <c r="L406" s="257" t="str">
        <f>'Расчет ЦП - общая форма'!T406</f>
        <v/>
      </c>
      <c r="M406" s="768">
        <f>'Расчет ЦП - общая форма'!U406</f>
        <v>19.047619047619047</v>
      </c>
      <c r="N406" s="919"/>
      <c r="O406" s="919"/>
      <c r="P406" s="919"/>
    </row>
    <row r="407" spans="1:16" ht="15" hidden="1" customHeight="1" x14ac:dyDescent="0.25">
      <c r="A407" s="213">
        <f>'Расчет ЦП - общая форма'!A407</f>
        <v>302</v>
      </c>
      <c r="B407" s="213">
        <f>COUNTIFS($C$8:C407,"*ПС*",$L$8:L407,"*закрыт*")</f>
        <v>52</v>
      </c>
      <c r="C407" s="244" t="str">
        <f>'Расчет ЦП - общая форма'!C407</f>
        <v xml:space="preserve">ПС 35/10 кВ Светлица  </v>
      </c>
      <c r="D407" s="245">
        <f>'Расчет ЦП - общая форма'!D407</f>
        <v>2.5</v>
      </c>
      <c r="E407" s="246" t="str">
        <f>'Расчет ЦП - общая форма'!E407</f>
        <v>+</v>
      </c>
      <c r="F407" s="246">
        <f>'Расчет ЦП - общая форма'!F407</f>
        <v>2.5</v>
      </c>
      <c r="G407" s="246">
        <f>'Расчет ЦП - общая форма'!G407</f>
        <v>0</v>
      </c>
      <c r="H407" s="246">
        <f>'Расчет ЦП - общая форма'!H407</f>
        <v>0</v>
      </c>
      <c r="I407" s="249">
        <f>'Расчет ЦП - общая форма'!Q407</f>
        <v>1.2250000000000001</v>
      </c>
      <c r="J407" s="249">
        <f>'Расчет ЦП - общая форма'!R407</f>
        <v>1.2250000000000001</v>
      </c>
      <c r="K407" s="244" t="str">
        <f>'Расчет ЦП - общая форма'!S407</f>
        <v/>
      </c>
      <c r="L407" s="257" t="str">
        <f>'Расчет ЦП - общая форма'!T407</f>
        <v/>
      </c>
      <c r="M407" s="768">
        <f>'Расчет ЦП - общая форма'!U407</f>
        <v>53.333333333333336</v>
      </c>
      <c r="N407" s="919"/>
      <c r="O407" s="919"/>
      <c r="P407" s="919"/>
    </row>
    <row r="408" spans="1:16" ht="15" hidden="1" customHeight="1" x14ac:dyDescent="0.25">
      <c r="A408" s="213">
        <f>'Расчет ЦП - общая форма'!A408</f>
        <v>303</v>
      </c>
      <c r="B408" s="213">
        <f>COUNTIFS($C$8:C408,"*ПС*",$L$8:L408,"*закрыт*")</f>
        <v>52</v>
      </c>
      <c r="C408" s="244" t="str">
        <f>'Расчет ЦП - общая форма'!C408</f>
        <v xml:space="preserve">ПС  110/6 кВ КС-20  </v>
      </c>
      <c r="D408" s="245">
        <f>'Расчет ЦП - общая форма'!D408</f>
        <v>63</v>
      </c>
      <c r="E408" s="246" t="str">
        <f>'Расчет ЦП - общая форма'!E408</f>
        <v>+</v>
      </c>
      <c r="F408" s="246">
        <f>'Расчет ЦП - общая форма'!F408</f>
        <v>63</v>
      </c>
      <c r="G408" s="246">
        <f>'Расчет ЦП - общая форма'!G408</f>
        <v>0</v>
      </c>
      <c r="H408" s="246">
        <f>'Расчет ЦП - общая форма'!H408</f>
        <v>0</v>
      </c>
      <c r="I408" s="249">
        <f>'Расчет ЦП - общая форма'!Q408</f>
        <v>61.050000000000004</v>
      </c>
      <c r="J408" s="249">
        <f>'Расчет ЦП - общая форма'!R408</f>
        <v>61.050000000000004</v>
      </c>
      <c r="K408" s="244" t="str">
        <f>'Расчет ЦП - общая форма'!S408</f>
        <v/>
      </c>
      <c r="L408" s="257" t="str">
        <f>'Расчет ЦП - общая форма'!T408</f>
        <v/>
      </c>
      <c r="M408" s="768">
        <f>'Расчет ЦП - общая форма'!U408</f>
        <v>7.7097505668934225</v>
      </c>
      <c r="N408" s="919"/>
      <c r="O408" s="919"/>
      <c r="P408" s="919"/>
    </row>
    <row r="409" spans="1:16" ht="15" hidden="1" customHeight="1" x14ac:dyDescent="0.25">
      <c r="A409" s="213">
        <f>'Расчет ЦП - общая форма'!A409</f>
        <v>304</v>
      </c>
      <c r="B409" s="213">
        <f>COUNTIFS($C$8:C409,"*ПС*",$L$8:L409,"*закрыт*")</f>
        <v>52</v>
      </c>
      <c r="C409" s="250" t="str">
        <f>'Расчет ЦП - общая форма'!C409</f>
        <v xml:space="preserve">ПС 110/10 кВ  Полиграфкраски </v>
      </c>
      <c r="D409" s="245">
        <f>'Расчет ЦП - общая форма'!D409</f>
        <v>10</v>
      </c>
      <c r="E409" s="246" t="str">
        <f>'Расчет ЦП - общая форма'!E409</f>
        <v>+</v>
      </c>
      <c r="F409" s="246">
        <f>'Расчет ЦП - общая форма'!F409</f>
        <v>10</v>
      </c>
      <c r="G409" s="246">
        <f>'Расчет ЦП - общая форма'!G409</f>
        <v>0</v>
      </c>
      <c r="H409" s="246">
        <f>'Расчет ЦП - общая форма'!H409</f>
        <v>0</v>
      </c>
      <c r="I409" s="249">
        <f>'Расчет ЦП - общая форма'!Q409</f>
        <v>4.2</v>
      </c>
      <c r="J409" s="249">
        <f>'Расчет ЦП - общая форма'!R409</f>
        <v>4.2</v>
      </c>
      <c r="K409" s="244" t="str">
        <f>'Расчет ЦП - общая форма'!S409</f>
        <v/>
      </c>
      <c r="L409" s="257" t="str">
        <f>'Расчет ЦП - общая форма'!T409</f>
        <v/>
      </c>
      <c r="M409" s="768">
        <f>'Расчет ЦП - общая форма'!U409</f>
        <v>60</v>
      </c>
      <c r="N409" s="919"/>
      <c r="O409" s="919"/>
      <c r="P409" s="919"/>
    </row>
    <row r="410" spans="1:16" ht="15" hidden="1" customHeight="1" x14ac:dyDescent="0.25">
      <c r="A410" s="213">
        <f>'Расчет ЦП - общая форма'!A410</f>
        <v>305</v>
      </c>
      <c r="B410" s="213">
        <f>COUNTIFS($C$8:C410,"*ПС*",$L$8:L410,"*закрыт*")</f>
        <v>52</v>
      </c>
      <c r="C410" s="244" t="str">
        <f>'Расчет ЦП - общая форма'!C410</f>
        <v xml:space="preserve">ПС 110/10 кВ НПС Торжок </v>
      </c>
      <c r="D410" s="245">
        <f>'Расчет ЦП - общая форма'!D410</f>
        <v>25</v>
      </c>
      <c r="E410" s="246" t="str">
        <f>'Расчет ЦП - общая форма'!E410</f>
        <v>+</v>
      </c>
      <c r="F410" s="246">
        <f>'Расчет ЦП - общая форма'!F410</f>
        <v>25</v>
      </c>
      <c r="G410" s="246">
        <f>'Расчет ЦП - общая форма'!G410</f>
        <v>0</v>
      </c>
      <c r="H410" s="246">
        <f>'Расчет ЦП - общая форма'!H410</f>
        <v>0</v>
      </c>
      <c r="I410" s="249">
        <f>'Расчет ЦП - общая форма'!Q410</f>
        <v>26.05</v>
      </c>
      <c r="J410" s="249">
        <f>'Расчет ЦП - общая форма'!R410</f>
        <v>26.05</v>
      </c>
      <c r="K410" s="244" t="str">
        <f>'Расчет ЦП - общая форма'!S410</f>
        <v/>
      </c>
      <c r="L410" s="257" t="str">
        <f>'Расчет ЦП - общая форма'!T410</f>
        <v/>
      </c>
      <c r="M410" s="768">
        <f>'Расчет ЦП - общая форма'!U410</f>
        <v>0.76190476190476186</v>
      </c>
      <c r="N410" s="919"/>
      <c r="O410" s="919"/>
      <c r="P410" s="919"/>
    </row>
    <row r="411" spans="1:16" ht="15" hidden="1" customHeight="1" x14ac:dyDescent="0.25">
      <c r="A411" s="213">
        <f>'Расчет ЦП - общая форма'!A411</f>
        <v>306</v>
      </c>
      <c r="B411" s="213">
        <f>COUNTIFS($C$8:C411,"*ПС*",$L$8:L411,"*закрыт*")</f>
        <v>52</v>
      </c>
      <c r="C411" s="244" t="str">
        <f>'Расчет ЦП - общая форма'!C411</f>
        <v xml:space="preserve">ПС 110/10 кВ Селихово </v>
      </c>
      <c r="D411" s="245">
        <f>'Расчет ЦП - общая форма'!D411</f>
        <v>2.5</v>
      </c>
      <c r="E411" s="246" t="str">
        <f>'Расчет ЦП - общая форма'!E411</f>
        <v>+</v>
      </c>
      <c r="F411" s="246">
        <f>'Расчет ЦП - общая форма'!F411</f>
        <v>2.5</v>
      </c>
      <c r="G411" s="246">
        <f>'Расчет ЦП - общая форма'!G411</f>
        <v>0</v>
      </c>
      <c r="H411" s="246">
        <f>'Расчет ЦП - общая форма'!H411</f>
        <v>0</v>
      </c>
      <c r="I411" s="249">
        <f>'Расчет ЦП - общая форма'!Q411</f>
        <v>1.925</v>
      </c>
      <c r="J411" s="249">
        <f>'Расчет ЦП - общая форма'!R411</f>
        <v>1.925</v>
      </c>
      <c r="K411" s="244" t="str">
        <f>'Расчет ЦП - общая форма'!S411</f>
        <v/>
      </c>
      <c r="L411" s="257" t="str">
        <f>'Расчет ЦП - общая форма'!T411</f>
        <v/>
      </c>
      <c r="M411" s="768">
        <f>'Расчет ЦП - общая форма'!U411</f>
        <v>26.666666666666668</v>
      </c>
      <c r="N411" s="919"/>
      <c r="O411" s="919"/>
      <c r="P411" s="919"/>
    </row>
    <row r="412" spans="1:16" ht="15" hidden="1" customHeight="1" x14ac:dyDescent="0.25">
      <c r="A412" s="213">
        <f>'Расчет ЦП - общая форма'!A412</f>
        <v>307</v>
      </c>
      <c r="B412" s="213">
        <f>COUNTIFS($C$8:C412,"*ПС*",$L$8:L412,"*закрыт*")</f>
        <v>52</v>
      </c>
      <c r="C412" s="244" t="str">
        <f>'Расчет ЦП - общая форма'!C412</f>
        <v xml:space="preserve">ПС 110/10 кВ Пено </v>
      </c>
      <c r="D412" s="245">
        <f>'Расчет ЦП - общая форма'!D412</f>
        <v>6.3</v>
      </c>
      <c r="E412" s="246" t="str">
        <f>'Расчет ЦП - общая форма'!E412</f>
        <v>+</v>
      </c>
      <c r="F412" s="246">
        <f>'Расчет ЦП - общая форма'!F412</f>
        <v>6.3</v>
      </c>
      <c r="G412" s="246">
        <f>'Расчет ЦП - общая форма'!G412</f>
        <v>0</v>
      </c>
      <c r="H412" s="246">
        <f>'Расчет ЦП - общая форма'!H412</f>
        <v>0</v>
      </c>
      <c r="I412" s="249">
        <f>'Расчет ЦП - общая форма'!Q412</f>
        <v>2.6150000000000002</v>
      </c>
      <c r="J412" s="249">
        <f>'Расчет ЦП - общая форма'!R412</f>
        <v>2.6150000000000002</v>
      </c>
      <c r="K412" s="244" t="str">
        <f>'Расчет ЦП - общая форма'!S412</f>
        <v/>
      </c>
      <c r="L412" s="257" t="str">
        <f>'Расчет ЦП - общая форма'!T412</f>
        <v/>
      </c>
      <c r="M412" s="768">
        <f>'Расчет ЦП - общая форма'!U412</f>
        <v>60.468631897203323</v>
      </c>
      <c r="N412" s="919"/>
      <c r="O412" s="919"/>
      <c r="P412" s="919"/>
    </row>
    <row r="413" spans="1:16" ht="15" hidden="1" customHeight="1" x14ac:dyDescent="0.25">
      <c r="A413" s="1371">
        <f>'Расчет ЦП - общая форма'!A413</f>
        <v>308</v>
      </c>
      <c r="B413" s="1376">
        <f>COUNTIFS($C$8:C413,"*ПС*",$L$8:L413,"*закрыт*")</f>
        <v>52</v>
      </c>
      <c r="C413" s="244" t="str">
        <f>'Расчет ЦП - общая форма'!C413</f>
        <v xml:space="preserve">ПС 110/35/10 кВ Торжок  </v>
      </c>
      <c r="D413" s="245">
        <f>'Расчет ЦП - общая форма'!D413</f>
        <v>40</v>
      </c>
      <c r="E413" s="246" t="str">
        <f>'Расчет ЦП - общая форма'!E413</f>
        <v>+</v>
      </c>
      <c r="F413" s="246">
        <f>'Расчет ЦП - общая форма'!F413</f>
        <v>40</v>
      </c>
      <c r="G413" s="246">
        <f>'Расчет ЦП - общая форма'!G413</f>
        <v>0</v>
      </c>
      <c r="H413" s="246">
        <f>'Расчет ЦП - общая форма'!H413</f>
        <v>0</v>
      </c>
      <c r="I413" s="249">
        <f>'Расчет ЦП - общая форма'!Q413</f>
        <v>25.799999999999997</v>
      </c>
      <c r="J413" s="1401">
        <f>'Расчет ЦП - общая форма'!R413</f>
        <v>25.799999999999997</v>
      </c>
      <c r="K413" s="1362" t="str">
        <f>'Расчет ЦП - общая форма'!S413</f>
        <v/>
      </c>
      <c r="L413" s="257" t="str">
        <f>'Расчет ЦП - общая форма'!T413</f>
        <v/>
      </c>
      <c r="M413" s="1362">
        <f>'Расчет ЦП - общая форма'!U413</f>
        <v>55.476190476190474</v>
      </c>
      <c r="N413" s="919"/>
      <c r="O413" s="919"/>
      <c r="P413" s="919"/>
    </row>
    <row r="414" spans="1:16" ht="15" hidden="1" customHeight="1" x14ac:dyDescent="0.25">
      <c r="A414" s="1371">
        <f>'Расчет ЦП - общая форма'!A414</f>
        <v>0</v>
      </c>
      <c r="B414" s="1393"/>
      <c r="C414" s="244" t="str">
        <f>'Расчет ЦП - общая форма'!C414</f>
        <v xml:space="preserve">Ном. Мощность СН, МВА </v>
      </c>
      <c r="D414" s="245">
        <f>'Расчет ЦП - общая форма'!D414</f>
        <v>40</v>
      </c>
      <c r="E414" s="246" t="str">
        <f>'Расчет ЦП - общая форма'!E414</f>
        <v>+</v>
      </c>
      <c r="F414" s="246">
        <f>'Расчет ЦП - общая форма'!F414</f>
        <v>40</v>
      </c>
      <c r="G414" s="246">
        <f>'Расчет ЦП - общая форма'!G414</f>
        <v>0</v>
      </c>
      <c r="H414" s="246">
        <f>'Расчет ЦП - общая форма'!H414</f>
        <v>0</v>
      </c>
      <c r="I414" s="249">
        <f>'Расчет ЦП - общая форма'!Q414</f>
        <v>42</v>
      </c>
      <c r="J414" s="1401">
        <f>'Расчет ЦП - общая форма'!R414</f>
        <v>0</v>
      </c>
      <c r="K414" s="1363">
        <f>'Расчет ЦП - общая форма'!S414</f>
        <v>0</v>
      </c>
      <c r="L414" s="257" t="str">
        <f>'Расчет ЦП - общая форма'!T414</f>
        <v/>
      </c>
      <c r="M414" s="1363">
        <f>'Расчет ЦП - общая форма'!U414</f>
        <v>0</v>
      </c>
      <c r="N414" s="919"/>
      <c r="O414" s="919"/>
      <c r="P414" s="919"/>
    </row>
    <row r="415" spans="1:16" ht="15" hidden="1" customHeight="1" x14ac:dyDescent="0.25">
      <c r="A415" s="1371">
        <f>'Расчет ЦП - общая форма'!A415</f>
        <v>0</v>
      </c>
      <c r="B415" s="1394"/>
      <c r="C415" s="244" t="str">
        <f>'Расчет ЦП - общая форма'!C415</f>
        <v>Ном. мощность НН, МВА</v>
      </c>
      <c r="D415" s="245">
        <f>'Расчет ЦП - общая форма'!D415</f>
        <v>40</v>
      </c>
      <c r="E415" s="246" t="str">
        <f>'Расчет ЦП - общая форма'!E415</f>
        <v>+</v>
      </c>
      <c r="F415" s="246">
        <f>'Расчет ЦП - общая форма'!F415</f>
        <v>40</v>
      </c>
      <c r="G415" s="246">
        <f>'Расчет ЦП - общая форма'!G415</f>
        <v>0</v>
      </c>
      <c r="H415" s="246">
        <f>'Расчет ЦП - общая форма'!H415</f>
        <v>0</v>
      </c>
      <c r="I415" s="249">
        <f>'Расчет ЦП - общая форма'!Q415</f>
        <v>25.9</v>
      </c>
      <c r="J415" s="1401">
        <f>'Расчет ЦП - общая форма'!R415</f>
        <v>0</v>
      </c>
      <c r="K415" s="1363">
        <f>'Расчет ЦП - общая форма'!S415</f>
        <v>0</v>
      </c>
      <c r="L415" s="257" t="str">
        <f>'Расчет ЦП - общая форма'!T415</f>
        <v/>
      </c>
      <c r="M415" s="1363">
        <f>'Расчет ЦП - общая форма'!U415</f>
        <v>0</v>
      </c>
      <c r="N415" s="919"/>
      <c r="O415" s="919"/>
      <c r="P415" s="919"/>
    </row>
    <row r="416" spans="1:16" ht="15" hidden="1" customHeight="1" x14ac:dyDescent="0.25">
      <c r="A416" s="1371">
        <f>'Расчет ЦП - общая форма'!A416</f>
        <v>309</v>
      </c>
      <c r="B416" s="1376">
        <f>COUNTIFS($C$8:C416,"*ПС*",$L$8:L416,"*закрыт*")</f>
        <v>52</v>
      </c>
      <c r="C416" s="244" t="str">
        <f>'Расчет ЦП - общая форма'!C416</f>
        <v xml:space="preserve">ПС 110/35/10 кВ Стройиндустрия </v>
      </c>
      <c r="D416" s="245">
        <f>'Расчет ЦП - общая форма'!D416</f>
        <v>25</v>
      </c>
      <c r="E416" s="246" t="str">
        <f>'Расчет ЦП - общая форма'!E416</f>
        <v>+</v>
      </c>
      <c r="F416" s="246">
        <f>'Расчет ЦП - общая форма'!F416</f>
        <v>25</v>
      </c>
      <c r="G416" s="246">
        <f>'Расчет ЦП - общая форма'!G416</f>
        <v>0</v>
      </c>
      <c r="H416" s="246">
        <f>'Расчет ЦП - общая форма'!H416</f>
        <v>0</v>
      </c>
      <c r="I416" s="249">
        <f>'Расчет ЦП - общая форма'!Q416</f>
        <v>21.45</v>
      </c>
      <c r="J416" s="1367">
        <f>'Расчет ЦП - общая форма'!R416</f>
        <v>21.45</v>
      </c>
      <c r="K416" s="1362" t="str">
        <f>'Расчет ЦП - общая форма'!S416</f>
        <v/>
      </c>
      <c r="L416" s="257" t="str">
        <f>'Расчет ЦП - общая форма'!T416</f>
        <v/>
      </c>
      <c r="M416" s="1362">
        <f>'Расчет ЦП - общая форма'!U416</f>
        <v>19.047619047619047</v>
      </c>
      <c r="N416" s="919"/>
      <c r="O416" s="919"/>
      <c r="P416" s="919"/>
    </row>
    <row r="417" spans="1:16" s="232" customFormat="1" ht="15" hidden="1" customHeight="1" x14ac:dyDescent="0.25">
      <c r="A417" s="1371">
        <f>'Расчет ЦП - общая форма'!A417</f>
        <v>0</v>
      </c>
      <c r="B417" s="1393"/>
      <c r="C417" s="244" t="str">
        <f>'Расчет ЦП - общая форма'!C417</f>
        <v xml:space="preserve">Ном. Мощность СН, МВА </v>
      </c>
      <c r="D417" s="245">
        <f>'Расчет ЦП - общая форма'!D417</f>
        <v>25</v>
      </c>
      <c r="E417" s="246" t="str">
        <f>'Расчет ЦП - общая форма'!E417</f>
        <v>+</v>
      </c>
      <c r="F417" s="246">
        <f>'Расчет ЦП - общая форма'!F417</f>
        <v>25</v>
      </c>
      <c r="G417" s="246">
        <f>'Расчет ЦП - общая форма'!G417</f>
        <v>0</v>
      </c>
      <c r="H417" s="246">
        <f>'Расчет ЦП - общая форма'!H417</f>
        <v>0</v>
      </c>
      <c r="I417" s="249">
        <f>'Расчет ЦП - общая форма'!Q417</f>
        <v>26.25</v>
      </c>
      <c r="J417" s="1368">
        <f>'Расчет ЦП - общая форма'!R417</f>
        <v>0</v>
      </c>
      <c r="K417" s="1363" t="str">
        <f>'Расчет ЦП - общая форма'!S417</f>
        <v/>
      </c>
      <c r="L417" s="257" t="str">
        <f>'Расчет ЦП - общая форма'!T417</f>
        <v/>
      </c>
      <c r="M417" s="1363">
        <f>'Расчет ЦП - общая форма'!U417</f>
        <v>0</v>
      </c>
      <c r="N417" s="919"/>
      <c r="O417" s="919"/>
      <c r="P417" s="919"/>
    </row>
    <row r="418" spans="1:16" s="232" customFormat="1" ht="15" hidden="1" customHeight="1" x14ac:dyDescent="0.25">
      <c r="A418" s="1371">
        <f>'Расчет ЦП - общая форма'!A418</f>
        <v>0</v>
      </c>
      <c r="B418" s="1394"/>
      <c r="C418" s="244" t="str">
        <f>'Расчет ЦП - общая форма'!C418</f>
        <v>Ном. мощность НН, МВА</v>
      </c>
      <c r="D418" s="245">
        <f>'Расчет ЦП - общая форма'!D418</f>
        <v>25</v>
      </c>
      <c r="E418" s="246" t="str">
        <f>'Расчет ЦП - общая форма'!E418</f>
        <v>+</v>
      </c>
      <c r="F418" s="246">
        <f>'Расчет ЦП - общая форма'!F418</f>
        <v>25</v>
      </c>
      <c r="G418" s="246">
        <f>'Расчет ЦП - общая форма'!G418</f>
        <v>0</v>
      </c>
      <c r="H418" s="246">
        <f>'Расчет ЦП - общая форма'!H418</f>
        <v>0</v>
      </c>
      <c r="I418" s="249">
        <f>'Расчет ЦП - общая форма'!Q418</f>
        <v>21.45</v>
      </c>
      <c r="J418" s="1369">
        <f>'Расчет ЦП - общая форма'!R418</f>
        <v>0</v>
      </c>
      <c r="K418" s="1363" t="str">
        <f>'Расчет ЦП - общая форма'!S418</f>
        <v/>
      </c>
      <c r="L418" s="257" t="str">
        <f>'Расчет ЦП - общая форма'!T418</f>
        <v/>
      </c>
      <c r="M418" s="1363">
        <f>'Расчет ЦП - общая форма'!U418</f>
        <v>0</v>
      </c>
      <c r="N418" s="919"/>
      <c r="O418" s="919"/>
      <c r="P418" s="919"/>
    </row>
    <row r="419" spans="1:16" s="232" customFormat="1" ht="15" hidden="1" customHeight="1" x14ac:dyDescent="0.25">
      <c r="A419" s="1371">
        <f>'Расчет ЦП - общая форма'!A419</f>
        <v>310</v>
      </c>
      <c r="B419" s="1376">
        <f>COUNTIFS($C$8:C419,"*ПС*",$L$8:L419,"*закрыт*")</f>
        <v>52</v>
      </c>
      <c r="C419" s="244" t="str">
        <f>'Расчет ЦП - общая форма'!C419</f>
        <v xml:space="preserve">ПС 110/35/10 кВ Кувшиново  </v>
      </c>
      <c r="D419" s="245">
        <f>'Расчет ЦП - общая форма'!D419</f>
        <v>40</v>
      </c>
      <c r="E419" s="246" t="str">
        <f>'Расчет ЦП - общая форма'!E419</f>
        <v>+</v>
      </c>
      <c r="F419" s="246">
        <f>'Расчет ЦП - общая форма'!F419</f>
        <v>25</v>
      </c>
      <c r="G419" s="246">
        <f>'Расчет ЦП - общая форма'!G419</f>
        <v>0</v>
      </c>
      <c r="H419" s="246">
        <f>'Расчет ЦП - общая форма'!H419</f>
        <v>0</v>
      </c>
      <c r="I419" s="249">
        <f>'Расчет ЦП - общая форма'!Q419</f>
        <v>15.35</v>
      </c>
      <c r="J419" s="1367">
        <f>'Расчет ЦП - общая форма'!R419</f>
        <v>15.35</v>
      </c>
      <c r="K419" s="1362" t="str">
        <f>'Расчет ЦП - общая форма'!S419</f>
        <v/>
      </c>
      <c r="L419" s="257" t="str">
        <f>'Расчет ЦП - общая форма'!T419</f>
        <v/>
      </c>
      <c r="M419" s="1362">
        <f>'Расчет ЦП - общая форма'!U419</f>
        <v>53.333333333333336</v>
      </c>
      <c r="N419" s="919"/>
      <c r="O419" s="919"/>
      <c r="P419" s="919"/>
    </row>
    <row r="420" spans="1:16" s="232" customFormat="1" ht="15" hidden="1" customHeight="1" x14ac:dyDescent="0.25">
      <c r="A420" s="1371">
        <f>'Расчет ЦП - общая форма'!A420</f>
        <v>0</v>
      </c>
      <c r="B420" s="1393"/>
      <c r="C420" s="244" t="str">
        <f>'Расчет ЦП - общая форма'!C420</f>
        <v xml:space="preserve">Ном. Мощность СН, МВА </v>
      </c>
      <c r="D420" s="245">
        <f>'Расчет ЦП - общая форма'!D420</f>
        <v>40</v>
      </c>
      <c r="E420" s="246" t="str">
        <f>'Расчет ЦП - общая форма'!E420</f>
        <v>+</v>
      </c>
      <c r="F420" s="246">
        <f>'Расчет ЦП - общая форма'!F420</f>
        <v>25</v>
      </c>
      <c r="G420" s="246">
        <f>'Расчет ЦП - общая форма'!G420</f>
        <v>0</v>
      </c>
      <c r="H420" s="246">
        <f>'Расчет ЦП - общая форма'!H420</f>
        <v>0</v>
      </c>
      <c r="I420" s="249">
        <f>'Расчет ЦП - общая форма'!Q420</f>
        <v>26.25</v>
      </c>
      <c r="J420" s="1368">
        <f>'Расчет ЦП - общая форма'!R420</f>
        <v>0</v>
      </c>
      <c r="K420" s="1363" t="str">
        <f>'Расчет ЦП - общая форма'!S420</f>
        <v/>
      </c>
      <c r="L420" s="257" t="str">
        <f>'Расчет ЦП - общая форма'!T420</f>
        <v/>
      </c>
      <c r="M420" s="1363">
        <f>'Расчет ЦП - общая форма'!U420</f>
        <v>0</v>
      </c>
      <c r="N420" s="919"/>
      <c r="O420" s="919"/>
      <c r="P420" s="919"/>
    </row>
    <row r="421" spans="1:16" s="232" customFormat="1" ht="15" hidden="1" customHeight="1" x14ac:dyDescent="0.25">
      <c r="A421" s="1371">
        <f>'Расчет ЦП - общая форма'!A421</f>
        <v>0</v>
      </c>
      <c r="B421" s="1394"/>
      <c r="C421" s="244" t="str">
        <f>'Расчет ЦП - общая форма'!C421</f>
        <v>Ном. мощность НН, МВА</v>
      </c>
      <c r="D421" s="245">
        <f>'Расчет ЦП - общая форма'!D421</f>
        <v>40</v>
      </c>
      <c r="E421" s="246" t="str">
        <f>'Расчет ЦП - общая форма'!E421</f>
        <v>+</v>
      </c>
      <c r="F421" s="246">
        <f>'Расчет ЦП - общая форма'!F421</f>
        <v>25</v>
      </c>
      <c r="G421" s="246">
        <f>'Расчет ЦП - общая форма'!G421</f>
        <v>0</v>
      </c>
      <c r="H421" s="246">
        <f>'Расчет ЦП - общая форма'!H421</f>
        <v>0</v>
      </c>
      <c r="I421" s="249">
        <f>'Расчет ЦП - общая форма'!Q421</f>
        <v>15.35</v>
      </c>
      <c r="J421" s="1369">
        <f>'Расчет ЦП - общая форма'!R421</f>
        <v>0</v>
      </c>
      <c r="K421" s="1363" t="str">
        <f>'Расчет ЦП - общая форма'!S421</f>
        <v/>
      </c>
      <c r="L421" s="257" t="str">
        <f>'Расчет ЦП - общая форма'!T421</f>
        <v/>
      </c>
      <c r="M421" s="1363">
        <f>'Расчет ЦП - общая форма'!U421</f>
        <v>0</v>
      </c>
      <c r="N421" s="919"/>
      <c r="O421" s="919"/>
      <c r="P421" s="919"/>
    </row>
    <row r="422" spans="1:16" s="232" customFormat="1" ht="15" hidden="1" customHeight="1" x14ac:dyDescent="0.25">
      <c r="A422" s="1371">
        <f>'Расчет ЦП - общая форма'!A422</f>
        <v>311</v>
      </c>
      <c r="B422" s="1376">
        <f>COUNTIFS($C$8:C422,"*ПС*",$L$8:L422,"*закрыт*")</f>
        <v>52</v>
      </c>
      <c r="C422" s="244" t="str">
        <f>'Расчет ЦП - общая форма'!C422</f>
        <v xml:space="preserve">ПС 110/35/10 кВ Селижарово  </v>
      </c>
      <c r="D422" s="245">
        <f>'Расчет ЦП - общая форма'!D422</f>
        <v>16</v>
      </c>
      <c r="E422" s="246" t="str">
        <f>'Расчет ЦП - общая форма'!E422</f>
        <v>+</v>
      </c>
      <c r="F422" s="246">
        <f>'Расчет ЦП - общая форма'!F422</f>
        <v>10</v>
      </c>
      <c r="G422" s="246">
        <f>'Расчет ЦП - общая форма'!G422</f>
        <v>0</v>
      </c>
      <c r="H422" s="246">
        <f>'Расчет ЦП - общая форма'!H422</f>
        <v>0</v>
      </c>
      <c r="I422" s="249">
        <f>'Расчет ЦП - общая форма'!Q422</f>
        <v>1.4000000000000004</v>
      </c>
      <c r="J422" s="1367">
        <f>'Расчет ЦП - общая форма'!R422</f>
        <v>1.4000000000000004</v>
      </c>
      <c r="K422" s="1362" t="str">
        <f>'Расчет ЦП - общая форма'!S422</f>
        <v/>
      </c>
      <c r="L422" s="257" t="str">
        <f>'Расчет ЦП - общая форма'!T422</f>
        <v/>
      </c>
      <c r="M422" s="1362">
        <f>'Расчет ЦП - общая форма'!U422</f>
        <v>86.666666666666671</v>
      </c>
      <c r="N422" s="919"/>
      <c r="O422" s="919"/>
      <c r="P422" s="919"/>
    </row>
    <row r="423" spans="1:16" s="232" customFormat="1" ht="15" hidden="1" customHeight="1" x14ac:dyDescent="0.25">
      <c r="A423" s="1371">
        <f>'Расчет ЦП - общая форма'!A423</f>
        <v>0</v>
      </c>
      <c r="B423" s="1393"/>
      <c r="C423" s="244" t="str">
        <f>'Расчет ЦП - общая форма'!C423</f>
        <v xml:space="preserve">Ном. Мощность СН, МВА </v>
      </c>
      <c r="D423" s="245">
        <f>'Расчет ЦП - общая форма'!D423</f>
        <v>16</v>
      </c>
      <c r="E423" s="246" t="str">
        <f>'Расчет ЦП - общая форма'!E423</f>
        <v>+</v>
      </c>
      <c r="F423" s="246">
        <f>'Расчет ЦП - общая форма'!F423</f>
        <v>10</v>
      </c>
      <c r="G423" s="246">
        <f>'Расчет ЦП - общая форма'!G423</f>
        <v>0</v>
      </c>
      <c r="H423" s="246">
        <f>'Расчет ЦП - общая форма'!H423</f>
        <v>0</v>
      </c>
      <c r="I423" s="249">
        <f>'Расчет ЦП - общая форма'!Q423</f>
        <v>8</v>
      </c>
      <c r="J423" s="1368">
        <f>'Расчет ЦП - общая форма'!R423</f>
        <v>0</v>
      </c>
      <c r="K423" s="1363" t="str">
        <f>'Расчет ЦП - общая форма'!S423</f>
        <v/>
      </c>
      <c r="L423" s="257" t="str">
        <f>'Расчет ЦП - общая форма'!T423</f>
        <v/>
      </c>
      <c r="M423" s="1363">
        <f>'Расчет ЦП - общая форма'!U423</f>
        <v>0</v>
      </c>
      <c r="N423" s="919"/>
      <c r="O423" s="919"/>
      <c r="P423" s="919"/>
    </row>
    <row r="424" spans="1:16" s="232" customFormat="1" ht="15" hidden="1" customHeight="1" x14ac:dyDescent="0.25">
      <c r="A424" s="1371">
        <f>'Расчет ЦП - общая форма'!A424</f>
        <v>0</v>
      </c>
      <c r="B424" s="1394"/>
      <c r="C424" s="244" t="str">
        <f>'Расчет ЦП - общая форма'!C424</f>
        <v>Ном. мощность НН, МВА</v>
      </c>
      <c r="D424" s="245">
        <f>'Расчет ЦП - общая форма'!D424</f>
        <v>16</v>
      </c>
      <c r="E424" s="246" t="str">
        <f>'Расчет ЦП - общая форма'!E424</f>
        <v>+</v>
      </c>
      <c r="F424" s="246">
        <f>'Расчет ЦП - общая форма'!F424</f>
        <v>10</v>
      </c>
      <c r="G424" s="246">
        <f>'Расчет ЦП - общая форма'!G424</f>
        <v>0</v>
      </c>
      <c r="H424" s="246">
        <f>'Расчет ЦП - общая форма'!H424</f>
        <v>0</v>
      </c>
      <c r="I424" s="249">
        <f>'Расчет ЦП - общая форма'!Q424</f>
        <v>3.9000000000000004</v>
      </c>
      <c r="J424" s="1369">
        <f>'Расчет ЦП - общая форма'!R424</f>
        <v>0</v>
      </c>
      <c r="K424" s="1363" t="str">
        <f>'Расчет ЦП - общая форма'!S424</f>
        <v/>
      </c>
      <c r="L424" s="257" t="str">
        <f>'Расчет ЦП - общая форма'!T424</f>
        <v/>
      </c>
      <c r="M424" s="1363">
        <f>'Расчет ЦП - общая форма'!U424</f>
        <v>0</v>
      </c>
      <c r="N424" s="919"/>
      <c r="O424" s="919"/>
      <c r="P424" s="919"/>
    </row>
    <row r="425" spans="1:16" s="232" customFormat="1" ht="15" hidden="1" customHeight="1" x14ac:dyDescent="0.25">
      <c r="A425" s="1371">
        <f>'Расчет ЦП - общая форма'!A425</f>
        <v>312</v>
      </c>
      <c r="B425" s="1376">
        <f>COUNTIFS($C$8:C425,"*ПС*",$L$8:L425,"*закрыт*")</f>
        <v>52</v>
      </c>
      <c r="C425" s="244" t="str">
        <f>'Расчет ЦП - общая форма'!C425</f>
        <v xml:space="preserve">ПС 110/35/10 кВ НПС Борисово </v>
      </c>
      <c r="D425" s="245">
        <f>'Расчет ЦП - общая форма'!D425</f>
        <v>25</v>
      </c>
      <c r="E425" s="246" t="str">
        <f>'Расчет ЦП - общая форма'!E425</f>
        <v>+</v>
      </c>
      <c r="F425" s="246">
        <f>'Расчет ЦП - общая форма'!F425</f>
        <v>25</v>
      </c>
      <c r="G425" s="246">
        <f>'Расчет ЦП - общая форма'!G425</f>
        <v>0</v>
      </c>
      <c r="H425" s="246">
        <f>'Расчет ЦП - общая форма'!H425</f>
        <v>0</v>
      </c>
      <c r="I425" s="249">
        <f>'Расчет ЦП - общая форма'!Q425</f>
        <v>25.25</v>
      </c>
      <c r="J425" s="1367">
        <f>'Расчет ЦП - общая форма'!R425</f>
        <v>25.25</v>
      </c>
      <c r="K425" s="1362" t="str">
        <f>'Расчет ЦП - общая форма'!S425</f>
        <v/>
      </c>
      <c r="L425" s="257" t="str">
        <f>'Расчет ЦП - общая форма'!T425</f>
        <v/>
      </c>
      <c r="M425" s="1362">
        <f>'Расчет ЦП - общая форма'!U425</f>
        <v>6.4761904761904763</v>
      </c>
      <c r="N425" s="919"/>
      <c r="O425" s="919"/>
      <c r="P425" s="919"/>
    </row>
    <row r="426" spans="1:16" s="232" customFormat="1" ht="15" hidden="1" customHeight="1" x14ac:dyDescent="0.25">
      <c r="A426" s="1371">
        <f>'Расчет ЦП - общая форма'!A426</f>
        <v>0</v>
      </c>
      <c r="B426" s="1393"/>
      <c r="C426" s="244" t="str">
        <f>'Расчет ЦП - общая форма'!C426</f>
        <v xml:space="preserve">Ном. Мощность СН, МВА </v>
      </c>
      <c r="D426" s="245">
        <f>'Расчет ЦП - общая форма'!D426</f>
        <v>25</v>
      </c>
      <c r="E426" s="246" t="str">
        <f>'Расчет ЦП - общая форма'!E426</f>
        <v>+</v>
      </c>
      <c r="F426" s="246">
        <f>'Расчет ЦП - общая форма'!F426</f>
        <v>25</v>
      </c>
      <c r="G426" s="246">
        <f>'Расчет ЦП - общая форма'!G426</f>
        <v>0</v>
      </c>
      <c r="H426" s="246">
        <f>'Расчет ЦП - общая форма'!H426</f>
        <v>0</v>
      </c>
      <c r="I426" s="249">
        <f>'Расчет ЦП - общая форма'!Q426</f>
        <v>26.25</v>
      </c>
      <c r="J426" s="1368">
        <f>'Расчет ЦП - общая форма'!R426</f>
        <v>0</v>
      </c>
      <c r="K426" s="1363" t="str">
        <f>'Расчет ЦП - общая форма'!S426</f>
        <v/>
      </c>
      <c r="L426" s="257" t="str">
        <f>'Расчет ЦП - общая форма'!T426</f>
        <v/>
      </c>
      <c r="M426" s="1363">
        <f>'Расчет ЦП - общая форма'!U426</f>
        <v>0</v>
      </c>
      <c r="N426" s="919"/>
      <c r="O426" s="919"/>
      <c r="P426" s="919"/>
    </row>
    <row r="427" spans="1:16" s="232" customFormat="1" ht="15" hidden="1" customHeight="1" x14ac:dyDescent="0.25">
      <c r="A427" s="1371">
        <f>'Расчет ЦП - общая форма'!A427</f>
        <v>0</v>
      </c>
      <c r="B427" s="1394"/>
      <c r="C427" s="244" t="str">
        <f>'Расчет ЦП - общая форма'!C427</f>
        <v>Ном. мощность НН, МВА</v>
      </c>
      <c r="D427" s="245">
        <f>'Расчет ЦП - общая форма'!D427</f>
        <v>25</v>
      </c>
      <c r="E427" s="246" t="str">
        <f>'Расчет ЦП - общая форма'!E427</f>
        <v>+</v>
      </c>
      <c r="F427" s="246">
        <f>'Расчет ЦП - общая форма'!F427</f>
        <v>25</v>
      </c>
      <c r="G427" s="246">
        <f>'Расчет ЦП - общая форма'!G427</f>
        <v>0</v>
      </c>
      <c r="H427" s="246">
        <f>'Расчет ЦП - общая форма'!H427</f>
        <v>0</v>
      </c>
      <c r="I427" s="249">
        <f>'Расчет ЦП - общая форма'!Q427</f>
        <v>25.45</v>
      </c>
      <c r="J427" s="1369">
        <f>'Расчет ЦП - общая форма'!R427</f>
        <v>0</v>
      </c>
      <c r="K427" s="1363" t="str">
        <f>'Расчет ЦП - общая форма'!S427</f>
        <v/>
      </c>
      <c r="L427" s="257" t="str">
        <f>'Расчет ЦП - общая форма'!T427</f>
        <v/>
      </c>
      <c r="M427" s="1363">
        <f>'Расчет ЦП - общая форма'!U427</f>
        <v>0</v>
      </c>
      <c r="N427" s="919"/>
      <c r="O427" s="919"/>
      <c r="P427" s="919"/>
    </row>
    <row r="428" spans="1:16" ht="20.100000000000001" hidden="1" customHeight="1" x14ac:dyDescent="0.25">
      <c r="A428" s="1371">
        <f>'Расчет ЦП - общая форма'!A428</f>
        <v>313</v>
      </c>
      <c r="B428" s="1376">
        <f>COUNTIFS($C$8:C428,"*ПС*",$L$8:L428,"*закрыт*")</f>
        <v>52</v>
      </c>
      <c r="C428" s="244" t="str">
        <f>'Расчет ЦП - общая форма'!C428</f>
        <v xml:space="preserve">ПС 110/35/10 кВ Осташков  </v>
      </c>
      <c r="D428" s="245">
        <f>'Расчет ЦП - общая форма'!D428</f>
        <v>25</v>
      </c>
      <c r="E428" s="246" t="str">
        <f>'Расчет ЦП - общая форма'!E428</f>
        <v>+</v>
      </c>
      <c r="F428" s="246">
        <f>'Расчет ЦП - общая форма'!F428</f>
        <v>25</v>
      </c>
      <c r="G428" s="246">
        <f>'Расчет ЦП - общая форма'!G428</f>
        <v>0</v>
      </c>
      <c r="H428" s="246">
        <f>'Расчет ЦП - общая форма'!H428</f>
        <v>0</v>
      </c>
      <c r="I428" s="249">
        <f>'Расчет ЦП - общая форма'!Q428</f>
        <v>8.25</v>
      </c>
      <c r="J428" s="1401">
        <f>'Расчет ЦП - общая форма'!R428</f>
        <v>8.25</v>
      </c>
      <c r="K428" s="1362" t="str">
        <f>'Расчет ЦП - общая форма'!S428</f>
        <v/>
      </c>
      <c r="L428" s="257" t="str">
        <f>'Расчет ЦП - общая форма'!T428</f>
        <v/>
      </c>
      <c r="M428" s="1362">
        <f>'Расчет ЦП - общая форма'!U428</f>
        <v>68.571428571428569</v>
      </c>
      <c r="N428" s="919"/>
      <c r="O428" s="919"/>
      <c r="P428" s="919"/>
    </row>
    <row r="429" spans="1:16" ht="20.100000000000001" hidden="1" customHeight="1" x14ac:dyDescent="0.25">
      <c r="A429" s="1371">
        <f>'Расчет ЦП - общая форма'!A429</f>
        <v>0</v>
      </c>
      <c r="B429" s="1393"/>
      <c r="C429" s="244" t="str">
        <f>'Расчет ЦП - общая форма'!C429</f>
        <v xml:space="preserve">Ном. Мощность СН, МВА </v>
      </c>
      <c r="D429" s="245">
        <f>'Расчет ЦП - общая форма'!D429</f>
        <v>25</v>
      </c>
      <c r="E429" s="246" t="str">
        <f>'Расчет ЦП - общая форма'!E429</f>
        <v>+</v>
      </c>
      <c r="F429" s="246">
        <f>'Расчет ЦП - общая форма'!F429</f>
        <v>25</v>
      </c>
      <c r="G429" s="246">
        <f>'Расчет ЦП - общая форма'!G429</f>
        <v>0</v>
      </c>
      <c r="H429" s="246">
        <f>'Расчет ЦП - общая форма'!H429</f>
        <v>0</v>
      </c>
      <c r="I429" s="249">
        <f>'Расчет ЦП - общая форма'!Q429</f>
        <v>24.45</v>
      </c>
      <c r="J429" s="1401">
        <f>'Расчет ЦП - общая форма'!R429</f>
        <v>0</v>
      </c>
      <c r="K429" s="1363">
        <f>'Расчет ЦП - общая форма'!S429</f>
        <v>0</v>
      </c>
      <c r="L429" s="257" t="str">
        <f>'Расчет ЦП - общая форма'!T429</f>
        <v/>
      </c>
      <c r="M429" s="1363">
        <f>'Расчет ЦП - общая форма'!U429</f>
        <v>0</v>
      </c>
      <c r="N429" s="919"/>
      <c r="O429" s="919"/>
      <c r="P429" s="919"/>
    </row>
    <row r="430" spans="1:16" ht="20.100000000000001" hidden="1" customHeight="1" x14ac:dyDescent="0.25">
      <c r="A430" s="1371">
        <f>'Расчет ЦП - общая форма'!A430</f>
        <v>0</v>
      </c>
      <c r="B430" s="1394"/>
      <c r="C430" s="244" t="str">
        <f>'Расчет ЦП - общая форма'!C430</f>
        <v>Ном. мощность НН, МВА</v>
      </c>
      <c r="D430" s="245">
        <f>'Расчет ЦП - общая форма'!D430</f>
        <v>25</v>
      </c>
      <c r="E430" s="246" t="str">
        <f>'Расчет ЦП - общая форма'!E430</f>
        <v>+</v>
      </c>
      <c r="F430" s="246">
        <f>'Расчет ЦП - общая форма'!F430</f>
        <v>25</v>
      </c>
      <c r="G430" s="246">
        <f>'Расчет ЦП - общая форма'!G430</f>
        <v>0</v>
      </c>
      <c r="H430" s="246">
        <f>'Расчет ЦП - общая форма'!H430</f>
        <v>0</v>
      </c>
      <c r="I430" s="249">
        <f>'Расчет ЦП - общая форма'!Q430</f>
        <v>9.9499999999999993</v>
      </c>
      <c r="J430" s="1401">
        <f>'Расчет ЦП - общая форма'!R430</f>
        <v>0</v>
      </c>
      <c r="K430" s="1363">
        <f>'Расчет ЦП - общая форма'!S430</f>
        <v>0</v>
      </c>
      <c r="L430" s="257" t="str">
        <f>'Расчет ЦП - общая форма'!T430</f>
        <v/>
      </c>
      <c r="M430" s="1363">
        <f>'Расчет ЦП - общая форма'!U430</f>
        <v>0</v>
      </c>
      <c r="N430" s="919"/>
      <c r="O430" s="919"/>
      <c r="P430" s="919"/>
    </row>
    <row r="431" spans="1:16" s="232" customFormat="1" hidden="1" x14ac:dyDescent="0.25">
      <c r="A431" s="1371">
        <f>'Расчет ЦП - общая форма'!A431</f>
        <v>314</v>
      </c>
      <c r="B431" s="1376">
        <f>COUNTIFS($C$8:C431,"*ПС*",$L$8:L431,"*закрыт*")</f>
        <v>52</v>
      </c>
      <c r="C431" s="244" t="str">
        <f>'Расчет ЦП - общая форма'!C431</f>
        <v xml:space="preserve">ПС  110/35/10 кВ Н. Рожок </v>
      </c>
      <c r="D431" s="906">
        <f>'Расчет ЦП - общая форма'!D431</f>
        <v>10</v>
      </c>
      <c r="E431" s="244" t="str">
        <f>'Расчет ЦП - общая форма'!E431</f>
        <v>+</v>
      </c>
      <c r="F431" s="244">
        <f>'Расчет ЦП - общая форма'!F431</f>
        <v>10</v>
      </c>
      <c r="G431" s="244">
        <f>'Расчет ЦП - общая форма'!G431</f>
        <v>0</v>
      </c>
      <c r="H431" s="244">
        <f>'Расчет ЦП - общая форма'!H431</f>
        <v>0</v>
      </c>
      <c r="I431" s="249">
        <f>'Расчет ЦП - общая форма'!Q431</f>
        <v>1.3000000000000007</v>
      </c>
      <c r="J431" s="1401">
        <f>'Расчет ЦП - общая форма'!R431</f>
        <v>1.3000000000000007</v>
      </c>
      <c r="K431" s="1362" t="str">
        <f>'Расчет ЦП - общая форма'!S431</f>
        <v/>
      </c>
      <c r="L431" s="257" t="str">
        <f>'Расчет ЦП - общая форма'!T431</f>
        <v/>
      </c>
      <c r="M431" s="1362">
        <f>'Расчет ЦП - общая форма'!U431</f>
        <v>87.619047619047606</v>
      </c>
      <c r="N431" s="919"/>
      <c r="O431" s="919"/>
      <c r="P431" s="919"/>
    </row>
    <row r="432" spans="1:16" s="232" customFormat="1" ht="15" hidden="1" customHeight="1" x14ac:dyDescent="0.25">
      <c r="A432" s="1371">
        <f>'Расчет ЦП - общая форма'!A432</f>
        <v>0</v>
      </c>
      <c r="B432" s="1393"/>
      <c r="C432" s="244" t="str">
        <f>'Расчет ЦП - общая форма'!C432</f>
        <v xml:space="preserve">Ном. Мощность СН, МВА </v>
      </c>
      <c r="D432" s="906">
        <f>'Расчет ЦП - общая форма'!D432</f>
        <v>10</v>
      </c>
      <c r="E432" s="244" t="str">
        <f>'Расчет ЦП - общая форма'!E432</f>
        <v>+</v>
      </c>
      <c r="F432" s="244">
        <f>'Расчет ЦП - общая форма'!F432</f>
        <v>10</v>
      </c>
      <c r="G432" s="244">
        <f>'Расчет ЦП - общая форма'!G432</f>
        <v>0</v>
      </c>
      <c r="H432" s="244">
        <f>'Расчет ЦП - общая форма'!H432</f>
        <v>0</v>
      </c>
      <c r="I432" s="249">
        <f>'Расчет ЦП - общая форма'!Q432</f>
        <v>5.8</v>
      </c>
      <c r="J432" s="1401">
        <f>'Расчет ЦП - общая форма'!R432</f>
        <v>0</v>
      </c>
      <c r="K432" s="1362">
        <f>'Расчет ЦП - общая форма'!S432</f>
        <v>0</v>
      </c>
      <c r="L432" s="257" t="str">
        <f>'Расчет ЦП - общая форма'!T432</f>
        <v/>
      </c>
      <c r="M432" s="1362">
        <f>'Расчет ЦП - общая форма'!U432</f>
        <v>0</v>
      </c>
      <c r="N432" s="919"/>
      <c r="O432" s="919"/>
      <c r="P432" s="919"/>
    </row>
    <row r="433" spans="1:16" ht="15.75" hidden="1" customHeight="1" x14ac:dyDescent="0.25">
      <c r="A433" s="1371">
        <f>'Расчет ЦП - общая форма'!A433</f>
        <v>0</v>
      </c>
      <c r="B433" s="1394"/>
      <c r="C433" s="244" t="str">
        <f>'Расчет ЦП - общая форма'!C433</f>
        <v>Ном. мощность НН, МВА</v>
      </c>
      <c r="D433" s="906">
        <f>'Расчет ЦП - общая форма'!D433</f>
        <v>10</v>
      </c>
      <c r="E433" s="244" t="str">
        <f>'Расчет ЦП - общая форма'!E433</f>
        <v>+</v>
      </c>
      <c r="F433" s="244">
        <f>'Расчет ЦП - общая форма'!F433</f>
        <v>10</v>
      </c>
      <c r="G433" s="244">
        <f>'Расчет ЦП - общая форма'!G433</f>
        <v>0</v>
      </c>
      <c r="H433" s="244">
        <f>'Расчет ЦП - общая форма'!H433</f>
        <v>0</v>
      </c>
      <c r="I433" s="249">
        <f>'Расчет ЦП - общая форма'!Q433</f>
        <v>6</v>
      </c>
      <c r="J433" s="1401">
        <f>'Расчет ЦП - общая форма'!R433</f>
        <v>0</v>
      </c>
      <c r="K433" s="1362">
        <f>'Расчет ЦП - общая форма'!S433</f>
        <v>0</v>
      </c>
      <c r="L433" s="257" t="str">
        <f>'Расчет ЦП - общая форма'!T433</f>
        <v/>
      </c>
      <c r="M433" s="1362">
        <f>'Расчет ЦП - общая форма'!U433</f>
        <v>0</v>
      </c>
      <c r="N433" s="919"/>
      <c r="O433" s="919"/>
      <c r="P433" s="919"/>
    </row>
    <row r="434" spans="1:16" ht="15.75" x14ac:dyDescent="0.25">
      <c r="B434" s="920"/>
      <c r="C434" s="1433" t="s">
        <v>784</v>
      </c>
      <c r="D434" s="1434"/>
      <c r="E434" s="1434"/>
      <c r="F434" s="1434"/>
      <c r="G434" s="1434"/>
      <c r="H434" s="1434"/>
      <c r="I434" s="1435"/>
      <c r="J434" s="921">
        <f>SUMIFS(J8:J433,C8:C433,"*ПС*",L8:L433,"*закрыт*")</f>
        <v>-72.392196994228414</v>
      </c>
      <c r="K434" s="233"/>
      <c r="L434" s="1259" t="s">
        <v>3409</v>
      </c>
      <c r="M434" s="233"/>
      <c r="N434" s="920"/>
    </row>
    <row r="435" spans="1:16" x14ac:dyDescent="0.25">
      <c r="A435" s="259"/>
      <c r="K435" s="920"/>
      <c r="L435" s="920"/>
      <c r="M435" s="920"/>
      <c r="N435" s="920"/>
    </row>
    <row r="436" spans="1:16" x14ac:dyDescent="0.25">
      <c r="K436" s="233"/>
      <c r="L436" s="233"/>
      <c r="M436" s="233"/>
    </row>
    <row r="437" spans="1:16" x14ac:dyDescent="0.25">
      <c r="K437" s="233"/>
      <c r="L437" s="233"/>
      <c r="M437" s="233"/>
    </row>
    <row r="438" spans="1:16" x14ac:dyDescent="0.25">
      <c r="K438" s="233"/>
      <c r="L438" s="233"/>
      <c r="M438" s="233"/>
    </row>
    <row r="439" spans="1:16" x14ac:dyDescent="0.25">
      <c r="K439" s="233"/>
      <c r="L439" s="233"/>
      <c r="M439" s="233"/>
    </row>
    <row r="440" spans="1:16" x14ac:dyDescent="0.25">
      <c r="K440" s="233"/>
      <c r="L440" s="233"/>
      <c r="M440" s="233"/>
    </row>
    <row r="441" spans="1:16" x14ac:dyDescent="0.25">
      <c r="K441" s="233"/>
      <c r="L441" s="233"/>
      <c r="M441" s="233"/>
    </row>
    <row r="442" spans="1:16" x14ac:dyDescent="0.25">
      <c r="K442" s="233"/>
      <c r="L442" s="233"/>
      <c r="M442" s="233"/>
    </row>
    <row r="443" spans="1:16" x14ac:dyDescent="0.25">
      <c r="K443" s="233"/>
      <c r="L443" s="233"/>
      <c r="M443" s="233"/>
    </row>
    <row r="444" spans="1:16" x14ac:dyDescent="0.25">
      <c r="K444" s="233"/>
      <c r="L444" s="233"/>
      <c r="M444" s="233"/>
    </row>
    <row r="445" spans="1:16" x14ac:dyDescent="0.25">
      <c r="K445" s="233"/>
      <c r="L445" s="233"/>
      <c r="M445" s="233"/>
    </row>
    <row r="446" spans="1:16" x14ac:dyDescent="0.25">
      <c r="K446" s="233"/>
      <c r="L446" s="233"/>
      <c r="M446" s="233"/>
    </row>
    <row r="447" spans="1:16" x14ac:dyDescent="0.25">
      <c r="K447" s="233"/>
      <c r="L447" s="233"/>
      <c r="M447" s="233"/>
    </row>
    <row r="448" spans="1:16" x14ac:dyDescent="0.25">
      <c r="K448" s="233"/>
      <c r="L448" s="233"/>
      <c r="M448" s="233"/>
    </row>
    <row r="449" spans="11:13" x14ac:dyDescent="0.25">
      <c r="K449" s="233"/>
      <c r="L449" s="233"/>
      <c r="M449" s="233"/>
    </row>
    <row r="450" spans="11:13" x14ac:dyDescent="0.25">
      <c r="K450" s="233"/>
      <c r="L450" s="233"/>
      <c r="M450" s="233"/>
    </row>
    <row r="451" spans="11:13" x14ac:dyDescent="0.25">
      <c r="K451" s="233"/>
      <c r="L451" s="233"/>
      <c r="M451" s="233"/>
    </row>
    <row r="452" spans="11:13" x14ac:dyDescent="0.25">
      <c r="K452" s="233"/>
      <c r="L452" s="233"/>
      <c r="M452" s="233"/>
    </row>
    <row r="453" spans="11:13" x14ac:dyDescent="0.25">
      <c r="K453" s="233"/>
      <c r="L453" s="233"/>
      <c r="M453" s="233"/>
    </row>
    <row r="454" spans="11:13" x14ac:dyDescent="0.25">
      <c r="K454" s="233"/>
      <c r="L454" s="233"/>
      <c r="M454" s="233"/>
    </row>
    <row r="455" spans="11:13" x14ac:dyDescent="0.25">
      <c r="K455" s="233"/>
      <c r="L455" s="233"/>
      <c r="M455" s="233"/>
    </row>
    <row r="456" spans="11:13" x14ac:dyDescent="0.25">
      <c r="K456" s="233"/>
      <c r="L456" s="233"/>
      <c r="M456" s="233"/>
    </row>
    <row r="457" spans="11:13" x14ac:dyDescent="0.25">
      <c r="K457" s="233"/>
      <c r="L457" s="233"/>
      <c r="M457" s="233"/>
    </row>
    <row r="458" spans="11:13" x14ac:dyDescent="0.25">
      <c r="K458" s="233"/>
      <c r="L458" s="233"/>
      <c r="M458" s="233"/>
    </row>
    <row r="459" spans="11:13" x14ac:dyDescent="0.25">
      <c r="K459" s="233"/>
      <c r="L459" s="233"/>
      <c r="M459" s="233"/>
    </row>
    <row r="460" spans="11:13" x14ac:dyDescent="0.25">
      <c r="K460" s="233"/>
      <c r="L460" s="233"/>
      <c r="M460" s="233"/>
    </row>
    <row r="461" spans="11:13" x14ac:dyDescent="0.25">
      <c r="K461" s="233"/>
      <c r="L461" s="233"/>
      <c r="M461" s="233"/>
    </row>
  </sheetData>
  <autoFilter ref="A7:M434">
    <filterColumn colId="3" showButton="0"/>
    <filterColumn colId="4" showButton="0"/>
    <filterColumn colId="5" showButton="0"/>
    <filterColumn colId="6" showButton="0"/>
    <filterColumn colId="11">
      <filters>
        <filter val="закрыт"/>
      </filters>
    </filterColumn>
  </autoFilter>
  <mergeCells count="285">
    <mergeCell ref="D7:H7"/>
    <mergeCell ref="A422:A424"/>
    <mergeCell ref="A69:A71"/>
    <mergeCell ref="A75:A77"/>
    <mergeCell ref="A132:A134"/>
    <mergeCell ref="J39:J41"/>
    <mergeCell ref="J60:J62"/>
    <mergeCell ref="J69:J71"/>
    <mergeCell ref="J75:J77"/>
    <mergeCell ref="J132:J134"/>
    <mergeCell ref="B416:B418"/>
    <mergeCell ref="B42:B44"/>
    <mergeCell ref="A138:A140"/>
    <mergeCell ref="A144:A146"/>
    <mergeCell ref="A150:A152"/>
    <mergeCell ref="A182:A184"/>
    <mergeCell ref="A188:A190"/>
    <mergeCell ref="A66:A68"/>
    <mergeCell ref="J66:J68"/>
    <mergeCell ref="A135:A137"/>
    <mergeCell ref="J135:J137"/>
    <mergeCell ref="A141:A143"/>
    <mergeCell ref="J141:J143"/>
    <mergeCell ref="A153:A155"/>
    <mergeCell ref="B4:B6"/>
    <mergeCell ref="K4:K6"/>
    <mergeCell ref="A4:A6"/>
    <mergeCell ref="C4:C6"/>
    <mergeCell ref="M4:M6"/>
    <mergeCell ref="D5:H6"/>
    <mergeCell ref="D4:J4"/>
    <mergeCell ref="L4:L6"/>
    <mergeCell ref="I5:J6"/>
    <mergeCell ref="K66:K68"/>
    <mergeCell ref="M66:M68"/>
    <mergeCell ref="B66:B68"/>
    <mergeCell ref="K60:K62"/>
    <mergeCell ref="K45:K47"/>
    <mergeCell ref="K39:K41"/>
    <mergeCell ref="M60:M62"/>
    <mergeCell ref="A63:A65"/>
    <mergeCell ref="J63:J65"/>
    <mergeCell ref="K63:K65"/>
    <mergeCell ref="M63:M65"/>
    <mergeCell ref="B63:B65"/>
    <mergeCell ref="B45:B47"/>
    <mergeCell ref="M39:M41"/>
    <mergeCell ref="A42:A44"/>
    <mergeCell ref="J42:J44"/>
    <mergeCell ref="K42:K44"/>
    <mergeCell ref="M42:M44"/>
    <mergeCell ref="A60:A62"/>
    <mergeCell ref="A39:A41"/>
    <mergeCell ref="B39:B41"/>
    <mergeCell ref="B48:B50"/>
    <mergeCell ref="K75:K77"/>
    <mergeCell ref="M75:M77"/>
    <mergeCell ref="B75:B77"/>
    <mergeCell ref="A72:A74"/>
    <mergeCell ref="J72:J74"/>
    <mergeCell ref="K72:K74"/>
    <mergeCell ref="M72:M74"/>
    <mergeCell ref="B72:B74"/>
    <mergeCell ref="K69:K71"/>
    <mergeCell ref="M69:M71"/>
    <mergeCell ref="B69:B71"/>
    <mergeCell ref="K135:K137"/>
    <mergeCell ref="M135:M137"/>
    <mergeCell ref="B135:B137"/>
    <mergeCell ref="K132:K134"/>
    <mergeCell ref="M132:M134"/>
    <mergeCell ref="B132:B134"/>
    <mergeCell ref="A129:A131"/>
    <mergeCell ref="J129:J131"/>
    <mergeCell ref="K129:K131"/>
    <mergeCell ref="M129:M131"/>
    <mergeCell ref="B129:B131"/>
    <mergeCell ref="K141:K143"/>
    <mergeCell ref="M141:M143"/>
    <mergeCell ref="B141:B143"/>
    <mergeCell ref="J138:J140"/>
    <mergeCell ref="K138:K140"/>
    <mergeCell ref="M138:M140"/>
    <mergeCell ref="B138:B140"/>
    <mergeCell ref="A147:A149"/>
    <mergeCell ref="J147:J149"/>
    <mergeCell ref="K147:K149"/>
    <mergeCell ref="M147:M149"/>
    <mergeCell ref="B147:B149"/>
    <mergeCell ref="J144:J146"/>
    <mergeCell ref="K144:K146"/>
    <mergeCell ref="M144:M146"/>
    <mergeCell ref="B144:B146"/>
    <mergeCell ref="J153:J155"/>
    <mergeCell ref="K153:K155"/>
    <mergeCell ref="M153:M155"/>
    <mergeCell ref="B153:B155"/>
    <mergeCell ref="J150:J152"/>
    <mergeCell ref="K150:K152"/>
    <mergeCell ref="M150:M152"/>
    <mergeCell ref="B150:B152"/>
    <mergeCell ref="A185:A187"/>
    <mergeCell ref="J185:J187"/>
    <mergeCell ref="K185:K187"/>
    <mergeCell ref="M185:M187"/>
    <mergeCell ref="B185:B187"/>
    <mergeCell ref="J182:J184"/>
    <mergeCell ref="K182:K184"/>
    <mergeCell ref="M182:M184"/>
    <mergeCell ref="B182:B184"/>
    <mergeCell ref="A191:A193"/>
    <mergeCell ref="J191:J193"/>
    <mergeCell ref="K191:K193"/>
    <mergeCell ref="M191:M193"/>
    <mergeCell ref="B191:B193"/>
    <mergeCell ref="J188:J190"/>
    <mergeCell ref="K188:K190"/>
    <mergeCell ref="M188:M190"/>
    <mergeCell ref="B188:B190"/>
    <mergeCell ref="A197:A199"/>
    <mergeCell ref="J197:J199"/>
    <mergeCell ref="K197:K199"/>
    <mergeCell ref="M197:M199"/>
    <mergeCell ref="B197:B199"/>
    <mergeCell ref="A194:A196"/>
    <mergeCell ref="J194:J196"/>
    <mergeCell ref="K194:K196"/>
    <mergeCell ref="M194:M196"/>
    <mergeCell ref="B194:B196"/>
    <mergeCell ref="K267:K269"/>
    <mergeCell ref="M267:M269"/>
    <mergeCell ref="B267:B269"/>
    <mergeCell ref="A203:A205"/>
    <mergeCell ref="J203:J205"/>
    <mergeCell ref="K203:K205"/>
    <mergeCell ref="M203:M205"/>
    <mergeCell ref="B203:B205"/>
    <mergeCell ref="A200:A202"/>
    <mergeCell ref="J200:J202"/>
    <mergeCell ref="K200:K202"/>
    <mergeCell ref="M200:M202"/>
    <mergeCell ref="B200:B202"/>
    <mergeCell ref="M231:M233"/>
    <mergeCell ref="M234:M236"/>
    <mergeCell ref="M237:M239"/>
    <mergeCell ref="M240:M242"/>
    <mergeCell ref="K273:K275"/>
    <mergeCell ref="M273:M275"/>
    <mergeCell ref="B273:B275"/>
    <mergeCell ref="A349:A351"/>
    <mergeCell ref="J349:J351"/>
    <mergeCell ref="K349:K351"/>
    <mergeCell ref="M349:M351"/>
    <mergeCell ref="B349:B351"/>
    <mergeCell ref="A270:A272"/>
    <mergeCell ref="J270:J272"/>
    <mergeCell ref="K270:K272"/>
    <mergeCell ref="M270:M272"/>
    <mergeCell ref="B270:B272"/>
    <mergeCell ref="M355:M357"/>
    <mergeCell ref="B355:B357"/>
    <mergeCell ref="A352:A354"/>
    <mergeCell ref="J352:J354"/>
    <mergeCell ref="K352:K354"/>
    <mergeCell ref="M352:M354"/>
    <mergeCell ref="B352:B354"/>
    <mergeCell ref="A276:A278"/>
    <mergeCell ref="J276:J278"/>
    <mergeCell ref="K276:K278"/>
    <mergeCell ref="M276:M278"/>
    <mergeCell ref="B276:B278"/>
    <mergeCell ref="A361:A363"/>
    <mergeCell ref="J361:J363"/>
    <mergeCell ref="K361:K363"/>
    <mergeCell ref="M361:M363"/>
    <mergeCell ref="B358:B360"/>
    <mergeCell ref="B361:B363"/>
    <mergeCell ref="A358:A360"/>
    <mergeCell ref="J358:J360"/>
    <mergeCell ref="K358:K360"/>
    <mergeCell ref="A367:A369"/>
    <mergeCell ref="J367:J369"/>
    <mergeCell ref="K367:K369"/>
    <mergeCell ref="M367:M369"/>
    <mergeCell ref="B364:B366"/>
    <mergeCell ref="B367:B369"/>
    <mergeCell ref="A364:A366"/>
    <mergeCell ref="J364:J366"/>
    <mergeCell ref="K364:K366"/>
    <mergeCell ref="C434:I434"/>
    <mergeCell ref="A231:A233"/>
    <mergeCell ref="A1:L3"/>
    <mergeCell ref="A370:A372"/>
    <mergeCell ref="J379:J381"/>
    <mergeCell ref="B370:B372"/>
    <mergeCell ref="A416:A418"/>
    <mergeCell ref="A419:A421"/>
    <mergeCell ref="M425:M427"/>
    <mergeCell ref="K425:K427"/>
    <mergeCell ref="A234:A236"/>
    <mergeCell ref="A237:A239"/>
    <mergeCell ref="A240:A242"/>
    <mergeCell ref="A258:A260"/>
    <mergeCell ref="A279:A281"/>
    <mergeCell ref="B425:B427"/>
    <mergeCell ref="J413:J415"/>
    <mergeCell ref="B279:B281"/>
    <mergeCell ref="B413:B415"/>
    <mergeCell ref="B419:B421"/>
    <mergeCell ref="B376:B378"/>
    <mergeCell ref="B379:B381"/>
    <mergeCell ref="B422:B424"/>
    <mergeCell ref="B382:B384"/>
    <mergeCell ref="A413:A415"/>
    <mergeCell ref="J416:J418"/>
    <mergeCell ref="B60:B62"/>
    <mergeCell ref="K413:K415"/>
    <mergeCell ref="K419:K421"/>
    <mergeCell ref="M419:M421"/>
    <mergeCell ref="K416:K418"/>
    <mergeCell ref="M413:M415"/>
    <mergeCell ref="M416:M418"/>
    <mergeCell ref="M373:M375"/>
    <mergeCell ref="K376:K378"/>
    <mergeCell ref="M376:M378"/>
    <mergeCell ref="K379:K381"/>
    <mergeCell ref="M379:M381"/>
    <mergeCell ref="A373:A375"/>
    <mergeCell ref="J373:J375"/>
    <mergeCell ref="A376:A378"/>
    <mergeCell ref="A379:A381"/>
    <mergeCell ref="M258:M260"/>
    <mergeCell ref="M279:M281"/>
    <mergeCell ref="M382:M384"/>
    <mergeCell ref="K373:K375"/>
    <mergeCell ref="A382:A384"/>
    <mergeCell ref="M364:M366"/>
    <mergeCell ref="A431:A433"/>
    <mergeCell ref="J231:J233"/>
    <mergeCell ref="J234:J236"/>
    <mergeCell ref="J237:J239"/>
    <mergeCell ref="J240:J242"/>
    <mergeCell ref="J258:J260"/>
    <mergeCell ref="J279:J281"/>
    <mergeCell ref="J382:J384"/>
    <mergeCell ref="J425:J427"/>
    <mergeCell ref="J428:J430"/>
    <mergeCell ref="J422:J424"/>
    <mergeCell ref="B373:B375"/>
    <mergeCell ref="J376:J378"/>
    <mergeCell ref="A355:A357"/>
    <mergeCell ref="J355:J357"/>
    <mergeCell ref="A273:A275"/>
    <mergeCell ref="J273:J275"/>
    <mergeCell ref="A267:A269"/>
    <mergeCell ref="J267:J269"/>
    <mergeCell ref="A425:A427"/>
    <mergeCell ref="A428:A430"/>
    <mergeCell ref="B428:B430"/>
    <mergeCell ref="B431:B433"/>
    <mergeCell ref="J419:J421"/>
    <mergeCell ref="M431:M433"/>
    <mergeCell ref="B231:B233"/>
    <mergeCell ref="B234:B236"/>
    <mergeCell ref="B237:B239"/>
    <mergeCell ref="B240:B242"/>
    <mergeCell ref="B258:B260"/>
    <mergeCell ref="J431:J433"/>
    <mergeCell ref="K231:K233"/>
    <mergeCell ref="K234:K236"/>
    <mergeCell ref="K237:K239"/>
    <mergeCell ref="K240:K242"/>
    <mergeCell ref="K258:K260"/>
    <mergeCell ref="K279:K281"/>
    <mergeCell ref="K382:K384"/>
    <mergeCell ref="K428:K430"/>
    <mergeCell ref="K431:K433"/>
    <mergeCell ref="M428:M430"/>
    <mergeCell ref="K422:K424"/>
    <mergeCell ref="M422:M424"/>
    <mergeCell ref="K370:K372"/>
    <mergeCell ref="M370:M372"/>
    <mergeCell ref="J370:J372"/>
    <mergeCell ref="M358:M360"/>
    <mergeCell ref="K355:K357"/>
  </mergeCells>
  <phoneticPr fontId="4" type="noConversion"/>
  <conditionalFormatting sqref="A8:A433">
    <cfRule type="expression" dxfId="17" priority="13" stopIfTrue="1">
      <formula>$S8="ЦП Закрыт"</formula>
    </cfRule>
  </conditionalFormatting>
  <conditionalFormatting sqref="C8:C433">
    <cfRule type="expression" dxfId="16" priority="12" stopIfTrue="1">
      <formula>$S8="ЦП Закрыт"</formula>
    </cfRule>
  </conditionalFormatting>
  <conditionalFormatting sqref="I8:I433 J8:J258 J261:J433">
    <cfRule type="expression" dxfId="15" priority="5" stopIfTrue="1">
      <formula>$S8="ЦП Закрыт"</formula>
    </cfRule>
  </conditionalFormatting>
  <conditionalFormatting sqref="K8:L433">
    <cfRule type="expression" dxfId="14" priority="4" stopIfTrue="1">
      <formula>$S8="ЦП Закрыт"</formula>
    </cfRule>
  </conditionalFormatting>
  <conditionalFormatting sqref="M8:M433">
    <cfRule type="expression" dxfId="13" priority="3" stopIfTrue="1">
      <formula>$S8="ЦП Закрыт"</formula>
    </cfRule>
  </conditionalFormatting>
  <conditionalFormatting sqref="D8:H433">
    <cfRule type="expression" dxfId="12" priority="2" stopIfTrue="1">
      <formula>D8=0</formula>
    </cfRule>
  </conditionalFormatting>
  <conditionalFormatting sqref="B42:B60 B63:B129 B132:B182 B185 B188 B191 B194 B197 B200 B203 B206:B231 B234 B237 B240 B243:B258 B261:B267 B270 B273 B276 B279 B282:B349 B352 B355 B358 B361 B364 B367 B370 B373 B376 B379 B382 B385:B413 B416 B419 B422 B425 B428 B431 B8:B39">
    <cfRule type="expression" dxfId="11" priority="1" stopIfTrue="1">
      <formula>$S8="ЦП Закрыт"</formula>
    </cfRule>
  </conditionalFormatting>
  <pageMargins left="0.7" right="0.7" top="0.75" bottom="0.75" header="0.3" footer="0.3"/>
  <pageSetup paperSize="9" orientation="portrait" r:id="rId1"/>
  <ignoredErrors>
    <ignoredError sqref="C387:J397 K387:K397 C398:J402 K398:K40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450"/>
  <sheetViews>
    <sheetView topLeftCell="B1" zoomScale="85" zoomScaleNormal="85" workbookViewId="0">
      <selection activeCell="V394" sqref="V394"/>
    </sheetView>
  </sheetViews>
  <sheetFormatPr defaultColWidth="11.42578125" defaultRowHeight="15" x14ac:dyDescent="0.25"/>
  <cols>
    <col min="1" max="1" width="8.140625" style="232" hidden="1" customWidth="1"/>
    <col min="2" max="2" width="8.140625" style="1183" bestFit="1" customWidth="1"/>
    <col min="3" max="3" width="61.140625" style="232" bestFit="1" customWidth="1"/>
    <col min="4" max="4" width="5.5703125" style="232" bestFit="1" customWidth="1"/>
    <col min="5" max="5" width="3.140625" style="232" bestFit="1" customWidth="1"/>
    <col min="6" max="6" width="5.5703125" style="232" bestFit="1" customWidth="1"/>
    <col min="7" max="7" width="3.140625" style="232" bestFit="1" customWidth="1"/>
    <col min="8" max="8" width="3.85546875" style="232" bestFit="1" customWidth="1"/>
    <col min="9" max="9" width="37.5703125" style="232" bestFit="1" customWidth="1"/>
    <col min="10" max="10" width="13.42578125" style="232" hidden="1" customWidth="1"/>
    <col min="11" max="11" width="13.42578125" style="260" hidden="1" customWidth="1"/>
    <col min="12" max="12" width="48.7109375" style="232" hidden="1" customWidth="1"/>
    <col min="13" max="14" width="11.42578125" style="232" hidden="1" customWidth="1"/>
    <col min="15" max="20" width="11.42578125" style="232" customWidth="1"/>
  </cols>
  <sheetData>
    <row r="1" spans="1:14" x14ac:dyDescent="0.25">
      <c r="A1" s="1431" t="s">
        <v>787</v>
      </c>
      <c r="B1" s="1460"/>
      <c r="C1" s="1431"/>
      <c r="D1" s="1431"/>
      <c r="E1" s="1431"/>
      <c r="F1" s="1431"/>
      <c r="G1" s="1431"/>
      <c r="H1" s="1431"/>
      <c r="I1" s="1431"/>
      <c r="J1" s="1431"/>
      <c r="K1" s="1461"/>
      <c r="L1" s="1461"/>
    </row>
    <row r="2" spans="1:14" x14ac:dyDescent="0.25">
      <c r="A2" s="1431"/>
      <c r="B2" s="1460"/>
      <c r="C2" s="1431"/>
      <c r="D2" s="1431"/>
      <c r="E2" s="1431"/>
      <c r="F2" s="1431"/>
      <c r="G2" s="1431"/>
      <c r="H2" s="1431"/>
      <c r="I2" s="1431"/>
      <c r="J2" s="1431"/>
      <c r="K2" s="1461"/>
      <c r="L2" s="1461"/>
    </row>
    <row r="3" spans="1:14" x14ac:dyDescent="0.25">
      <c r="A3" s="1432"/>
      <c r="B3" s="1462"/>
      <c r="C3" s="1432"/>
      <c r="D3" s="1432"/>
      <c r="E3" s="1432"/>
      <c r="F3" s="1432"/>
      <c r="G3" s="1432"/>
      <c r="H3" s="1432"/>
      <c r="I3" s="1432"/>
      <c r="J3" s="1432"/>
      <c r="K3" s="1463"/>
      <c r="L3" s="1463"/>
    </row>
    <row r="4" spans="1:14" ht="15" customHeight="1" x14ac:dyDescent="0.25">
      <c r="A4" s="1466" t="str">
        <f>'Расчет ЦП - общая форма'!Z4</f>
        <v>№п/п</v>
      </c>
      <c r="B4" s="1478" t="s">
        <v>786</v>
      </c>
      <c r="C4" s="1466" t="str">
        <f>'Расчет ЦП - общая форма'!AA4</f>
        <v>Наименование объекта центра питания, класс напряжения</v>
      </c>
      <c r="D4" s="1427" t="str">
        <f>'Расчет ЦП - общая форма'!AB4</f>
        <v>Ожидаемый дефицит /профицит</v>
      </c>
      <c r="E4" s="1427"/>
      <c r="F4" s="1427"/>
      <c r="G4" s="1427"/>
      <c r="H4" s="1427"/>
      <c r="I4" s="1427"/>
      <c r="J4" s="1466" t="str">
        <f>'Расчет ЦП - общая форма'!AQ4</f>
        <v>Примечание</v>
      </c>
      <c r="K4" s="1475" t="str">
        <f>'Расчет ЦП - общая форма'!AR4</f>
        <v>Примечание</v>
      </c>
      <c r="L4" s="1466" t="str">
        <f>'Расчет ЦП - общая форма'!AS4</f>
        <v>Процент загрузки к номинальной мощности, %</v>
      </c>
    </row>
    <row r="5" spans="1:14" ht="15" customHeight="1" x14ac:dyDescent="0.25">
      <c r="A5" s="1467"/>
      <c r="B5" s="1479"/>
      <c r="C5" s="1467"/>
      <c r="D5" s="1469" t="str">
        <f>'Расчет ЦП - общая форма'!AB5</f>
        <v>Установленная мощность трансформаторов Sуст. с указанием их количества, шт/ МВА</v>
      </c>
      <c r="E5" s="1470"/>
      <c r="F5" s="1470"/>
      <c r="G5" s="1470"/>
      <c r="H5" s="1471"/>
      <c r="I5" s="1467" t="s">
        <v>1801</v>
      </c>
      <c r="J5" s="1467"/>
      <c r="K5" s="1476"/>
      <c r="L5" s="1467"/>
    </row>
    <row r="6" spans="1:14" x14ac:dyDescent="0.25">
      <c r="A6" s="1468"/>
      <c r="B6" s="1480"/>
      <c r="C6" s="1468"/>
      <c r="D6" s="1472"/>
      <c r="E6" s="1473"/>
      <c r="F6" s="1473"/>
      <c r="G6" s="1473"/>
      <c r="H6" s="1474"/>
      <c r="I6" s="1468"/>
      <c r="J6" s="1468"/>
      <c r="K6" s="1477"/>
      <c r="L6" s="1468"/>
    </row>
    <row r="7" spans="1:14" hidden="1" x14ac:dyDescent="0.25">
      <c r="A7" s="234">
        <f>'Расчет ЦП - общая форма'!Z7</f>
        <v>1</v>
      </c>
      <c r="B7" s="1151" t="s">
        <v>3129</v>
      </c>
      <c r="C7" s="918">
        <f>'Расчет ЦП - общая форма'!AA7</f>
        <v>2</v>
      </c>
      <c r="D7" s="1428">
        <f>'Расчет ЦП - общая форма'!AB7</f>
        <v>3</v>
      </c>
      <c r="E7" s="1429"/>
      <c r="F7" s="1429"/>
      <c r="G7" s="1429"/>
      <c r="H7" s="1430"/>
      <c r="I7" s="884"/>
      <c r="J7" s="918">
        <f>'Расчет ЦП - общая форма'!AQ7</f>
        <v>13</v>
      </c>
      <c r="K7" s="922">
        <f>'Расчет ЦП - общая форма'!AR7</f>
        <v>13</v>
      </c>
      <c r="L7" s="923">
        <f>'Расчет ЦП - общая форма'!AS7</f>
        <v>14</v>
      </c>
    </row>
    <row r="8" spans="1:14" hidden="1" x14ac:dyDescent="0.25">
      <c r="A8" s="213">
        <f>'Расчет ЦП - общая форма'!Y8</f>
        <v>1</v>
      </c>
      <c r="B8" s="213">
        <f>COUNTIFS($C$8:C8,"*ПС*",$J$8:J8,"*закрыт*")</f>
        <v>0</v>
      </c>
      <c r="C8" s="214" t="str">
        <f>'Расчет ЦП - общая форма'!AA8</f>
        <v>ПС  35/10 кВ Алексейково</v>
      </c>
      <c r="D8" s="230">
        <f>'Расчет ЦП - общая форма'!AB8</f>
        <v>1.6</v>
      </c>
      <c r="E8" s="229">
        <f>'Расчет ЦП - общая форма'!AC8</f>
        <v>0</v>
      </c>
      <c r="F8" s="229">
        <f>'Расчет ЦП - общая форма'!AD8</f>
        <v>0</v>
      </c>
      <c r="G8" s="229">
        <f>'Расчет ЦП - общая форма'!AE8</f>
        <v>0</v>
      </c>
      <c r="H8" s="229">
        <f>'Расчет ЦП - общая форма'!AF8</f>
        <v>0</v>
      </c>
      <c r="I8" s="172">
        <f>'Расчет ЦП - общая форма'!AP8</f>
        <v>0.19999999999999996</v>
      </c>
      <c r="J8" s="172" t="str">
        <f>'Расчет ЦП - общая форма'!AQ8</f>
        <v/>
      </c>
      <c r="K8" s="924" t="str">
        <f>'Расчет ЦП - общая форма'!AR8</f>
        <v/>
      </c>
      <c r="L8" s="924">
        <f>'Расчет ЦП - общая форма'!AS8</f>
        <v>38.69047619047619</v>
      </c>
      <c r="M8" s="924"/>
      <c r="N8" s="924"/>
    </row>
    <row r="9" spans="1:14" hidden="1" x14ac:dyDescent="0.25">
      <c r="A9" s="213">
        <f>'Расчет ЦП - общая форма'!Y9</f>
        <v>2</v>
      </c>
      <c r="B9" s="213">
        <f>COUNTIFS($C$8:C9,"*ПС*",$J$8:J9,"*закрыт*")</f>
        <v>0</v>
      </c>
      <c r="C9" s="213" t="str">
        <f>'Расчет ЦП - общая форма'!AA9</f>
        <v xml:space="preserve">ПС 35/10 кВ Беляницы </v>
      </c>
      <c r="D9" s="230">
        <f>'Расчет ЦП - общая форма'!AB9</f>
        <v>1.6</v>
      </c>
      <c r="E9" s="229">
        <f>'Расчет ЦП - общая форма'!AC9</f>
        <v>0</v>
      </c>
      <c r="F9" s="229">
        <f>'Расчет ЦП - общая форма'!AD9</f>
        <v>0</v>
      </c>
      <c r="G9" s="229">
        <f>'Расчет ЦП - общая форма'!AE9</f>
        <v>0</v>
      </c>
      <c r="H9" s="229">
        <f>'Расчет ЦП - общая форма'!AF9</f>
        <v>0</v>
      </c>
      <c r="I9" s="172">
        <f>'Расчет ЦП - общая форма'!AP9</f>
        <v>0.84</v>
      </c>
      <c r="J9" s="172" t="str">
        <f>'Расчет ЦП - общая форма'!AQ9</f>
        <v/>
      </c>
      <c r="K9" s="924" t="str">
        <f>'Расчет ЦП - общая форма'!AR9</f>
        <v/>
      </c>
      <c r="L9" s="924">
        <f>'Расчет ЦП - общая форма'!AS9</f>
        <v>33.928571428571423</v>
      </c>
      <c r="M9" s="924"/>
      <c r="N9" s="924"/>
    </row>
    <row r="10" spans="1:14" x14ac:dyDescent="0.25">
      <c r="A10" s="213">
        <f>'Расчет ЦП - общая форма'!Y10</f>
        <v>3</v>
      </c>
      <c r="B10" s="1256">
        <f>COUNTIFS($C$8:C10,"*ПС*",$J$8:J10,"*закрыт*")</f>
        <v>1</v>
      </c>
      <c r="C10" s="213" t="str">
        <f>'Расчет ЦП - общая форма'!AA10</f>
        <v xml:space="preserve">ПС 35/10 кВ Борисовское </v>
      </c>
      <c r="D10" s="230">
        <f>'Расчет ЦП - общая форма'!AB10</f>
        <v>1</v>
      </c>
      <c r="E10" s="229">
        <f>'Расчет ЦП - общая форма'!AC10</f>
        <v>0</v>
      </c>
      <c r="F10" s="229">
        <f>'Расчет ЦП - общая форма'!AD10</f>
        <v>0</v>
      </c>
      <c r="G10" s="229">
        <f>'Расчет ЦП - общая форма'!AE10</f>
        <v>0</v>
      </c>
      <c r="H10" s="229">
        <f>'Расчет ЦП - общая форма'!AF10</f>
        <v>0</v>
      </c>
      <c r="I10" s="172">
        <f>'Расчет ЦП - общая форма'!AP10</f>
        <v>-0.18</v>
      </c>
      <c r="J10" s="172" t="str">
        <f>'Расчет ЦП - общая форма'!AQ10</f>
        <v>закрыт</v>
      </c>
      <c r="K10" s="924" t="str">
        <f>'Расчет ЦП - общая форма'!AR10</f>
        <v>закрыт</v>
      </c>
      <c r="L10" s="924">
        <f>'Расчет ЦП - общая форма'!AS10</f>
        <v>17.142857142857142</v>
      </c>
      <c r="M10" s="924"/>
      <c r="N10" s="924"/>
    </row>
    <row r="11" spans="1:14" hidden="1" x14ac:dyDescent="0.25">
      <c r="A11" s="213">
        <f>'Расчет ЦП - общая форма'!Y11</f>
        <v>4</v>
      </c>
      <c r="B11" s="213">
        <f>COUNTIFS($C$8:C11,"*ПС*",$J$8:J11,"*закрыт*")</f>
        <v>1</v>
      </c>
      <c r="C11" s="213" t="str">
        <f>'Расчет ЦП - общая форма'!AA11</f>
        <v xml:space="preserve">ПС 35/10 кВ Высокуша  </v>
      </c>
      <c r="D11" s="230">
        <f>'Расчет ЦП - общая форма'!AB11</f>
        <v>1.6</v>
      </c>
      <c r="E11" s="229">
        <f>'Расчет ЦП - общая форма'!AC11</f>
        <v>0</v>
      </c>
      <c r="F11" s="229">
        <f>'Расчет ЦП - общая форма'!AD11</f>
        <v>0</v>
      </c>
      <c r="G11" s="229">
        <f>'Расчет ЦП - общая форма'!AE11</f>
        <v>0</v>
      </c>
      <c r="H11" s="229">
        <f>'Расчет ЦП - общая форма'!AF11</f>
        <v>0</v>
      </c>
      <c r="I11" s="172">
        <f>'Расчет ЦП - общая форма'!AP11</f>
        <v>0.84</v>
      </c>
      <c r="J11" s="172" t="str">
        <f>'Расчет ЦП - общая форма'!AQ11</f>
        <v/>
      </c>
      <c r="K11" s="924" t="str">
        <f>'Расчет ЦП - общая форма'!AR11</f>
        <v/>
      </c>
      <c r="L11" s="924">
        <f>'Расчет ЦП - общая форма'!AS11</f>
        <v>1.7857142857142856</v>
      </c>
      <c r="M11" s="924"/>
      <c r="N11" s="924"/>
    </row>
    <row r="12" spans="1:14" x14ac:dyDescent="0.25">
      <c r="A12" s="213">
        <f>'Расчет ЦП - общая форма'!Y12</f>
        <v>5</v>
      </c>
      <c r="B12" s="1256">
        <f>COUNTIFS($C$8:C12,"*ПС*",$J$8:J12,"*закрыт*")</f>
        <v>2</v>
      </c>
      <c r="C12" s="213" t="str">
        <f>'Расчет ЦП - общая форма'!AA12</f>
        <v xml:space="preserve">ПС 35/10 кВ Гостиница </v>
      </c>
      <c r="D12" s="230">
        <f>'Расчет ЦП - общая форма'!AB12</f>
        <v>1.6</v>
      </c>
      <c r="E12" s="229">
        <f>'Расчет ЦП - общая форма'!AC12</f>
        <v>0</v>
      </c>
      <c r="F12" s="229">
        <f>'Расчет ЦП - общая форма'!AD12</f>
        <v>0</v>
      </c>
      <c r="G12" s="229">
        <f>'Расчет ЦП - общая форма'!AE12</f>
        <v>0</v>
      </c>
      <c r="H12" s="229">
        <f>'Расчет ЦП - общая форма'!AF12</f>
        <v>0</v>
      </c>
      <c r="I12" s="172">
        <f>'Расчет ЦП - общая форма'!AP12</f>
        <v>-0.17</v>
      </c>
      <c r="J12" s="172" t="str">
        <f>'Расчет ЦП - общая форма'!AQ12</f>
        <v>закрыт</v>
      </c>
      <c r="K12" s="924" t="str">
        <f>'Расчет ЦП - общая форма'!AR12</f>
        <v>закрыт</v>
      </c>
      <c r="L12" s="924">
        <f>'Расчет ЦП - общая форма'!AS12</f>
        <v>10.119047619047619</v>
      </c>
      <c r="M12" s="924"/>
      <c r="N12" s="924"/>
    </row>
    <row r="13" spans="1:14" x14ac:dyDescent="0.25">
      <c r="A13" s="213">
        <f>'Расчет ЦП - общая форма'!Y13</f>
        <v>6</v>
      </c>
      <c r="B13" s="1256">
        <f>COUNTIFS($C$8:C13,"*ПС*",$J$8:J13,"*закрыт*")</f>
        <v>3</v>
      </c>
      <c r="C13" s="213" t="str">
        <f>'Расчет ЦП - общая форма'!AA13</f>
        <v xml:space="preserve">ПС  35/10 кВ Григорово </v>
      </c>
      <c r="D13" s="230">
        <f>'Расчет ЦП - общая форма'!AB13</f>
        <v>2.5</v>
      </c>
      <c r="E13" s="229">
        <f>'Расчет ЦП - общая форма'!AC13</f>
        <v>0</v>
      </c>
      <c r="F13" s="229">
        <f>'Расчет ЦП - общая форма'!AD13</f>
        <v>0</v>
      </c>
      <c r="G13" s="229">
        <f>'Расчет ЦП - общая форма'!AE13</f>
        <v>0</v>
      </c>
      <c r="H13" s="229">
        <f>'Расчет ЦП - общая форма'!AF13</f>
        <v>0</v>
      </c>
      <c r="I13" s="172">
        <f>'Расчет ЦП - общая форма'!AP13</f>
        <v>-1.4549999999999998</v>
      </c>
      <c r="J13" s="172" t="str">
        <f>'Расчет ЦП - общая форма'!AQ13</f>
        <v>закрыт</v>
      </c>
      <c r="K13" s="924" t="str">
        <f>'Расчет ЦП - общая форма'!AR13</f>
        <v>закрыт</v>
      </c>
      <c r="L13" s="924">
        <f>'Расчет ЦП - общая форма'!AS13</f>
        <v>85.142857142857139</v>
      </c>
      <c r="M13" s="924"/>
      <c r="N13" s="924"/>
    </row>
    <row r="14" spans="1:14" hidden="1" x14ac:dyDescent="0.25">
      <c r="A14" s="213">
        <f>'Расчет ЦП - общая форма'!Y14</f>
        <v>7</v>
      </c>
      <c r="B14" s="213">
        <f>COUNTIFS($C$8:C14,"*ПС*",$J$8:J14,"*закрыт*")</f>
        <v>3</v>
      </c>
      <c r="C14" s="213" t="str">
        <f>'Расчет ЦП - общая форма'!AA14</f>
        <v xml:space="preserve">ПС 35/10 кВ Деледино </v>
      </c>
      <c r="D14" s="230">
        <f>'Расчет ЦП - общая форма'!AB14</f>
        <v>4</v>
      </c>
      <c r="E14" s="229">
        <f>'Расчет ЦП - общая форма'!AC14</f>
        <v>0</v>
      </c>
      <c r="F14" s="229">
        <f>'Расчет ЦП - общая форма'!AD14</f>
        <v>0</v>
      </c>
      <c r="G14" s="229">
        <f>'Расчет ЦП - общая форма'!AE14</f>
        <v>0</v>
      </c>
      <c r="H14" s="229">
        <f>'Расчет ЦП - общая форма'!AF14</f>
        <v>0</v>
      </c>
      <c r="I14" s="172">
        <f>'Расчет ЦП - общая форма'!AP14</f>
        <v>0.53</v>
      </c>
      <c r="J14" s="172" t="str">
        <f>'Расчет ЦП - общая форма'!AQ14</f>
        <v/>
      </c>
      <c r="K14" s="924" t="str">
        <f>'Расчет ЦП - общая форма'!AR14</f>
        <v/>
      </c>
      <c r="L14" s="924">
        <f>'Расчет ЦП - общая форма'!AS14</f>
        <v>4.2857142857142856</v>
      </c>
      <c r="M14" s="924"/>
      <c r="N14" s="924"/>
    </row>
    <row r="15" spans="1:14" hidden="1" x14ac:dyDescent="0.25">
      <c r="A15" s="213">
        <f>'Расчет ЦП - общая форма'!Y15</f>
        <v>8</v>
      </c>
      <c r="B15" s="213">
        <f>COUNTIFS($C$8:C15,"*ПС*",$J$8:J15,"*закрыт*")</f>
        <v>3</v>
      </c>
      <c r="C15" s="213" t="str">
        <f>'Расчет ЦП - общая форма'!AA15</f>
        <v xml:space="preserve">ПС 35/10 кВ Зараменье </v>
      </c>
      <c r="D15" s="230">
        <f>'Расчет ЦП - общая форма'!AB15</f>
        <v>1.6</v>
      </c>
      <c r="E15" s="229">
        <f>'Расчет ЦП - общая форма'!AC15</f>
        <v>0</v>
      </c>
      <c r="F15" s="229">
        <f>'Расчет ЦП - общая форма'!AD15</f>
        <v>0</v>
      </c>
      <c r="G15" s="229">
        <f>'Расчет ЦП - общая форма'!AE15</f>
        <v>0</v>
      </c>
      <c r="H15" s="229">
        <f>'Расчет ЦП - общая форма'!AF15</f>
        <v>0</v>
      </c>
      <c r="I15" s="172">
        <f>'Расчет ЦП - общая форма'!AP15</f>
        <v>0.79</v>
      </c>
      <c r="J15" s="172" t="str">
        <f>'Расчет ЦП - общая форма'!AQ15</f>
        <v/>
      </c>
      <c r="K15" s="924" t="str">
        <f>'Расчет ЦП - общая форма'!AR15</f>
        <v/>
      </c>
      <c r="L15" s="924">
        <f>'Расчет ЦП - общая форма'!AS15</f>
        <v>11.309523809523808</v>
      </c>
      <c r="M15" s="924"/>
      <c r="N15" s="924"/>
    </row>
    <row r="16" spans="1:14" hidden="1" x14ac:dyDescent="0.25">
      <c r="A16" s="213">
        <f>'Расчет ЦП - общая форма'!Y16</f>
        <v>9</v>
      </c>
      <c r="B16" s="213">
        <f>COUNTIFS($C$8:C16,"*ПС*",$J$8:J16,"*закрыт*")</f>
        <v>3</v>
      </c>
      <c r="C16" s="213" t="str">
        <f>'Расчет ЦП - общая форма'!AA16</f>
        <v xml:space="preserve">ПС 35/10 кВ Зобы </v>
      </c>
      <c r="D16" s="230">
        <f>'Расчет ЦП - общая форма'!AB16</f>
        <v>4</v>
      </c>
      <c r="E16" s="229">
        <f>'Расчет ЦП - общая форма'!AC16</f>
        <v>0</v>
      </c>
      <c r="F16" s="229">
        <f>'Расчет ЦП - общая форма'!AD16</f>
        <v>0</v>
      </c>
      <c r="G16" s="229">
        <f>'Расчет ЦП - общая форма'!AE16</f>
        <v>0</v>
      </c>
      <c r="H16" s="229">
        <f>'Расчет ЦП - общая форма'!AF16</f>
        <v>0</v>
      </c>
      <c r="I16" s="172">
        <f>'Расчет ЦП - общая форма'!AP16</f>
        <v>2.6500000000000004</v>
      </c>
      <c r="J16" s="172" t="str">
        <f>'Расчет ЦП - общая форма'!AQ16</f>
        <v/>
      </c>
      <c r="K16" s="924" t="str">
        <f>'Расчет ЦП - общая форма'!AR16</f>
        <v/>
      </c>
      <c r="L16" s="924">
        <f>'Расчет ЦП - общая форма'!AS16</f>
        <v>8.0952380952380949</v>
      </c>
      <c r="M16" s="924"/>
      <c r="N16" s="924"/>
    </row>
    <row r="17" spans="1:14" hidden="1" x14ac:dyDescent="0.25">
      <c r="A17" s="213">
        <f>'Расчет ЦП - общая форма'!Y17</f>
        <v>10</v>
      </c>
      <c r="B17" s="213">
        <f>COUNTIFS($C$8:C17,"*ПС*",$J$8:J17,"*закрыт*")</f>
        <v>3</v>
      </c>
      <c r="C17" s="213" t="str">
        <f>'Расчет ЦП - общая форма'!AA17</f>
        <v xml:space="preserve">ПС 35/10 кВ Кой  </v>
      </c>
      <c r="D17" s="230">
        <f>'Расчет ЦП - общая форма'!AB17</f>
        <v>1.8</v>
      </c>
      <c r="E17" s="229">
        <f>'Расчет ЦП - общая форма'!AC17</f>
        <v>0</v>
      </c>
      <c r="F17" s="229">
        <f>'Расчет ЦП - общая форма'!AD17</f>
        <v>0</v>
      </c>
      <c r="G17" s="229">
        <f>'Расчет ЦП - общая форма'!AE17</f>
        <v>0</v>
      </c>
      <c r="H17" s="229">
        <f>'Расчет ЦП - общая форма'!AF17</f>
        <v>0</v>
      </c>
      <c r="I17" s="172">
        <f>'Расчет ЦП - общая форма'!AP17</f>
        <v>0.38999999999999996</v>
      </c>
      <c r="J17" s="172" t="str">
        <f>'Расчет ЦП - общая форма'!AQ17</f>
        <v/>
      </c>
      <c r="K17" s="924" t="str">
        <f>'Расчет ЦП - общая форма'!AR17</f>
        <v/>
      </c>
      <c r="L17" s="924">
        <f>'Расчет ЦП - общая форма'!AS17</f>
        <v>16.93121693121693</v>
      </c>
      <c r="M17" s="924"/>
      <c r="N17" s="924"/>
    </row>
    <row r="18" spans="1:14" hidden="1" x14ac:dyDescent="0.25">
      <c r="A18" s="213">
        <f>'Расчет ЦП - общая форма'!Y18</f>
        <v>11</v>
      </c>
      <c r="B18" s="213">
        <f>COUNTIFS($C$8:C18,"*ПС*",$J$8:J18,"*закрыт*")</f>
        <v>3</v>
      </c>
      <c r="C18" s="213" t="str">
        <f>'Расчет ЦП - общая форма'!AA18</f>
        <v xml:space="preserve">ПС 35/10 кВ Ладожское  </v>
      </c>
      <c r="D18" s="230">
        <f>'Расчет ЦП - общая форма'!AB18</f>
        <v>1.6</v>
      </c>
      <c r="E18" s="229">
        <f>'Расчет ЦП - общая форма'!AC18</f>
        <v>0</v>
      </c>
      <c r="F18" s="229">
        <f>'Расчет ЦП - общая форма'!AD18</f>
        <v>0</v>
      </c>
      <c r="G18" s="229">
        <f>'Расчет ЦП - общая форма'!AE18</f>
        <v>0</v>
      </c>
      <c r="H18" s="229">
        <f>'Расчет ЦП - общая форма'!AF18</f>
        <v>0</v>
      </c>
      <c r="I18" s="172">
        <f>'Расчет ЦП - общая форма'!AP18</f>
        <v>1.23</v>
      </c>
      <c r="J18" s="172" t="str">
        <f>'Расчет ЦП - общая форма'!AQ18</f>
        <v/>
      </c>
      <c r="K18" s="924" t="str">
        <f>'Расчет ЦП - общая форма'!AR18</f>
        <v/>
      </c>
      <c r="L18" s="924">
        <f>'Расчет ЦП - общая форма'!AS18</f>
        <v>6.5476190476190466</v>
      </c>
      <c r="M18" s="924"/>
      <c r="N18" s="924"/>
    </row>
    <row r="19" spans="1:14" hidden="1" x14ac:dyDescent="0.25">
      <c r="A19" s="213">
        <f>'Расчет ЦП - общая форма'!Y19</f>
        <v>12</v>
      </c>
      <c r="B19" s="213">
        <f>COUNTIFS($C$8:C19,"*ПС*",$J$8:J19,"*закрыт*")</f>
        <v>3</v>
      </c>
      <c r="C19" s="213" t="str">
        <f>'Расчет ЦП - общая форма'!AA19</f>
        <v xml:space="preserve">ПС 35/10 кВ Литвиново </v>
      </c>
      <c r="D19" s="230">
        <f>'Расчет ЦП - общая форма'!AB19</f>
        <v>4</v>
      </c>
      <c r="E19" s="229">
        <f>'Расчет ЦП - общая форма'!AC19</f>
        <v>0</v>
      </c>
      <c r="F19" s="229">
        <f>'Расчет ЦП - общая форма'!AD19</f>
        <v>0</v>
      </c>
      <c r="G19" s="229">
        <f>'Расчет ЦП - общая форма'!AE19</f>
        <v>0</v>
      </c>
      <c r="H19" s="229">
        <f>'Расчет ЦП - общая форма'!AF19</f>
        <v>0</v>
      </c>
      <c r="I19" s="172">
        <f>'Расчет ЦП - общая форма'!AP19</f>
        <v>0.85000000000000009</v>
      </c>
      <c r="J19" s="172" t="str">
        <f>'Расчет ЦП - общая форма'!AQ19</f>
        <v/>
      </c>
      <c r="K19" s="924" t="str">
        <f>'Расчет ЦП - общая форма'!AR19</f>
        <v/>
      </c>
      <c r="L19" s="924">
        <f>'Расчет ЦП - общая форма'!AS19</f>
        <v>1.6666666666666667</v>
      </c>
      <c r="M19" s="924"/>
      <c r="N19" s="924"/>
    </row>
    <row r="20" spans="1:14" hidden="1" x14ac:dyDescent="0.25">
      <c r="A20" s="213">
        <f>'Расчет ЦП - общая форма'!Y20</f>
        <v>13</v>
      </c>
      <c r="B20" s="213">
        <f>COUNTIFS($C$8:C20,"*ПС*",$J$8:J20,"*закрыт*")</f>
        <v>3</v>
      </c>
      <c r="C20" s="213" t="str">
        <f>'Расчет ЦП - общая форма'!AA20</f>
        <v xml:space="preserve">ПС 35/10 кВ Лощемля  </v>
      </c>
      <c r="D20" s="230">
        <f>'Расчет ЦП - общая форма'!AB20</f>
        <v>2.5</v>
      </c>
      <c r="E20" s="229">
        <f>'Расчет ЦП - общая форма'!AC20</f>
        <v>0</v>
      </c>
      <c r="F20" s="229">
        <f>'Расчет ЦП - общая форма'!AD20</f>
        <v>0</v>
      </c>
      <c r="G20" s="229">
        <f>'Расчет ЦП - общая форма'!AE20</f>
        <v>0</v>
      </c>
      <c r="H20" s="229">
        <f>'Расчет ЦП - общая форма'!AF20</f>
        <v>0</v>
      </c>
      <c r="I20" s="172">
        <f>'Расчет ЦП - общая форма'!AP20</f>
        <v>0.48000000000000004</v>
      </c>
      <c r="J20" s="172" t="str">
        <f>'Расчет ЦП - общая форма'!AQ20</f>
        <v/>
      </c>
      <c r="K20" s="924" t="str">
        <f>'Расчет ЦП - общая форма'!AR20</f>
        <v/>
      </c>
      <c r="L20" s="924">
        <f>'Расчет ЦП - общая форма'!AS20</f>
        <v>12.19047619047619</v>
      </c>
      <c r="M20" s="924"/>
      <c r="N20" s="924"/>
    </row>
    <row r="21" spans="1:14" hidden="1" x14ac:dyDescent="0.25">
      <c r="A21" s="213">
        <f>'Расчет ЦП - общая форма'!Y21</f>
        <v>14</v>
      </c>
      <c r="B21" s="213">
        <f>COUNTIFS($C$8:C21,"*ПС*",$J$8:J21,"*закрыт*")</f>
        <v>3</v>
      </c>
      <c r="C21" s="213" t="str">
        <f>'Расчет ЦП - общая форма'!AA21</f>
        <v xml:space="preserve">ПС 35/10 кВ Любегощи </v>
      </c>
      <c r="D21" s="230">
        <f>'Расчет ЦП - общая форма'!AB21</f>
        <v>1.8</v>
      </c>
      <c r="E21" s="229">
        <f>'Расчет ЦП - общая форма'!AC21</f>
        <v>0</v>
      </c>
      <c r="F21" s="229">
        <f>'Расчет ЦП - общая форма'!AD21</f>
        <v>0</v>
      </c>
      <c r="G21" s="229">
        <f>'Расчет ЦП - общая форма'!AE21</f>
        <v>0</v>
      </c>
      <c r="H21" s="229">
        <f>'Расчет ЦП - общая форма'!AF21</f>
        <v>0</v>
      </c>
      <c r="I21" s="172">
        <f>'Расчет ЦП - общая форма'!AP21</f>
        <v>0.97</v>
      </c>
      <c r="J21" s="172" t="str">
        <f>'Расчет ЦП - общая форма'!AQ21</f>
        <v/>
      </c>
      <c r="K21" s="924" t="str">
        <f>'Расчет ЦП - общая форма'!AR21</f>
        <v/>
      </c>
      <c r="L21" s="924">
        <f>'Расчет ЦП - общая форма'!AS21</f>
        <v>17.460317460317459</v>
      </c>
      <c r="M21" s="924"/>
      <c r="N21" s="924"/>
    </row>
    <row r="22" spans="1:14" hidden="1" x14ac:dyDescent="0.25">
      <c r="A22" s="213">
        <f>'Расчет ЦП - общая форма'!Y22</f>
        <v>15</v>
      </c>
      <c r="B22" s="213">
        <f>COUNTIFS($C$8:C22,"*ПС*",$J$8:J22,"*закрыт*")</f>
        <v>3</v>
      </c>
      <c r="C22" s="213" t="str">
        <f>'Расчет ЦП - общая форма'!AA22</f>
        <v xml:space="preserve">ПС 35/10 кВ Мартыново </v>
      </c>
      <c r="D22" s="230">
        <f>'Расчет ЦП - общая форма'!AB22</f>
        <v>1.6</v>
      </c>
      <c r="E22" s="229">
        <f>'Расчет ЦП - общая форма'!AC22</f>
        <v>0</v>
      </c>
      <c r="F22" s="229">
        <f>'Расчет ЦП - общая форма'!AD22</f>
        <v>0</v>
      </c>
      <c r="G22" s="229">
        <f>'Расчет ЦП - общая форма'!AE22</f>
        <v>0</v>
      </c>
      <c r="H22" s="229">
        <f>'Расчет ЦП - общая форма'!AF22</f>
        <v>0</v>
      </c>
      <c r="I22" s="172">
        <f>'Расчет ЦП - общая форма'!AP22</f>
        <v>0.65999999999999992</v>
      </c>
      <c r="J22" s="172" t="str">
        <f>'Расчет ЦП - общая форма'!AQ22</f>
        <v/>
      </c>
      <c r="K22" s="924" t="str">
        <f>'Расчет ЦП - общая форма'!AR22</f>
        <v/>
      </c>
      <c r="L22" s="924">
        <f>'Расчет ЦП - общая форма'!AS22</f>
        <v>1.7857142857142856</v>
      </c>
      <c r="M22" s="924"/>
      <c r="N22" s="924"/>
    </row>
    <row r="23" spans="1:14" hidden="1" x14ac:dyDescent="0.25">
      <c r="A23" s="213">
        <f>'Расчет ЦП - общая форма'!Y23</f>
        <v>16</v>
      </c>
      <c r="B23" s="213">
        <f>COUNTIFS($C$8:C23,"*ПС*",$J$8:J23,"*закрыт*")</f>
        <v>3</v>
      </c>
      <c r="C23" s="213" t="str">
        <f>'Расчет ЦП - общая форма'!AA23</f>
        <v xml:space="preserve">ПС 35/10 кВ Михайловское  </v>
      </c>
      <c r="D23" s="230">
        <f>'Расчет ЦП - общая форма'!AB23</f>
        <v>2.5</v>
      </c>
      <c r="E23" s="229">
        <f>'Расчет ЦП - общая форма'!AC23</f>
        <v>0</v>
      </c>
      <c r="F23" s="229">
        <f>'Расчет ЦП - общая форма'!AD23</f>
        <v>0</v>
      </c>
      <c r="G23" s="229">
        <f>'Расчет ЦП - общая форма'!AE23</f>
        <v>0</v>
      </c>
      <c r="H23" s="229">
        <f>'Расчет ЦП - общая форма'!AF23</f>
        <v>0</v>
      </c>
      <c r="I23" s="172">
        <f>'Расчет ЦП - общая форма'!AP23</f>
        <v>0.83999999999999986</v>
      </c>
      <c r="J23" s="172" t="str">
        <f>'Расчет ЦП - общая форма'!AQ23</f>
        <v/>
      </c>
      <c r="K23" s="924" t="str">
        <f>'Расчет ЦП - общая форма'!AR23</f>
        <v/>
      </c>
      <c r="L23" s="924">
        <f>'Расчет ЦП - общая форма'!AS23</f>
        <v>11.047619047619046</v>
      </c>
      <c r="M23" s="924"/>
      <c r="N23" s="924"/>
    </row>
    <row r="24" spans="1:14" hidden="1" x14ac:dyDescent="0.25">
      <c r="A24" s="213">
        <f>'Расчет ЦП - общая форма'!Y24</f>
        <v>17</v>
      </c>
      <c r="B24" s="213">
        <f>COUNTIFS($C$8:C24,"*ПС*",$J$8:J24,"*закрыт*")</f>
        <v>3</v>
      </c>
      <c r="C24" s="213" t="str">
        <f>'Расчет ЦП - общая форма'!AA24</f>
        <v xml:space="preserve">ПС 35/10 кВ Морозово  </v>
      </c>
      <c r="D24" s="230">
        <f>'Расчет ЦП - общая форма'!AB24</f>
        <v>2.5</v>
      </c>
      <c r="E24" s="229">
        <f>'Расчет ЦП - общая форма'!AC24</f>
        <v>0</v>
      </c>
      <c r="F24" s="229">
        <f>'Расчет ЦП - общая форма'!AD24</f>
        <v>0</v>
      </c>
      <c r="G24" s="229">
        <f>'Расчет ЦП - общая форма'!AE24</f>
        <v>0</v>
      </c>
      <c r="H24" s="229">
        <f>'Расчет ЦП - общая форма'!AF24</f>
        <v>0</v>
      </c>
      <c r="I24" s="172">
        <f>'Расчет ЦП - общая форма'!AP24</f>
        <v>0.73</v>
      </c>
      <c r="J24" s="172" t="str">
        <f>'Расчет ЦП - общая форма'!AQ24</f>
        <v/>
      </c>
      <c r="K24" s="924" t="str">
        <f>'Расчет ЦП - общая форма'!AR24</f>
        <v/>
      </c>
      <c r="L24" s="924">
        <f>'Расчет ЦП - общая форма'!AS24</f>
        <v>5.3333333333333339</v>
      </c>
      <c r="M24" s="924"/>
      <c r="N24" s="924"/>
    </row>
    <row r="25" spans="1:14" hidden="1" x14ac:dyDescent="0.25">
      <c r="A25" s="213">
        <f>'Расчет ЦП - общая форма'!Y25</f>
        <v>18</v>
      </c>
      <c r="B25" s="213">
        <f>COUNTIFS($C$8:C25,"*ПС*",$J$8:J25,"*закрыт*")</f>
        <v>3</v>
      </c>
      <c r="C25" s="213" t="str">
        <f>'Расчет ЦП - общая форма'!AA25</f>
        <v xml:space="preserve">ПС 35/10 кВ Поповка </v>
      </c>
      <c r="D25" s="230">
        <f>'Расчет ЦП - общая форма'!AB25</f>
        <v>1.6</v>
      </c>
      <c r="E25" s="229">
        <f>'Расчет ЦП - общая форма'!AC25</f>
        <v>0</v>
      </c>
      <c r="F25" s="229">
        <f>'Расчет ЦП - общая форма'!AD25</f>
        <v>0</v>
      </c>
      <c r="G25" s="229">
        <f>'Расчет ЦП - общая форма'!AE25</f>
        <v>0</v>
      </c>
      <c r="H25" s="229">
        <f>'Расчет ЦП - общая форма'!AF25</f>
        <v>0</v>
      </c>
      <c r="I25" s="172">
        <f>'Расчет ЦП - общая форма'!AP25</f>
        <v>0.71</v>
      </c>
      <c r="J25" s="172" t="str">
        <f>'Расчет ЦП - общая форма'!AQ25</f>
        <v/>
      </c>
      <c r="K25" s="924" t="str">
        <f>'Расчет ЦП - общая форма'!AR25</f>
        <v/>
      </c>
      <c r="L25" s="924">
        <f>'Расчет ЦП - общая форма'!AS25</f>
        <v>1.1904761904761905</v>
      </c>
      <c r="M25" s="924"/>
      <c r="N25" s="924"/>
    </row>
    <row r="26" spans="1:14" hidden="1" x14ac:dyDescent="0.25">
      <c r="A26" s="213">
        <f>'Расчет ЦП - общая форма'!Y26</f>
        <v>19</v>
      </c>
      <c r="B26" s="213">
        <f>COUNTIFS($C$8:C26,"*ПС*",$J$8:J26,"*закрыт*")</f>
        <v>3</v>
      </c>
      <c r="C26" s="213" t="str">
        <f>'Расчет ЦП - общая форма'!AA26</f>
        <v xml:space="preserve">ПС 35/10 кВ Романцево </v>
      </c>
      <c r="D26" s="230">
        <f>'Расчет ЦП - общая форма'!AB26</f>
        <v>1.6</v>
      </c>
      <c r="E26" s="229">
        <f>'Расчет ЦП - общая форма'!AC26</f>
        <v>0</v>
      </c>
      <c r="F26" s="229">
        <f>'Расчет ЦП - общая форма'!AD26</f>
        <v>0</v>
      </c>
      <c r="G26" s="229">
        <f>'Расчет ЦП - общая форма'!AE26</f>
        <v>0</v>
      </c>
      <c r="H26" s="229">
        <f>'Расчет ЦП - общая форма'!AF26</f>
        <v>0</v>
      </c>
      <c r="I26" s="172">
        <f>'Расчет ЦП - общая форма'!AP26</f>
        <v>0.62</v>
      </c>
      <c r="J26" s="172" t="str">
        <f>'Расчет ЦП - общая форма'!AQ26</f>
        <v/>
      </c>
      <c r="K26" s="924" t="str">
        <f>'Расчет ЦП - общая форма'!AR26</f>
        <v/>
      </c>
      <c r="L26" s="924">
        <f>'Расчет ЦП - общая форма'!AS26</f>
        <v>6.5476190476190466</v>
      </c>
      <c r="M26" s="924"/>
      <c r="N26" s="924"/>
    </row>
    <row r="27" spans="1:14" x14ac:dyDescent="0.25">
      <c r="A27" s="213">
        <f>'Расчет ЦП - общая форма'!Y27</f>
        <v>20</v>
      </c>
      <c r="B27" s="1256">
        <f>COUNTIFS($C$8:C27,"*ПС*",$J$8:J27,"*закрыт*")</f>
        <v>4</v>
      </c>
      <c r="C27" s="213" t="str">
        <f>'Расчет ЦП - общая форма'!AA27</f>
        <v xml:space="preserve">ПС 35/10 кВ Старое Сандово </v>
      </c>
      <c r="D27" s="230">
        <f>'Расчет ЦП - общая форма'!AB27</f>
        <v>2.5</v>
      </c>
      <c r="E27" s="229">
        <f>'Расчет ЦП - общая форма'!AC27</f>
        <v>0</v>
      </c>
      <c r="F27" s="229">
        <f>'Расчет ЦП - общая форма'!AD27</f>
        <v>0</v>
      </c>
      <c r="G27" s="229">
        <f>'Расчет ЦП - общая форма'!AE27</f>
        <v>0</v>
      </c>
      <c r="H27" s="229">
        <f>'Расчет ЦП - общая форма'!AF27</f>
        <v>0</v>
      </c>
      <c r="I27" s="172">
        <f>'Расчет ЦП - общая форма'!AP27</f>
        <v>-0.20749999999999991</v>
      </c>
      <c r="J27" s="172" t="str">
        <f>'Расчет ЦП - общая форма'!AQ27</f>
        <v>закрыт</v>
      </c>
      <c r="K27" s="924" t="str">
        <f>'Расчет ЦП - общая форма'!AR27</f>
        <v>закрыт</v>
      </c>
      <c r="L27" s="924">
        <f>'Расчет ЦП - общая форма'!AS27</f>
        <v>33.80952380952381</v>
      </c>
      <c r="M27" s="924"/>
      <c r="N27" s="924"/>
    </row>
    <row r="28" spans="1:14" ht="19.5" hidden="1" customHeight="1" x14ac:dyDescent="0.25">
      <c r="A28" s="213">
        <f>'Расчет ЦП - общая форма'!Y28</f>
        <v>21</v>
      </c>
      <c r="B28" s="1256">
        <f>COUNTIFS($C$8:C28,"*ПС*",$J$8:J28,"*закрыт*")</f>
        <v>4</v>
      </c>
      <c r="C28" s="213" t="str">
        <f>'Расчет ЦП - общая форма'!AA28</f>
        <v xml:space="preserve">ПС 35/10 кВ Сукромны </v>
      </c>
      <c r="D28" s="230">
        <f>'Расчет ЦП - общая форма'!AB28</f>
        <v>1.6</v>
      </c>
      <c r="E28" s="229">
        <f>'Расчет ЦП - общая форма'!AC28</f>
        <v>0</v>
      </c>
      <c r="F28" s="229">
        <f>'Расчет ЦП - общая форма'!AD28</f>
        <v>0</v>
      </c>
      <c r="G28" s="229">
        <f>'Расчет ЦП - общая форма'!AE28</f>
        <v>0</v>
      </c>
      <c r="H28" s="229">
        <f>'Расчет ЦП - общая форма'!AF28</f>
        <v>0</v>
      </c>
      <c r="I28" s="172">
        <f>'Расчет ЦП - общая форма'!AP28</f>
        <v>0</v>
      </c>
      <c r="J28" s="172" t="str">
        <f>'Расчет ЦП - общая форма'!AQ28</f>
        <v/>
      </c>
      <c r="K28" s="924" t="str">
        <f>'Расчет ЦП - общая форма'!AR28</f>
        <v/>
      </c>
      <c r="L28" s="924">
        <f>'Расчет ЦП - общая форма'!AS28</f>
        <v>42.857142857142854</v>
      </c>
      <c r="M28" s="924"/>
      <c r="N28" s="924"/>
    </row>
    <row r="29" spans="1:14" hidden="1" x14ac:dyDescent="0.25">
      <c r="A29" s="213">
        <f>'Расчет ЦП - общая форма'!Y29</f>
        <v>22</v>
      </c>
      <c r="B29" s="213">
        <f>COUNTIFS($C$8:C29,"*ПС*",$J$8:J29,"*закрыт*")</f>
        <v>4</v>
      </c>
      <c r="C29" s="213" t="str">
        <f>'Расчет ЦП - общая форма'!AA29</f>
        <v xml:space="preserve">ПС 35/10 кВ Теблеши </v>
      </c>
      <c r="D29" s="230">
        <f>'Расчет ЦП - общая форма'!AB29</f>
        <v>2.5</v>
      </c>
      <c r="E29" s="229">
        <f>'Расчет ЦП - общая форма'!AC29</f>
        <v>0</v>
      </c>
      <c r="F29" s="229">
        <f>'Расчет ЦП - общая форма'!AD29</f>
        <v>0</v>
      </c>
      <c r="G29" s="229">
        <f>'Расчет ЦП - общая форма'!AE29</f>
        <v>0</v>
      </c>
      <c r="H29" s="229">
        <f>'Расчет ЦП - общая форма'!AF29</f>
        <v>0</v>
      </c>
      <c r="I29" s="172">
        <f>'Расчет ЦП - общая форма'!AP29</f>
        <v>1.1499999999999999</v>
      </c>
      <c r="J29" s="172" t="str">
        <f>'Расчет ЦП - общая форма'!AQ29</f>
        <v/>
      </c>
      <c r="K29" s="924" t="str">
        <f>'Расчет ЦП - общая форма'!AR29</f>
        <v/>
      </c>
      <c r="L29" s="924">
        <f>'Расчет ЦП - общая форма'!AS29</f>
        <v>4.1904761904761907</v>
      </c>
      <c r="M29" s="924"/>
      <c r="N29" s="924"/>
    </row>
    <row r="30" spans="1:14" hidden="1" x14ac:dyDescent="0.25">
      <c r="A30" s="213">
        <f>'Расчет ЦП - общая форма'!Y30</f>
        <v>23</v>
      </c>
      <c r="B30" s="213">
        <f>COUNTIFS($C$8:C30,"*ПС*",$J$8:J30,"*закрыт*")</f>
        <v>4</v>
      </c>
      <c r="C30" s="213" t="str">
        <f>'Расчет ЦП - общая форма'!AA30</f>
        <v xml:space="preserve">ПС 35/10 кВ Трестна </v>
      </c>
      <c r="D30" s="230">
        <f>'Расчет ЦП - общая форма'!AB30</f>
        <v>2.5</v>
      </c>
      <c r="E30" s="229">
        <f>'Расчет ЦП - общая форма'!AC30</f>
        <v>0</v>
      </c>
      <c r="F30" s="229">
        <f>'Расчет ЦП - общая форма'!AD30</f>
        <v>0</v>
      </c>
      <c r="G30" s="229">
        <f>'Расчет ЦП - общая форма'!AE30</f>
        <v>0</v>
      </c>
      <c r="H30" s="229">
        <f>'Расчет ЦП - общая форма'!AF30</f>
        <v>0</v>
      </c>
      <c r="I30" s="172">
        <f>'Расчет ЦП - общая форма'!AP30</f>
        <v>1.24</v>
      </c>
      <c r="J30" s="172" t="str">
        <f>'Расчет ЦП - общая форма'!AQ30</f>
        <v/>
      </c>
      <c r="K30" s="924" t="str">
        <f>'Расчет ЦП - общая форма'!AR30</f>
        <v/>
      </c>
      <c r="L30" s="924">
        <f>'Расчет ЦП - общая форма'!AS30</f>
        <v>5.7142857142857144</v>
      </c>
      <c r="M30" s="924"/>
      <c r="N30" s="924"/>
    </row>
    <row r="31" spans="1:14" hidden="1" x14ac:dyDescent="0.25">
      <c r="A31" s="213">
        <f>'Расчет ЦП - общая форма'!Y31</f>
        <v>24</v>
      </c>
      <c r="B31" s="213">
        <f>COUNTIFS($C$8:C31,"*ПС*",$J$8:J31,"*закрыт*")</f>
        <v>4</v>
      </c>
      <c r="C31" s="213" t="str">
        <f>'Расчет ЦП - общая форма'!AA31</f>
        <v xml:space="preserve">ПС  35/10 кВ Фралёво </v>
      </c>
      <c r="D31" s="230">
        <f>'Расчет ЦП - общая форма'!AB31</f>
        <v>4</v>
      </c>
      <c r="E31" s="229">
        <f>'Расчет ЦП - общая форма'!AC31</f>
        <v>0</v>
      </c>
      <c r="F31" s="229">
        <f>'Расчет ЦП - общая форма'!AD31</f>
        <v>0</v>
      </c>
      <c r="G31" s="229">
        <f>'Расчет ЦП - общая форма'!AE31</f>
        <v>0</v>
      </c>
      <c r="H31" s="229">
        <f>'Расчет ЦП - общая форма'!AF31</f>
        <v>0</v>
      </c>
      <c r="I31" s="172">
        <f>'Расчет ЦП - общая форма'!AP31</f>
        <v>0.4800000000000002</v>
      </c>
      <c r="J31" s="172" t="str">
        <f>'Расчет ЦП - общая форма'!AQ31</f>
        <v/>
      </c>
      <c r="K31" s="924" t="str">
        <f>'Расчет ЦП - общая форма'!AR31</f>
        <v/>
      </c>
      <c r="L31" s="924">
        <f>'Расчет ЦП - общая форма'!AS31</f>
        <v>26.904761904761902</v>
      </c>
      <c r="M31" s="924"/>
      <c r="N31" s="924"/>
    </row>
    <row r="32" spans="1:14" ht="19.5" customHeight="1" x14ac:dyDescent="0.25">
      <c r="A32" s="213">
        <f>'Расчет ЦП - общая форма'!Y32</f>
        <v>25</v>
      </c>
      <c r="B32" s="1256">
        <f>COUNTIFS($C$8:C32,"*ПС*",$J$8:J32,"*закрыт*")</f>
        <v>5</v>
      </c>
      <c r="C32" s="213" t="str">
        <f>'Расчет ЦП - общая форма'!AA32</f>
        <v xml:space="preserve">ПС 35/10 кВ Чамерово </v>
      </c>
      <c r="D32" s="230">
        <f>'Расчет ЦП - общая форма'!AB32</f>
        <v>1.8</v>
      </c>
      <c r="E32" s="229">
        <f>'Расчет ЦП - общая форма'!AC32</f>
        <v>0</v>
      </c>
      <c r="F32" s="229">
        <f>'Расчет ЦП - общая форма'!AD32</f>
        <v>0</v>
      </c>
      <c r="G32" s="229">
        <f>'Расчет ЦП - общая форма'!AE32</f>
        <v>0</v>
      </c>
      <c r="H32" s="229">
        <f>'Расчет ЦП - общая форма'!AF32</f>
        <v>0</v>
      </c>
      <c r="I32" s="172">
        <f>'Расчет ЦП - общая форма'!AP32</f>
        <v>-0.17000000000000004</v>
      </c>
      <c r="J32" s="172" t="str">
        <f>'Расчет ЦП - общая форма'!AQ32</f>
        <v>закрыт</v>
      </c>
      <c r="K32" s="924" t="str">
        <f>'Расчет ЦП - общая форма'!AR32</f>
        <v>закрыт</v>
      </c>
      <c r="L32" s="924">
        <f>'Расчет ЦП - общая форма'!AS32</f>
        <v>47.619047619047613</v>
      </c>
      <c r="M32" s="924"/>
      <c r="N32" s="924"/>
    </row>
    <row r="33" spans="1:14" hidden="1" x14ac:dyDescent="0.25">
      <c r="A33" s="213">
        <f>'Расчет ЦП - общая форма'!Y33</f>
        <v>26</v>
      </c>
      <c r="B33" s="213">
        <f>COUNTIFS($C$8:C33,"*ПС*",$J$8:J33,"*закрыт*")</f>
        <v>5</v>
      </c>
      <c r="C33" s="213" t="str">
        <f>'Расчет ЦП - общая форма'!AA33</f>
        <v xml:space="preserve">ПС 110/10 кВ Ахматово </v>
      </c>
      <c r="D33" s="230">
        <f>'Расчет ЦП - общая форма'!AB33</f>
        <v>2.5</v>
      </c>
      <c r="E33" s="229">
        <f>'Расчет ЦП - общая форма'!AC33</f>
        <v>0</v>
      </c>
      <c r="F33" s="229">
        <f>'Расчет ЦП - общая форма'!AD33</f>
        <v>0</v>
      </c>
      <c r="G33" s="229">
        <f>'Расчет ЦП - общая форма'!AE33</f>
        <v>0</v>
      </c>
      <c r="H33" s="229">
        <f>'Расчет ЦП - общая форма'!AF33</f>
        <v>0</v>
      </c>
      <c r="I33" s="172">
        <f>'Расчет ЦП - общая форма'!AP33</f>
        <v>0.45999999999999996</v>
      </c>
      <c r="J33" s="172" t="str">
        <f>'Расчет ЦП - общая форма'!AQ33</f>
        <v/>
      </c>
      <c r="K33" s="924" t="str">
        <f>'Расчет ЦП - общая форма'!AR33</f>
        <v/>
      </c>
      <c r="L33" s="924">
        <f>'Расчет ЦП - общая форма'!AS33</f>
        <v>9.5238095238095237</v>
      </c>
      <c r="M33" s="924"/>
      <c r="N33" s="924"/>
    </row>
    <row r="34" spans="1:14" hidden="1" x14ac:dyDescent="0.25">
      <c r="A34" s="213">
        <f>'Расчет ЦП - общая форма'!Y34</f>
        <v>27</v>
      </c>
      <c r="B34" s="213">
        <f>COUNTIFS($C$8:C34,"*ПС*",$J$8:J34,"*закрыт*")</f>
        <v>5</v>
      </c>
      <c r="C34" s="213" t="str">
        <f>'Расчет ЦП - общая форма'!AA34</f>
        <v xml:space="preserve">ПС 110/10 кВ Кладово </v>
      </c>
      <c r="D34" s="230">
        <f>'Расчет ЦП - общая форма'!AB34</f>
        <v>6.3</v>
      </c>
      <c r="E34" s="229">
        <f>'Расчет ЦП - общая форма'!AC34</f>
        <v>0</v>
      </c>
      <c r="F34" s="229">
        <f>'Расчет ЦП - общая форма'!AD34</f>
        <v>0</v>
      </c>
      <c r="G34" s="229">
        <f>'Расчет ЦП - общая форма'!AE34</f>
        <v>0</v>
      </c>
      <c r="H34" s="229">
        <f>'Расчет ЦП - общая форма'!AF34</f>
        <v>0</v>
      </c>
      <c r="I34" s="172">
        <f>'Расчет ЦП - общая форма'!AP34</f>
        <v>1.04</v>
      </c>
      <c r="J34" s="172" t="str">
        <f>'Расчет ЦП - общая форма'!AQ34</f>
        <v/>
      </c>
      <c r="K34" s="924" t="str">
        <f>'Расчет ЦП - общая форма'!AR34</f>
        <v/>
      </c>
      <c r="L34" s="924">
        <f>'Расчет ЦП - общая форма'!AS34</f>
        <v>8.314436885865458</v>
      </c>
      <c r="M34" s="924"/>
      <c r="N34" s="924"/>
    </row>
    <row r="35" spans="1:14" hidden="1" x14ac:dyDescent="0.25">
      <c r="A35" s="213">
        <f>'Расчет ЦП - общая форма'!Y35</f>
        <v>28</v>
      </c>
      <c r="B35" s="213">
        <f>COUNTIFS($C$8:C35,"*ПС*",$J$8:J35,"*закрыт*")</f>
        <v>5</v>
      </c>
      <c r="C35" s="213" t="str">
        <f>'Расчет ЦП - общая форма'!AA35</f>
        <v xml:space="preserve">ПС 110/10 кВ Лаптиха </v>
      </c>
      <c r="D35" s="230">
        <f>'Расчет ЦП - общая форма'!AB35</f>
        <v>2.5</v>
      </c>
      <c r="E35" s="229">
        <f>'Расчет ЦП - общая форма'!AC35</f>
        <v>0</v>
      </c>
      <c r="F35" s="229">
        <f>'Расчет ЦП - общая форма'!AD35</f>
        <v>0</v>
      </c>
      <c r="G35" s="229">
        <f>'Расчет ЦП - общая форма'!AE35</f>
        <v>0</v>
      </c>
      <c r="H35" s="229">
        <f>'Расчет ЦП - общая форма'!AF35</f>
        <v>0</v>
      </c>
      <c r="I35" s="172">
        <f>'Расчет ЦП - общая форма'!AP35</f>
        <v>0.67</v>
      </c>
      <c r="J35" s="172" t="str">
        <f>'Расчет ЦП - общая форма'!AQ35</f>
        <v/>
      </c>
      <c r="K35" s="924" t="str">
        <f>'Расчет ЦП - общая форма'!AR35</f>
        <v/>
      </c>
      <c r="L35" s="924">
        <f>'Расчет ЦП - общая форма'!AS35</f>
        <v>8.3809523809523814</v>
      </c>
      <c r="M35" s="924"/>
      <c r="N35" s="924"/>
    </row>
    <row r="36" spans="1:14" hidden="1" x14ac:dyDescent="0.25">
      <c r="A36" s="213">
        <f>'Расчет ЦП - общая форма'!Y36</f>
        <v>29</v>
      </c>
      <c r="B36" s="213">
        <f>COUNTIFS($C$8:C36,"*ПС*",$J$8:J36,"*закрыт*")</f>
        <v>5</v>
      </c>
      <c r="C36" s="213" t="str">
        <f>'Расчет ЦП - общая форма'!AA36</f>
        <v xml:space="preserve">ПС 110/10 кВ Малышево </v>
      </c>
      <c r="D36" s="230">
        <f>'Расчет ЦП - общая форма'!AB36</f>
        <v>2.5</v>
      </c>
      <c r="E36" s="229">
        <f>'Расчет ЦП - общая форма'!AC36</f>
        <v>0</v>
      </c>
      <c r="F36" s="229">
        <f>'Расчет ЦП - общая форма'!AD36</f>
        <v>0</v>
      </c>
      <c r="G36" s="229">
        <f>'Расчет ЦП - общая форма'!AE36</f>
        <v>0</v>
      </c>
      <c r="H36" s="229">
        <f>'Расчет ЦП - общая форма'!AF36</f>
        <v>0</v>
      </c>
      <c r="I36" s="172">
        <f>'Расчет ЦП - общая форма'!AP36</f>
        <v>3.0000000000000027E-2</v>
      </c>
      <c r="J36" s="172" t="str">
        <f>'Расчет ЦП - общая форма'!AQ36</f>
        <v/>
      </c>
      <c r="K36" s="924" t="str">
        <f>'Расчет ЦП - общая форма'!AR36</f>
        <v/>
      </c>
      <c r="L36" s="924">
        <f>'Расчет ЦП - общая форма'!AS36</f>
        <v>31.238095238095237</v>
      </c>
      <c r="M36" s="924"/>
      <c r="N36" s="924"/>
    </row>
    <row r="37" spans="1:14" hidden="1" x14ac:dyDescent="0.25">
      <c r="A37" s="213">
        <f>'Расчет ЦП - общая форма'!Y37</f>
        <v>30</v>
      </c>
      <c r="B37" s="213">
        <f>COUNTIFS($C$8:C37,"*ПС*",$J$8:J37,"*закрыт*")</f>
        <v>5</v>
      </c>
      <c r="C37" s="213" t="str">
        <f>'Расчет ЦП - общая форма'!AA37</f>
        <v xml:space="preserve">ПС 110/10 кВ Старт </v>
      </c>
      <c r="D37" s="230">
        <f>'Расчет ЦП - общая форма'!AB37</f>
        <v>16</v>
      </c>
      <c r="E37" s="229">
        <f>'Расчет ЦП - общая форма'!AC37</f>
        <v>0</v>
      </c>
      <c r="F37" s="229">
        <f>'Расчет ЦП - общая форма'!AD37</f>
        <v>0</v>
      </c>
      <c r="G37" s="229">
        <f>'Расчет ЦП - общая форма'!AE37</f>
        <v>0</v>
      </c>
      <c r="H37" s="229">
        <f>'Расчет ЦП - общая форма'!AF37</f>
        <v>0</v>
      </c>
      <c r="I37" s="172">
        <f>'Расчет ЦП - общая форма'!AP37</f>
        <v>1.0000000000000002</v>
      </c>
      <c r="J37" s="172" t="str">
        <f>'Расчет ЦП - общая форма'!AQ37</f>
        <v/>
      </c>
      <c r="K37" s="924" t="str">
        <f>'Расчет ЦП - общая форма'!AR37</f>
        <v/>
      </c>
      <c r="L37" s="924">
        <f>'Расчет ЦП - общая форма'!AS37</f>
        <v>11.726190476190476</v>
      </c>
      <c r="M37" s="924"/>
      <c r="N37" s="924"/>
    </row>
    <row r="38" spans="1:14" ht="19.5" customHeight="1" x14ac:dyDescent="0.25">
      <c r="A38" s="213">
        <f>'Расчет ЦП - общая форма'!Y38</f>
        <v>31</v>
      </c>
      <c r="B38" s="1256">
        <f>COUNTIFS($C$8:C38,"*ПС*",$J$8:J38,"*закрыт*")</f>
        <v>6</v>
      </c>
      <c r="C38" s="213" t="str">
        <f>'Расчет ЦП - общая форма'!AA38</f>
        <v xml:space="preserve">ПС 110/35 кВ Рассвет </v>
      </c>
      <c r="D38" s="230">
        <f>'Расчет ЦП - общая форма'!AB38</f>
        <v>10</v>
      </c>
      <c r="E38" s="229">
        <f>'Расчет ЦП - общая форма'!AC38</f>
        <v>0</v>
      </c>
      <c r="F38" s="229">
        <f>'Расчет ЦП - общая форма'!AD38</f>
        <v>0</v>
      </c>
      <c r="G38" s="229">
        <f>'Расчет ЦП - общая форма'!AE38</f>
        <v>0</v>
      </c>
      <c r="H38" s="229">
        <f>'Расчет ЦП - общая форма'!AF38</f>
        <v>0</v>
      </c>
      <c r="I38" s="172">
        <f>'Расчет ЦП - общая форма'!AP38</f>
        <v>-0.82249999999999979</v>
      </c>
      <c r="J38" s="172" t="str">
        <f>'Расчет ЦП - общая форма'!AQ38</f>
        <v>закрыт</v>
      </c>
      <c r="K38" s="924" t="str">
        <f>'Расчет ЦП - общая форма'!AR38</f>
        <v>закрыт</v>
      </c>
      <c r="L38" s="924">
        <f>'Расчет ЦП - общая форма'!AS38</f>
        <v>55.452380952380949</v>
      </c>
      <c r="M38" s="924"/>
      <c r="N38" s="924"/>
    </row>
    <row r="39" spans="1:14" ht="19.5" customHeight="1" x14ac:dyDescent="0.25">
      <c r="A39" s="1371">
        <f>'Расчет ЦП - общая форма'!Y39</f>
        <v>32</v>
      </c>
      <c r="B39" s="1376">
        <f>COUNTIFS($C$8:C39,"*ПС*",$J$8:J39,"*закрыт*")</f>
        <v>7</v>
      </c>
      <c r="C39" s="213" t="str">
        <f>'Расчет ЦП - общая форма'!AA39</f>
        <v xml:space="preserve">ПС 110/35/10 кВ Иваново </v>
      </c>
      <c r="D39" s="230">
        <f>'Расчет ЦП - общая форма'!AB39</f>
        <v>6.3</v>
      </c>
      <c r="E39" s="229">
        <f>'Расчет ЦП - общая форма'!AC39</f>
        <v>0</v>
      </c>
      <c r="F39" s="229">
        <f>'Расчет ЦП - общая форма'!AD39</f>
        <v>0</v>
      </c>
      <c r="G39" s="229">
        <f>'Расчет ЦП - общая форма'!AE39</f>
        <v>0</v>
      </c>
      <c r="H39" s="229">
        <f>'Расчет ЦП - общая форма'!AF39</f>
        <v>0</v>
      </c>
      <c r="I39" s="1364">
        <f>'Расчет ЦП - общая форма'!AP39</f>
        <v>-0.94</v>
      </c>
      <c r="J39" s="1364" t="str">
        <f>'Расчет ЦП - общая форма'!AQ39</f>
        <v>закрыт</v>
      </c>
      <c r="K39" s="924" t="str">
        <f>'Расчет ЦП - общая форма'!AR39</f>
        <v>закрыт</v>
      </c>
      <c r="L39" s="924">
        <f>'Расчет ЦП - общая форма'!AS39</f>
        <v>16.931216931216934</v>
      </c>
      <c r="M39" s="924"/>
      <c r="N39" s="924"/>
    </row>
    <row r="40" spans="1:14" ht="19.5" customHeight="1" x14ac:dyDescent="0.25">
      <c r="A40" s="1371">
        <f>'Расчет ЦП - общая форма'!Y40</f>
        <v>0</v>
      </c>
      <c r="B40" s="1393"/>
      <c r="C40" s="213" t="str">
        <f>'Расчет ЦП - общая форма'!AA40</f>
        <v xml:space="preserve">Ном. Мощность СН, МВА </v>
      </c>
      <c r="D40" s="230">
        <f>'Расчет ЦП - общая форма'!AB40</f>
        <v>6.3</v>
      </c>
      <c r="E40" s="229">
        <f>'Расчет ЦП - общая форма'!AC40</f>
        <v>0</v>
      </c>
      <c r="F40" s="229">
        <f>'Расчет ЦП - общая форма'!AD40</f>
        <v>0</v>
      </c>
      <c r="G40" s="229">
        <f>'Расчет ЦП - общая форма'!AE40</f>
        <v>0</v>
      </c>
      <c r="H40" s="229">
        <f>'Расчет ЦП - общая форма'!AF40</f>
        <v>0</v>
      </c>
      <c r="I40" s="1365">
        <f>'Расчет ЦП - общая форма'!AP40</f>
        <v>0</v>
      </c>
      <c r="J40" s="1365">
        <f>'Расчет ЦП - общая форма'!AQ40</f>
        <v>0</v>
      </c>
      <c r="K40" s="924" t="str">
        <f>'Расчет ЦП - общая форма'!AR40</f>
        <v>закрыт</v>
      </c>
      <c r="L40" s="924">
        <f>'Расчет ЦП - общая форма'!AS40</f>
        <v>0</v>
      </c>
      <c r="M40" s="924"/>
      <c r="N40" s="924"/>
    </row>
    <row r="41" spans="1:14" ht="20.100000000000001" customHeight="1" x14ac:dyDescent="0.25">
      <c r="A41" s="1371">
        <f>'Расчет ЦП - общая форма'!Y41</f>
        <v>0</v>
      </c>
      <c r="B41" s="1394"/>
      <c r="C41" s="213" t="str">
        <f>'Расчет ЦП - общая форма'!AA41</f>
        <v>Ном. мощность НН, МВА</v>
      </c>
      <c r="D41" s="230">
        <f>'Расчет ЦП - общая форма'!AB41</f>
        <v>6.3</v>
      </c>
      <c r="E41" s="229">
        <f>'Расчет ЦП - общая форма'!AC41</f>
        <v>0</v>
      </c>
      <c r="F41" s="229">
        <f>'Расчет ЦП - общая форма'!AD41</f>
        <v>0</v>
      </c>
      <c r="G41" s="229">
        <f>'Расчет ЦП - общая форма'!AE41</f>
        <v>0</v>
      </c>
      <c r="H41" s="229">
        <f>'Расчет ЦП - общая форма'!AF41</f>
        <v>0</v>
      </c>
      <c r="I41" s="1366">
        <f>'Расчет ЦП - общая форма'!AP41</f>
        <v>0</v>
      </c>
      <c r="J41" s="1366">
        <f>'Расчет ЦП - общая форма'!AQ41</f>
        <v>0</v>
      </c>
      <c r="K41" s="924" t="str">
        <f>'Расчет ЦП - общая форма'!AR41</f>
        <v>закрыт</v>
      </c>
      <c r="L41" s="924">
        <f>'Расчет ЦП - общая форма'!AS41</f>
        <v>0</v>
      </c>
      <c r="M41" s="924"/>
      <c r="N41" s="924"/>
    </row>
    <row r="42" spans="1:14" ht="20.100000000000001" customHeight="1" x14ac:dyDescent="0.25">
      <c r="A42" s="1371">
        <f>'Расчет ЦП - общая форма'!Y42</f>
        <v>33</v>
      </c>
      <c r="B42" s="1376">
        <f>COUNTIFS($C$8:C42,"*ПС*",$J$8:J42,"*закрыт*")</f>
        <v>8</v>
      </c>
      <c r="C42" s="213" t="str">
        <f>'Расчет ЦП - общая форма'!AA42</f>
        <v xml:space="preserve">ПС 110/35/10 кВ Кесьма </v>
      </c>
      <c r="D42" s="230">
        <f>'Расчет ЦП - общая форма'!AB42</f>
        <v>6.3</v>
      </c>
      <c r="E42" s="229">
        <f>'Расчет ЦП - общая форма'!AC42</f>
        <v>0</v>
      </c>
      <c r="F42" s="229">
        <f>'Расчет ЦП - общая форма'!AD42</f>
        <v>0</v>
      </c>
      <c r="G42" s="229">
        <f>'Расчет ЦП - общая форма'!AE42</f>
        <v>0</v>
      </c>
      <c r="H42" s="229">
        <f>'Расчет ЦП - общая форма'!AF42</f>
        <v>0</v>
      </c>
      <c r="I42" s="1364">
        <f>'Расчет ЦП - общая форма'!AP42</f>
        <v>-0.06</v>
      </c>
      <c r="J42" s="1364" t="str">
        <f>'Расчет ЦП - общая форма'!AQ42</f>
        <v>закрыт</v>
      </c>
      <c r="K42" s="924" t="str">
        <f>'Расчет ЦП - общая форма'!AR42</f>
        <v>закрыт</v>
      </c>
      <c r="L42" s="924">
        <f>'Расчет ЦП - общая форма'!AS42</f>
        <v>11.942554799697657</v>
      </c>
      <c r="M42" s="924"/>
      <c r="N42" s="924"/>
    </row>
    <row r="43" spans="1:14" ht="20.100000000000001" customHeight="1" x14ac:dyDescent="0.25">
      <c r="A43" s="1371">
        <f>'Расчет ЦП - общая форма'!Y43</f>
        <v>0</v>
      </c>
      <c r="B43" s="1393"/>
      <c r="C43" s="213" t="str">
        <f>'Расчет ЦП - общая форма'!AA43</f>
        <v xml:space="preserve">Ном. Мощность СН, МВА </v>
      </c>
      <c r="D43" s="230">
        <f>'Расчет ЦП - общая форма'!AB43</f>
        <v>6.3</v>
      </c>
      <c r="E43" s="229">
        <f>'Расчет ЦП - общая форма'!AC43</f>
        <v>0</v>
      </c>
      <c r="F43" s="229">
        <f>'Расчет ЦП - общая форма'!AD43</f>
        <v>0</v>
      </c>
      <c r="G43" s="229">
        <f>'Расчет ЦП - общая форма'!AE43</f>
        <v>0</v>
      </c>
      <c r="H43" s="229">
        <f>'Расчет ЦП - общая форма'!AF43</f>
        <v>0</v>
      </c>
      <c r="I43" s="1365">
        <f>'Расчет ЦП - общая форма'!AP43</f>
        <v>0</v>
      </c>
      <c r="J43" s="1365">
        <f>'Расчет ЦП - общая форма'!AQ43</f>
        <v>0</v>
      </c>
      <c r="K43" s="924" t="str">
        <f>'Расчет ЦП - общая форма'!AR43</f>
        <v>закрыт</v>
      </c>
      <c r="L43" s="924">
        <f>'Расчет ЦП - общая форма'!AS43</f>
        <v>0</v>
      </c>
      <c r="M43" s="924"/>
      <c r="N43" s="924"/>
    </row>
    <row r="44" spans="1:14" ht="20.100000000000001" customHeight="1" x14ac:dyDescent="0.25">
      <c r="A44" s="1371">
        <f>'Расчет ЦП - общая форма'!Y44</f>
        <v>0</v>
      </c>
      <c r="B44" s="1394"/>
      <c r="C44" s="213" t="str">
        <f>'Расчет ЦП - общая форма'!AA44</f>
        <v>Ном. мощность НН, МВА</v>
      </c>
      <c r="D44" s="230">
        <f>'Расчет ЦП - общая форма'!AB44</f>
        <v>6.3</v>
      </c>
      <c r="E44" s="229">
        <f>'Расчет ЦП - общая форма'!AC44</f>
        <v>0</v>
      </c>
      <c r="F44" s="229">
        <f>'Расчет ЦП - общая форма'!AD44</f>
        <v>0</v>
      </c>
      <c r="G44" s="229">
        <f>'Расчет ЦП - общая форма'!AE44</f>
        <v>0</v>
      </c>
      <c r="H44" s="229">
        <f>'Расчет ЦП - общая форма'!AF44</f>
        <v>0</v>
      </c>
      <c r="I44" s="1366">
        <f>'Расчет ЦП - общая форма'!AP44</f>
        <v>0</v>
      </c>
      <c r="J44" s="1366">
        <f>'Расчет ЦП - общая форма'!AQ44</f>
        <v>0</v>
      </c>
      <c r="K44" s="924" t="str">
        <f>'Расчет ЦП - общая форма'!AR44</f>
        <v>закрыт</v>
      </c>
      <c r="L44" s="924">
        <f>'Расчет ЦП - общая форма'!AS44</f>
        <v>0</v>
      </c>
      <c r="M44" s="924"/>
      <c r="N44" s="924"/>
    </row>
    <row r="45" spans="1:14" ht="20.100000000000001" customHeight="1" x14ac:dyDescent="0.25">
      <c r="A45" s="213">
        <f>'Расчет ЦП - общая форма'!Y45</f>
        <v>34</v>
      </c>
      <c r="B45" s="1376">
        <f>COUNTIFS($C$8:C45,"*ПС*",$J$8:J45,"*закрыт*")</f>
        <v>9</v>
      </c>
      <c r="C45" s="213" t="str">
        <f>'Расчет ЦП - общая форма'!AA45</f>
        <v xml:space="preserve">ПС 110/35/10 кВ Моркины Горы </v>
      </c>
      <c r="D45" s="230">
        <f>'Расчет ЦП - общая форма'!AB45</f>
        <v>5.6</v>
      </c>
      <c r="E45" s="229">
        <f>'Расчет ЦП - общая форма'!AC45</f>
        <v>0</v>
      </c>
      <c r="F45" s="229">
        <f>'Расчет ЦП - общая форма'!AD45</f>
        <v>0</v>
      </c>
      <c r="G45" s="229">
        <f>'Расчет ЦП - общая форма'!AE45</f>
        <v>0</v>
      </c>
      <c r="H45" s="229">
        <f>'Расчет ЦП - общая форма'!AF45</f>
        <v>0</v>
      </c>
      <c r="I45" s="1364">
        <f>'Расчет ЦП - общая форма'!AP45</f>
        <v>-0.22</v>
      </c>
      <c r="J45" s="1364" t="str">
        <f>'Расчет ЦП - общая форма'!AQ45</f>
        <v>закрыт</v>
      </c>
      <c r="K45" s="924" t="str">
        <f>'Расчет ЦП - общая форма'!AR45</f>
        <v>закрыт</v>
      </c>
      <c r="L45" s="924">
        <f>'Расчет ЦП - общая форма'!AS45</f>
        <v>11.564625850340136</v>
      </c>
      <c r="M45" s="924"/>
      <c r="N45" s="924"/>
    </row>
    <row r="46" spans="1:14" ht="20.100000000000001" customHeight="1" x14ac:dyDescent="0.25">
      <c r="A46" s="213">
        <f>'Расчет ЦП - общая форма'!Y46</f>
        <v>0</v>
      </c>
      <c r="B46" s="1393"/>
      <c r="C46" s="213" t="str">
        <f>'Расчет ЦП - общая форма'!AA46</f>
        <v xml:space="preserve">Ном. Мощность СН, МВА </v>
      </c>
      <c r="D46" s="230">
        <f>'Расчет ЦП - общая форма'!AB46</f>
        <v>5.6</v>
      </c>
      <c r="E46" s="229">
        <f>'Расчет ЦП - общая форма'!AC46</f>
        <v>0</v>
      </c>
      <c r="F46" s="229">
        <f>'Расчет ЦП - общая форма'!AD46</f>
        <v>0</v>
      </c>
      <c r="G46" s="229">
        <f>'Расчет ЦП - общая форма'!AE46</f>
        <v>0</v>
      </c>
      <c r="H46" s="229">
        <f>'Расчет ЦП - общая форма'!AF46</f>
        <v>0</v>
      </c>
      <c r="I46" s="1365">
        <f>'Расчет ЦП - общая форма'!AP46</f>
        <v>0</v>
      </c>
      <c r="J46" s="1365">
        <f>'Расчет ЦП - общая форма'!AQ46</f>
        <v>0</v>
      </c>
      <c r="K46" s="924" t="str">
        <f>'Расчет ЦП - общая форма'!AR46</f>
        <v>закрыт</v>
      </c>
      <c r="L46" s="924">
        <f>'Расчет ЦП - общая форма'!AS46</f>
        <v>0</v>
      </c>
      <c r="M46" s="924"/>
      <c r="N46" s="924"/>
    </row>
    <row r="47" spans="1:14" ht="20.100000000000001" customHeight="1" x14ac:dyDescent="0.25">
      <c r="A47" s="213">
        <f>'Расчет ЦП - общая форма'!Y47</f>
        <v>0</v>
      </c>
      <c r="B47" s="1394"/>
      <c r="C47" s="213" t="str">
        <f>'Расчет ЦП - общая форма'!AA47</f>
        <v>Ном. мощность НН, МВА</v>
      </c>
      <c r="D47" s="230">
        <f>'Расчет ЦП - общая форма'!AB47</f>
        <v>5.6</v>
      </c>
      <c r="E47" s="229">
        <f>'Расчет ЦП - общая форма'!AC47</f>
        <v>0</v>
      </c>
      <c r="F47" s="229">
        <f>'Расчет ЦП - общая форма'!AD47</f>
        <v>0</v>
      </c>
      <c r="G47" s="229">
        <f>'Расчет ЦП - общая форма'!AE47</f>
        <v>0</v>
      </c>
      <c r="H47" s="229">
        <f>'Расчет ЦП - общая форма'!AF47</f>
        <v>0</v>
      </c>
      <c r="I47" s="1366">
        <f>'Расчет ЦП - общая форма'!AP47</f>
        <v>0</v>
      </c>
      <c r="J47" s="1366">
        <f>'Расчет ЦП - общая форма'!AQ47</f>
        <v>0</v>
      </c>
      <c r="K47" s="924" t="str">
        <f>'Расчет ЦП - общая форма'!AR47</f>
        <v>закрыт</v>
      </c>
      <c r="L47" s="924">
        <f>'Расчет ЦП - общая форма'!AS47</f>
        <v>0</v>
      </c>
      <c r="M47" s="924"/>
      <c r="N47" s="924"/>
    </row>
    <row r="48" spans="1:14" hidden="1" x14ac:dyDescent="0.25">
      <c r="A48" s="213">
        <f>'Расчет ЦП - общая форма'!Y48</f>
        <v>35</v>
      </c>
      <c r="B48" s="1376">
        <f>COUNTIFS($C$8:C48,"*ПС*",$J$8:J48,"*закрыт*")</f>
        <v>9</v>
      </c>
      <c r="C48" s="213" t="str">
        <f>'Расчет ЦП - общая форма'!AA48</f>
        <v xml:space="preserve">ПС 110/35/10 кВ Топалки  </v>
      </c>
      <c r="D48" s="230">
        <f>'Расчет ЦП - общая форма'!AB48</f>
        <v>6.3</v>
      </c>
      <c r="E48" s="229">
        <f>'Расчет ЦП - общая форма'!AC48</f>
        <v>0</v>
      </c>
      <c r="F48" s="229">
        <f>'Расчет ЦП - общая форма'!AD48</f>
        <v>0</v>
      </c>
      <c r="G48" s="229">
        <f>'Расчет ЦП - общая форма'!AE48</f>
        <v>0</v>
      </c>
      <c r="H48" s="229">
        <f>'Расчет ЦП - общая форма'!AF48</f>
        <v>0</v>
      </c>
      <c r="I48" s="172">
        <f>'Расчет ЦП - общая форма'!AP48</f>
        <v>0.7</v>
      </c>
      <c r="J48" s="172" t="str">
        <f>'Расчет ЦП - общая форма'!AQ48</f>
        <v/>
      </c>
      <c r="K48" s="924" t="str">
        <f>'Расчет ЦП - общая форма'!AR48</f>
        <v/>
      </c>
      <c r="L48" s="924">
        <f>'Расчет ЦП - общая форма'!AS48</f>
        <v>40.538548752834458</v>
      </c>
      <c r="M48" s="924"/>
      <c r="N48" s="924"/>
    </row>
    <row r="49" spans="1:14" hidden="1" x14ac:dyDescent="0.25">
      <c r="A49" s="213">
        <f>'Расчет ЦП - общая форма'!Y49</f>
        <v>0</v>
      </c>
      <c r="B49" s="1393"/>
      <c r="C49" s="213" t="str">
        <f>'Расчет ЦП - общая форма'!AA49</f>
        <v xml:space="preserve">Ном. Мощность СН, МВА </v>
      </c>
      <c r="D49" s="230">
        <f>'Расчет ЦП - общая форма'!AB49</f>
        <v>6.3</v>
      </c>
      <c r="E49" s="229">
        <f>'Расчет ЦП - общая форма'!AC49</f>
        <v>0</v>
      </c>
      <c r="F49" s="229">
        <f>'Расчет ЦП - общая форма'!AD49</f>
        <v>0</v>
      </c>
      <c r="G49" s="229">
        <f>'Расчет ЦП - общая форма'!AE49</f>
        <v>0</v>
      </c>
      <c r="H49" s="229">
        <f>'Расчет ЦП - общая форма'!AF49</f>
        <v>0</v>
      </c>
      <c r="I49" s="172">
        <f>'Расчет ЦП - общая форма'!AP49</f>
        <v>0</v>
      </c>
      <c r="J49" s="172" t="str">
        <f>'Расчет ЦП - общая форма'!AQ49</f>
        <v/>
      </c>
      <c r="K49" s="924" t="str">
        <f>'Расчет ЦП - общая форма'!AR49</f>
        <v/>
      </c>
      <c r="L49" s="924">
        <f>'Расчет ЦП - общая форма'!AS49</f>
        <v>0</v>
      </c>
      <c r="M49" s="924"/>
      <c r="N49" s="924"/>
    </row>
    <row r="50" spans="1:14" hidden="1" x14ac:dyDescent="0.25">
      <c r="A50" s="213">
        <f>'Расчет ЦП - общая форма'!Y50</f>
        <v>0</v>
      </c>
      <c r="B50" s="1394"/>
      <c r="C50" s="213" t="str">
        <f>'Расчет ЦП - общая форма'!AA50</f>
        <v>Ном. мощность НН, МВА</v>
      </c>
      <c r="D50" s="230">
        <f>'Расчет ЦП - общая форма'!AB50</f>
        <v>6.3</v>
      </c>
      <c r="E50" s="229">
        <f>'Расчет ЦП - общая форма'!AC50</f>
        <v>0</v>
      </c>
      <c r="F50" s="229">
        <f>'Расчет ЦП - общая форма'!AD50</f>
        <v>0</v>
      </c>
      <c r="G50" s="229">
        <f>'Расчет ЦП - общая форма'!AE50</f>
        <v>0</v>
      </c>
      <c r="H50" s="229">
        <f>'Расчет ЦП - общая форма'!AF50</f>
        <v>0</v>
      </c>
      <c r="I50" s="172">
        <f>'Расчет ЦП - общая форма'!AP50</f>
        <v>0</v>
      </c>
      <c r="J50" s="172" t="str">
        <f>'Расчет ЦП - общая форма'!AQ50</f>
        <v/>
      </c>
      <c r="K50" s="924" t="str">
        <f>'Расчет ЦП - общая форма'!AR50</f>
        <v/>
      </c>
      <c r="L50" s="924">
        <f>'Расчет ЦП - общая форма'!AS50</f>
        <v>0</v>
      </c>
      <c r="M50" s="924"/>
      <c r="N50" s="924"/>
    </row>
    <row r="51" spans="1:14" hidden="1" x14ac:dyDescent="0.25">
      <c r="A51" s="213">
        <f>'Расчет ЦП - общая форма'!Y51</f>
        <v>36</v>
      </c>
      <c r="B51" s="1152">
        <f>COUNTIFS($C$8:C51,"*ПС*",$J$8:J51,"*закрыт*")</f>
        <v>9</v>
      </c>
      <c r="C51" s="213" t="str">
        <f>'Расчет ЦП - общая форма'!AA51</f>
        <v xml:space="preserve">ПС 35/10 кВ Березьё  </v>
      </c>
      <c r="D51" s="230">
        <f>'Расчет ЦП - общая форма'!AB51</f>
        <v>1</v>
      </c>
      <c r="E51" s="229" t="str">
        <f>'Расчет ЦП - общая форма'!AC51</f>
        <v>+</v>
      </c>
      <c r="F51" s="229">
        <f>'Расчет ЦП - общая форма'!AD51</f>
        <v>1</v>
      </c>
      <c r="G51" s="229">
        <f>'Расчет ЦП - общая форма'!AE51</f>
        <v>0</v>
      </c>
      <c r="H51" s="229">
        <f>'Расчет ЦП - общая форма'!AF51</f>
        <v>0</v>
      </c>
      <c r="I51" s="172">
        <f>'Расчет ЦП - общая форма'!AP51</f>
        <v>1.6400000000000001</v>
      </c>
      <c r="J51" s="172" t="str">
        <f>'Расчет ЦП - общая форма'!AQ51</f>
        <v/>
      </c>
      <c r="K51" s="924" t="str">
        <f>'Расчет ЦП - общая форма'!AR51</f>
        <v/>
      </c>
      <c r="L51" s="924">
        <f>'Расчет ЦП - общая форма'!AS51</f>
        <v>9.5238095238095237</v>
      </c>
      <c r="M51" s="924"/>
      <c r="N51" s="924"/>
    </row>
    <row r="52" spans="1:14" hidden="1" x14ac:dyDescent="0.25">
      <c r="A52" s="213">
        <f>'Расчет ЦП - общая форма'!Y52</f>
        <v>37</v>
      </c>
      <c r="B52" s="1152">
        <f>COUNTIFS($C$8:C52,"*ПС*",$J$8:J52,"*закрыт*")</f>
        <v>9</v>
      </c>
      <c r="C52" s="213" t="str">
        <f>'Расчет ЦП - общая форма'!AA52</f>
        <v xml:space="preserve">ПС 35/10 кВ Лесное </v>
      </c>
      <c r="D52" s="230">
        <f>'Расчет ЦП - общая форма'!AB52</f>
        <v>2.5</v>
      </c>
      <c r="E52" s="229" t="str">
        <f>'Расчет ЦП - общая форма'!AC52</f>
        <v>+</v>
      </c>
      <c r="F52" s="229">
        <f>'Расчет ЦП - общая форма'!AD52</f>
        <v>4</v>
      </c>
      <c r="G52" s="229">
        <f>'Расчет ЦП - общая форма'!AE52</f>
        <v>0</v>
      </c>
      <c r="H52" s="229">
        <f>'Расчет ЦП - общая форма'!AF52</f>
        <v>0</v>
      </c>
      <c r="I52" s="172">
        <f>'Расчет ЦП - общая форма'!AP52</f>
        <v>1.393375</v>
      </c>
      <c r="J52" s="172" t="str">
        <f>'Расчет ЦП - общая форма'!AQ52</f>
        <v/>
      </c>
      <c r="K52" s="924" t="str">
        <f>'Расчет ЦП - общая форма'!AR52</f>
        <v/>
      </c>
      <c r="L52" s="924">
        <f>'Расчет ЦП - общая форма'!AS52</f>
        <v>98.728571428571442</v>
      </c>
      <c r="M52" s="924"/>
      <c r="N52" s="924"/>
    </row>
    <row r="53" spans="1:14" x14ac:dyDescent="0.25">
      <c r="A53" s="213">
        <f>'Расчет ЦП - общая форма'!Y53</f>
        <v>38</v>
      </c>
      <c r="B53" s="1255">
        <f>COUNTIFS($C$8:C53,"*ПС*",$J$8:J53,"*закрыт*")</f>
        <v>10</v>
      </c>
      <c r="C53" s="213" t="str">
        <f>'Расчет ЦП - общая форма'!AA53</f>
        <v xml:space="preserve">ПС 35/10 кВ Максатиха   </v>
      </c>
      <c r="D53" s="230">
        <f>'Расчет ЦП - общая форма'!AB53</f>
        <v>6.3</v>
      </c>
      <c r="E53" s="229" t="str">
        <f>'Расчет ЦП - общая форма'!AC53</f>
        <v>+</v>
      </c>
      <c r="F53" s="229">
        <f>'Расчет ЦП - общая форма'!AD53</f>
        <v>4</v>
      </c>
      <c r="G53" s="229">
        <f>'Расчет ЦП - общая форма'!AE53</f>
        <v>0</v>
      </c>
      <c r="H53" s="229">
        <f>'Расчет ЦП - общая форма'!AF53</f>
        <v>0</v>
      </c>
      <c r="I53" s="172">
        <f>'Расчет ЦП - общая форма'!AP53</f>
        <v>-1.3749999999999929E-2</v>
      </c>
      <c r="J53" s="172" t="str">
        <f>'Расчет ЦП - общая форма'!AQ53</f>
        <v>закрыт</v>
      </c>
      <c r="K53" s="924" t="str">
        <f>'Расчет ЦП - общая форма'!AR53</f>
        <v>закрыт</v>
      </c>
      <c r="L53" s="924">
        <f>'Расчет ЦП - общая форма'!AS53</f>
        <v>139.375</v>
      </c>
      <c r="M53" s="924"/>
      <c r="N53" s="924"/>
    </row>
    <row r="54" spans="1:14" hidden="1" x14ac:dyDescent="0.25">
      <c r="A54" s="213">
        <f>'Расчет ЦП - общая форма'!Y54</f>
        <v>39</v>
      </c>
      <c r="B54" s="1152">
        <f>COUNTIFS($C$8:C54,"*ПС*",$J$8:J54,"*закрыт*")</f>
        <v>10</v>
      </c>
      <c r="C54" s="213" t="str">
        <f>'Расчет ЦП - общая форма'!AA54</f>
        <v xml:space="preserve">ПС 35/10 кВ Молоково </v>
      </c>
      <c r="D54" s="230">
        <f>'Расчет ЦП - общая форма'!AB54</f>
        <v>2.5</v>
      </c>
      <c r="E54" s="229" t="str">
        <f>'Расчет ЦП - общая форма'!AC54</f>
        <v>+</v>
      </c>
      <c r="F54" s="229">
        <f>'Расчет ЦП - общая форма'!AD54</f>
        <v>4</v>
      </c>
      <c r="G54" s="229">
        <f>'Расчет ЦП - общая форма'!AE54</f>
        <v>0</v>
      </c>
      <c r="H54" s="229">
        <f>'Расчет ЦП - общая форма'!AF54</f>
        <v>0</v>
      </c>
      <c r="I54" s="172">
        <f>'Расчет ЦП - общая форма'!AP54</f>
        <v>2.42</v>
      </c>
      <c r="J54" s="172" t="str">
        <f>'Расчет ЦП - общая форма'!AQ54</f>
        <v/>
      </c>
      <c r="K54" s="924" t="str">
        <f>'Расчет ЦП - общая форма'!AR54</f>
        <v/>
      </c>
      <c r="L54" s="924">
        <f>'Расчет ЦП - общая форма'!AS54</f>
        <v>74.476190476190467</v>
      </c>
      <c r="M54" s="924"/>
      <c r="N54" s="924"/>
    </row>
    <row r="55" spans="1:14" hidden="1" x14ac:dyDescent="0.25">
      <c r="A55" s="213">
        <f>'Расчет ЦП - общая форма'!Y55</f>
        <v>40</v>
      </c>
      <c r="B55" s="1152">
        <f>COUNTIFS($C$8:C55,"*ПС*",$J$8:J55,"*закрыт*")</f>
        <v>10</v>
      </c>
      <c r="C55" s="213" t="str">
        <f>'Расчет ЦП - общая форма'!AA55</f>
        <v>ПС 35/10 кВ Новокотово</v>
      </c>
      <c r="D55" s="230">
        <f>'Расчет ЦП - общая форма'!AB55</f>
        <v>2.5</v>
      </c>
      <c r="E55" s="229" t="str">
        <f>'Расчет ЦП - общая форма'!AC55</f>
        <v>+</v>
      </c>
      <c r="F55" s="229">
        <f>'Расчет ЦП - общая форма'!AD55</f>
        <v>2.5</v>
      </c>
      <c r="G55" s="229">
        <f>'Расчет ЦП - общая форма'!AE55</f>
        <v>0</v>
      </c>
      <c r="H55" s="229">
        <f>'Расчет ЦП - общая форма'!AF55</f>
        <v>0</v>
      </c>
      <c r="I55" s="172">
        <f>'Расчет ЦП - общая форма'!AP55</f>
        <v>2.4849999999999999</v>
      </c>
      <c r="J55" s="172" t="str">
        <f>'Расчет ЦП - общая форма'!AQ55</f>
        <v/>
      </c>
      <c r="K55" s="924" t="str">
        <f>'Расчет ЦП - общая форма'!AR55</f>
        <v/>
      </c>
      <c r="L55" s="924">
        <f>'Расчет ЦП - общая форма'!AS55</f>
        <v>5.3333333333333339</v>
      </c>
      <c r="M55" s="924"/>
      <c r="N55" s="924"/>
    </row>
    <row r="56" spans="1:14" hidden="1" x14ac:dyDescent="0.25">
      <c r="A56" s="213">
        <f>'Расчет ЦП - общая форма'!Y56</f>
        <v>41</v>
      </c>
      <c r="B56" s="1152">
        <f>COUNTIFS($C$8:C56,"*ПС*",$J$8:J56,"*закрыт*")</f>
        <v>10</v>
      </c>
      <c r="C56" s="213" t="str">
        <f>'Расчет ЦП - общая форма'!AA56</f>
        <v xml:space="preserve">ПС 35/10 кВ Ривзавод  </v>
      </c>
      <c r="D56" s="230">
        <f>'Расчет ЦП - общая форма'!AB56</f>
        <v>1.6</v>
      </c>
      <c r="E56" s="229" t="str">
        <f>'Расчет ЦП - общая форма'!AC56</f>
        <v>+</v>
      </c>
      <c r="F56" s="229">
        <f>'Расчет ЦП - общая форма'!AD56</f>
        <v>2.5</v>
      </c>
      <c r="G56" s="229">
        <f>'Расчет ЦП - общая форма'!AE56</f>
        <v>0</v>
      </c>
      <c r="H56" s="229">
        <f>'Расчет ЦП - общая форма'!AF56</f>
        <v>0</v>
      </c>
      <c r="I56" s="172">
        <f>'Расчет ЦП - общая форма'!AP56</f>
        <v>1.9600000000000002</v>
      </c>
      <c r="J56" s="172" t="str">
        <f>'Расчет ЦП - общая форма'!AQ56</f>
        <v/>
      </c>
      <c r="K56" s="924" t="str">
        <f>'Расчет ЦП - общая форма'!AR56</f>
        <v/>
      </c>
      <c r="L56" s="924">
        <f>'Расчет ЦП - общая форма'!AS56</f>
        <v>68.452380952380935</v>
      </c>
      <c r="M56" s="924"/>
      <c r="N56" s="924"/>
    </row>
    <row r="57" spans="1:14" hidden="1" x14ac:dyDescent="0.25">
      <c r="A57" s="213">
        <f>'Расчет ЦП - общая форма'!Y57</f>
        <v>42</v>
      </c>
      <c r="B57" s="1152">
        <f>COUNTIFS($C$8:C57,"*ПС*",$J$8:J57,"*закрыт*")</f>
        <v>10</v>
      </c>
      <c r="C57" s="213" t="str">
        <f>'Расчет ЦП - общая форма'!AA57</f>
        <v xml:space="preserve">ПС 35/10 кВ Сонково </v>
      </c>
      <c r="D57" s="230">
        <f>'Расчет ЦП - общая форма'!AB57</f>
        <v>4</v>
      </c>
      <c r="E57" s="229" t="str">
        <f>'Расчет ЦП - общая форма'!AC57</f>
        <v>+</v>
      </c>
      <c r="F57" s="229">
        <f>'Расчет ЦП - общая форма'!AD57</f>
        <v>3.2</v>
      </c>
      <c r="G57" s="229">
        <f>'Расчет ЦП - общая форма'!AE57</f>
        <v>0</v>
      </c>
      <c r="H57" s="229">
        <f>'Расчет ЦП - общая форма'!AF57</f>
        <v>0</v>
      </c>
      <c r="I57" s="172">
        <f>'Расчет ЦП - общая форма'!AP57</f>
        <v>0.45750000000000046</v>
      </c>
      <c r="J57" s="172" t="str">
        <f>'Расчет ЦП - общая форма'!AQ57</f>
        <v/>
      </c>
      <c r="K57" s="924" t="str">
        <f>'Расчет ЦП - общая форма'!AR57</f>
        <v/>
      </c>
      <c r="L57" s="924">
        <f>'Расчет ЦП - общая форма'!AS57</f>
        <v>139.65773809523807</v>
      </c>
      <c r="M57" s="924"/>
      <c r="N57" s="924"/>
    </row>
    <row r="58" spans="1:14" ht="30" hidden="1" customHeight="1" x14ac:dyDescent="0.25">
      <c r="A58" s="213">
        <f>'Расчет ЦП - общая форма'!Y58</f>
        <v>43</v>
      </c>
      <c r="B58" s="1152">
        <f>COUNTIFS($C$8:C58,"*ПС*",$J$8:J58,"*закрыт*")</f>
        <v>10</v>
      </c>
      <c r="C58" s="213" t="str">
        <f>'Расчет ЦП - общая форма'!AA58</f>
        <v xml:space="preserve">ПС 35/10 кВ Сулежский Борок </v>
      </c>
      <c r="D58" s="230">
        <f>'Расчет ЦП - общая форма'!AB58</f>
        <v>1.6</v>
      </c>
      <c r="E58" s="229" t="str">
        <f>'Расчет ЦП - общая форма'!AC58</f>
        <v>+</v>
      </c>
      <c r="F58" s="229">
        <f>'Расчет ЦП - общая форма'!AD58</f>
        <v>2.5</v>
      </c>
      <c r="G58" s="229">
        <f>'Расчет ЦП - общая форма'!AE58</f>
        <v>0</v>
      </c>
      <c r="H58" s="229">
        <f>'Расчет ЦП - общая форма'!AF58</f>
        <v>0</v>
      </c>
      <c r="I58" s="172">
        <f>'Расчет ЦП - общая форма'!AP58</f>
        <v>1.8000000000000003</v>
      </c>
      <c r="J58" s="172" t="str">
        <f>'Расчет ЦП - общая форма'!AQ58</f>
        <v/>
      </c>
      <c r="K58" s="924" t="str">
        <f>'Расчет ЦП - общая форма'!AR58</f>
        <v/>
      </c>
      <c r="L58" s="924">
        <f>'Расчет ЦП - общая форма'!AS58</f>
        <v>33.928571428571423</v>
      </c>
      <c r="M58" s="924"/>
      <c r="N58" s="924"/>
    </row>
    <row r="59" spans="1:14" hidden="1" x14ac:dyDescent="0.25">
      <c r="A59" s="213">
        <f>'Расчет ЦП - общая форма'!Y59</f>
        <v>44</v>
      </c>
      <c r="B59" s="1152">
        <f>COUNTIFS($C$8:C59,"*ПС*",$J$8:J59,"*закрыт*")</f>
        <v>10</v>
      </c>
      <c r="C59" s="213" t="str">
        <f>'Расчет ЦП - общая форма'!AA59</f>
        <v xml:space="preserve">ПС 110/10 кВ Шишково Дуброво </v>
      </c>
      <c r="D59" s="230">
        <f>'Расчет ЦП - общая форма'!AB59</f>
        <v>6.3</v>
      </c>
      <c r="E59" s="229" t="str">
        <f>'Расчет ЦП - общая форма'!AC59</f>
        <v>+</v>
      </c>
      <c r="F59" s="229">
        <f>'Расчет ЦП - общая форма'!AD59</f>
        <v>6.3</v>
      </c>
      <c r="G59" s="229">
        <f>'Расчет ЦП - общая форма'!AE59</f>
        <v>0</v>
      </c>
      <c r="H59" s="229">
        <f>'Расчет ЦП - общая форма'!AF59</f>
        <v>0</v>
      </c>
      <c r="I59" s="172">
        <f>'Расчет ЦП - общая форма'!AP59</f>
        <v>3.2437500000000008</v>
      </c>
      <c r="J59" s="172" t="str">
        <f>'Расчет ЦП - общая форма'!AQ59</f>
        <v/>
      </c>
      <c r="K59" s="924" t="str">
        <f>'Расчет ЦП - общая форма'!AR59</f>
        <v/>
      </c>
      <c r="L59" s="924">
        <f>'Расчет ЦП - общая форма'!AS59</f>
        <v>65.173847316704453</v>
      </c>
      <c r="M59" s="924"/>
      <c r="N59" s="924"/>
    </row>
    <row r="60" spans="1:14" ht="15" hidden="1" customHeight="1" x14ac:dyDescent="0.25">
      <c r="A60" s="1371">
        <f>'Расчет ЦП - общая форма'!Y60</f>
        <v>45</v>
      </c>
      <c r="B60" s="1376">
        <f>COUNTIFS($C$8:C60,"*ПС*",$J$8:J60,"*закрыт*")</f>
        <v>10</v>
      </c>
      <c r="C60" s="213" t="str">
        <f>'Расчет ЦП - общая форма'!AA60</f>
        <v xml:space="preserve">ПС 110/35/10 кВ Весьегонск </v>
      </c>
      <c r="D60" s="230">
        <f>'Расчет ЦП - общая форма'!AB60</f>
        <v>6.3</v>
      </c>
      <c r="E60" s="229" t="str">
        <f>'Расчет ЦП - общая форма'!AC60</f>
        <v>+</v>
      </c>
      <c r="F60" s="229">
        <f>'Расчет ЦП - общая форма'!AD60</f>
        <v>6.3</v>
      </c>
      <c r="G60" s="229">
        <f>'Расчет ЦП - общая форма'!AE60</f>
        <v>0</v>
      </c>
      <c r="H60" s="229">
        <f>'Расчет ЦП - общая форма'!AF60</f>
        <v>0</v>
      </c>
      <c r="I60" s="1364">
        <f>'Расчет ЦП - общая форма'!AP60</f>
        <v>0.22750000000000004</v>
      </c>
      <c r="J60" s="1364" t="str">
        <f>'Расчет ЦП - общая форма'!AQ60</f>
        <v/>
      </c>
      <c r="K60" s="924" t="str">
        <f>'Расчет ЦП - общая форма'!AR60</f>
        <v/>
      </c>
      <c r="L60" s="924">
        <f>'Расчет ЦП - общая форма'!AS60</f>
        <v>102.91005291005291</v>
      </c>
      <c r="M60" s="924"/>
      <c r="N60" s="924"/>
    </row>
    <row r="61" spans="1:14" hidden="1" x14ac:dyDescent="0.25">
      <c r="A61" s="1371">
        <f>'Расчет ЦП - общая форма'!Y61</f>
        <v>0</v>
      </c>
      <c r="B61" s="1393"/>
      <c r="C61" s="213" t="str">
        <f>'Расчет ЦП - общая форма'!AA61</f>
        <v xml:space="preserve">Ном. Мощность СН, МВА </v>
      </c>
      <c r="D61" s="230">
        <f>'Расчет ЦП - общая форма'!AB61</f>
        <v>6.3</v>
      </c>
      <c r="E61" s="229" t="str">
        <f>'Расчет ЦП - общая форма'!AC61</f>
        <v>+</v>
      </c>
      <c r="F61" s="229">
        <f>'Расчет ЦП - общая форма'!AD61</f>
        <v>6.3</v>
      </c>
      <c r="G61" s="229">
        <f>'Расчет ЦП - общая форма'!AE61</f>
        <v>0</v>
      </c>
      <c r="H61" s="229">
        <f>'Расчет ЦП - общая форма'!AF61</f>
        <v>0</v>
      </c>
      <c r="I61" s="1365">
        <f>'Расчет ЦП - общая форма'!AP61</f>
        <v>0</v>
      </c>
      <c r="J61" s="1365" t="str">
        <f>'Расчет ЦП - общая форма'!AQ61</f>
        <v/>
      </c>
      <c r="K61" s="924" t="str">
        <f>'Расчет ЦП - общая форма'!AR61</f>
        <v/>
      </c>
      <c r="L61" s="924">
        <f>'Расчет ЦП - общая форма'!AS61</f>
        <v>0</v>
      </c>
      <c r="M61" s="924"/>
      <c r="N61" s="924"/>
    </row>
    <row r="62" spans="1:14" hidden="1" x14ac:dyDescent="0.25">
      <c r="A62" s="1371">
        <f>'Расчет ЦП - общая форма'!Y62</f>
        <v>0</v>
      </c>
      <c r="B62" s="1394"/>
      <c r="C62" s="213" t="str">
        <f>'Расчет ЦП - общая форма'!AA62</f>
        <v>Ном. мощность НН, МВА</v>
      </c>
      <c r="D62" s="230">
        <f>'Расчет ЦП - общая форма'!AB62</f>
        <v>6.3</v>
      </c>
      <c r="E62" s="229" t="str">
        <f>'Расчет ЦП - общая форма'!AC62</f>
        <v>+</v>
      </c>
      <c r="F62" s="229">
        <f>'Расчет ЦП - общая форма'!AD62</f>
        <v>6.3</v>
      </c>
      <c r="G62" s="229">
        <f>'Расчет ЦП - общая форма'!AE62</f>
        <v>0</v>
      </c>
      <c r="H62" s="229">
        <f>'Расчет ЦП - общая форма'!AF62</f>
        <v>0</v>
      </c>
      <c r="I62" s="1366">
        <f>'Расчет ЦП - общая форма'!AP62</f>
        <v>0</v>
      </c>
      <c r="J62" s="1366" t="str">
        <f>'Расчет ЦП - общая форма'!AQ62</f>
        <v/>
      </c>
      <c r="K62" s="924" t="str">
        <f>'Расчет ЦП - общая форма'!AR62</f>
        <v/>
      </c>
      <c r="L62" s="924">
        <f>'Расчет ЦП - общая форма'!AS62</f>
        <v>0</v>
      </c>
      <c r="M62" s="924"/>
      <c r="N62" s="924"/>
    </row>
    <row r="63" spans="1:14" hidden="1" x14ac:dyDescent="0.25">
      <c r="A63" s="1371">
        <f>'Расчет ЦП - общая форма'!Y63</f>
        <v>46</v>
      </c>
      <c r="B63" s="1376">
        <f>COUNTIFS($C$8:C63,"*ПС*",$J$8:J63,"*закрыт*")</f>
        <v>10</v>
      </c>
      <c r="C63" s="213" t="str">
        <f>'Расчет ЦП - общая форма'!AA63</f>
        <v xml:space="preserve">ПС 110/35/10 кВ ДВП  </v>
      </c>
      <c r="D63" s="230">
        <f>'Расчет ЦП - общая форма'!AB63</f>
        <v>25</v>
      </c>
      <c r="E63" s="229" t="str">
        <f>'Расчет ЦП - общая форма'!AC63</f>
        <v>+</v>
      </c>
      <c r="F63" s="229">
        <f>'Расчет ЦП - общая форма'!AD63</f>
        <v>25</v>
      </c>
      <c r="G63" s="229">
        <f>'Расчет ЦП - общая форма'!AE63</f>
        <v>0</v>
      </c>
      <c r="H63" s="229">
        <f>'Расчет ЦП - общая форма'!AF63</f>
        <v>0</v>
      </c>
      <c r="I63" s="1364">
        <f>'Расчет ЦП - общая форма'!AP63</f>
        <v>19</v>
      </c>
      <c r="J63" s="1364" t="str">
        <f>'Расчет ЦП - общая форма'!AQ63</f>
        <v/>
      </c>
      <c r="K63" s="924" t="str">
        <f>'Расчет ЦП - общая форма'!AR63</f>
        <v/>
      </c>
      <c r="L63" s="924">
        <f>'Расчет ЦП - общая форма'!AS63</f>
        <v>37.142857142857146</v>
      </c>
      <c r="M63" s="924"/>
      <c r="N63" s="924"/>
    </row>
    <row r="64" spans="1:14" hidden="1" x14ac:dyDescent="0.25">
      <c r="A64" s="1371">
        <f>'Расчет ЦП - общая форма'!Y64</f>
        <v>0</v>
      </c>
      <c r="B64" s="1393"/>
      <c r="C64" s="213" t="str">
        <f>'Расчет ЦП - общая форма'!AA64</f>
        <v xml:space="preserve">Ном. Мощность СН, МВА </v>
      </c>
      <c r="D64" s="230">
        <f>'Расчет ЦП - общая форма'!AB64</f>
        <v>25</v>
      </c>
      <c r="E64" s="229" t="str">
        <f>'Расчет ЦП - общая форма'!AC64</f>
        <v>+</v>
      </c>
      <c r="F64" s="229">
        <f>'Расчет ЦП - общая форма'!AD64</f>
        <v>25</v>
      </c>
      <c r="G64" s="229">
        <f>'Расчет ЦП - общая форма'!AE64</f>
        <v>0</v>
      </c>
      <c r="H64" s="229">
        <f>'Расчет ЦП - общая форма'!AF64</f>
        <v>0</v>
      </c>
      <c r="I64" s="1365">
        <f>'Расчет ЦП - общая форма'!AP64</f>
        <v>0</v>
      </c>
      <c r="J64" s="1365" t="str">
        <f>'Расчет ЦП - общая форма'!AQ64</f>
        <v/>
      </c>
      <c r="K64" s="924" t="str">
        <f>'Расчет ЦП - общая форма'!AR64</f>
        <v/>
      </c>
      <c r="L64" s="924">
        <f>'Расчет ЦП - общая форма'!AS64</f>
        <v>0</v>
      </c>
      <c r="M64" s="924"/>
      <c r="N64" s="924"/>
    </row>
    <row r="65" spans="1:14" hidden="1" x14ac:dyDescent="0.25">
      <c r="A65" s="1371">
        <f>'Расчет ЦП - общая форма'!Y65</f>
        <v>0</v>
      </c>
      <c r="B65" s="1394"/>
      <c r="C65" s="213" t="str">
        <f>'Расчет ЦП - общая форма'!AA65</f>
        <v>Ном. мощность НН, МВА</v>
      </c>
      <c r="D65" s="245">
        <f>'Расчет ЦП - общая форма'!AB65</f>
        <v>25</v>
      </c>
      <c r="E65" s="246" t="str">
        <f>'Расчет ЦП - общая форма'!AC65</f>
        <v>+</v>
      </c>
      <c r="F65" s="246">
        <f>'Расчет ЦП - общая форма'!AD65</f>
        <v>25</v>
      </c>
      <c r="G65" s="246">
        <f>'Расчет ЦП - общая форма'!AE65</f>
        <v>0</v>
      </c>
      <c r="H65" s="246">
        <f>'Расчет ЦП - общая форма'!AF65</f>
        <v>0</v>
      </c>
      <c r="I65" s="1366">
        <f>'Расчет ЦП - общая форма'!AP65</f>
        <v>0</v>
      </c>
      <c r="J65" s="1366" t="str">
        <f>'Расчет ЦП - общая форма'!AQ65</f>
        <v/>
      </c>
      <c r="K65" s="924" t="str">
        <f>'Расчет ЦП - общая форма'!AR65</f>
        <v/>
      </c>
      <c r="L65" s="924">
        <f>'Расчет ЦП - общая форма'!AS65</f>
        <v>0</v>
      </c>
      <c r="M65" s="924"/>
      <c r="N65" s="924"/>
    </row>
    <row r="66" spans="1:14" hidden="1" x14ac:dyDescent="0.25">
      <c r="A66" s="1371">
        <f>'Расчет ЦП - общая форма'!Y66</f>
        <v>47</v>
      </c>
      <c r="B66" s="1376">
        <f>COUNTIFS($C$8:C66,"*ПС*",$J$8:J66,"*закрыт*")</f>
        <v>10</v>
      </c>
      <c r="C66" s="213" t="str">
        <f>'Расчет ЦП - общая форма'!AA66</f>
        <v xml:space="preserve">ПС 110/35/10 кВ Красный Холм </v>
      </c>
      <c r="D66" s="245">
        <f>'Расчет ЦП - общая форма'!AB66</f>
        <v>10</v>
      </c>
      <c r="E66" s="246" t="str">
        <f>'Расчет ЦП - общая форма'!AC66</f>
        <v>+</v>
      </c>
      <c r="F66" s="246">
        <f>'Расчет ЦП - общая форма'!AD66</f>
        <v>10</v>
      </c>
      <c r="G66" s="246">
        <f>'Расчет ЦП - общая форма'!AE66</f>
        <v>0</v>
      </c>
      <c r="H66" s="246">
        <f>'Расчет ЦП - общая форма'!AF66</f>
        <v>0</v>
      </c>
      <c r="I66" s="1364">
        <f>'Расчет ЦП - общая форма'!AP66</f>
        <v>4.11625</v>
      </c>
      <c r="J66" s="1364" t="str">
        <f>'Расчет ЦП - общая форма'!AQ66</f>
        <v/>
      </c>
      <c r="K66" s="924" t="str">
        <f>'Расчет ЦП - общая форма'!AR66</f>
        <v/>
      </c>
      <c r="L66" s="924">
        <f>'Расчет ЦП - общая форма'!AS66</f>
        <v>56.226190476190474</v>
      </c>
      <c r="M66" s="924"/>
      <c r="N66" s="924"/>
    </row>
    <row r="67" spans="1:14" hidden="1" x14ac:dyDescent="0.25">
      <c r="A67" s="1371">
        <f>'Расчет ЦП - общая форма'!Y67</f>
        <v>0</v>
      </c>
      <c r="B67" s="1393"/>
      <c r="C67" s="213" t="str">
        <f>'Расчет ЦП - общая форма'!AA67</f>
        <v xml:space="preserve">Ном. Мощность СН, МВА </v>
      </c>
      <c r="D67" s="245">
        <f>'Расчет ЦП - общая форма'!AB67</f>
        <v>10</v>
      </c>
      <c r="E67" s="246" t="str">
        <f>'Расчет ЦП - общая форма'!AC67</f>
        <v>+</v>
      </c>
      <c r="F67" s="246">
        <f>'Расчет ЦП - общая форма'!AD67</f>
        <v>10</v>
      </c>
      <c r="G67" s="246">
        <f>'Расчет ЦП - общая форма'!AE67</f>
        <v>0</v>
      </c>
      <c r="H67" s="246">
        <f>'Расчет ЦП - общая форма'!AF67</f>
        <v>0</v>
      </c>
      <c r="I67" s="1365">
        <f>'Расчет ЦП - общая форма'!AP67</f>
        <v>0</v>
      </c>
      <c r="J67" s="1365" t="str">
        <f>'Расчет ЦП - общая форма'!AQ67</f>
        <v/>
      </c>
      <c r="K67" s="924" t="str">
        <f>'Расчет ЦП - общая форма'!AR67</f>
        <v/>
      </c>
      <c r="L67" s="924">
        <f>'Расчет ЦП - общая форма'!AS67</f>
        <v>0</v>
      </c>
      <c r="M67" s="924"/>
      <c r="N67" s="924"/>
    </row>
    <row r="68" spans="1:14" hidden="1" x14ac:dyDescent="0.25">
      <c r="A68" s="1371">
        <f>'Расчет ЦП - общая форма'!Y68</f>
        <v>0</v>
      </c>
      <c r="B68" s="1394"/>
      <c r="C68" s="213" t="str">
        <f>'Расчет ЦП - общая форма'!AA68</f>
        <v>Ном. мощность НН, МВА</v>
      </c>
      <c r="D68" s="245">
        <f>'Расчет ЦП - общая форма'!AB68</f>
        <v>10</v>
      </c>
      <c r="E68" s="246" t="str">
        <f>'Расчет ЦП - общая форма'!AC68</f>
        <v>+</v>
      </c>
      <c r="F68" s="246">
        <f>'Расчет ЦП - общая форма'!AD68</f>
        <v>10</v>
      </c>
      <c r="G68" s="246">
        <f>'Расчет ЦП - общая форма'!AE68</f>
        <v>0</v>
      </c>
      <c r="H68" s="246">
        <f>'Расчет ЦП - общая форма'!AF68</f>
        <v>0</v>
      </c>
      <c r="I68" s="1366">
        <f>'Расчет ЦП - общая форма'!AP68</f>
        <v>0</v>
      </c>
      <c r="J68" s="1366" t="str">
        <f>'Расчет ЦП - общая форма'!AQ68</f>
        <v/>
      </c>
      <c r="K68" s="924" t="str">
        <f>'Расчет ЦП - общая форма'!AR68</f>
        <v/>
      </c>
      <c r="L68" s="924">
        <f>'Расчет ЦП - общая форма'!AS68</f>
        <v>0</v>
      </c>
      <c r="M68" s="924"/>
      <c r="N68" s="924"/>
    </row>
    <row r="69" spans="1:14" hidden="1" x14ac:dyDescent="0.25">
      <c r="A69" s="1371">
        <f>'Расчет ЦП - общая форма'!Y69</f>
        <v>48</v>
      </c>
      <c r="B69" s="1376">
        <f>COUNTIFS($C$8:C69,"*ПС*",$J$8:J69,"*закрыт*")</f>
        <v>10</v>
      </c>
      <c r="C69" s="213" t="str">
        <f>'Расчет ЦП - общая форма'!AA69</f>
        <v xml:space="preserve">ПС 110/35/10 кВ Поречье </v>
      </c>
      <c r="D69" s="245">
        <f>'Расчет ЦП - общая форма'!AB69</f>
        <v>6.3</v>
      </c>
      <c r="E69" s="246" t="str">
        <f>'Расчет ЦП - общая форма'!AC69</f>
        <v>+</v>
      </c>
      <c r="F69" s="246">
        <f>'Расчет ЦП - общая форма'!AD69</f>
        <v>6.3</v>
      </c>
      <c r="G69" s="246">
        <f>'Расчет ЦП - общая форма'!AE69</f>
        <v>0</v>
      </c>
      <c r="H69" s="246">
        <f>'Расчет ЦП - общая форма'!AF69</f>
        <v>0</v>
      </c>
      <c r="I69" s="1364">
        <f>'Расчет ЦП - общая форма'!AP69</f>
        <v>6.415</v>
      </c>
      <c r="J69" s="1364" t="str">
        <f>'Расчет ЦП - общая форма'!AQ69</f>
        <v/>
      </c>
      <c r="K69" s="924" t="str">
        <f>'Расчет ЦП - общая форма'!AR69</f>
        <v/>
      </c>
      <c r="L69" s="924">
        <f>'Расчет ЦП - общая форма'!AS69</f>
        <v>45.275888133030989</v>
      </c>
      <c r="M69" s="924"/>
      <c r="N69" s="924"/>
    </row>
    <row r="70" spans="1:14" hidden="1" x14ac:dyDescent="0.25">
      <c r="A70" s="1371">
        <f>'Расчет ЦП - общая форма'!Y70</f>
        <v>0</v>
      </c>
      <c r="B70" s="1393"/>
      <c r="C70" s="213" t="str">
        <f>'Расчет ЦП - общая форма'!AA70</f>
        <v xml:space="preserve">Ном. Мощность СН, МВА </v>
      </c>
      <c r="D70" s="245">
        <f>'Расчет ЦП - общая форма'!AB70</f>
        <v>6.3</v>
      </c>
      <c r="E70" s="246" t="str">
        <f>'Расчет ЦП - общая форма'!AC70</f>
        <v>+</v>
      </c>
      <c r="F70" s="246">
        <f>'Расчет ЦП - общая форма'!AD70</f>
        <v>6.3</v>
      </c>
      <c r="G70" s="246">
        <f>'Расчет ЦП - общая форма'!AE70</f>
        <v>0</v>
      </c>
      <c r="H70" s="246">
        <f>'Расчет ЦП - общая форма'!AF70</f>
        <v>0</v>
      </c>
      <c r="I70" s="1365">
        <f>'Расчет ЦП - общая форма'!AP70</f>
        <v>0</v>
      </c>
      <c r="J70" s="1365" t="str">
        <f>'Расчет ЦП - общая форма'!AQ70</f>
        <v/>
      </c>
      <c r="K70" s="924" t="str">
        <f>'Расчет ЦП - общая форма'!AR70</f>
        <v/>
      </c>
      <c r="L70" s="924">
        <f>'Расчет ЦП - общая форма'!AS70</f>
        <v>0</v>
      </c>
      <c r="M70" s="924"/>
      <c r="N70" s="924"/>
    </row>
    <row r="71" spans="1:14" hidden="1" x14ac:dyDescent="0.25">
      <c r="A71" s="1371">
        <f>'Расчет ЦП - общая форма'!Y71</f>
        <v>0</v>
      </c>
      <c r="B71" s="1394"/>
      <c r="C71" s="213" t="str">
        <f>'Расчет ЦП - общая форма'!AA71</f>
        <v>Ном. мощность НН, МВА</v>
      </c>
      <c r="D71" s="230">
        <f>'Расчет ЦП - общая форма'!AB71</f>
        <v>6.3</v>
      </c>
      <c r="E71" s="229" t="str">
        <f>'Расчет ЦП - общая форма'!AC71</f>
        <v>+</v>
      </c>
      <c r="F71" s="229">
        <f>'Расчет ЦП - общая форма'!AD71</f>
        <v>6.3</v>
      </c>
      <c r="G71" s="229">
        <f>'Расчет ЦП - общая форма'!AE71</f>
        <v>0</v>
      </c>
      <c r="H71" s="229">
        <f>'Расчет ЦП - общая форма'!AF71</f>
        <v>0</v>
      </c>
      <c r="I71" s="1366">
        <f>'Расчет ЦП - общая форма'!AP71</f>
        <v>0</v>
      </c>
      <c r="J71" s="1366" t="str">
        <f>'Расчет ЦП - общая форма'!AQ71</f>
        <v/>
      </c>
      <c r="K71" s="924" t="str">
        <f>'Расчет ЦП - общая форма'!AR71</f>
        <v/>
      </c>
      <c r="L71" s="924">
        <f>'Расчет ЦП - общая форма'!AS71</f>
        <v>0</v>
      </c>
      <c r="M71" s="924"/>
      <c r="N71" s="924"/>
    </row>
    <row r="72" spans="1:14" hidden="1" x14ac:dyDescent="0.25">
      <c r="A72" s="1371">
        <f>'Расчет ЦП - общая форма'!Y72</f>
        <v>49</v>
      </c>
      <c r="B72" s="1376">
        <f>COUNTIFS($C$8:C72,"*ПС*",$J$8:J72,"*закрыт*")</f>
        <v>10</v>
      </c>
      <c r="C72" s="213" t="str">
        <f>'Расчет ЦП - общая форма'!AA72</f>
        <v xml:space="preserve">ПС 110/35/10 кВ Сандово </v>
      </c>
      <c r="D72" s="230">
        <f>'Расчет ЦП - общая форма'!AB72</f>
        <v>10</v>
      </c>
      <c r="E72" s="229" t="str">
        <f>'Расчет ЦП - общая форма'!AC72</f>
        <v>+</v>
      </c>
      <c r="F72" s="229">
        <f>'Расчет ЦП - общая форма'!AD72</f>
        <v>10</v>
      </c>
      <c r="G72" s="229">
        <f>'Расчет ЦП - общая форма'!AE72</f>
        <v>0</v>
      </c>
      <c r="H72" s="229">
        <f>'Расчет ЦП - общая форма'!AF72</f>
        <v>0</v>
      </c>
      <c r="I72" s="1364">
        <f>'Расчет ЦП - общая форма'!AP72</f>
        <v>7.682500000000001</v>
      </c>
      <c r="J72" s="1364" t="str">
        <f>'Расчет ЦП - общая форма'!AQ72</f>
        <v/>
      </c>
      <c r="K72" s="924" t="str">
        <f>'Расчет ЦП - общая форма'!AR72</f>
        <v/>
      </c>
      <c r="L72" s="924">
        <f>'Расчет ЦП - общая форма'!AS72</f>
        <v>63.214285714285701</v>
      </c>
      <c r="M72" s="924"/>
      <c r="N72" s="924"/>
    </row>
    <row r="73" spans="1:14" hidden="1" x14ac:dyDescent="0.25">
      <c r="A73" s="1371">
        <f>'Расчет ЦП - общая форма'!Y73</f>
        <v>0</v>
      </c>
      <c r="B73" s="1393"/>
      <c r="C73" s="213" t="str">
        <f>'Расчет ЦП - общая форма'!AA73</f>
        <v xml:space="preserve">Ном. Мощность СН, МВА </v>
      </c>
      <c r="D73" s="230">
        <f>'Расчет ЦП - общая форма'!AB73</f>
        <v>10</v>
      </c>
      <c r="E73" s="229" t="str">
        <f>'Расчет ЦП - общая форма'!AC73</f>
        <v>+</v>
      </c>
      <c r="F73" s="229">
        <f>'Расчет ЦП - общая форма'!AD73</f>
        <v>10</v>
      </c>
      <c r="G73" s="229">
        <f>'Расчет ЦП - общая форма'!AE73</f>
        <v>0</v>
      </c>
      <c r="H73" s="229">
        <f>'Расчет ЦП - общая форма'!AF73</f>
        <v>0</v>
      </c>
      <c r="I73" s="1365">
        <f>'Расчет ЦП - общая форма'!AP73</f>
        <v>0</v>
      </c>
      <c r="J73" s="1365" t="str">
        <f>'Расчет ЦП - общая форма'!AQ73</f>
        <v/>
      </c>
      <c r="K73" s="924" t="str">
        <f>'Расчет ЦП - общая форма'!AR73</f>
        <v/>
      </c>
      <c r="L73" s="924">
        <f>'Расчет ЦП - общая форма'!AS73</f>
        <v>0</v>
      </c>
      <c r="M73" s="924"/>
      <c r="N73" s="924"/>
    </row>
    <row r="74" spans="1:14" hidden="1" x14ac:dyDescent="0.25">
      <c r="A74" s="1371">
        <f>'Расчет ЦП - общая форма'!Y74</f>
        <v>0</v>
      </c>
      <c r="B74" s="1394"/>
      <c r="C74" s="213" t="str">
        <f>'Расчет ЦП - общая форма'!AA74</f>
        <v>Ном. мощность НН, МВА</v>
      </c>
      <c r="D74" s="230">
        <f>'Расчет ЦП - общая форма'!AB74</f>
        <v>10</v>
      </c>
      <c r="E74" s="229" t="str">
        <f>'Расчет ЦП - общая форма'!AC74</f>
        <v>+</v>
      </c>
      <c r="F74" s="229">
        <f>'Расчет ЦП - общая форма'!AD74</f>
        <v>10</v>
      </c>
      <c r="G74" s="229">
        <f>'Расчет ЦП - общая форма'!AE74</f>
        <v>0</v>
      </c>
      <c r="H74" s="229">
        <f>'Расчет ЦП - общая форма'!AF74</f>
        <v>0</v>
      </c>
      <c r="I74" s="1366">
        <f>'Расчет ЦП - общая форма'!AP74</f>
        <v>0</v>
      </c>
      <c r="J74" s="1366" t="str">
        <f>'Расчет ЦП - общая форма'!AQ74</f>
        <v/>
      </c>
      <c r="K74" s="924" t="str">
        <f>'Расчет ЦП - общая форма'!AR74</f>
        <v/>
      </c>
      <c r="L74" s="924">
        <f>'Расчет ЦП - общая форма'!AS74</f>
        <v>0</v>
      </c>
      <c r="M74" s="924"/>
      <c r="N74" s="924"/>
    </row>
    <row r="75" spans="1:14" hidden="1" x14ac:dyDescent="0.25">
      <c r="A75" s="1371">
        <f>'Расчет ЦП - общая форма'!Y75</f>
        <v>50</v>
      </c>
      <c r="B75" s="1376">
        <f>COUNTIFS($C$8:C75,"*ПС*",$J$8:J75,"*закрыт*")</f>
        <v>10</v>
      </c>
      <c r="C75" s="213" t="str">
        <f>'Расчет ЦП - общая форма'!AA75</f>
        <v xml:space="preserve">ПС 110/35/10 кВ Шолмино </v>
      </c>
      <c r="D75" s="230">
        <f>'Расчет ЦП - общая форма'!AB75</f>
        <v>25</v>
      </c>
      <c r="E75" s="229" t="str">
        <f>'Расчет ЦП - общая форма'!AC75</f>
        <v>+</v>
      </c>
      <c r="F75" s="229">
        <f>'Расчет ЦП - общая форма'!AD75</f>
        <v>25</v>
      </c>
      <c r="G75" s="229">
        <f>'Расчет ЦП - общая форма'!AE75</f>
        <v>0</v>
      </c>
      <c r="H75" s="229">
        <f>'Расчет ЦП - общая форма'!AF75</f>
        <v>0</v>
      </c>
      <c r="I75" s="1364">
        <f>'Расчет ЦП - общая форма'!AP75</f>
        <v>15.66</v>
      </c>
      <c r="J75" s="1364" t="str">
        <f>'Расчет ЦП - общая форма'!AQ75</f>
        <v/>
      </c>
      <c r="K75" s="924" t="str">
        <f>'Расчет ЦП - общая форма'!AR75</f>
        <v/>
      </c>
      <c r="L75" s="924">
        <f>'Расчет ЦП - общая форма'!AS75</f>
        <v>57.485714285714288</v>
      </c>
      <c r="M75" s="924"/>
      <c r="N75" s="924"/>
    </row>
    <row r="76" spans="1:14" hidden="1" x14ac:dyDescent="0.25">
      <c r="A76" s="1371">
        <f>'Расчет ЦП - общая форма'!Y76</f>
        <v>0</v>
      </c>
      <c r="B76" s="1393"/>
      <c r="C76" s="213" t="str">
        <f>'Расчет ЦП - общая форма'!AA76</f>
        <v xml:space="preserve">Ном. Мощность СН, МВА </v>
      </c>
      <c r="D76" s="230">
        <f>'Расчет ЦП - общая форма'!AB76</f>
        <v>25</v>
      </c>
      <c r="E76" s="229" t="str">
        <f>'Расчет ЦП - общая форма'!AC76</f>
        <v>+</v>
      </c>
      <c r="F76" s="229">
        <f>'Расчет ЦП - общая форма'!AD76</f>
        <v>25</v>
      </c>
      <c r="G76" s="229">
        <f>'Расчет ЦП - общая форма'!AE76</f>
        <v>0</v>
      </c>
      <c r="H76" s="229">
        <f>'Расчет ЦП - общая форма'!AF76</f>
        <v>0</v>
      </c>
      <c r="I76" s="1365">
        <f>'Расчет ЦП - общая форма'!AP76</f>
        <v>0</v>
      </c>
      <c r="J76" s="1365" t="str">
        <f>'Расчет ЦП - общая форма'!AQ76</f>
        <v/>
      </c>
      <c r="K76" s="924" t="str">
        <f>'Расчет ЦП - общая форма'!AR76</f>
        <v/>
      </c>
      <c r="L76" s="924">
        <f>'Расчет ЦП - общая форма'!AS76</f>
        <v>0</v>
      </c>
      <c r="M76" s="924"/>
      <c r="N76" s="924"/>
    </row>
    <row r="77" spans="1:14" hidden="1" x14ac:dyDescent="0.25">
      <c r="A77" s="1371">
        <f>'Расчет ЦП - общая форма'!Y77</f>
        <v>0</v>
      </c>
      <c r="B77" s="1394"/>
      <c r="C77" s="213" t="str">
        <f>'Расчет ЦП - общая форма'!AA77</f>
        <v>Ном. мощность НН, МВА</v>
      </c>
      <c r="D77" s="230">
        <f>'Расчет ЦП - общая форма'!AB77</f>
        <v>25</v>
      </c>
      <c r="E77" s="229" t="str">
        <f>'Расчет ЦП - общая форма'!AC77</f>
        <v>+</v>
      </c>
      <c r="F77" s="229">
        <f>'Расчет ЦП - общая форма'!AD77</f>
        <v>25</v>
      </c>
      <c r="G77" s="229">
        <f>'Расчет ЦП - общая форма'!AE77</f>
        <v>0</v>
      </c>
      <c r="H77" s="229">
        <f>'Расчет ЦП - общая форма'!AF77</f>
        <v>0</v>
      </c>
      <c r="I77" s="1366">
        <f>'Расчет ЦП - общая форма'!AP77</f>
        <v>0</v>
      </c>
      <c r="J77" s="1366" t="str">
        <f>'Расчет ЦП - общая форма'!AQ77</f>
        <v/>
      </c>
      <c r="K77" s="924" t="str">
        <f>'Расчет ЦП - общая форма'!AR77</f>
        <v/>
      </c>
      <c r="L77" s="924">
        <f>'Расчет ЦП - общая форма'!AS77</f>
        <v>0</v>
      </c>
      <c r="M77" s="924"/>
      <c r="N77" s="924"/>
    </row>
    <row r="78" spans="1:14" ht="20.100000000000001" customHeight="1" x14ac:dyDescent="0.25">
      <c r="A78" s="213">
        <f>'Расчет ЦП - общая форма'!Y78</f>
        <v>51</v>
      </c>
      <c r="B78" s="1255">
        <f>COUNTIFS($C$8:C78,"*ПС*",$J$8:J78,"*закрыт*")</f>
        <v>11</v>
      </c>
      <c r="C78" s="213" t="str">
        <f>'Расчет ЦП - общая форма'!AA78</f>
        <v xml:space="preserve">ПС 35/6 кВ Бельский Карьер </v>
      </c>
      <c r="D78" s="230">
        <f>'Расчет ЦП - общая форма'!AB78</f>
        <v>4</v>
      </c>
      <c r="E78" s="229">
        <f>'Расчет ЦП - общая форма'!AC78</f>
        <v>0</v>
      </c>
      <c r="F78" s="229">
        <f>'Расчет ЦП - общая форма'!AD78</f>
        <v>0</v>
      </c>
      <c r="G78" s="229">
        <f>'Расчет ЦП - общая форма'!AE78</f>
        <v>0</v>
      </c>
      <c r="H78" s="229">
        <f>'Расчет ЦП - общая форма'!AF78</f>
        <v>0</v>
      </c>
      <c r="I78" s="172">
        <f>'Расчет ЦП - общая форма'!AP78</f>
        <v>-0.22</v>
      </c>
      <c r="J78" s="172" t="str">
        <f>'Расчет ЦП - общая форма'!AQ78</f>
        <v>закрыт</v>
      </c>
      <c r="K78" s="924" t="str">
        <f>'Расчет ЦП - общая форма'!AR78</f>
        <v>закрыт</v>
      </c>
      <c r="L78" s="924">
        <f>'Расчет ЦП - общая форма'!AS78</f>
        <v>5.4761904761904763</v>
      </c>
      <c r="M78" s="924"/>
      <c r="N78" s="924"/>
    </row>
    <row r="79" spans="1:14" hidden="1" x14ac:dyDescent="0.25">
      <c r="A79" s="213">
        <f>'Расчет ЦП - общая форма'!Y79</f>
        <v>52</v>
      </c>
      <c r="B79" s="1152">
        <f>COUNTIFS($C$8:C79,"*ПС*",$J$8:J79,"*закрыт*")</f>
        <v>11</v>
      </c>
      <c r="C79" s="213" t="str">
        <f>'Расчет ЦП - общая форма'!AA79</f>
        <v xml:space="preserve">ПС 35/10 кВ Дубровка </v>
      </c>
      <c r="D79" s="230">
        <f>'Расчет ЦП - общая форма'!AB79</f>
        <v>1.6</v>
      </c>
      <c r="E79" s="229">
        <f>'Расчет ЦП - общая форма'!AC79</f>
        <v>0</v>
      </c>
      <c r="F79" s="229">
        <f>'Расчет ЦП - общая форма'!AD79</f>
        <v>0</v>
      </c>
      <c r="G79" s="229">
        <f>'Расчет ЦП - общая форма'!AE79</f>
        <v>0</v>
      </c>
      <c r="H79" s="229">
        <f>'Расчет ЦП - общая форма'!AF79</f>
        <v>0</v>
      </c>
      <c r="I79" s="172">
        <f>'Расчет ЦП - общая форма'!AP79</f>
        <v>1.999999999999999E-2</v>
      </c>
      <c r="J79" s="172" t="str">
        <f>'Расчет ЦП - общая форма'!AQ79</f>
        <v/>
      </c>
      <c r="K79" s="924" t="str">
        <f>'Расчет ЦП - общая форма'!AR79</f>
        <v/>
      </c>
      <c r="L79" s="924">
        <f>'Расчет ЦП - общая форма'!AS79</f>
        <v>13.69047619047619</v>
      </c>
      <c r="M79" s="924"/>
      <c r="N79" s="924"/>
    </row>
    <row r="80" spans="1:14" ht="20.100000000000001" customHeight="1" x14ac:dyDescent="0.25">
      <c r="A80" s="213">
        <f>'Расчет ЦП - общая форма'!Y80</f>
        <v>53</v>
      </c>
      <c r="B80" s="1255">
        <f>COUNTIFS($C$8:C80,"*ПС*",$J$8:J80,"*закрыт*")</f>
        <v>12</v>
      </c>
      <c r="C80" s="213" t="str">
        <f>'Расчет ЦП - общая форма'!AA80</f>
        <v xml:space="preserve">ПС 35/10 кВ Жилотково </v>
      </c>
      <c r="D80" s="230">
        <f>'Расчет ЦП - общая форма'!AB80</f>
        <v>1.8</v>
      </c>
      <c r="E80" s="229">
        <f>'Расчет ЦП - общая форма'!AC80</f>
        <v>0</v>
      </c>
      <c r="F80" s="229">
        <f>'Расчет ЦП - общая форма'!AD80</f>
        <v>0</v>
      </c>
      <c r="G80" s="229">
        <f>'Расчет ЦП - общая форма'!AE80</f>
        <v>0</v>
      </c>
      <c r="H80" s="229">
        <f>'Расчет ЦП - общая форма'!AF80</f>
        <v>0</v>
      </c>
      <c r="I80" s="172">
        <f>'Расчет ЦП - общая форма'!AP80</f>
        <v>-0.53249999999999997</v>
      </c>
      <c r="J80" s="172" t="str">
        <f>'Расчет ЦП - общая форма'!AQ80</f>
        <v>закрыт</v>
      </c>
      <c r="K80" s="924" t="str">
        <f>'Расчет ЦП - общая форма'!AR80</f>
        <v>закрыт</v>
      </c>
      <c r="L80" s="924">
        <f>'Расчет ЦП - общая форма'!AS80</f>
        <v>28.174603174603174</v>
      </c>
      <c r="M80" s="924"/>
      <c r="N80" s="924"/>
    </row>
    <row r="81" spans="1:14" hidden="1" x14ac:dyDescent="0.25">
      <c r="A81" s="213">
        <f>'Расчет ЦП - общая форма'!Y81</f>
        <v>54</v>
      </c>
      <c r="B81" s="1152">
        <f>COUNTIFS($C$8:C81,"*ПС*",$J$8:J81,"*закрыт*")</f>
        <v>12</v>
      </c>
      <c r="C81" s="213" t="str">
        <f>'Расчет ЦП - общая форма'!AA81</f>
        <v xml:space="preserve">ПС 35/10 кВ Копачево </v>
      </c>
      <c r="D81" s="230">
        <f>'Расчет ЦП - общая форма'!AB81</f>
        <v>1.6</v>
      </c>
      <c r="E81" s="229">
        <f>'Расчет ЦП - общая форма'!AC81</f>
        <v>0</v>
      </c>
      <c r="F81" s="229">
        <f>'Расчет ЦП - общая форма'!AD81</f>
        <v>0</v>
      </c>
      <c r="G81" s="229">
        <f>'Расчет ЦП - общая форма'!AE81</f>
        <v>0</v>
      </c>
      <c r="H81" s="229">
        <f>'Расчет ЦП - общая форма'!AF81</f>
        <v>0</v>
      </c>
      <c r="I81" s="172">
        <f>'Расчет ЦП - общая форма'!AP81</f>
        <v>0</v>
      </c>
      <c r="J81" s="172" t="str">
        <f>'Расчет ЦП - общая форма'!AQ81</f>
        <v/>
      </c>
      <c r="K81" s="924" t="str">
        <f>'Расчет ЦП - общая форма'!AR81</f>
        <v/>
      </c>
      <c r="L81" s="924">
        <f>'Расчет ЦП - общая форма'!AS81</f>
        <v>24.999999999999996</v>
      </c>
      <c r="M81" s="924"/>
      <c r="N81" s="924"/>
    </row>
    <row r="82" spans="1:14" x14ac:dyDescent="0.25">
      <c r="A82" s="213">
        <f>'Расчет ЦП - общая форма'!Y82</f>
        <v>55</v>
      </c>
      <c r="B82" s="1255">
        <f>COUNTIFS($C$8:C82,"*ПС*",$J$8:J82,"*закрыт*")</f>
        <v>13</v>
      </c>
      <c r="C82" s="213" t="str">
        <f>'Расчет ЦП - общая форма'!AA82</f>
        <v xml:space="preserve">ПС 35/10 кВ Кузнецово </v>
      </c>
      <c r="D82" s="230">
        <f>'Расчет ЦП - общая форма'!AB82</f>
        <v>1.6</v>
      </c>
      <c r="E82" s="229">
        <f>'Расчет ЦП - общая форма'!AC82</f>
        <v>0</v>
      </c>
      <c r="F82" s="229">
        <f>'Расчет ЦП - общая форма'!AD82</f>
        <v>0</v>
      </c>
      <c r="G82" s="229">
        <f>'Расчет ЦП - общая форма'!AE82</f>
        <v>0</v>
      </c>
      <c r="H82" s="229">
        <f>'Расчет ЦП - общая форма'!AF82</f>
        <v>0</v>
      </c>
      <c r="I82" s="172">
        <f>'Расчет ЦП - общая форма'!AP82</f>
        <v>-6.25E-2</v>
      </c>
      <c r="J82" s="172" t="str">
        <f>'Расчет ЦП - общая форма'!AQ82</f>
        <v>закрыт</v>
      </c>
      <c r="K82" s="924" t="str">
        <f>'Расчет ЦП - общая форма'!AR82</f>
        <v>закрыт</v>
      </c>
      <c r="L82" s="924">
        <f>'Расчет ЦП - общая форма'!AS82</f>
        <v>43.00595238095238</v>
      </c>
      <c r="M82" s="924"/>
      <c r="N82" s="924"/>
    </row>
    <row r="83" spans="1:14" hidden="1" x14ac:dyDescent="0.25">
      <c r="A83" s="213">
        <f>'Расчет ЦП - общая форма'!Y83</f>
        <v>56</v>
      </c>
      <c r="B83" s="763">
        <f>COUNTIFS($C$8:C83,"*ПС*",$J$8:J83,"*закрыт*")</f>
        <v>13</v>
      </c>
      <c r="C83" s="213" t="str">
        <f>'Расчет ЦП - общая форма'!AA83</f>
        <v xml:space="preserve">ПС 35/10 кВ Лужниково </v>
      </c>
      <c r="D83" s="230">
        <f>'Расчет ЦП - общая форма'!AB83</f>
        <v>2.5</v>
      </c>
      <c r="E83" s="229">
        <f>'Расчет ЦП - общая форма'!AC83</f>
        <v>0</v>
      </c>
      <c r="F83" s="229">
        <f>'Расчет ЦП - общая форма'!AD83</f>
        <v>0</v>
      </c>
      <c r="G83" s="229">
        <f>'Расчет ЦП - общая форма'!AE83</f>
        <v>0</v>
      </c>
      <c r="H83" s="229">
        <f>'Расчет ЦП - общая форма'!AF83</f>
        <v>0</v>
      </c>
      <c r="I83" s="172">
        <f>'Расчет ЦП - общая форма'!AP83</f>
        <v>0</v>
      </c>
      <c r="J83" s="172" t="str">
        <f>'Расчет ЦП - общая форма'!AQ83</f>
        <v/>
      </c>
      <c r="K83" s="924" t="str">
        <f>'Расчет ЦП - общая форма'!AR83</f>
        <v/>
      </c>
      <c r="L83" s="924">
        <f>'Расчет ЦП - общая форма'!AS83</f>
        <v>8</v>
      </c>
      <c r="M83" s="924"/>
      <c r="N83" s="924"/>
    </row>
    <row r="84" spans="1:14" ht="20.100000000000001" hidden="1" customHeight="1" x14ac:dyDescent="0.25">
      <c r="A84" s="213">
        <f>'Расчет ЦП - общая форма'!Y84</f>
        <v>57</v>
      </c>
      <c r="B84" s="1255">
        <f>COUNTIFS($C$8:C84,"*ПС*",$J$8:J84,"*закрыт*")</f>
        <v>13</v>
      </c>
      <c r="C84" s="213" t="str">
        <f>'Расчет ЦП - общая форма'!AA84</f>
        <v xml:space="preserve">ПС 35/10 кВ Насакино  </v>
      </c>
      <c r="D84" s="230">
        <f>'Расчет ЦП - общая форма'!AB84</f>
        <v>2.5</v>
      </c>
      <c r="E84" s="229">
        <f>'Расчет ЦП - общая форма'!AC84</f>
        <v>0</v>
      </c>
      <c r="F84" s="229">
        <f>'Расчет ЦП - общая форма'!AD84</f>
        <v>0</v>
      </c>
      <c r="G84" s="229">
        <f>'Расчет ЦП - общая форма'!AE84</f>
        <v>0</v>
      </c>
      <c r="H84" s="229">
        <f>'Расчет ЦП - общая форма'!AF84</f>
        <v>0</v>
      </c>
      <c r="I84" s="172">
        <f>'Расчет ЦП - общая форма'!AP84</f>
        <v>0</v>
      </c>
      <c r="J84" s="172" t="str">
        <f>'Расчет ЦП - общая форма'!AQ84</f>
        <v/>
      </c>
      <c r="K84" s="924" t="str">
        <f>'Расчет ЦП - общая форма'!AR84</f>
        <v/>
      </c>
      <c r="L84" s="924">
        <f>'Расчет ЦП - общая форма'!AS84</f>
        <v>3.0476190476190474</v>
      </c>
      <c r="M84" s="924"/>
      <c r="N84" s="924"/>
    </row>
    <row r="85" spans="1:14" ht="30" hidden="1" customHeight="1" x14ac:dyDescent="0.25">
      <c r="A85" s="213">
        <f>'Расчет ЦП - общая форма'!Y85</f>
        <v>58</v>
      </c>
      <c r="B85" s="763">
        <f>COUNTIFS($C$8:C85,"*ПС*",$J$8:J85,"*закрыт*")</f>
        <v>13</v>
      </c>
      <c r="C85" s="213" t="str">
        <f>'Расчет ЦП - общая форма'!AA85</f>
        <v xml:space="preserve">ПС 110/35 кВ Октябрьский Карьер </v>
      </c>
      <c r="D85" s="230">
        <f>'Расчет ЦП - общая форма'!AB85</f>
        <v>25</v>
      </c>
      <c r="E85" s="229">
        <f>'Расчет ЦП - общая форма'!AC85</f>
        <v>0</v>
      </c>
      <c r="F85" s="229">
        <f>'Расчет ЦП - общая форма'!AD85</f>
        <v>0</v>
      </c>
      <c r="G85" s="229">
        <f>'Расчет ЦП - общая форма'!AE85</f>
        <v>0</v>
      </c>
      <c r="H85" s="229">
        <f>'Расчет ЦП - общая форма'!AF85</f>
        <v>0</v>
      </c>
      <c r="I85" s="172">
        <f>'Расчет ЦП - общая форма'!AP85</f>
        <v>0</v>
      </c>
      <c r="J85" s="172" t="str">
        <f>'Расчет ЦП - общая форма'!AQ85</f>
        <v/>
      </c>
      <c r="K85" s="924" t="str">
        <f>'Расчет ЦП - общая форма'!AR85</f>
        <v/>
      </c>
      <c r="L85" s="924">
        <f>'Расчет ЦП - общая форма'!AS85</f>
        <v>2.7428571428571429</v>
      </c>
      <c r="M85" s="924"/>
      <c r="N85" s="924"/>
    </row>
    <row r="86" spans="1:14" ht="20.100000000000001" hidden="1" customHeight="1" x14ac:dyDescent="0.25">
      <c r="A86" s="213">
        <f>'Расчет ЦП - общая форма'!Y86</f>
        <v>59</v>
      </c>
      <c r="B86" s="1152">
        <f>COUNTIFS($C$8:C86,"*ПС*",$J$8:J86,"*закрыт*")</f>
        <v>13</v>
      </c>
      <c r="C86" s="213" t="str">
        <f>'Расчет ЦП - общая форма'!AA86</f>
        <v xml:space="preserve">ПС 35/10 кВ Порожки </v>
      </c>
      <c r="D86" s="230">
        <f>'Расчет ЦП - общая форма'!AB86</f>
        <v>1</v>
      </c>
      <c r="E86" s="229">
        <f>'Расчет ЦП - общая форма'!AC86</f>
        <v>0</v>
      </c>
      <c r="F86" s="229">
        <f>'Расчет ЦП - общая форма'!AD86</f>
        <v>0</v>
      </c>
      <c r="G86" s="229">
        <f>'Расчет ЦП - общая форма'!AE86</f>
        <v>0</v>
      </c>
      <c r="H86" s="229">
        <f>'Расчет ЦП - общая форма'!AF86</f>
        <v>0</v>
      </c>
      <c r="I86" s="172">
        <f>'Расчет ЦП - общая форма'!AP86</f>
        <v>0</v>
      </c>
      <c r="J86" s="172" t="str">
        <f>'Расчет ЦП - общая форма'!AQ86</f>
        <v/>
      </c>
      <c r="K86" s="924" t="str">
        <f>'Расчет ЦП - общая форма'!AR86</f>
        <v/>
      </c>
      <c r="L86" s="924">
        <f>'Расчет ЦП - общая форма'!AS86</f>
        <v>27.619047619047613</v>
      </c>
      <c r="M86" s="924"/>
      <c r="N86" s="924"/>
    </row>
    <row r="87" spans="1:14" ht="20.100000000000001" customHeight="1" x14ac:dyDescent="0.25">
      <c r="A87" s="213">
        <f>'Расчет ЦП - общая форма'!Y87</f>
        <v>60</v>
      </c>
      <c r="B87" s="1255">
        <f>COUNTIFS($C$8:C87,"*ПС*",$J$8:J87,"*закрыт*")</f>
        <v>14</v>
      </c>
      <c r="C87" s="213" t="str">
        <f>'Расчет ЦП - общая форма'!AA87</f>
        <v>ПС 35/6 кВ ХБК</v>
      </c>
      <c r="D87" s="230">
        <f>'Расчет ЦП - общая форма'!AB87</f>
        <v>4</v>
      </c>
      <c r="E87" s="229">
        <f>'Расчет ЦП - общая форма'!AC87</f>
        <v>0</v>
      </c>
      <c r="F87" s="229">
        <f>'Расчет ЦП - общая форма'!AD87</f>
        <v>0</v>
      </c>
      <c r="G87" s="229">
        <f>'Расчет ЦП - общая форма'!AE87</f>
        <v>0</v>
      </c>
      <c r="H87" s="229">
        <f>'Расчет ЦП - общая форма'!AF87</f>
        <v>0</v>
      </c>
      <c r="I87" s="172">
        <f>'Расчет ЦП - общая форма'!AP87</f>
        <v>-1.6600000000000001</v>
      </c>
      <c r="J87" s="172" t="str">
        <f>'Расчет ЦП - общая форма'!AQ87</f>
        <v>закрыт</v>
      </c>
      <c r="K87" s="924" t="str">
        <f>'Расчет ЦП - общая форма'!AR87</f>
        <v>закрыт</v>
      </c>
      <c r="L87" s="924">
        <f>'Расчет ЦП - общая форма'!AS87</f>
        <v>60.952380952380949</v>
      </c>
      <c r="M87" s="924"/>
      <c r="N87" s="924"/>
    </row>
    <row r="88" spans="1:14" hidden="1" x14ac:dyDescent="0.25">
      <c r="A88" s="213">
        <f>'Расчет ЦП - общая форма'!Y88</f>
        <v>61</v>
      </c>
      <c r="B88" s="1152">
        <f>COUNTIFS($C$8:C88,"*ПС*",$J$8:J88,"*закрыт*")</f>
        <v>14</v>
      </c>
      <c r="C88" s="213" t="str">
        <f>'Расчет ЦП - общая форма'!AA88</f>
        <v xml:space="preserve">ПС 35/6 кВ №5 </v>
      </c>
      <c r="D88" s="230">
        <f>'Расчет ЦП - общая форма'!AB88</f>
        <v>1</v>
      </c>
      <c r="E88" s="229" t="str">
        <f>'Расчет ЦП - общая форма'!AC88</f>
        <v>+</v>
      </c>
      <c r="F88" s="229">
        <f>'Расчет ЦП - общая форма'!AD88</f>
        <v>1.6</v>
      </c>
      <c r="G88" s="229">
        <f>'Расчет ЦП - общая форма'!AE88</f>
        <v>0</v>
      </c>
      <c r="H88" s="229">
        <f>'Расчет ЦП - общая форма'!AF88</f>
        <v>0</v>
      </c>
      <c r="I88" s="172">
        <f>'Расчет ЦП - общая форма'!AP88</f>
        <v>0.43000000000000005</v>
      </c>
      <c r="J88" s="172" t="str">
        <f>'Расчет ЦП - общая форма'!AQ88</f>
        <v/>
      </c>
      <c r="K88" s="924" t="str">
        <f>'Расчет ЦП - общая форма'!AR88</f>
        <v/>
      </c>
      <c r="L88" s="924">
        <f>'Расчет ЦП - общая форма'!AS88</f>
        <v>59.047619047619044</v>
      </c>
      <c r="M88" s="924"/>
      <c r="N88" s="924"/>
    </row>
    <row r="89" spans="1:14" hidden="1" x14ac:dyDescent="0.25">
      <c r="A89" s="213">
        <f>'Расчет ЦП - общая форма'!Y89</f>
        <v>62</v>
      </c>
      <c r="B89" s="1152">
        <f>COUNTIFS($C$8:C89,"*ПС*",$J$8:J89,"*закрыт*")</f>
        <v>14</v>
      </c>
      <c r="C89" s="213" t="str">
        <f>'Расчет ЦП - общая форма'!AA89</f>
        <v xml:space="preserve">ПС 35/10 кВ 9-е Января  </v>
      </c>
      <c r="D89" s="230">
        <f>'Расчет ЦП - общая форма'!AB89</f>
        <v>6.3</v>
      </c>
      <c r="E89" s="229" t="str">
        <f>'Расчет ЦП - общая форма'!AC89</f>
        <v>+</v>
      </c>
      <c r="F89" s="229">
        <f>'Расчет ЦП - общая форма'!AD89</f>
        <v>10</v>
      </c>
      <c r="G89" s="229">
        <f>'Расчет ЦП - общая форма'!AE89</f>
        <v>0</v>
      </c>
      <c r="H89" s="229">
        <f>'Расчет ЦП - общая форма'!AF89</f>
        <v>0</v>
      </c>
      <c r="I89" s="172">
        <f>'Расчет ЦП - общая форма'!AP89</f>
        <v>2.1150000000000002</v>
      </c>
      <c r="J89" s="172" t="str">
        <f>'Расчет ЦП - общая форма'!AQ89</f>
        <v/>
      </c>
      <c r="K89" s="924" t="str">
        <f>'Расчет ЦП - общая форма'!AR89</f>
        <v/>
      </c>
      <c r="L89" s="924">
        <f>'Расчет ЦП - общая форма'!AS89</f>
        <v>68.027210884353735</v>
      </c>
      <c r="M89" s="924"/>
      <c r="N89" s="924"/>
    </row>
    <row r="90" spans="1:14" hidden="1" x14ac:dyDescent="0.25">
      <c r="A90" s="213">
        <f>'Расчет ЦП - общая форма'!Y90</f>
        <v>63</v>
      </c>
      <c r="B90" s="763">
        <f>COUNTIFS($C$8:C90,"*ПС*",$J$8:J90,"*закрыт*")</f>
        <v>14</v>
      </c>
      <c r="C90" s="213" t="str">
        <f>'Расчет ЦП - общая форма'!AA90</f>
        <v xml:space="preserve">ПС 35/6 кВ АКУ </v>
      </c>
      <c r="D90" s="230">
        <f>'Расчет ЦП - общая форма'!AB90</f>
        <v>3.2</v>
      </c>
      <c r="E90" s="229" t="str">
        <f>'Расчет ЦП - общая форма'!AC90</f>
        <v>+</v>
      </c>
      <c r="F90" s="229">
        <f>'Расчет ЦП - общая форма'!AD90</f>
        <v>4</v>
      </c>
      <c r="G90" s="229">
        <f>'Расчет ЦП - общая форма'!AE90</f>
        <v>0</v>
      </c>
      <c r="H90" s="229">
        <f>'Расчет ЦП - общая форма'!AF90</f>
        <v>0</v>
      </c>
      <c r="I90" s="172">
        <f>'Расчет ЦП - общая форма'!AP90</f>
        <v>2.1000000000000005</v>
      </c>
      <c r="J90" s="172" t="str">
        <f>'Расчет ЦП - общая форма'!AQ90</f>
        <v/>
      </c>
      <c r="K90" s="924" t="str">
        <f>'Расчет ЦП - общая форма'!AR90</f>
        <v/>
      </c>
      <c r="L90" s="924">
        <f>'Расчет ЦП - общая форма'!AS90</f>
        <v>37.499999999999993</v>
      </c>
      <c r="M90" s="924"/>
      <c r="N90" s="924"/>
    </row>
    <row r="91" spans="1:14" hidden="1" x14ac:dyDescent="0.25">
      <c r="A91" s="213">
        <f>'Расчет ЦП - общая форма'!Y91</f>
        <v>64</v>
      </c>
      <c r="B91" s="1152">
        <f>COUNTIFS($C$8:C91,"*ПС*",$J$8:J91,"*закрыт*")</f>
        <v>14</v>
      </c>
      <c r="C91" s="213" t="str">
        <f>'Расчет ЦП - общая форма'!AA91</f>
        <v xml:space="preserve">ПС 35/6 кВ Афанасово </v>
      </c>
      <c r="D91" s="230">
        <f>'Расчет ЦП - общая форма'!AB91</f>
        <v>1</v>
      </c>
      <c r="E91" s="229" t="str">
        <f>'Расчет ЦП - общая форма'!AC91</f>
        <v>+</v>
      </c>
      <c r="F91" s="229">
        <f>'Расчет ЦП - общая форма'!AD91</f>
        <v>1.8</v>
      </c>
      <c r="G91" s="229">
        <f>'Расчет ЦП - общая форма'!AE91</f>
        <v>0</v>
      </c>
      <c r="H91" s="229">
        <f>'Расчет ЦП - общая форма'!AF91</f>
        <v>0</v>
      </c>
      <c r="I91" s="172">
        <f>'Расчет ЦП - общая форма'!AP91</f>
        <v>0.86750000000000005</v>
      </c>
      <c r="J91" s="172" t="str">
        <f>'Расчет ЦП - общая форма'!AQ91</f>
        <v/>
      </c>
      <c r="K91" s="924" t="str">
        <f>'Расчет ЦП - общая форма'!AR91</f>
        <v/>
      </c>
      <c r="L91" s="924">
        <f>'Расчет ЦП - общая форма'!AS91</f>
        <v>17.38095238095238</v>
      </c>
      <c r="M91" s="924"/>
      <c r="N91" s="924"/>
    </row>
    <row r="92" spans="1:14" hidden="1" x14ac:dyDescent="0.25">
      <c r="A92" s="213">
        <f>'Расчет ЦП - общая форма'!Y92</f>
        <v>65</v>
      </c>
      <c r="B92" s="1152">
        <f>COUNTIFS($C$8:C92,"*ПС*",$J$8:J92,"*закрыт*")</f>
        <v>14</v>
      </c>
      <c r="C92" s="213" t="str">
        <f>'Расчет ЦП - общая форма'!AA92</f>
        <v xml:space="preserve">ПС 110/6 кВ Б-4 </v>
      </c>
      <c r="D92" s="230">
        <f>'Расчет ЦП - общая форма'!AB92</f>
        <v>10</v>
      </c>
      <c r="E92" s="229" t="str">
        <f>'Расчет ЦП - общая форма'!AC92</f>
        <v>+</v>
      </c>
      <c r="F92" s="229">
        <f>'Расчет ЦП - общая форма'!AD92</f>
        <v>10</v>
      </c>
      <c r="G92" s="229">
        <f>'Расчет ЦП - общая форма'!AE92</f>
        <v>0</v>
      </c>
      <c r="H92" s="229">
        <f>'Расчет ЦП - общая форма'!AF92</f>
        <v>0</v>
      </c>
      <c r="I92" s="172">
        <f>'Расчет ЦП - общая форма'!AP92</f>
        <v>5.4225000000000003</v>
      </c>
      <c r="J92" s="172" t="str">
        <f>'Расчет ЦП - общая форма'!AQ92</f>
        <v/>
      </c>
      <c r="K92" s="924" t="str">
        <f>'Расчет ЦП - общая форма'!AR92</f>
        <v/>
      </c>
      <c r="L92" s="924">
        <f>'Расчет ЦП - общая форма'!AS92</f>
        <v>48.357142857142854</v>
      </c>
      <c r="M92" s="924"/>
      <c r="N92" s="924"/>
    </row>
    <row r="93" spans="1:14" ht="20.100000000000001" hidden="1" customHeight="1" x14ac:dyDescent="0.25">
      <c r="A93" s="213">
        <f>'Расчет ЦП - общая форма'!Y93</f>
        <v>66</v>
      </c>
      <c r="B93" s="1152">
        <f>COUNTIFS($C$8:C93,"*ПС*",$J$8:J93,"*закрыт*")</f>
        <v>14</v>
      </c>
      <c r="C93" s="213" t="str">
        <f>'Расчет ЦП - общая форма'!AA93</f>
        <v xml:space="preserve">ПС 35/6 кВ Борисово </v>
      </c>
      <c r="D93" s="230">
        <f>'Расчет ЦП - общая форма'!AB93</f>
        <v>3.2</v>
      </c>
      <c r="E93" s="229" t="str">
        <f>'Расчет ЦП - общая форма'!AC93</f>
        <v>+</v>
      </c>
      <c r="F93" s="229">
        <f>'Расчет ЦП - общая форма'!AD93</f>
        <v>3.2</v>
      </c>
      <c r="G93" s="229">
        <f>'Расчет ЦП - общая форма'!AE93</f>
        <v>0</v>
      </c>
      <c r="H93" s="229">
        <f>'Расчет ЦП - общая форма'!AF93</f>
        <v>0</v>
      </c>
      <c r="I93" s="172">
        <f>'Расчет ЦП - общая форма'!AP93</f>
        <v>0.8100000000000005</v>
      </c>
      <c r="J93" s="172" t="str">
        <f>'Расчет ЦП - общая форма'!AQ93</f>
        <v/>
      </c>
      <c r="K93" s="924" t="str">
        <f>'Расчет ЦП - общая форма'!AR93</f>
        <v/>
      </c>
      <c r="L93" s="924">
        <f>'Расчет ЦП - общая форма'!AS93</f>
        <v>75.892857142857125</v>
      </c>
      <c r="M93" s="924"/>
      <c r="N93" s="924"/>
    </row>
    <row r="94" spans="1:14" hidden="1" x14ac:dyDescent="0.25">
      <c r="A94" s="213">
        <f>'Расчет ЦП - общая форма'!Y94</f>
        <v>67</v>
      </c>
      <c r="B94" s="1152">
        <f>COUNTIFS($C$8:C94,"*ПС*",$J$8:J94,"*закрыт*")</f>
        <v>14</v>
      </c>
      <c r="C94" s="213" t="str">
        <f>'Расчет ЦП - общая форма'!AA94</f>
        <v xml:space="preserve">ПС 35/10 кВ Боровно </v>
      </c>
      <c r="D94" s="230">
        <f>'Расчет ЦП - общая форма'!AB94</f>
        <v>2.5</v>
      </c>
      <c r="E94" s="229" t="str">
        <f>'Расчет ЦП - общая форма'!AC94</f>
        <v>+</v>
      </c>
      <c r="F94" s="229">
        <f>'Расчет ЦП - общая форма'!AD94</f>
        <v>2.5</v>
      </c>
      <c r="G94" s="229">
        <f>'Расчет ЦП - общая форма'!AE94</f>
        <v>0</v>
      </c>
      <c r="H94" s="229">
        <f>'Расчет ЦП - общая форма'!AF94</f>
        <v>0</v>
      </c>
      <c r="I94" s="172">
        <f>'Расчет ЦП - общая форма'!AP94</f>
        <v>2.2749999999999999</v>
      </c>
      <c r="J94" s="172" t="str">
        <f>'Расчет ЦП - общая форма'!AQ94</f>
        <v/>
      </c>
      <c r="K94" s="924" t="str">
        <f>'Расчет ЦП - общая форма'!AR94</f>
        <v/>
      </c>
      <c r="L94" s="924">
        <f>'Расчет ЦП - общая форма'!AS94</f>
        <v>20.952380952380956</v>
      </c>
      <c r="M94" s="924"/>
      <c r="N94" s="924"/>
    </row>
    <row r="95" spans="1:14" hidden="1" x14ac:dyDescent="0.25">
      <c r="A95" s="213">
        <f>'Расчет ЦП - общая форма'!Y95</f>
        <v>68</v>
      </c>
      <c r="B95" s="1152">
        <f>COUNTIFS($C$8:C95,"*ПС*",$J$8:J95,"*закрыт*")</f>
        <v>14</v>
      </c>
      <c r="C95" s="213" t="str">
        <f>'Расчет ЦП - общая форма'!AA95</f>
        <v xml:space="preserve">ПС 110/10 кВ Бушевец </v>
      </c>
      <c r="D95" s="230">
        <f>'Расчет ЦП - общая форма'!AB95</f>
        <v>6.3</v>
      </c>
      <c r="E95" s="229" t="str">
        <f>'Расчет ЦП - общая форма'!AC95</f>
        <v>+</v>
      </c>
      <c r="F95" s="229">
        <f>'Расчет ЦП - общая форма'!AD95</f>
        <v>6.3</v>
      </c>
      <c r="G95" s="229">
        <f>'Расчет ЦП - общая форма'!AE95</f>
        <v>0</v>
      </c>
      <c r="H95" s="229">
        <f>'Расчет ЦП - общая форма'!AF95</f>
        <v>0</v>
      </c>
      <c r="I95" s="172">
        <f>'Расчет ЦП - общая форма'!AP95</f>
        <v>6.1950000000000003</v>
      </c>
      <c r="J95" s="172" t="str">
        <f>'Расчет ЦП - общая форма'!AQ95</f>
        <v/>
      </c>
      <c r="K95" s="924" t="str">
        <f>'Расчет ЦП - общая форма'!AR95</f>
        <v/>
      </c>
      <c r="L95" s="924">
        <f>'Расчет ЦП - общая форма'!AS95</f>
        <v>6.3492063492063489</v>
      </c>
      <c r="M95" s="924"/>
      <c r="N95" s="924"/>
    </row>
    <row r="96" spans="1:14" ht="30" hidden="1" customHeight="1" x14ac:dyDescent="0.25">
      <c r="A96" s="213">
        <f>'Расчет ЦП - общая форма'!Y96</f>
        <v>69</v>
      </c>
      <c r="B96" s="1152">
        <f>COUNTIFS($C$8:C96,"*ПС*",$J$8:J96,"*закрыт*")</f>
        <v>14</v>
      </c>
      <c r="C96" s="213" t="str">
        <f>'Расчет ЦП - общая форма'!AA96</f>
        <v xml:space="preserve">ПС 35/6 кВ Великий Октябрь </v>
      </c>
      <c r="D96" s="230">
        <f>'Расчет ЦП - общая форма'!AB96</f>
        <v>6.3</v>
      </c>
      <c r="E96" s="229" t="str">
        <f>'Расчет ЦП - общая форма'!AC96</f>
        <v>+</v>
      </c>
      <c r="F96" s="229">
        <f>'Расчет ЦП - общая форма'!AD96</f>
        <v>6.3</v>
      </c>
      <c r="G96" s="229">
        <f>'Расчет ЦП - общая форма'!AE96</f>
        <v>0</v>
      </c>
      <c r="H96" s="229">
        <f>'Расчет ЦП - общая форма'!AF96</f>
        <v>0</v>
      </c>
      <c r="I96" s="172">
        <f>'Расчет ЦП - общая форма'!AP96</f>
        <v>4.8250000000000002</v>
      </c>
      <c r="J96" s="172" t="str">
        <f>'Расчет ЦП - общая форма'!AQ96</f>
        <v/>
      </c>
      <c r="K96" s="924" t="str">
        <f>'Расчет ЦП - общая форма'!AR96</f>
        <v/>
      </c>
      <c r="L96" s="924">
        <f>'Расчет ЦП - общая форма'!AS96</f>
        <v>27.059712773998488</v>
      </c>
      <c r="M96" s="924"/>
      <c r="N96" s="924"/>
    </row>
    <row r="97" spans="1:14" hidden="1" x14ac:dyDescent="0.25">
      <c r="A97" s="213">
        <f>'Расчет ЦП - общая форма'!Y97</f>
        <v>70</v>
      </c>
      <c r="B97" s="1152">
        <f>COUNTIFS($C$8:C97,"*ПС*",$J$8:J97,"*закрыт*")</f>
        <v>14</v>
      </c>
      <c r="C97" s="213" t="str">
        <f>'Расчет ЦП - общая форма'!AA97</f>
        <v xml:space="preserve">ПС 35/10 кВ Выдропужск </v>
      </c>
      <c r="D97" s="230">
        <f>'Расчет ЦП - общая форма'!AB97</f>
        <v>2.5</v>
      </c>
      <c r="E97" s="229" t="str">
        <f>'Расчет ЦП - общая форма'!AC97</f>
        <v>+</v>
      </c>
      <c r="F97" s="229">
        <f>'Расчет ЦП - общая форма'!AD97</f>
        <v>1.6</v>
      </c>
      <c r="G97" s="229">
        <f>'Расчет ЦП - общая форма'!AE97</f>
        <v>0</v>
      </c>
      <c r="H97" s="229">
        <f>'Расчет ЦП - общая форма'!AF97</f>
        <v>0</v>
      </c>
      <c r="I97" s="172">
        <f>'Расчет ЦП - общая форма'!AP97</f>
        <v>0.92000000000000015</v>
      </c>
      <c r="J97" s="172" t="str">
        <f>'Расчет ЦП - общая форма'!AQ97</f>
        <v/>
      </c>
      <c r="K97" s="924" t="str">
        <f>'Расчет ЦП - общая форма'!AR97</f>
        <v/>
      </c>
      <c r="L97" s="924">
        <f>'Расчет ЦП - общая форма'!AS97</f>
        <v>45.238095238095234</v>
      </c>
      <c r="M97" s="924"/>
      <c r="N97" s="924"/>
    </row>
    <row r="98" spans="1:14" hidden="1" x14ac:dyDescent="0.25">
      <c r="A98" s="213">
        <f>'Расчет ЦП - общая форма'!Y98</f>
        <v>71</v>
      </c>
      <c r="B98" s="1152">
        <f>COUNTIFS($C$8:C98,"*ПС*",$J$8:J98,"*закрыт*")</f>
        <v>14</v>
      </c>
      <c r="C98" s="213" t="str">
        <f>'Расчет ЦП - общая форма'!AA98</f>
        <v xml:space="preserve">ПС 35/10 кВ Голубые Озера  </v>
      </c>
      <c r="D98" s="230">
        <f>'Расчет ЦП - общая форма'!AB98</f>
        <v>2.5</v>
      </c>
      <c r="E98" s="229" t="str">
        <f>'Расчет ЦП - общая форма'!AC98</f>
        <v>+</v>
      </c>
      <c r="F98" s="229">
        <f>'Расчет ЦП - общая форма'!AD98</f>
        <v>1.6</v>
      </c>
      <c r="G98" s="229">
        <f>'Расчет ЦП - общая форма'!AE98</f>
        <v>0</v>
      </c>
      <c r="H98" s="229">
        <f>'Расчет ЦП - общая форма'!AF98</f>
        <v>0</v>
      </c>
      <c r="I98" s="172">
        <f>'Расчет ЦП - общая форма'!AP98</f>
        <v>1.58</v>
      </c>
      <c r="J98" s="172" t="str">
        <f>'Расчет ЦП - общая форма'!AQ98</f>
        <v/>
      </c>
      <c r="K98" s="924" t="str">
        <f>'Расчет ЦП - общая форма'!AR98</f>
        <v/>
      </c>
      <c r="L98" s="924">
        <f>'Расчет ЦП - общая форма'!AS98</f>
        <v>29.761904761904759</v>
      </c>
      <c r="M98" s="924"/>
      <c r="N98" s="924"/>
    </row>
    <row r="99" spans="1:14" hidden="1" x14ac:dyDescent="0.25">
      <c r="A99" s="213">
        <f>'Расчет ЦП - общая форма'!Y99</f>
        <v>72</v>
      </c>
      <c r="B99" s="1152">
        <f>COUNTIFS($C$8:C99,"*ПС*",$J$8:J99,"*закрыт*")</f>
        <v>14</v>
      </c>
      <c r="C99" s="213" t="str">
        <f>'Расчет ЦП - общая форма'!AA99</f>
        <v xml:space="preserve">ПС 35/6 кВ Городок </v>
      </c>
      <c r="D99" s="230">
        <f>'Расчет ЦП - общая форма'!AB99</f>
        <v>1.6</v>
      </c>
      <c r="E99" s="229" t="str">
        <f>'Расчет ЦП - общая форма'!AC99</f>
        <v>+</v>
      </c>
      <c r="F99" s="229">
        <f>'Расчет ЦП - общая форма'!AD99</f>
        <v>1.6</v>
      </c>
      <c r="G99" s="229">
        <f>'Расчет ЦП - общая форма'!AE99</f>
        <v>0</v>
      </c>
      <c r="H99" s="229">
        <f>'Расчет ЦП - общая форма'!AF99</f>
        <v>0</v>
      </c>
      <c r="I99" s="172">
        <f>'Расчет ЦП - общая форма'!AP99</f>
        <v>1.3800000000000001</v>
      </c>
      <c r="J99" s="172" t="str">
        <f>'Расчет ЦП - общая форма'!AQ99</f>
        <v/>
      </c>
      <c r="K99" s="924" t="str">
        <f>'Расчет ЦП - общая форма'!AR99</f>
        <v/>
      </c>
      <c r="L99" s="924">
        <f>'Расчет ЦП - общая форма'!AS99</f>
        <v>17.857142857142854</v>
      </c>
      <c r="M99" s="924"/>
      <c r="N99" s="924"/>
    </row>
    <row r="100" spans="1:14" x14ac:dyDescent="0.25">
      <c r="A100" s="213">
        <f>'Расчет ЦП - общая форма'!Y100</f>
        <v>73</v>
      </c>
      <c r="B100" s="1255">
        <f>COUNTIFS($C$8:C100,"*ПС*",$J$8:J100,"*закрыт*")</f>
        <v>15</v>
      </c>
      <c r="C100" s="213" t="str">
        <f>'Расчет ЦП - общая форма'!AA100</f>
        <v xml:space="preserve">ПС 35/10 кВ ДОЗ </v>
      </c>
      <c r="D100" s="230">
        <f>'Расчет ЦП - общая форма'!AB100</f>
        <v>4</v>
      </c>
      <c r="E100" s="229" t="str">
        <f>'Расчет ЦП - общая форма'!AC100</f>
        <v>+</v>
      </c>
      <c r="F100" s="229">
        <f>'Расчет ЦП - общая форма'!AD100</f>
        <v>4</v>
      </c>
      <c r="G100" s="229">
        <f>'Расчет ЦП - общая форма'!AE100</f>
        <v>0</v>
      </c>
      <c r="H100" s="229">
        <f>'Расчет ЦП - общая форма'!AF100</f>
        <v>0</v>
      </c>
      <c r="I100" s="172">
        <f>'Расчет ЦП - общая форма'!AP100</f>
        <v>-0.1899999999999995</v>
      </c>
      <c r="J100" s="172" t="str">
        <f>'Расчет ЦП - общая форма'!AQ100</f>
        <v>закрыт</v>
      </c>
      <c r="K100" s="924" t="str">
        <f>'Расчет ЦП - общая форма'!AR100</f>
        <v>закрыт</v>
      </c>
      <c r="L100" s="924">
        <f>'Расчет ЦП - общая форма'!AS100</f>
        <v>104.5238095238095</v>
      </c>
      <c r="M100" s="924"/>
      <c r="N100" s="924"/>
    </row>
    <row r="101" spans="1:14" hidden="1" x14ac:dyDescent="0.25">
      <c r="A101" s="213">
        <f>'Расчет ЦП - общая форма'!Y101</f>
        <v>74</v>
      </c>
      <c r="B101" s="1152">
        <f>COUNTIFS($C$8:C101,"*ПС*",$J$8:J101,"*закрыт*")</f>
        <v>15</v>
      </c>
      <c r="C101" s="213" t="str">
        <f>'Расчет ЦП - общая форма'!AA101</f>
        <v xml:space="preserve">ПС 35/10 кВ Дятлово </v>
      </c>
      <c r="D101" s="230">
        <f>'Расчет ЦП - общая форма'!AB101</f>
        <v>1.6</v>
      </c>
      <c r="E101" s="229" t="str">
        <f>'Расчет ЦП - общая форма'!AC101</f>
        <v>+</v>
      </c>
      <c r="F101" s="229">
        <f>'Расчет ЦП - общая форма'!AD101</f>
        <v>1.6</v>
      </c>
      <c r="G101" s="229">
        <f>'Расчет ЦП - общая форма'!AE101</f>
        <v>0</v>
      </c>
      <c r="H101" s="229">
        <f>'Расчет ЦП - общая форма'!AF101</f>
        <v>0</v>
      </c>
      <c r="I101" s="172">
        <f>'Расчет ЦП - общая форма'!AP101</f>
        <v>1.1400000000000001</v>
      </c>
      <c r="J101" s="172" t="str">
        <f>'Расчет ЦП - общая форма'!AQ101</f>
        <v/>
      </c>
      <c r="K101" s="924" t="str">
        <f>'Расчет ЦП - общая форма'!AR101</f>
        <v/>
      </c>
      <c r="L101" s="924">
        <f>'Расчет ЦП - общая форма'!AS101</f>
        <v>32.142857142857139</v>
      </c>
      <c r="M101" s="924"/>
      <c r="N101" s="924"/>
    </row>
    <row r="102" spans="1:14" hidden="1" x14ac:dyDescent="0.25">
      <c r="A102" s="213">
        <f>'Расчет ЦП - общая форма'!Y102</f>
        <v>75</v>
      </c>
      <c r="B102" s="1152">
        <f>COUNTIFS($C$8:C102,"*ПС*",$J$8:J102,"*закрыт*")</f>
        <v>15</v>
      </c>
      <c r="C102" s="213" t="str">
        <f>'Расчет ЦП - общая форма'!AA102</f>
        <v xml:space="preserve">ПС 35/10 кВ Есеновичи </v>
      </c>
      <c r="D102" s="230">
        <f>'Расчет ЦП - общая форма'!AB102</f>
        <v>1.8</v>
      </c>
      <c r="E102" s="229" t="str">
        <f>'Расчет ЦП - общая форма'!AC102</f>
        <v>+</v>
      </c>
      <c r="F102" s="229">
        <f>'Расчет ЦП - общая форма'!AD102</f>
        <v>2.5</v>
      </c>
      <c r="G102" s="229">
        <f>'Расчет ЦП - общая форма'!AE102</f>
        <v>0</v>
      </c>
      <c r="H102" s="229">
        <f>'Расчет ЦП - общая форма'!AF102</f>
        <v>0</v>
      </c>
      <c r="I102" s="172">
        <f>'Расчет ЦП - общая форма'!AP102</f>
        <v>0.87000000000000011</v>
      </c>
      <c r="J102" s="172" t="str">
        <f>'Расчет ЦП - общая форма'!AQ102</f>
        <v/>
      </c>
      <c r="K102" s="924" t="str">
        <f>'Расчет ЦП - общая форма'!AR102</f>
        <v/>
      </c>
      <c r="L102" s="924">
        <f>'Расчет ЦП - общая форма'!AS102</f>
        <v>53.968253968253961</v>
      </c>
      <c r="M102" s="924"/>
      <c r="N102" s="924"/>
    </row>
    <row r="103" spans="1:14" hidden="1" x14ac:dyDescent="0.25">
      <c r="A103" s="213">
        <f>'Расчет ЦП - общая форма'!Y103</f>
        <v>76</v>
      </c>
      <c r="B103" s="1152">
        <f>COUNTIFS($C$8:C103,"*ПС*",$J$8:J103,"*закрыт*")</f>
        <v>15</v>
      </c>
      <c r="C103" s="213" t="str">
        <f>'Расчет ЦП - общая форма'!AA103</f>
        <v xml:space="preserve">ПС 35/10 кВ ЖБИ  </v>
      </c>
      <c r="D103" s="230">
        <f>'Расчет ЦП - общая форма'!AB103</f>
        <v>2.5</v>
      </c>
      <c r="E103" s="229" t="str">
        <f>'Расчет ЦП - общая форма'!AC103</f>
        <v>+</v>
      </c>
      <c r="F103" s="229">
        <f>'Расчет ЦП - общая форма'!AD103</f>
        <v>2.5</v>
      </c>
      <c r="G103" s="229">
        <f>'Расчет ЦП - общая форма'!AE103</f>
        <v>0</v>
      </c>
      <c r="H103" s="229">
        <f>'Расчет ЦП - общая форма'!AF103</f>
        <v>0</v>
      </c>
      <c r="I103" s="172">
        <f>'Расчет ЦП - общая форма'!AP103</f>
        <v>1.9650000000000001</v>
      </c>
      <c r="J103" s="172" t="str">
        <f>'Расчет ЦП - общая форма'!AQ103</f>
        <v/>
      </c>
      <c r="K103" s="924" t="str">
        <f>'Расчет ЦП - общая форма'!AR103</f>
        <v/>
      </c>
      <c r="L103" s="924">
        <f>'Расчет ЦП - общая форма'!AS103</f>
        <v>25.142857142857139</v>
      </c>
      <c r="M103" s="924"/>
      <c r="N103" s="924"/>
    </row>
    <row r="104" spans="1:14" hidden="1" x14ac:dyDescent="0.25">
      <c r="A104" s="213">
        <f>'Расчет ЦП - общая форма'!Y104</f>
        <v>77</v>
      </c>
      <c r="B104" s="1152">
        <f>COUNTIFS($C$8:C104,"*ПС*",$J$8:J104,"*закрыт*")</f>
        <v>15</v>
      </c>
      <c r="C104" s="213" t="str">
        <f>'Расчет ЦП - общая форма'!AA104</f>
        <v>ПС  35/10 кВ Заозерная</v>
      </c>
      <c r="D104" s="230">
        <f>'Расчет ЦП - общая форма'!AB104</f>
        <v>6.3</v>
      </c>
      <c r="E104" s="229" t="str">
        <f>'Расчет ЦП - общая форма'!AC104</f>
        <v>+</v>
      </c>
      <c r="F104" s="229">
        <f>'Расчет ЦП - общая форма'!AD104</f>
        <v>6.3</v>
      </c>
      <c r="G104" s="229">
        <f>'Расчет ЦП - общая форма'!AE104</f>
        <v>0</v>
      </c>
      <c r="H104" s="229">
        <f>'Расчет ЦП - общая форма'!AF104</f>
        <v>0</v>
      </c>
      <c r="I104" s="172">
        <f>'Расчет ЦП - общая форма'!AP104</f>
        <v>5.335</v>
      </c>
      <c r="J104" s="172" t="str">
        <f>'Расчет ЦП - общая форма'!AQ104</f>
        <v/>
      </c>
      <c r="K104" s="924" t="str">
        <f>'Расчет ЦП - общая форма'!AR104</f>
        <v/>
      </c>
      <c r="L104" s="924">
        <f>'Расчет ЦП - общая форма'!AS104</f>
        <v>22.373393801965229</v>
      </c>
      <c r="M104" s="924"/>
      <c r="N104" s="924"/>
    </row>
    <row r="105" spans="1:14" hidden="1" x14ac:dyDescent="0.25">
      <c r="A105" s="213">
        <f>'Расчет ЦП - общая форма'!Y105</f>
        <v>78</v>
      </c>
      <c r="B105" s="1152">
        <f>COUNTIFS($C$8:C105,"*ПС*",$J$8:J105,"*закрыт*")</f>
        <v>15</v>
      </c>
      <c r="C105" s="213" t="str">
        <f>'Расчет ЦП - общая форма'!AA105</f>
        <v xml:space="preserve">ПС 35/10 кВ Княщины  </v>
      </c>
      <c r="D105" s="230">
        <f>'Расчет ЦП - общая форма'!AB105</f>
        <v>2.5</v>
      </c>
      <c r="E105" s="229" t="str">
        <f>'Расчет ЦП - общая форма'!AC105</f>
        <v>+</v>
      </c>
      <c r="F105" s="229">
        <f>'Расчет ЦП - общая форма'!AD105</f>
        <v>2.5</v>
      </c>
      <c r="G105" s="229">
        <f>'Расчет ЦП - общая форма'!AE105</f>
        <v>0</v>
      </c>
      <c r="H105" s="229">
        <f>'Расчет ЦП - общая форма'!AF105</f>
        <v>0</v>
      </c>
      <c r="I105" s="172">
        <f>'Расчет ЦП - общая форма'!AP105</f>
        <v>2.625</v>
      </c>
      <c r="J105" s="172" t="str">
        <f>'Расчет ЦП - общая форма'!AQ105</f>
        <v/>
      </c>
      <c r="K105" s="924" t="str">
        <f>'Расчет ЦП - общая форма'!AR105</f>
        <v/>
      </c>
      <c r="L105" s="924">
        <f>'Расчет ЦП - общая форма'!AS105</f>
        <v>23.238095238095237</v>
      </c>
      <c r="M105" s="924"/>
      <c r="N105" s="924"/>
    </row>
    <row r="106" spans="1:14" hidden="1" x14ac:dyDescent="0.25">
      <c r="A106" s="213">
        <f>'Расчет ЦП - общая форма'!Y106</f>
        <v>79</v>
      </c>
      <c r="B106" s="1152">
        <f>COUNTIFS($C$8:C106,"*ПС*",$J$8:J106,"*закрыт*")</f>
        <v>15</v>
      </c>
      <c r="C106" s="213" t="str">
        <f>'Расчет ЦП - общая форма'!AA106</f>
        <v xml:space="preserve">ПС 35/10 кВ Козлово </v>
      </c>
      <c r="D106" s="230">
        <f>'Расчет ЦП - общая форма'!AB106</f>
        <v>1.8</v>
      </c>
      <c r="E106" s="229" t="str">
        <f>'Расчет ЦП - общая форма'!AC106</f>
        <v>+</v>
      </c>
      <c r="F106" s="229">
        <f>'Расчет ЦП - общая форма'!AD106</f>
        <v>4</v>
      </c>
      <c r="G106" s="229">
        <f>'Расчет ЦП - общая форма'!AE106</f>
        <v>0</v>
      </c>
      <c r="H106" s="229">
        <f>'Расчет ЦП - общая форма'!AF106</f>
        <v>0</v>
      </c>
      <c r="I106" s="172">
        <f>'Расчет ЦП - общая форма'!AP106</f>
        <v>1.08</v>
      </c>
      <c r="J106" s="172" t="str">
        <f>'Расчет ЦП - общая форма'!AQ106</f>
        <v/>
      </c>
      <c r="K106" s="924" t="str">
        <f>'Расчет ЦП - общая форма'!AR106</f>
        <v/>
      </c>
      <c r="L106" s="924">
        <f>'Расчет ЦП - общая форма'!AS106</f>
        <v>42.857142857142854</v>
      </c>
      <c r="M106" s="924"/>
      <c r="N106" s="924"/>
    </row>
    <row r="107" spans="1:14" hidden="1" x14ac:dyDescent="0.25">
      <c r="A107" s="213">
        <f>'Расчет ЦП - общая форма'!Y107</f>
        <v>80</v>
      </c>
      <c r="B107" s="1152">
        <f>COUNTIFS($C$8:C107,"*ПС*",$J$8:J107,"*закрыт*")</f>
        <v>15</v>
      </c>
      <c r="C107" s="213" t="str">
        <f>'Расчет ЦП - общая форма'!AA107</f>
        <v xml:space="preserve">ПС 35/10 кВ Красное Знамя </v>
      </c>
      <c r="D107" s="230">
        <f>'Расчет ЦП - общая форма'!AB107</f>
        <v>1.6</v>
      </c>
      <c r="E107" s="229" t="str">
        <f>'Расчет ЦП - общая форма'!AC107</f>
        <v>+</v>
      </c>
      <c r="F107" s="229">
        <f>'Расчет ЦП - общая форма'!AD107</f>
        <v>1.8</v>
      </c>
      <c r="G107" s="229">
        <f>'Расчет ЦП - общая форма'!AE107</f>
        <v>0</v>
      </c>
      <c r="H107" s="229">
        <f>'Расчет ЦП - общая форма'!AF107</f>
        <v>0</v>
      </c>
      <c r="I107" s="172">
        <f>'Расчет ЦП - общая форма'!AP107</f>
        <v>1.2400000000000002</v>
      </c>
      <c r="J107" s="172" t="str">
        <f>'Расчет ЦП - общая форма'!AQ107</f>
        <v/>
      </c>
      <c r="K107" s="924" t="str">
        <f>'Расчет ЦП - общая форма'!AR107</f>
        <v/>
      </c>
      <c r="L107" s="924">
        <f>'Расчет ЦП - общая форма'!AS107</f>
        <v>26.190476190476186</v>
      </c>
      <c r="M107" s="924"/>
      <c r="N107" s="924"/>
    </row>
    <row r="108" spans="1:14" hidden="1" x14ac:dyDescent="0.25">
      <c r="A108" s="213">
        <f>'Расчет ЦП - общая форма'!Y108</f>
        <v>81</v>
      </c>
      <c r="B108" s="1152">
        <f>COUNTIFS($C$8:C108,"*ПС*",$J$8:J108,"*закрыт*")</f>
        <v>15</v>
      </c>
      <c r="C108" s="213" t="str">
        <f>'Расчет ЦП - общая форма'!AA108</f>
        <v xml:space="preserve">ПС 35/6 кВ Красный Май </v>
      </c>
      <c r="D108" s="230">
        <f>'Расчет ЦП - общая форма'!AB108</f>
        <v>10</v>
      </c>
      <c r="E108" s="229" t="str">
        <f>'Расчет ЦП - общая форма'!AC108</f>
        <v>+</v>
      </c>
      <c r="F108" s="229">
        <f>'Расчет ЦП - общая форма'!AD108</f>
        <v>10</v>
      </c>
      <c r="G108" s="229">
        <f>'Расчет ЦП - общая форма'!AE108</f>
        <v>0</v>
      </c>
      <c r="H108" s="229">
        <f>'Расчет ЦП - общая форма'!AF108</f>
        <v>0</v>
      </c>
      <c r="I108" s="172">
        <f>'Расчет ЦП - общая форма'!AP108</f>
        <v>7.7200000000000006</v>
      </c>
      <c r="J108" s="172" t="str">
        <f>'Расчет ЦП - общая форма'!AQ108</f>
        <v/>
      </c>
      <c r="K108" s="924" t="str">
        <f>'Расчет ЦП - общая форма'!AR108</f>
        <v/>
      </c>
      <c r="L108" s="924">
        <f>'Расчет ЦП - общая форма'!AS108</f>
        <v>26.476190476190474</v>
      </c>
      <c r="M108" s="924"/>
      <c r="N108" s="924"/>
    </row>
    <row r="109" spans="1:14" hidden="1" x14ac:dyDescent="0.25">
      <c r="A109" s="213">
        <f>'Расчет ЦП - общая форма'!Y109</f>
        <v>82</v>
      </c>
      <c r="B109" s="1152">
        <f>COUNTIFS($C$8:C109,"*ПС*",$J$8:J109,"*закрыт*")</f>
        <v>15</v>
      </c>
      <c r="C109" s="213" t="str">
        <f>'Расчет ЦП - общая форма'!AA109</f>
        <v xml:space="preserve">ПС 35/10 кВ Куженкино </v>
      </c>
      <c r="D109" s="230">
        <f>'Расчет ЦП - общая форма'!AB109</f>
        <v>2.5</v>
      </c>
      <c r="E109" s="229" t="str">
        <f>'Расчет ЦП - общая форма'!AC109</f>
        <v>+</v>
      </c>
      <c r="F109" s="229">
        <f>'Расчет ЦП - общая форма'!AD109</f>
        <v>3.2</v>
      </c>
      <c r="G109" s="229">
        <f>'Расчет ЦП - общая форма'!AE109</f>
        <v>0</v>
      </c>
      <c r="H109" s="229">
        <f>'Расчет ЦП - общая форма'!AF109</f>
        <v>0</v>
      </c>
      <c r="I109" s="172">
        <f>'Расчет ЦП - общая форма'!AP109</f>
        <v>0.82499999999999996</v>
      </c>
      <c r="J109" s="172" t="str">
        <f>'Расчет ЦП - общая форма'!AQ109</f>
        <v/>
      </c>
      <c r="K109" s="924" t="str">
        <f>'Расчет ЦП - общая форма'!AR109</f>
        <v/>
      </c>
      <c r="L109" s="924">
        <f>'Расчет ЦП - общая форма'!AS109</f>
        <v>76.19047619047619</v>
      </c>
      <c r="M109" s="924"/>
      <c r="N109" s="924"/>
    </row>
    <row r="110" spans="1:14" hidden="1" x14ac:dyDescent="0.25">
      <c r="A110" s="213">
        <f>'Расчет ЦП - общая форма'!Y110</f>
        <v>83</v>
      </c>
      <c r="B110" s="1152">
        <f>COUNTIFS($C$8:C110,"*ПС*",$J$8:J110,"*закрыт*")</f>
        <v>15</v>
      </c>
      <c r="C110" s="213" t="str">
        <f>'Расчет ЦП - общая форма'!AA110</f>
        <v xml:space="preserve">ПС 35/10 кВ Лукино  </v>
      </c>
      <c r="D110" s="230">
        <f>'Расчет ЦП - общая форма'!AB110</f>
        <v>2.5</v>
      </c>
      <c r="E110" s="229" t="str">
        <f>'Расчет ЦП - общая форма'!AC110</f>
        <v>+</v>
      </c>
      <c r="F110" s="229">
        <f>'Расчет ЦП - общая форма'!AD110</f>
        <v>1.6</v>
      </c>
      <c r="G110" s="229">
        <f>'Расчет ЦП - общая форма'!AE110</f>
        <v>0</v>
      </c>
      <c r="H110" s="229">
        <f>'Расчет ЦП - общая форма'!AF110</f>
        <v>0</v>
      </c>
      <c r="I110" s="172">
        <f>'Расчет ЦП - общая форма'!AP110</f>
        <v>1.3900000000000001</v>
      </c>
      <c r="J110" s="172" t="str">
        <f>'Расчет ЦП - общая форма'!AQ110</f>
        <v/>
      </c>
      <c r="K110" s="924" t="str">
        <f>'Расчет ЦП - общая форма'!AR110</f>
        <v/>
      </c>
      <c r="L110" s="924">
        <f>'Расчет ЦП - общая форма'!AS110</f>
        <v>17.261904761904759</v>
      </c>
      <c r="M110" s="924"/>
      <c r="N110" s="924"/>
    </row>
    <row r="111" spans="1:14" hidden="1" x14ac:dyDescent="0.25">
      <c r="A111" s="213">
        <f>'Расчет ЦП - общая форма'!Y111</f>
        <v>84</v>
      </c>
      <c r="B111" s="1152">
        <f>COUNTIFS($C$8:C111,"*ПС*",$J$8:J111,"*закрыт*")</f>
        <v>15</v>
      </c>
      <c r="C111" s="213" t="str">
        <f>'Расчет ЦП - общая форма'!AA111</f>
        <v xml:space="preserve">ПС 35/6 кВ Макарово  </v>
      </c>
      <c r="D111" s="230">
        <f>'Расчет ЦП - общая форма'!AB111</f>
        <v>4</v>
      </c>
      <c r="E111" s="229" t="str">
        <f>'Расчет ЦП - общая форма'!AC111</f>
        <v>+</v>
      </c>
      <c r="F111" s="229">
        <f>'Расчет ЦП - общая форма'!AD111</f>
        <v>4</v>
      </c>
      <c r="G111" s="229">
        <f>'Расчет ЦП - общая форма'!AE111</f>
        <v>0</v>
      </c>
      <c r="H111" s="229">
        <f>'Расчет ЦП - общая форма'!AF111</f>
        <v>0</v>
      </c>
      <c r="I111" s="172">
        <f>'Расчет ЦП - общая форма'!AP111</f>
        <v>3.0700000000000003</v>
      </c>
      <c r="J111" s="172" t="str">
        <f>'Расчет ЦП - общая форма'!AQ111</f>
        <v/>
      </c>
      <c r="K111" s="924" t="str">
        <f>'Расчет ЦП - общая форма'!AR111</f>
        <v/>
      </c>
      <c r="L111" s="924">
        <f>'Расчет ЦП - общая форма'!AS111</f>
        <v>29.285714285714285</v>
      </c>
      <c r="M111" s="924"/>
      <c r="N111" s="924"/>
    </row>
    <row r="112" spans="1:14" hidden="1" x14ac:dyDescent="0.25">
      <c r="A112" s="213">
        <f>'Расчет ЦП - общая форма'!Y112</f>
        <v>85</v>
      </c>
      <c r="B112" s="1152">
        <f>COUNTIFS($C$8:C112,"*ПС*",$J$8:J112,"*закрыт*")</f>
        <v>15</v>
      </c>
      <c r="C112" s="213" t="str">
        <f>'Расчет ЦП - общая форма'!AA112</f>
        <v xml:space="preserve">ПС 110/10 кВ Манхино </v>
      </c>
      <c r="D112" s="230">
        <f>'Расчет ЦП - общая форма'!AB112</f>
        <v>2.5</v>
      </c>
      <c r="E112" s="229" t="str">
        <f>'Расчет ЦП - общая форма'!AC112</f>
        <v>+</v>
      </c>
      <c r="F112" s="229">
        <f>'Расчет ЦП - общая форма'!AD112</f>
        <v>2.5</v>
      </c>
      <c r="G112" s="229">
        <f>'Расчет ЦП - общая форма'!AE112</f>
        <v>0</v>
      </c>
      <c r="H112" s="229">
        <f>'Расчет ЦП - общая форма'!AF112</f>
        <v>0</v>
      </c>
      <c r="I112" s="172">
        <f>'Расчет ЦП - общая форма'!AP112</f>
        <v>2.1850000000000001</v>
      </c>
      <c r="J112" s="172" t="str">
        <f>'Расчет ЦП - общая форма'!AQ112</f>
        <v/>
      </c>
      <c r="K112" s="924" t="str">
        <f>'Расчет ЦП - общая форма'!AR112</f>
        <v/>
      </c>
      <c r="L112" s="924">
        <f>'Расчет ЦП - общая форма'!AS112</f>
        <v>16.761904761904763</v>
      </c>
      <c r="M112" s="924"/>
      <c r="N112" s="924"/>
    </row>
    <row r="113" spans="1:14" hidden="1" x14ac:dyDescent="0.25">
      <c r="A113" s="213">
        <f>'Расчет ЦП - общая форма'!Y113</f>
        <v>86</v>
      </c>
      <c r="B113" s="1152">
        <f>COUNTIFS($C$8:C113,"*ПС*",$J$8:J113,"*закрыт*")</f>
        <v>15</v>
      </c>
      <c r="C113" s="213" t="str">
        <f>'Расчет ЦП - общая форма'!AA113</f>
        <v xml:space="preserve">ПС 35/10 кВ Молдино </v>
      </c>
      <c r="D113" s="230">
        <f>'Расчет ЦП - общая форма'!AB113</f>
        <v>1</v>
      </c>
      <c r="E113" s="229" t="str">
        <f>'Расчет ЦП - общая форма'!AC113</f>
        <v>+</v>
      </c>
      <c r="F113" s="229">
        <f>'Расчет ЦП - общая форма'!AD113</f>
        <v>1</v>
      </c>
      <c r="G113" s="229">
        <f>'Расчет ЦП - общая форма'!AE113</f>
        <v>0</v>
      </c>
      <c r="H113" s="229">
        <f>'Расчет ЦП - общая форма'!AF113</f>
        <v>0</v>
      </c>
      <c r="I113" s="172">
        <f>'Расчет ЦП - общая форма'!AP113</f>
        <v>1.05</v>
      </c>
      <c r="J113" s="172" t="str">
        <f>'Расчет ЦП - общая форма'!AQ113</f>
        <v/>
      </c>
      <c r="K113" s="924" t="str">
        <f>'Расчет ЦП - общая форма'!AR113</f>
        <v/>
      </c>
      <c r="L113" s="924">
        <f>'Расчет ЦП - общая форма'!AS113</f>
        <v>57.142857142857139</v>
      </c>
      <c r="M113" s="924"/>
      <c r="N113" s="924"/>
    </row>
    <row r="114" spans="1:14" ht="30" hidden="1" customHeight="1" x14ac:dyDescent="0.25">
      <c r="A114" s="213">
        <f>'Расчет ЦП - общая форма'!Y114</f>
        <v>87</v>
      </c>
      <c r="B114" s="1152">
        <f>COUNTIFS($C$8:C114,"*ПС*",$J$8:J114,"*закрыт*")</f>
        <v>15</v>
      </c>
      <c r="C114" s="213" t="str">
        <f>'Расчет ЦП - общая форма'!AA114</f>
        <v xml:space="preserve">ПС 35/10 кВ Ново-Кузьминская </v>
      </c>
      <c r="D114" s="230">
        <f>'Расчет ЦП - общая форма'!AB114</f>
        <v>1</v>
      </c>
      <c r="E114" s="229" t="str">
        <f>'Расчет ЦП - общая форма'!AC114</f>
        <v>+</v>
      </c>
      <c r="F114" s="229">
        <f>'Расчет ЦП - общая форма'!AD114</f>
        <v>1</v>
      </c>
      <c r="G114" s="229">
        <f>'Расчет ЦП - общая форма'!AE114</f>
        <v>0</v>
      </c>
      <c r="H114" s="229">
        <f>'Расчет ЦП - общая форма'!AF114</f>
        <v>0</v>
      </c>
      <c r="I114" s="172">
        <f>'Расчет ЦП - общая форма'!AP114</f>
        <v>1.05</v>
      </c>
      <c r="J114" s="172" t="str">
        <f>'Расчет ЦП - общая форма'!AQ114</f>
        <v/>
      </c>
      <c r="K114" s="924" t="str">
        <f>'Расчет ЦП - общая форма'!AR114</f>
        <v/>
      </c>
      <c r="L114" s="924">
        <f>'Расчет ЦП - общая форма'!AS114</f>
        <v>53.333333333333336</v>
      </c>
      <c r="M114" s="924"/>
      <c r="N114" s="924"/>
    </row>
    <row r="115" spans="1:14" hidden="1" x14ac:dyDescent="0.25">
      <c r="A115" s="213">
        <f>'Расчет ЦП - общая форма'!Y115</f>
        <v>88</v>
      </c>
      <c r="B115" s="1152">
        <f>COUNTIFS($C$8:C115,"*ПС*",$J$8:J115,"*закрыт*")</f>
        <v>15</v>
      </c>
      <c r="C115" s="213" t="str">
        <f>'Расчет ЦП - общая форма'!AA115</f>
        <v xml:space="preserve">ПС 35/10 кВ Овсище </v>
      </c>
      <c r="D115" s="230">
        <f>'Расчет ЦП - общая форма'!AB115</f>
        <v>2.5</v>
      </c>
      <c r="E115" s="229" t="str">
        <f>'Расчет ЦП - общая форма'!AC115</f>
        <v>+</v>
      </c>
      <c r="F115" s="229">
        <f>'Расчет ЦП - общая форма'!AD115</f>
        <v>1.6</v>
      </c>
      <c r="G115" s="229">
        <f>'Расчет ЦП - общая форма'!AE115</f>
        <v>0</v>
      </c>
      <c r="H115" s="229">
        <f>'Расчет ЦП - общая форма'!AF115</f>
        <v>0</v>
      </c>
      <c r="I115" s="172">
        <f>'Расчет ЦП - общая форма'!AP115</f>
        <v>1.31</v>
      </c>
      <c r="J115" s="172" t="str">
        <f>'Расчет ЦП - общая форма'!AQ115</f>
        <v/>
      </c>
      <c r="K115" s="924" t="str">
        <f>'Расчет ЦП - общая форма'!AR115</f>
        <v/>
      </c>
      <c r="L115" s="924">
        <f>'Расчет ЦП - общая форма'!AS115</f>
        <v>22.023809523809522</v>
      </c>
      <c r="M115" s="924"/>
      <c r="N115" s="924"/>
    </row>
    <row r="116" spans="1:14" hidden="1" x14ac:dyDescent="0.25">
      <c r="A116" s="213">
        <f>'Расчет ЦП - общая форма'!Y116</f>
        <v>89</v>
      </c>
      <c r="B116" s="1152">
        <f>COUNTIFS($C$8:C116,"*ПС*",$J$8:J116,"*закрыт*")</f>
        <v>15</v>
      </c>
      <c r="C116" s="213" t="str">
        <f>'Расчет ЦП - общая форма'!AA116</f>
        <v xml:space="preserve">ПС 35/6 кВ ОЭЗ  </v>
      </c>
      <c r="D116" s="230">
        <f>'Расчет ЦП - общая форма'!AB116</f>
        <v>2.5</v>
      </c>
      <c r="E116" s="229" t="str">
        <f>'Расчет ЦП - общая форма'!AC116</f>
        <v>+</v>
      </c>
      <c r="F116" s="229">
        <f>'Расчет ЦП - общая форма'!AD116</f>
        <v>2.5</v>
      </c>
      <c r="G116" s="229">
        <f>'Расчет ЦП - общая форма'!AE116</f>
        <v>0</v>
      </c>
      <c r="H116" s="229">
        <f>'Расчет ЦП - общая форма'!AF116</f>
        <v>0</v>
      </c>
      <c r="I116" s="172">
        <f>'Расчет ЦП - общая форма'!AP116</f>
        <v>2.625</v>
      </c>
      <c r="J116" s="172" t="str">
        <f>'Расчет ЦП - общая форма'!AQ116</f>
        <v/>
      </c>
      <c r="K116" s="924" t="str">
        <f>'Расчет ЦП - общая форма'!AR116</f>
        <v/>
      </c>
      <c r="L116" s="924">
        <f>'Расчет ЦП - общая форма'!AS116</f>
        <v>77.333333333333329</v>
      </c>
      <c r="M116" s="924"/>
      <c r="N116" s="924"/>
    </row>
    <row r="117" spans="1:14" hidden="1" x14ac:dyDescent="0.25">
      <c r="A117" s="213">
        <f>'Расчет ЦП - общая форма'!Y117</f>
        <v>90</v>
      </c>
      <c r="B117" s="1152">
        <f>COUNTIFS($C$8:C117,"*ПС*",$J$8:J117,"*закрыт*")</f>
        <v>15</v>
      </c>
      <c r="C117" s="213" t="str">
        <f>'Расчет ЦП - общая форма'!AA117</f>
        <v xml:space="preserve">ПС 35/10 кВ Плотично  </v>
      </c>
      <c r="D117" s="230">
        <f>'Расчет ЦП - общая форма'!AB117</f>
        <v>1.8</v>
      </c>
      <c r="E117" s="229" t="str">
        <f>'Расчет ЦП - общая форма'!AC117</f>
        <v>+</v>
      </c>
      <c r="F117" s="229">
        <f>'Расчет ЦП - общая форма'!AD117</f>
        <v>1.6</v>
      </c>
      <c r="G117" s="229">
        <f>'Расчет ЦП - общая форма'!AE117</f>
        <v>0</v>
      </c>
      <c r="H117" s="229">
        <f>'Расчет ЦП - общая форма'!AF117</f>
        <v>0</v>
      </c>
      <c r="I117" s="172">
        <f>'Расчет ЦП - общая форма'!AP117</f>
        <v>1.1300000000000001</v>
      </c>
      <c r="J117" s="172" t="str">
        <f>'Расчет ЦП - общая форма'!AQ117</f>
        <v/>
      </c>
      <c r="K117" s="924" t="str">
        <f>'Расчет ЦП - общая форма'!AR117</f>
        <v/>
      </c>
      <c r="L117" s="924">
        <f>'Расчет ЦП - общая форма'!AS117</f>
        <v>32.738095238095241</v>
      </c>
      <c r="M117" s="924"/>
      <c r="N117" s="924"/>
    </row>
    <row r="118" spans="1:14" hidden="1" x14ac:dyDescent="0.25">
      <c r="A118" s="213">
        <f>'Расчет ЦП - общая форма'!Y118</f>
        <v>91</v>
      </c>
      <c r="B118" s="1152">
        <f>COUNTIFS($C$8:C118,"*ПС*",$J$8:J118,"*закрыт*")</f>
        <v>15</v>
      </c>
      <c r="C118" s="213" t="str">
        <f>'Расчет ЦП - общая форма'!AA118</f>
        <v xml:space="preserve">ПС 35/10 кВ Попово  </v>
      </c>
      <c r="D118" s="230">
        <f>'Расчет ЦП - общая форма'!AB118</f>
        <v>1</v>
      </c>
      <c r="E118" s="229" t="str">
        <f>'Расчет ЦП - общая форма'!AC118</f>
        <v>+</v>
      </c>
      <c r="F118" s="229">
        <f>'Расчет ЦП - общая форма'!AD118</f>
        <v>1</v>
      </c>
      <c r="G118" s="229">
        <f>'Расчет ЦП - общая форма'!AE118</f>
        <v>0</v>
      </c>
      <c r="H118" s="229">
        <f>'Расчет ЦП - общая форма'!AF118</f>
        <v>0</v>
      </c>
      <c r="I118" s="172">
        <f>'Расчет ЦП - общая форма'!AP118</f>
        <v>0.84000000000000008</v>
      </c>
      <c r="J118" s="172" t="str">
        <f>'Расчет ЦП - общая форма'!AQ118</f>
        <v/>
      </c>
      <c r="K118" s="924" t="str">
        <f>'Расчет ЦП - общая форма'!AR118</f>
        <v/>
      </c>
      <c r="L118" s="924">
        <f>'Расчет ЦП - общая форма'!AS118</f>
        <v>20</v>
      </c>
      <c r="M118" s="924"/>
      <c r="N118" s="924"/>
    </row>
    <row r="119" spans="1:14" hidden="1" x14ac:dyDescent="0.25">
      <c r="A119" s="213">
        <f>'Расчет ЦП - общая форма'!Y119</f>
        <v>92</v>
      </c>
      <c r="B119" s="1152">
        <f>COUNTIFS($C$8:C119,"*ПС*",$J$8:J119,"*закрыт*")</f>
        <v>15</v>
      </c>
      <c r="C119" s="213" t="str">
        <f>'Расчет ЦП - общая форма'!AA119</f>
        <v>ПС 35/10 кВ Пролетарий</v>
      </c>
      <c r="D119" s="230">
        <f>'Расчет ЦП - общая форма'!AB119</f>
        <v>2.5</v>
      </c>
      <c r="E119" s="229" t="str">
        <f>'Расчет ЦП - общая форма'!AC119</f>
        <v>+</v>
      </c>
      <c r="F119" s="229">
        <f>'Расчет ЦП - общая форма'!AD119</f>
        <v>2.5</v>
      </c>
      <c r="G119" s="229">
        <f>'Расчет ЦП - общая форма'!AE119</f>
        <v>0</v>
      </c>
      <c r="H119" s="229">
        <f>'Расчет ЦП - общая форма'!AF119</f>
        <v>0</v>
      </c>
      <c r="I119" s="172">
        <f>'Расчет ЦП - общая форма'!AP119</f>
        <v>1.3924999999999998</v>
      </c>
      <c r="J119" s="172" t="str">
        <f>'Расчет ЦП - общая форма'!AQ119</f>
        <v/>
      </c>
      <c r="K119" s="924" t="str">
        <f>'Расчет ЦП - общая форма'!AR119</f>
        <v/>
      </c>
      <c r="L119" s="924">
        <f>'Расчет ЦП - общая форма'!AS119</f>
        <v>73.61904761904762</v>
      </c>
      <c r="M119" s="924"/>
      <c r="N119" s="924"/>
    </row>
    <row r="120" spans="1:14" hidden="1" x14ac:dyDescent="0.25">
      <c r="A120" s="213">
        <f>'Расчет ЦП - общая форма'!Y120</f>
        <v>93</v>
      </c>
      <c r="B120" s="1152">
        <f>COUNTIFS($C$8:C120,"*ПС*",$J$8:J120,"*закрыт*")</f>
        <v>15</v>
      </c>
      <c r="C120" s="213" t="str">
        <f>'Расчет ЦП - общая форма'!AA120</f>
        <v xml:space="preserve">ПС 35/10 кВ Рождество </v>
      </c>
      <c r="D120" s="230">
        <f>'Расчет ЦП - общая форма'!AB120</f>
        <v>2.5</v>
      </c>
      <c r="E120" s="229" t="str">
        <f>'Расчет ЦП - общая форма'!AC120</f>
        <v>+</v>
      </c>
      <c r="F120" s="229">
        <f>'Расчет ЦП - общая форма'!AD120</f>
        <v>2.5</v>
      </c>
      <c r="G120" s="229">
        <f>'Расчет ЦП - общая форма'!AE120</f>
        <v>0</v>
      </c>
      <c r="H120" s="229">
        <f>'Расчет ЦП - общая форма'!AF120</f>
        <v>0</v>
      </c>
      <c r="I120" s="172">
        <f>'Расчет ЦП - общая форма'!AP120</f>
        <v>2.3050000000000002</v>
      </c>
      <c r="J120" s="172" t="str">
        <f>'Расчет ЦП - общая форма'!AQ120</f>
        <v/>
      </c>
      <c r="K120" s="924" t="str">
        <f>'Расчет ЦП - общая форма'!AR120</f>
        <v/>
      </c>
      <c r="L120" s="924">
        <f>'Расчет ЦП - общая форма'!AS120</f>
        <v>12.19047619047619</v>
      </c>
      <c r="M120" s="924"/>
      <c r="N120" s="924"/>
    </row>
    <row r="121" spans="1:14" hidden="1" x14ac:dyDescent="0.25">
      <c r="A121" s="213">
        <f>'Расчет ЦП - общая форма'!Y121</f>
        <v>94</v>
      </c>
      <c r="B121" s="1152">
        <f>COUNTIFS($C$8:C121,"*ПС*",$J$8:J121,"*закрыт*")</f>
        <v>15</v>
      </c>
      <c r="C121" s="213" t="str">
        <f>'Расчет ЦП - общая форма'!AA121</f>
        <v xml:space="preserve">ПС 35/10 кВ Ряд </v>
      </c>
      <c r="D121" s="230">
        <f>'Расчет ЦП - общая форма'!AB121</f>
        <v>2.5</v>
      </c>
      <c r="E121" s="229" t="str">
        <f>'Расчет ЦП - общая форма'!AC121</f>
        <v>+</v>
      </c>
      <c r="F121" s="229">
        <f>'Расчет ЦП - общая форма'!AD121</f>
        <v>2.5</v>
      </c>
      <c r="G121" s="229">
        <f>'Расчет ЦП - общая форма'!AE121</f>
        <v>0</v>
      </c>
      <c r="H121" s="229">
        <f>'Расчет ЦП - общая форма'!AF121</f>
        <v>0</v>
      </c>
      <c r="I121" s="172">
        <f>'Расчет ЦП - общая форма'!AP121</f>
        <v>2.5249999999999999</v>
      </c>
      <c r="J121" s="172" t="str">
        <f>'Расчет ЦП - общая форма'!AQ121</f>
        <v/>
      </c>
      <c r="K121" s="924" t="str">
        <f>'Расчет ЦП - общая форма'!AR121</f>
        <v/>
      </c>
      <c r="L121" s="924">
        <f>'Расчет ЦП - общая форма'!AS121</f>
        <v>15.238095238095237</v>
      </c>
      <c r="M121" s="924"/>
      <c r="N121" s="924"/>
    </row>
    <row r="122" spans="1:14" hidden="1" x14ac:dyDescent="0.25">
      <c r="A122" s="213">
        <f>'Расчет ЦП - общая форма'!Y122</f>
        <v>95</v>
      </c>
      <c r="B122" s="1152">
        <f>COUNTIFS($C$8:C122,"*ПС*",$J$8:J122,"*закрыт*")</f>
        <v>15</v>
      </c>
      <c r="C122" s="213" t="str">
        <f>'Расчет ЦП - общая форма'!AA122</f>
        <v xml:space="preserve">ПС 35/10 кВ Сеглино  </v>
      </c>
      <c r="D122" s="230">
        <f>'Расчет ЦП - общая форма'!AB122</f>
        <v>1.6</v>
      </c>
      <c r="E122" s="229" t="str">
        <f>'Расчет ЦП - общая форма'!AC122</f>
        <v>+</v>
      </c>
      <c r="F122" s="229">
        <f>'Расчет ЦП - общая форма'!AD122</f>
        <v>1.6</v>
      </c>
      <c r="G122" s="229">
        <f>'Расчет ЦП - общая форма'!AE122</f>
        <v>0</v>
      </c>
      <c r="H122" s="229">
        <f>'Расчет ЦП - общая форма'!AF122</f>
        <v>0</v>
      </c>
      <c r="I122" s="172">
        <f>'Расчет ЦП - общая форма'!AP122</f>
        <v>1.1312500000000001</v>
      </c>
      <c r="J122" s="172" t="str">
        <f>'Расчет ЦП - общая форма'!AQ122</f>
        <v/>
      </c>
      <c r="K122" s="924" t="str">
        <f>'Расчет ЦП - общая форма'!AR122</f>
        <v/>
      </c>
      <c r="L122" s="924">
        <f>'Расчет ЦП - общая форма'!AS122</f>
        <v>32.663690476190474</v>
      </c>
      <c r="M122" s="924"/>
      <c r="N122" s="924"/>
    </row>
    <row r="123" spans="1:14" hidden="1" x14ac:dyDescent="0.25">
      <c r="A123" s="213">
        <f>'Расчет ЦП - общая форма'!Y123</f>
        <v>96</v>
      </c>
      <c r="B123" s="1152">
        <f>COUNTIFS($C$8:C123,"*ПС*",$J$8:J123,"*закрыт*")</f>
        <v>15</v>
      </c>
      <c r="C123" s="213" t="str">
        <f>'Расчет ЦП - общая форма'!AA123</f>
        <v xml:space="preserve">ПС 35/10 кВ Сороки </v>
      </c>
      <c r="D123" s="230">
        <f>'Расчет ЦП - общая форма'!AB123</f>
        <v>2.5</v>
      </c>
      <c r="E123" s="229" t="str">
        <f>'Расчет ЦП - общая форма'!AC123</f>
        <v>+</v>
      </c>
      <c r="F123" s="229">
        <f>'Расчет ЦП - общая форма'!AD123</f>
        <v>2.5</v>
      </c>
      <c r="G123" s="229">
        <f>'Расчет ЦП - общая форма'!AE123</f>
        <v>0</v>
      </c>
      <c r="H123" s="229">
        <f>'Расчет ЦП - общая форма'!AF123</f>
        <v>0</v>
      </c>
      <c r="I123" s="172">
        <f>'Расчет ЦП - общая форма'!AP123</f>
        <v>2.1349999999999998</v>
      </c>
      <c r="J123" s="172" t="str">
        <f>'Расчет ЦП - общая форма'!AQ123</f>
        <v/>
      </c>
      <c r="K123" s="924" t="str">
        <f>'Расчет ЦП - общая форма'!AR123</f>
        <v/>
      </c>
      <c r="L123" s="924">
        <f>'Расчет ЦП - общая форма'!AS123</f>
        <v>18.666666666666668</v>
      </c>
      <c r="M123" s="924"/>
      <c r="N123" s="924"/>
    </row>
    <row r="124" spans="1:14" hidden="1" x14ac:dyDescent="0.25">
      <c r="A124" s="213">
        <f>'Расчет ЦП - общая форма'!Y124</f>
        <v>97</v>
      </c>
      <c r="B124" s="1152">
        <f>COUNTIFS($C$8:C124,"*ПС*",$J$8:J124,"*закрыт*")</f>
        <v>15</v>
      </c>
      <c r="C124" s="213" t="str">
        <f>'Расчет ЦП - общая форма'!AA124</f>
        <v xml:space="preserve">ПС 35/10 кВ Терелесово </v>
      </c>
      <c r="D124" s="230">
        <f>'Расчет ЦП - общая форма'!AB124</f>
        <v>1.6</v>
      </c>
      <c r="E124" s="229" t="str">
        <f>'Расчет ЦП - общая форма'!AC124</f>
        <v>+</v>
      </c>
      <c r="F124" s="229">
        <f>'Расчет ЦП - общая форма'!AD124</f>
        <v>1.6</v>
      </c>
      <c r="G124" s="229">
        <f>'Расчет ЦП - общая форма'!AE124</f>
        <v>0</v>
      </c>
      <c r="H124" s="229">
        <f>'Расчет ЦП - общая форма'!AF124</f>
        <v>0</v>
      </c>
      <c r="I124" s="172">
        <f>'Расчет ЦП - общая форма'!AP124</f>
        <v>1.6800000000000002</v>
      </c>
      <c r="J124" s="172" t="str">
        <f>'Расчет ЦП - общая форма'!AQ124</f>
        <v/>
      </c>
      <c r="K124" s="924" t="str">
        <f>'Расчет ЦП - общая форма'!AR124</f>
        <v/>
      </c>
      <c r="L124" s="924">
        <f>'Расчет ЦП - общая форма'!AS124</f>
        <v>46.428571428571423</v>
      </c>
      <c r="M124" s="924"/>
      <c r="N124" s="924"/>
    </row>
    <row r="125" spans="1:14" hidden="1" x14ac:dyDescent="0.25">
      <c r="A125" s="213">
        <f>'Расчет ЦП - общая форма'!Y125</f>
        <v>98</v>
      </c>
      <c r="B125" s="1152">
        <f>COUNTIFS($C$8:C125,"*ПС*",$J$8:J125,"*закрыт*")</f>
        <v>15</v>
      </c>
      <c r="C125" s="213" t="str">
        <f>'Расчет ЦП - общая форма'!AA125</f>
        <v xml:space="preserve">ПС 35/10 кВ Тимково </v>
      </c>
      <c r="D125" s="230">
        <f>'Расчет ЦП - общая форма'!AB125</f>
        <v>1.6</v>
      </c>
      <c r="E125" s="229" t="str">
        <f>'Расчет ЦП - общая форма'!AC125</f>
        <v>+</v>
      </c>
      <c r="F125" s="229">
        <f>'Расчет ЦП - общая форма'!AD125</f>
        <v>1.6</v>
      </c>
      <c r="G125" s="229">
        <f>'Расчет ЦП - общая форма'!AE125</f>
        <v>0</v>
      </c>
      <c r="H125" s="229">
        <f>'Расчет ЦП - общая форма'!AF125</f>
        <v>0</v>
      </c>
      <c r="I125" s="172">
        <f>'Расчет ЦП - общая форма'!AP125</f>
        <v>0.60000000000000009</v>
      </c>
      <c r="J125" s="172" t="str">
        <f>'Расчет ЦП - общая форма'!AQ125</f>
        <v/>
      </c>
      <c r="K125" s="924" t="str">
        <f>'Расчет ЦП - общая форма'!AR125</f>
        <v/>
      </c>
      <c r="L125" s="924">
        <f>'Расчет ЦП - общая форма'!AS125</f>
        <v>64.285714285714278</v>
      </c>
      <c r="M125" s="924"/>
      <c r="N125" s="924"/>
    </row>
    <row r="126" spans="1:14" hidden="1" x14ac:dyDescent="0.25">
      <c r="A126" s="213">
        <f>'Расчет ЦП - общая форма'!Y126</f>
        <v>99</v>
      </c>
      <c r="B126" s="1152">
        <f>COUNTIFS($C$8:C126,"*ПС*",$J$8:J126,"*закрыт*")</f>
        <v>15</v>
      </c>
      <c r="C126" s="213" t="str">
        <f>'Расчет ЦП - общая форма'!AA126</f>
        <v xml:space="preserve">ПС 35/10 кВ Фирово </v>
      </c>
      <c r="D126" s="230">
        <f>'Расчет ЦП - общая форма'!AB126</f>
        <v>2.5</v>
      </c>
      <c r="E126" s="229" t="str">
        <f>'Расчет ЦП - общая форма'!AC126</f>
        <v>+</v>
      </c>
      <c r="F126" s="229">
        <f>'Расчет ЦП - общая форма'!AD126</f>
        <v>2.5</v>
      </c>
      <c r="G126" s="229">
        <f>'Расчет ЦП - общая форма'!AE126</f>
        <v>0</v>
      </c>
      <c r="H126" s="229">
        <f>'Расчет ЦП - общая форма'!AF126</f>
        <v>0</v>
      </c>
      <c r="I126" s="172">
        <f>'Расчет ЦП - общая форма'!AP126</f>
        <v>2.625</v>
      </c>
      <c r="J126" s="172" t="str">
        <f>'Расчет ЦП - общая форма'!AQ126</f>
        <v/>
      </c>
      <c r="K126" s="924" t="str">
        <f>'Расчет ЦП - общая форма'!AR126</f>
        <v/>
      </c>
      <c r="L126" s="924">
        <f>'Расчет ЦП - общая форма'!AS126</f>
        <v>82.285714285714292</v>
      </c>
      <c r="M126" s="924"/>
      <c r="N126" s="924"/>
    </row>
    <row r="127" spans="1:14" hidden="1" x14ac:dyDescent="0.25">
      <c r="A127" s="213">
        <f>'Расчет ЦП - общая форма'!Y127</f>
        <v>100</v>
      </c>
      <c r="B127" s="1152">
        <f>COUNTIFS($C$8:C127,"*ПС*",$J$8:J127,"*закрыт*")</f>
        <v>15</v>
      </c>
      <c r="C127" s="213" t="str">
        <f>'Расчет ЦП - общая форма'!AA127</f>
        <v xml:space="preserve">ПС 35/6 кВ Юбилейная </v>
      </c>
      <c r="D127" s="230">
        <f>'Расчет ЦП - общая форма'!AB127</f>
        <v>7.5</v>
      </c>
      <c r="E127" s="229" t="str">
        <f>'Расчет ЦП - общая форма'!AC127</f>
        <v>+</v>
      </c>
      <c r="F127" s="229">
        <f>'Расчет ЦП - общая форма'!AD127</f>
        <v>10</v>
      </c>
      <c r="G127" s="229">
        <f>'Расчет ЦП - общая форма'!AE127</f>
        <v>0</v>
      </c>
      <c r="H127" s="229">
        <f>'Расчет ЦП - общая форма'!AF127</f>
        <v>0</v>
      </c>
      <c r="I127" s="172">
        <f>'Расчет ЦП - общая форма'!AP127</f>
        <v>1.0549999999999997</v>
      </c>
      <c r="J127" s="172" t="str">
        <f>'Расчет ЦП - общая форма'!AQ127</f>
        <v/>
      </c>
      <c r="K127" s="924" t="str">
        <f>'Расчет ЦП - общая форма'!AR127</f>
        <v/>
      </c>
      <c r="L127" s="924">
        <f>'Расчет ЦП - общая форма'!AS127</f>
        <v>98.031746031746053</v>
      </c>
      <c r="M127" s="924"/>
      <c r="N127" s="924"/>
    </row>
    <row r="128" spans="1:14" hidden="1" x14ac:dyDescent="0.25">
      <c r="A128" s="213">
        <f>'Расчет ЦП - общая форма'!Y128</f>
        <v>101</v>
      </c>
      <c r="B128" s="1152">
        <f>COUNTIFS($C$8:C128,"*ПС*",$J$8:J128,"*закрыт*")</f>
        <v>15</v>
      </c>
      <c r="C128" s="213" t="str">
        <f>'Расчет ЦП - общая форма'!AA128</f>
        <v xml:space="preserve">ПС 35/10 кВ Яконово </v>
      </c>
      <c r="D128" s="245">
        <f>'Расчет ЦП - общая форма'!AB128</f>
        <v>2.5</v>
      </c>
      <c r="E128" s="246" t="str">
        <f>'Расчет ЦП - общая форма'!AC128</f>
        <v>+</v>
      </c>
      <c r="F128" s="246">
        <f>'Расчет ЦП - общая форма'!AD128</f>
        <v>2.5</v>
      </c>
      <c r="G128" s="246">
        <f>'Расчет ЦП - общая форма'!AE128</f>
        <v>0</v>
      </c>
      <c r="H128" s="246">
        <f>'Расчет ЦП - общая форма'!AF128</f>
        <v>0</v>
      </c>
      <c r="I128" s="172">
        <f>'Расчет ЦП - общая форма'!AP128</f>
        <v>2.5049999999999999</v>
      </c>
      <c r="J128" s="172" t="str">
        <f>'Расчет ЦП - общая форма'!AQ128</f>
        <v/>
      </c>
      <c r="K128" s="924" t="str">
        <f>'Расчет ЦП - общая форма'!AR128</f>
        <v/>
      </c>
      <c r="L128" s="924">
        <f>'Расчет ЦП - общая форма'!AS128</f>
        <v>11.047619047619046</v>
      </c>
      <c r="M128" s="924"/>
      <c r="N128" s="924"/>
    </row>
    <row r="129" spans="1:14" hidden="1" x14ac:dyDescent="0.25">
      <c r="A129" s="1371">
        <f>'Расчет ЦП - общая форма'!Y129</f>
        <v>102</v>
      </c>
      <c r="B129" s="1376">
        <f>COUNTIFS($C$8:C129,"*ПС*",$J$8:J129,"*закрыт*")</f>
        <v>15</v>
      </c>
      <c r="C129" s="213" t="str">
        <f>'Расчет ЦП - общая форма'!AA129</f>
        <v xml:space="preserve">ПС 110/35/10 кВ Брусово  </v>
      </c>
      <c r="D129" s="245">
        <f>'Расчет ЦП - общая форма'!AB129</f>
        <v>10</v>
      </c>
      <c r="E129" s="246" t="str">
        <f>'Расчет ЦП - общая форма'!AC129</f>
        <v>+</v>
      </c>
      <c r="F129" s="246">
        <f>'Расчет ЦП - общая форма'!AD129</f>
        <v>10</v>
      </c>
      <c r="G129" s="246">
        <f>'Расчет ЦП - общая форма'!AE129</f>
        <v>0</v>
      </c>
      <c r="H129" s="246">
        <f>'Расчет ЦП - общая форма'!AF129</f>
        <v>0</v>
      </c>
      <c r="I129" s="1364">
        <f>'Расчет ЦП - общая форма'!AP129</f>
        <v>10.5</v>
      </c>
      <c r="J129" s="1364" t="str">
        <f>'Расчет ЦП - общая форма'!AQ129</f>
        <v/>
      </c>
      <c r="K129" s="924" t="str">
        <f>'Расчет ЦП - общая форма'!AR129</f>
        <v/>
      </c>
      <c r="L129" s="924">
        <f>'Расчет ЦП - общая форма'!AS129</f>
        <v>18.698809523809523</v>
      </c>
      <c r="M129" s="924"/>
      <c r="N129" s="924"/>
    </row>
    <row r="130" spans="1:14" hidden="1" x14ac:dyDescent="0.25">
      <c r="A130" s="1371">
        <f>'Расчет ЦП - общая форма'!Y130</f>
        <v>0</v>
      </c>
      <c r="B130" s="1393"/>
      <c r="C130" s="213" t="str">
        <f>'Расчет ЦП - общая форма'!AA130</f>
        <v xml:space="preserve">Ном. Мощность СН, МВА </v>
      </c>
      <c r="D130" s="245">
        <f>'Расчет ЦП - общая форма'!AB130</f>
        <v>10</v>
      </c>
      <c r="E130" s="246" t="str">
        <f>'Расчет ЦП - общая форма'!AC130</f>
        <v>+</v>
      </c>
      <c r="F130" s="246">
        <f>'Расчет ЦП - общая форма'!AD130</f>
        <v>10</v>
      </c>
      <c r="G130" s="246">
        <f>'Расчет ЦП - общая форма'!AE130</f>
        <v>0</v>
      </c>
      <c r="H130" s="246">
        <f>'Расчет ЦП - общая форма'!AF130</f>
        <v>0</v>
      </c>
      <c r="I130" s="1365">
        <f>'Расчет ЦП - общая форма'!AP130</f>
        <v>0</v>
      </c>
      <c r="J130" s="1365" t="str">
        <f>'Расчет ЦП - общая форма'!AQ130</f>
        <v/>
      </c>
      <c r="K130" s="924" t="str">
        <f>'Расчет ЦП - общая форма'!AR130</f>
        <v/>
      </c>
      <c r="L130" s="924">
        <f>'Расчет ЦП - общая форма'!AS130</f>
        <v>0</v>
      </c>
      <c r="M130" s="924"/>
      <c r="N130" s="924"/>
    </row>
    <row r="131" spans="1:14" hidden="1" x14ac:dyDescent="0.25">
      <c r="A131" s="1371">
        <f>'Расчет ЦП - общая форма'!Y131</f>
        <v>0</v>
      </c>
      <c r="B131" s="1394"/>
      <c r="C131" s="213" t="str">
        <f>'Расчет ЦП - общая форма'!AA131</f>
        <v>Ном. мощность НН, МВА</v>
      </c>
      <c r="D131" s="245">
        <f>'Расчет ЦП - общая форма'!AB131</f>
        <v>10</v>
      </c>
      <c r="E131" s="246" t="str">
        <f>'Расчет ЦП - общая форма'!AC131</f>
        <v>+</v>
      </c>
      <c r="F131" s="246">
        <f>'Расчет ЦП - общая форма'!AD131</f>
        <v>10</v>
      </c>
      <c r="G131" s="246">
        <f>'Расчет ЦП - общая форма'!AE131</f>
        <v>0</v>
      </c>
      <c r="H131" s="246">
        <f>'Расчет ЦП - общая форма'!AF131</f>
        <v>0</v>
      </c>
      <c r="I131" s="1366">
        <f>'Расчет ЦП - общая форма'!AP131</f>
        <v>0</v>
      </c>
      <c r="J131" s="1366" t="str">
        <f>'Расчет ЦП - общая форма'!AQ131</f>
        <v/>
      </c>
      <c r="K131" s="924" t="str">
        <f>'Расчет ЦП - общая форма'!AR131</f>
        <v/>
      </c>
      <c r="L131" s="924">
        <f>'Расчет ЦП - общая форма'!AS131</f>
        <v>0</v>
      </c>
      <c r="M131" s="924"/>
      <c r="N131" s="924"/>
    </row>
    <row r="132" spans="1:14" hidden="1" x14ac:dyDescent="0.25">
      <c r="A132" s="1371">
        <f>'Расчет ЦП - общая форма'!Y132</f>
        <v>103</v>
      </c>
      <c r="B132" s="1376">
        <f>COUNTIFS($C$8:C132,"*ПС*",$J$8:J132,"*закрыт*")</f>
        <v>15</v>
      </c>
      <c r="C132" s="213" t="str">
        <f>'Расчет ЦП - общая форма'!AA132</f>
        <v xml:space="preserve">ПС 110/35/6 кВ Выпозово </v>
      </c>
      <c r="D132" s="245">
        <f>'Расчет ЦП - общая форма'!AB132</f>
        <v>10</v>
      </c>
      <c r="E132" s="246" t="str">
        <f>'Расчет ЦП - общая форма'!AC132</f>
        <v>+</v>
      </c>
      <c r="F132" s="246">
        <f>'Расчет ЦП - общая форма'!AD132</f>
        <v>10</v>
      </c>
      <c r="G132" s="246">
        <f>'Расчет ЦП - общая форма'!AE132</f>
        <v>0</v>
      </c>
      <c r="H132" s="246">
        <f>'Расчет ЦП - общая форма'!AF132</f>
        <v>0</v>
      </c>
      <c r="I132" s="1364">
        <f>'Расчет ЦП - общая форма'!AP132</f>
        <v>8.8357500000000009</v>
      </c>
      <c r="J132" s="1364" t="str">
        <f>'Расчет ЦП - общая форма'!AQ132</f>
        <v/>
      </c>
      <c r="K132" s="924" t="str">
        <f>'Расчет ЦП - общая форма'!AR132</f>
        <v/>
      </c>
      <c r="L132" s="924">
        <f>'Расчет ЦП - общая форма'!AS132</f>
        <v>63.86904761904762</v>
      </c>
      <c r="M132" s="924"/>
      <c r="N132" s="924"/>
    </row>
    <row r="133" spans="1:14" hidden="1" x14ac:dyDescent="0.25">
      <c r="A133" s="1371">
        <f>'Расчет ЦП - общая форма'!Y133</f>
        <v>0</v>
      </c>
      <c r="B133" s="1393"/>
      <c r="C133" s="213" t="str">
        <f>'Расчет ЦП - общая форма'!AA133</f>
        <v xml:space="preserve">Ном. Мощность СН, МВА </v>
      </c>
      <c r="D133" s="245">
        <f>'Расчет ЦП - общая форма'!AB133</f>
        <v>10</v>
      </c>
      <c r="E133" s="246" t="str">
        <f>'Расчет ЦП - общая форма'!AC133</f>
        <v>+</v>
      </c>
      <c r="F133" s="246">
        <f>'Расчет ЦП - общая форма'!AD133</f>
        <v>10</v>
      </c>
      <c r="G133" s="246">
        <f>'Расчет ЦП - общая форма'!AE133</f>
        <v>0</v>
      </c>
      <c r="H133" s="246">
        <f>'Расчет ЦП - общая форма'!AF133</f>
        <v>0</v>
      </c>
      <c r="I133" s="1365">
        <f>'Расчет ЦП - общая форма'!AP133</f>
        <v>0</v>
      </c>
      <c r="J133" s="1365" t="str">
        <f>'Расчет ЦП - общая форма'!AQ133</f>
        <v/>
      </c>
      <c r="K133" s="924" t="str">
        <f>'Расчет ЦП - общая форма'!AR133</f>
        <v/>
      </c>
      <c r="L133" s="924">
        <f>'Расчет ЦП - общая форма'!AS133</f>
        <v>0</v>
      </c>
      <c r="M133" s="924"/>
      <c r="N133" s="924"/>
    </row>
    <row r="134" spans="1:14" hidden="1" x14ac:dyDescent="0.25">
      <c r="A134" s="1371">
        <f>'Расчет ЦП - общая форма'!Y134</f>
        <v>0</v>
      </c>
      <c r="B134" s="1394"/>
      <c r="C134" s="213" t="str">
        <f>'Расчет ЦП - общая форма'!AA134</f>
        <v>Ном. мощность НН, МВА</v>
      </c>
      <c r="D134" s="230">
        <f>'Расчет ЦП - общая форма'!AB134</f>
        <v>10</v>
      </c>
      <c r="E134" s="229" t="str">
        <f>'Расчет ЦП - общая форма'!AC134</f>
        <v>+</v>
      </c>
      <c r="F134" s="229">
        <f>'Расчет ЦП - общая форма'!AD134</f>
        <v>10</v>
      </c>
      <c r="G134" s="229">
        <f>'Расчет ЦП - общая форма'!AE134</f>
        <v>0</v>
      </c>
      <c r="H134" s="229">
        <f>'Расчет ЦП - общая форма'!AF134</f>
        <v>0</v>
      </c>
      <c r="I134" s="1366">
        <f>'Расчет ЦП - общая форма'!AP134</f>
        <v>0</v>
      </c>
      <c r="J134" s="1366" t="str">
        <f>'Расчет ЦП - общая форма'!AQ134</f>
        <v/>
      </c>
      <c r="K134" s="924" t="str">
        <f>'Расчет ЦП - общая форма'!AR134</f>
        <v/>
      </c>
      <c r="L134" s="924">
        <f>'Расчет ЦП - общая форма'!AS134</f>
        <v>0</v>
      </c>
      <c r="M134" s="924"/>
      <c r="N134" s="924"/>
    </row>
    <row r="135" spans="1:14" hidden="1" x14ac:dyDescent="0.25">
      <c r="A135" s="1371">
        <f>'Расчет ЦП - общая форма'!Y135</f>
        <v>104</v>
      </c>
      <c r="B135" s="1376">
        <f>COUNTIFS($C$8:C135,"*ПС*",$J$8:J135,"*закрыт*")</f>
        <v>15</v>
      </c>
      <c r="C135" s="213" t="str">
        <f>'Расчет ЦП - общая форма'!AA135</f>
        <v xml:space="preserve">ПС 110/35/6 кВ Вышний Волочек </v>
      </c>
      <c r="D135" s="230">
        <f>'Расчет ЦП - общая форма'!AB135</f>
        <v>40</v>
      </c>
      <c r="E135" s="229" t="str">
        <f>'Расчет ЦП - общая форма'!AC135</f>
        <v>+</v>
      </c>
      <c r="F135" s="229">
        <f>'Расчет ЦП - общая форма'!AD135</f>
        <v>40</v>
      </c>
      <c r="G135" s="229">
        <f>'Расчет ЦП - общая форма'!AE135</f>
        <v>0</v>
      </c>
      <c r="H135" s="229">
        <f>'Расчет ЦП - общая форма'!AF135</f>
        <v>0</v>
      </c>
      <c r="I135" s="1364">
        <f>'Расчет ЦП - общая форма'!AP135</f>
        <v>27.875000000000004</v>
      </c>
      <c r="J135" s="1364" t="str">
        <f>'Расчет ЦП - общая форма'!AQ135</f>
        <v/>
      </c>
      <c r="K135" s="924" t="str">
        <f>'Расчет ЦП - общая форма'!AR135</f>
        <v/>
      </c>
      <c r="L135" s="924">
        <f>'Расчет ЦП - общая форма'!AS135</f>
        <v>75.226190476190482</v>
      </c>
      <c r="M135" s="924"/>
      <c r="N135" s="924"/>
    </row>
    <row r="136" spans="1:14" hidden="1" x14ac:dyDescent="0.25">
      <c r="A136" s="1371">
        <f>'Расчет ЦП - общая форма'!Y136</f>
        <v>0</v>
      </c>
      <c r="B136" s="1393"/>
      <c r="C136" s="213" t="str">
        <f>'Расчет ЦП - общая форма'!AA136</f>
        <v xml:space="preserve">Ном. Мощность СН, МВА </v>
      </c>
      <c r="D136" s="230">
        <f>'Расчет ЦП - общая форма'!AB136</f>
        <v>40</v>
      </c>
      <c r="E136" s="229" t="str">
        <f>'Расчет ЦП - общая форма'!AC136</f>
        <v>+</v>
      </c>
      <c r="F136" s="229">
        <f>'Расчет ЦП - общая форма'!AD136</f>
        <v>40</v>
      </c>
      <c r="G136" s="229">
        <f>'Расчет ЦП - общая форма'!AE136</f>
        <v>0</v>
      </c>
      <c r="H136" s="229">
        <f>'Расчет ЦП - общая форма'!AF136</f>
        <v>0</v>
      </c>
      <c r="I136" s="1365">
        <f>'Расчет ЦП - общая форма'!AP136</f>
        <v>0</v>
      </c>
      <c r="J136" s="1365" t="str">
        <f>'Расчет ЦП - общая форма'!AQ136</f>
        <v/>
      </c>
      <c r="K136" s="924" t="str">
        <f>'Расчет ЦП - общая форма'!AR136</f>
        <v/>
      </c>
      <c r="L136" s="924">
        <f>'Расчет ЦП - общая форма'!AS136</f>
        <v>0</v>
      </c>
      <c r="M136" s="924"/>
      <c r="N136" s="924"/>
    </row>
    <row r="137" spans="1:14" hidden="1" x14ac:dyDescent="0.25">
      <c r="A137" s="1371">
        <f>'Расчет ЦП - общая форма'!Y137</f>
        <v>0</v>
      </c>
      <c r="B137" s="1394"/>
      <c r="C137" s="213" t="str">
        <f>'Расчет ЦП - общая форма'!AA137</f>
        <v>Ном. мощность НН, МВА</v>
      </c>
      <c r="D137" s="230">
        <f>'Расчет ЦП - общая форма'!AB137</f>
        <v>40</v>
      </c>
      <c r="E137" s="229" t="str">
        <f>'Расчет ЦП - общая форма'!AC137</f>
        <v>+</v>
      </c>
      <c r="F137" s="229">
        <f>'Расчет ЦП - общая форма'!AD137</f>
        <v>40</v>
      </c>
      <c r="G137" s="229">
        <f>'Расчет ЦП - общая форма'!AE137</f>
        <v>0</v>
      </c>
      <c r="H137" s="229">
        <f>'Расчет ЦП - общая форма'!AF137</f>
        <v>0</v>
      </c>
      <c r="I137" s="1366">
        <f>'Расчет ЦП - общая форма'!AP137</f>
        <v>0</v>
      </c>
      <c r="J137" s="1366" t="str">
        <f>'Расчет ЦП - общая форма'!AQ137</f>
        <v/>
      </c>
      <c r="K137" s="924" t="str">
        <f>'Расчет ЦП - общая форма'!AR137</f>
        <v/>
      </c>
      <c r="L137" s="924">
        <f>'Расчет ЦП - общая форма'!AS137</f>
        <v>0</v>
      </c>
      <c r="M137" s="924"/>
      <c r="N137" s="924"/>
    </row>
    <row r="138" spans="1:14" hidden="1" x14ac:dyDescent="0.25">
      <c r="A138" s="1376">
        <f>'Расчет ЦП - общая форма'!Y138</f>
        <v>105</v>
      </c>
      <c r="B138" s="1376">
        <f>COUNTIFS($C$8:C138,"*ПС*",$J$8:J138,"*закрыт*")</f>
        <v>15</v>
      </c>
      <c r="C138" s="213" t="str">
        <f>'Расчет ЦП - общая форма'!AA138</f>
        <v xml:space="preserve">ПС 110/35/10-6 кВ Кашарово </v>
      </c>
      <c r="D138" s="230">
        <f>'Расчет ЦП - общая форма'!AB138</f>
        <v>25</v>
      </c>
      <c r="E138" s="229" t="str">
        <f>'Расчет ЦП - общая форма'!AC138</f>
        <v>+</v>
      </c>
      <c r="F138" s="229">
        <f>'Расчет ЦП - общая форма'!AD138</f>
        <v>20</v>
      </c>
      <c r="G138" s="229">
        <f>'Расчет ЦП - общая форма'!AE138</f>
        <v>0</v>
      </c>
      <c r="H138" s="229">
        <f>'Расчет ЦП - общая форма'!AF138</f>
        <v>0</v>
      </c>
      <c r="I138" s="1364">
        <f>'Расчет ЦП - общая форма'!AP138</f>
        <v>18.238999999999997</v>
      </c>
      <c r="J138" s="1364" t="str">
        <f>'Расчет ЦП - общая форма'!AQ138</f>
        <v/>
      </c>
      <c r="K138" s="924" t="str">
        <f>'Расчет ЦП - общая форма'!AR138</f>
        <v/>
      </c>
      <c r="L138" s="924">
        <f>'Расчет ЦП - общая форма'!AS138</f>
        <v>54.047619047619051</v>
      </c>
      <c r="M138" s="924"/>
      <c r="N138" s="924"/>
    </row>
    <row r="139" spans="1:14" hidden="1" x14ac:dyDescent="0.25">
      <c r="A139" s="1393">
        <f>'Расчет ЦП - общая форма'!Y139</f>
        <v>0</v>
      </c>
      <c r="B139" s="1393"/>
      <c r="C139" s="213" t="str">
        <f>'Расчет ЦП - общая форма'!AA139</f>
        <v xml:space="preserve">Ном. Мощность СН, МВА </v>
      </c>
      <c r="D139" s="230">
        <f>'Расчет ЦП - общая форма'!AB139</f>
        <v>25</v>
      </c>
      <c r="E139" s="229" t="str">
        <f>'Расчет ЦП - общая форма'!AC139</f>
        <v>+</v>
      </c>
      <c r="F139" s="229">
        <f>'Расчет ЦП - общая форма'!AD139</f>
        <v>20</v>
      </c>
      <c r="G139" s="229">
        <f>'Расчет ЦП - общая форма'!AE139</f>
        <v>0</v>
      </c>
      <c r="H139" s="229">
        <f>'Расчет ЦП - общая форма'!AF139</f>
        <v>0</v>
      </c>
      <c r="I139" s="1365">
        <f>'Расчет ЦП - общая форма'!AP139</f>
        <v>0</v>
      </c>
      <c r="J139" s="1365" t="str">
        <f>'Расчет ЦП - общая форма'!AQ139</f>
        <v/>
      </c>
      <c r="K139" s="924" t="str">
        <f>'Расчет ЦП - общая форма'!AR139</f>
        <v/>
      </c>
      <c r="L139" s="924">
        <f>'Расчет ЦП - общая форма'!AS139</f>
        <v>0</v>
      </c>
      <c r="M139" s="924"/>
      <c r="N139" s="924"/>
    </row>
    <row r="140" spans="1:14" hidden="1" x14ac:dyDescent="0.25">
      <c r="A140" s="1394">
        <f>'Расчет ЦП - общая форма'!Y140</f>
        <v>0</v>
      </c>
      <c r="B140" s="1394"/>
      <c r="C140" s="213" t="str">
        <f>'Расчет ЦП - общая форма'!AA140</f>
        <v>Ном. мощность НН, МВА</v>
      </c>
      <c r="D140" s="230">
        <f>'Расчет ЦП - общая форма'!AB140</f>
        <v>25</v>
      </c>
      <c r="E140" s="229" t="str">
        <f>'Расчет ЦП - общая форма'!AC140</f>
        <v>+</v>
      </c>
      <c r="F140" s="229">
        <f>'Расчет ЦП - общая форма'!AD140</f>
        <v>20</v>
      </c>
      <c r="G140" s="229">
        <f>'Расчет ЦП - общая форма'!AE140</f>
        <v>0</v>
      </c>
      <c r="H140" s="229">
        <f>'Расчет ЦП - общая форма'!AF140</f>
        <v>0</v>
      </c>
      <c r="I140" s="1366">
        <f>'Расчет ЦП - общая форма'!AP140</f>
        <v>0</v>
      </c>
      <c r="J140" s="1366" t="str">
        <f>'Расчет ЦП - общая форма'!AQ140</f>
        <v/>
      </c>
      <c r="K140" s="924" t="str">
        <f>'Расчет ЦП - общая форма'!AR140</f>
        <v/>
      </c>
      <c r="L140" s="924">
        <f>'Расчет ЦП - общая форма'!AS140</f>
        <v>0</v>
      </c>
      <c r="M140" s="924"/>
      <c r="N140" s="924"/>
    </row>
    <row r="141" spans="1:14" hidden="1" x14ac:dyDescent="0.25">
      <c r="A141" s="1371">
        <f>'Расчет ЦП - общая форма'!Y141</f>
        <v>106</v>
      </c>
      <c r="B141" s="1376">
        <f>COUNTIFS($C$8:C141,"*ПС*",$J$8:J141,"*закрыт*")</f>
        <v>15</v>
      </c>
      <c r="C141" s="213" t="str">
        <f>'Расчет ЦП - общая форма'!AA141</f>
        <v xml:space="preserve">ПС 110/35/10 кВ Спирово </v>
      </c>
      <c r="D141" s="230">
        <f>'Расчет ЦП - общая форма'!AB141</f>
        <v>16</v>
      </c>
      <c r="E141" s="229" t="str">
        <f>'Расчет ЦП - общая форма'!AC141</f>
        <v>+</v>
      </c>
      <c r="F141" s="229">
        <f>'Расчет ЦП - общая форма'!AD141</f>
        <v>16</v>
      </c>
      <c r="G141" s="229">
        <f>'Расчет ЦП - общая форма'!AE141</f>
        <v>0</v>
      </c>
      <c r="H141" s="229">
        <f>'Расчет ЦП - общая форма'!AF141</f>
        <v>0</v>
      </c>
      <c r="I141" s="1364">
        <f>'Расчет ЦП - общая форма'!AP141</f>
        <v>13.163</v>
      </c>
      <c r="J141" s="1364" t="str">
        <f>'Расчет ЦП - общая форма'!AQ141</f>
        <v/>
      </c>
      <c r="K141" s="924" t="str">
        <f>'Расчет ЦП - общая форма'!AR141</f>
        <v/>
      </c>
      <c r="L141" s="924">
        <f>'Расчет ЦП - общая форма'!AS141</f>
        <v>31.607142857142854</v>
      </c>
      <c r="M141" s="924"/>
      <c r="N141" s="924"/>
    </row>
    <row r="142" spans="1:14" hidden="1" x14ac:dyDescent="0.25">
      <c r="A142" s="1371">
        <f>'Расчет ЦП - общая форма'!Y142</f>
        <v>0</v>
      </c>
      <c r="B142" s="1393"/>
      <c r="C142" s="213" t="str">
        <f>'Расчет ЦП - общая форма'!AA142</f>
        <v xml:space="preserve">Ном. Мощность СН, МВА </v>
      </c>
      <c r="D142" s="230">
        <f>'Расчет ЦП - общая форма'!AB142</f>
        <v>16</v>
      </c>
      <c r="E142" s="229" t="str">
        <f>'Расчет ЦП - общая форма'!AC142</f>
        <v>+</v>
      </c>
      <c r="F142" s="229">
        <f>'Расчет ЦП - общая форма'!AD142</f>
        <v>16</v>
      </c>
      <c r="G142" s="229">
        <f>'Расчет ЦП - общая форма'!AE142</f>
        <v>0</v>
      </c>
      <c r="H142" s="229">
        <f>'Расчет ЦП - общая форма'!AF142</f>
        <v>0</v>
      </c>
      <c r="I142" s="1365">
        <f>'Расчет ЦП - общая форма'!AP142</f>
        <v>0</v>
      </c>
      <c r="J142" s="1365" t="str">
        <f>'Расчет ЦП - общая форма'!AQ142</f>
        <v/>
      </c>
      <c r="K142" s="924" t="str">
        <f>'Расчет ЦП - общая форма'!AR142</f>
        <v/>
      </c>
      <c r="L142" s="924">
        <f>'Расчет ЦП - общая форма'!AS142</f>
        <v>0</v>
      </c>
      <c r="M142" s="924"/>
      <c r="N142" s="924"/>
    </row>
    <row r="143" spans="1:14" hidden="1" x14ac:dyDescent="0.25">
      <c r="A143" s="1371">
        <f>'Расчет ЦП - общая форма'!Y143</f>
        <v>0</v>
      </c>
      <c r="B143" s="1394"/>
      <c r="C143" s="213" t="str">
        <f>'Расчет ЦП - общая форма'!AA143</f>
        <v>Ном. мощность НН, МВА</v>
      </c>
      <c r="D143" s="230">
        <f>'Расчет ЦП - общая форма'!AB143</f>
        <v>16</v>
      </c>
      <c r="E143" s="229" t="str">
        <f>'Расчет ЦП - общая форма'!AC143</f>
        <v>+</v>
      </c>
      <c r="F143" s="229">
        <f>'Расчет ЦП - общая форма'!AD143</f>
        <v>16</v>
      </c>
      <c r="G143" s="229">
        <f>'Расчет ЦП - общая форма'!AE143</f>
        <v>0</v>
      </c>
      <c r="H143" s="229">
        <f>'Расчет ЦП - общая форма'!AF143</f>
        <v>0</v>
      </c>
      <c r="I143" s="1366">
        <f>'Расчет ЦП - общая форма'!AP143</f>
        <v>0</v>
      </c>
      <c r="J143" s="1366" t="str">
        <f>'Расчет ЦП - общая форма'!AQ143</f>
        <v/>
      </c>
      <c r="K143" s="924" t="str">
        <f>'Расчет ЦП - общая форма'!AR143</f>
        <v/>
      </c>
      <c r="L143" s="924">
        <f>'Расчет ЦП - общая форма'!AS143</f>
        <v>0</v>
      </c>
      <c r="M143" s="924"/>
      <c r="N143" s="924"/>
    </row>
    <row r="144" spans="1:14" hidden="1" x14ac:dyDescent="0.25">
      <c r="A144" s="1371">
        <f>'Расчет ЦП - общая форма'!Y144</f>
        <v>107</v>
      </c>
      <c r="B144" s="1376">
        <f>COUNTIFS($C$8:C144,"*ПС*",$J$8:J144,"*закрыт*")</f>
        <v>15</v>
      </c>
      <c r="C144" s="213" t="str">
        <f>'Расчет ЦП - общая форма'!AA144</f>
        <v>ПС 110/35/10 кВ Труд</v>
      </c>
      <c r="D144" s="230">
        <f>'Расчет ЦП - общая форма'!AB144</f>
        <v>16</v>
      </c>
      <c r="E144" s="229" t="str">
        <f>'Расчет ЦП - общая форма'!AC144</f>
        <v>+</v>
      </c>
      <c r="F144" s="229">
        <f>'Расчет ЦП - общая форма'!AD144</f>
        <v>16</v>
      </c>
      <c r="G144" s="229">
        <f>'Расчет ЦП - общая форма'!AE144</f>
        <v>0</v>
      </c>
      <c r="H144" s="229">
        <f>'Расчет ЦП - общая форма'!AF144</f>
        <v>0</v>
      </c>
      <c r="I144" s="1364">
        <f>'Расчет ЦП - общая форма'!AP144</f>
        <v>16.3</v>
      </c>
      <c r="J144" s="1364" t="str">
        <f>'Расчет ЦП - общая форма'!AQ144</f>
        <v/>
      </c>
      <c r="K144" s="924" t="str">
        <f>'Расчет ЦП - общая форма'!AR144</f>
        <v/>
      </c>
      <c r="L144" s="924">
        <f>'Расчет ЦП - общая форма'!AS144</f>
        <v>25.238095238095237</v>
      </c>
      <c r="M144" s="924"/>
      <c r="N144" s="924"/>
    </row>
    <row r="145" spans="1:14" hidden="1" x14ac:dyDescent="0.25">
      <c r="A145" s="1371">
        <f>'Расчет ЦП - общая форма'!Y145</f>
        <v>0</v>
      </c>
      <c r="B145" s="1393"/>
      <c r="C145" s="213" t="str">
        <f>'Расчет ЦП - общая форма'!AA145</f>
        <v xml:space="preserve">Ном. Мощность СН, МВА </v>
      </c>
      <c r="D145" s="230">
        <f>'Расчет ЦП - общая форма'!AB145</f>
        <v>16</v>
      </c>
      <c r="E145" s="229" t="str">
        <f>'Расчет ЦП - общая форма'!AC145</f>
        <v>+</v>
      </c>
      <c r="F145" s="229">
        <f>'Расчет ЦП - общая форма'!AD145</f>
        <v>16</v>
      </c>
      <c r="G145" s="229">
        <f>'Расчет ЦП - общая форма'!AE145</f>
        <v>0</v>
      </c>
      <c r="H145" s="229">
        <f>'Расчет ЦП - общая форма'!AF145</f>
        <v>0</v>
      </c>
      <c r="I145" s="1365">
        <f>'Расчет ЦП - общая форма'!AP145</f>
        <v>0</v>
      </c>
      <c r="J145" s="1365" t="str">
        <f>'Расчет ЦП - общая форма'!AQ145</f>
        <v/>
      </c>
      <c r="K145" s="924" t="str">
        <f>'Расчет ЦП - общая форма'!AR145</f>
        <v/>
      </c>
      <c r="L145" s="924">
        <f>'Расчет ЦП - общая форма'!AS145</f>
        <v>0</v>
      </c>
      <c r="M145" s="924"/>
      <c r="N145" s="924"/>
    </row>
    <row r="146" spans="1:14" hidden="1" x14ac:dyDescent="0.25">
      <c r="A146" s="1371">
        <f>'Расчет ЦП - общая форма'!Y146</f>
        <v>0</v>
      </c>
      <c r="B146" s="1394"/>
      <c r="C146" s="213" t="str">
        <f>'Расчет ЦП - общая форма'!AA146</f>
        <v>Ном. мощность НН, МВА</v>
      </c>
      <c r="D146" s="230">
        <f>'Расчет ЦП - общая форма'!AB146</f>
        <v>16</v>
      </c>
      <c r="E146" s="229" t="str">
        <f>'Расчет ЦП - общая форма'!AC146</f>
        <v>+</v>
      </c>
      <c r="F146" s="229">
        <f>'Расчет ЦП - общая форма'!AD146</f>
        <v>16</v>
      </c>
      <c r="G146" s="229">
        <f>'Расчет ЦП - общая форма'!AE146</f>
        <v>0</v>
      </c>
      <c r="H146" s="229">
        <f>'Расчет ЦП - общая форма'!AF146</f>
        <v>0</v>
      </c>
      <c r="I146" s="1366">
        <f>'Расчет ЦП - общая форма'!AP146</f>
        <v>0</v>
      </c>
      <c r="J146" s="1366" t="str">
        <f>'Расчет ЦП - общая форма'!AQ146</f>
        <v/>
      </c>
      <c r="K146" s="924" t="str">
        <f>'Расчет ЦП - общая форма'!AR146</f>
        <v/>
      </c>
      <c r="L146" s="924">
        <f>'Расчет ЦП - общая форма'!AS146</f>
        <v>0</v>
      </c>
      <c r="M146" s="924"/>
      <c r="N146" s="924"/>
    </row>
    <row r="147" spans="1:14" hidden="1" x14ac:dyDescent="0.25">
      <c r="A147" s="1371">
        <f>'Расчет ЦП - общая форма'!Y147</f>
        <v>108</v>
      </c>
      <c r="B147" s="1376">
        <f>COUNTIFS($C$8:C147,"*ПС*",$J$8:J147,"*закрыт*")</f>
        <v>15</v>
      </c>
      <c r="C147" s="213" t="str">
        <f>'Расчет ЦП - общая форма'!AA147</f>
        <v xml:space="preserve">ПС 110/35/10 кВ Удомля  </v>
      </c>
      <c r="D147" s="230">
        <f>'Расчет ЦП - общая форма'!AB147</f>
        <v>25</v>
      </c>
      <c r="E147" s="229" t="str">
        <f>'Расчет ЦП - общая форма'!AC147</f>
        <v>+</v>
      </c>
      <c r="F147" s="229">
        <f>'Расчет ЦП - общая форма'!AD147</f>
        <v>25</v>
      </c>
      <c r="G147" s="229">
        <f>'Расчет ЦП - общая форма'!AE147</f>
        <v>0</v>
      </c>
      <c r="H147" s="229">
        <f>'Расчет ЦП - общая форма'!AF147</f>
        <v>0</v>
      </c>
      <c r="I147" s="1364">
        <f>'Расчет ЦП - общая форма'!AP147</f>
        <v>23.705749999999998</v>
      </c>
      <c r="J147" s="1364" t="str">
        <f>'Расчет ЦП - общая форма'!AQ147</f>
        <v/>
      </c>
      <c r="K147" s="924" t="str">
        <f>'Расчет ЦП - общая форма'!AR147</f>
        <v/>
      </c>
      <c r="L147" s="924">
        <f>'Расчет ЦП - общая форма'!AS147</f>
        <v>71.254285714285714</v>
      </c>
      <c r="M147" s="924"/>
      <c r="N147" s="924"/>
    </row>
    <row r="148" spans="1:14" hidden="1" x14ac:dyDescent="0.25">
      <c r="A148" s="1371">
        <f>'Расчет ЦП - общая форма'!Y148</f>
        <v>0</v>
      </c>
      <c r="B148" s="1393"/>
      <c r="C148" s="213" t="str">
        <f>'Расчет ЦП - общая форма'!AA148</f>
        <v xml:space="preserve">Ном. Мощность СН, МВА </v>
      </c>
      <c r="D148" s="230">
        <f>'Расчет ЦП - общая форма'!AB148</f>
        <v>25</v>
      </c>
      <c r="E148" s="229" t="str">
        <f>'Расчет ЦП - общая форма'!AC148</f>
        <v>+</v>
      </c>
      <c r="F148" s="229">
        <f>'Расчет ЦП - общая форма'!AD148</f>
        <v>25</v>
      </c>
      <c r="G148" s="229">
        <f>'Расчет ЦП - общая форма'!AE148</f>
        <v>0</v>
      </c>
      <c r="H148" s="229">
        <f>'Расчет ЦП - общая форма'!AF148</f>
        <v>0</v>
      </c>
      <c r="I148" s="1365">
        <f>'Расчет ЦП - общая форма'!AP148</f>
        <v>0</v>
      </c>
      <c r="J148" s="1365" t="str">
        <f>'Расчет ЦП - общая форма'!AQ148</f>
        <v/>
      </c>
      <c r="K148" s="924" t="str">
        <f>'Расчет ЦП - общая форма'!AR148</f>
        <v/>
      </c>
      <c r="L148" s="924">
        <f>'Расчет ЦП - общая форма'!AS148</f>
        <v>0</v>
      </c>
      <c r="M148" s="924"/>
      <c r="N148" s="924"/>
    </row>
    <row r="149" spans="1:14" hidden="1" x14ac:dyDescent="0.25">
      <c r="A149" s="1371">
        <f>'Расчет ЦП - общая форма'!Y149</f>
        <v>0</v>
      </c>
      <c r="B149" s="1394"/>
      <c r="C149" s="213" t="str">
        <f>'Расчет ЦП - общая форма'!AA149</f>
        <v>Ном. мощность НН, МВА</v>
      </c>
      <c r="D149" s="230">
        <f>'Расчет ЦП - общая форма'!AB149</f>
        <v>25</v>
      </c>
      <c r="E149" s="229" t="str">
        <f>'Расчет ЦП - общая форма'!AC149</f>
        <v>+</v>
      </c>
      <c r="F149" s="229">
        <f>'Расчет ЦП - общая форма'!AD149</f>
        <v>25</v>
      </c>
      <c r="G149" s="229">
        <f>'Расчет ЦП - общая форма'!AE149</f>
        <v>0</v>
      </c>
      <c r="H149" s="229">
        <f>'Расчет ЦП - общая форма'!AF149</f>
        <v>0</v>
      </c>
      <c r="I149" s="1366">
        <f>'Расчет ЦП - общая форма'!AP149</f>
        <v>0</v>
      </c>
      <c r="J149" s="1366" t="str">
        <f>'Расчет ЦП - общая форма'!AQ149</f>
        <v/>
      </c>
      <c r="K149" s="924" t="str">
        <f>'Расчет ЦП - общая форма'!AR149</f>
        <v/>
      </c>
      <c r="L149" s="924">
        <f>'Расчет ЦП - общая форма'!AS149</f>
        <v>0</v>
      </c>
      <c r="M149" s="924"/>
      <c r="N149" s="924"/>
    </row>
    <row r="150" spans="1:14" hidden="1" x14ac:dyDescent="0.25">
      <c r="A150" s="1371">
        <f>'Расчет ЦП - общая форма'!Y150</f>
        <v>109</v>
      </c>
      <c r="B150" s="1376">
        <f>COUNTIFS($C$8:C150,"*ПС*",$J$8:J150,"*закрыт*")</f>
        <v>15</v>
      </c>
      <c r="C150" s="213" t="str">
        <f>'Расчет ЦП - общая форма'!AA150</f>
        <v xml:space="preserve">ПС 110/35/10 кВ Холохоленка </v>
      </c>
      <c r="D150" s="230">
        <f>'Расчет ЦП - общая форма'!AB150</f>
        <v>6.3</v>
      </c>
      <c r="E150" s="229" t="str">
        <f>'Расчет ЦП - общая форма'!AC150</f>
        <v>+</v>
      </c>
      <c r="F150" s="229">
        <f>'Расчет ЦП - общая форма'!AD150</f>
        <v>6.3</v>
      </c>
      <c r="G150" s="229">
        <f>'Расчет ЦП - общая форма'!AE150</f>
        <v>0</v>
      </c>
      <c r="H150" s="229">
        <f>'Расчет ЦП - общая форма'!AF150</f>
        <v>0</v>
      </c>
      <c r="I150" s="1364">
        <f>'Расчет ЦП - общая форма'!AP150</f>
        <v>5.0660000000000007</v>
      </c>
      <c r="J150" s="1364" t="str">
        <f>'Расчет ЦП - общая форма'!AQ150</f>
        <v/>
      </c>
      <c r="K150" s="924" t="str">
        <f>'Расчет ЦП - общая форма'!AR150</f>
        <v/>
      </c>
      <c r="L150" s="924">
        <f>'Расчет ЦП - общая форма'!AS150</f>
        <v>61.073318216175359</v>
      </c>
      <c r="M150" s="924"/>
      <c r="N150" s="924"/>
    </row>
    <row r="151" spans="1:14" hidden="1" x14ac:dyDescent="0.25">
      <c r="A151" s="1371">
        <f>'Расчет ЦП - общая форма'!Y151</f>
        <v>0</v>
      </c>
      <c r="B151" s="1393"/>
      <c r="C151" s="213" t="str">
        <f>'Расчет ЦП - общая форма'!AA151</f>
        <v xml:space="preserve">Ном. Мощность СН, МВА </v>
      </c>
      <c r="D151" s="230">
        <f>'Расчет ЦП - общая форма'!AB151</f>
        <v>6.3</v>
      </c>
      <c r="E151" s="229" t="str">
        <f>'Расчет ЦП - общая форма'!AC151</f>
        <v>+</v>
      </c>
      <c r="F151" s="229">
        <f>'Расчет ЦП - общая форма'!AD151</f>
        <v>6.3</v>
      </c>
      <c r="G151" s="229">
        <f>'Расчет ЦП - общая форма'!AE151</f>
        <v>0</v>
      </c>
      <c r="H151" s="229">
        <f>'Расчет ЦП - общая форма'!AF151</f>
        <v>0</v>
      </c>
      <c r="I151" s="1365">
        <f>'Расчет ЦП - общая форма'!AP151</f>
        <v>0</v>
      </c>
      <c r="J151" s="1365" t="str">
        <f>'Расчет ЦП - общая форма'!AQ151</f>
        <v/>
      </c>
      <c r="K151" s="924" t="str">
        <f>'Расчет ЦП - общая форма'!AR151</f>
        <v/>
      </c>
      <c r="L151" s="924">
        <f>'Расчет ЦП - общая форма'!AS151</f>
        <v>0</v>
      </c>
      <c r="M151" s="924"/>
      <c r="N151" s="924"/>
    </row>
    <row r="152" spans="1:14" hidden="1" x14ac:dyDescent="0.25">
      <c r="A152" s="1371">
        <f>'Расчет ЦП - общая форма'!Y152</f>
        <v>0</v>
      </c>
      <c r="B152" s="1394"/>
      <c r="C152" s="213" t="str">
        <f>'Расчет ЦП - общая форма'!AA152</f>
        <v>Ном. мощность НН, МВА</v>
      </c>
      <c r="D152" s="230">
        <f>'Расчет ЦП - общая форма'!AB152</f>
        <v>6.3</v>
      </c>
      <c r="E152" s="229" t="str">
        <f>'Расчет ЦП - общая форма'!AC152</f>
        <v>+</v>
      </c>
      <c r="F152" s="229">
        <f>'Расчет ЦП - общая форма'!AD152</f>
        <v>6.3</v>
      </c>
      <c r="G152" s="229">
        <f>'Расчет ЦП - общая форма'!AE152</f>
        <v>0</v>
      </c>
      <c r="H152" s="229">
        <f>'Расчет ЦП - общая форма'!AF152</f>
        <v>0</v>
      </c>
      <c r="I152" s="1366">
        <f>'Расчет ЦП - общая форма'!AP152</f>
        <v>0</v>
      </c>
      <c r="J152" s="1366" t="str">
        <f>'Расчет ЦП - общая форма'!AQ152</f>
        <v/>
      </c>
      <c r="K152" s="924" t="str">
        <f>'Расчет ЦП - общая форма'!AR152</f>
        <v/>
      </c>
      <c r="L152" s="924">
        <f>'Расчет ЦП - общая форма'!AS152</f>
        <v>0</v>
      </c>
      <c r="M152" s="924"/>
      <c r="N152" s="924"/>
    </row>
    <row r="153" spans="1:14" hidden="1" x14ac:dyDescent="0.25">
      <c r="A153" s="1376">
        <f>'Расчет ЦП - общая форма'!Y153</f>
        <v>110</v>
      </c>
      <c r="B153" s="1376">
        <f>COUNTIFS($C$8:C153,"*ПС*",$J$8:J153,"*закрыт*")</f>
        <v>15</v>
      </c>
      <c r="C153" s="228" t="str">
        <f>'Расчет ЦП - общая форма'!AA153</f>
        <v xml:space="preserve">ПС 110/35/10 кВ Леонтьево </v>
      </c>
      <c r="D153" s="230">
        <f>'Расчет ЦП - общая форма'!AB153</f>
        <v>25</v>
      </c>
      <c r="E153" s="229" t="str">
        <f>'Расчет ЦП - общая форма'!AC153</f>
        <v>+</v>
      </c>
      <c r="F153" s="229">
        <f>'Расчет ЦП - общая форма'!AD153</f>
        <v>25</v>
      </c>
      <c r="G153" s="229">
        <f>'Расчет ЦП - общая форма'!AE153</f>
        <v>0</v>
      </c>
      <c r="H153" s="229">
        <f>'Расчет ЦП - общая форма'!AF153</f>
        <v>0</v>
      </c>
      <c r="I153" s="1364">
        <f>'Расчет ЦП - общая форма'!AP153</f>
        <v>24.015999999999998</v>
      </c>
      <c r="J153" s="1364" t="str">
        <f>'Расчет ЦП - общая форма'!AQ153</f>
        <v/>
      </c>
      <c r="K153" s="924" t="str">
        <f>'Расчет ЦП - общая форма'!AR153</f>
        <v/>
      </c>
      <c r="L153" s="924">
        <f>'Расчет ЦП - общая форма'!AS153</f>
        <v>25.828571428571429</v>
      </c>
      <c r="M153" s="924"/>
      <c r="N153" s="924"/>
    </row>
    <row r="154" spans="1:14" hidden="1" x14ac:dyDescent="0.25">
      <c r="A154" s="1377">
        <f>'Расчет ЦП - общая форма'!Y154</f>
        <v>0</v>
      </c>
      <c r="B154" s="1393"/>
      <c r="C154" s="228" t="str">
        <f>'Расчет ЦП - общая форма'!AA154</f>
        <v xml:space="preserve">Ном. Мощность СН, МВА </v>
      </c>
      <c r="D154" s="230">
        <f>'Расчет ЦП - общая форма'!AB154</f>
        <v>25</v>
      </c>
      <c r="E154" s="229" t="str">
        <f>'Расчет ЦП - общая форма'!AC154</f>
        <v>+</v>
      </c>
      <c r="F154" s="229">
        <f>'Расчет ЦП - общая форма'!AD154</f>
        <v>25</v>
      </c>
      <c r="G154" s="229">
        <f>'Расчет ЦП - общая форма'!AE154</f>
        <v>0</v>
      </c>
      <c r="H154" s="229">
        <f>'Расчет ЦП - общая форма'!AF154</f>
        <v>0</v>
      </c>
      <c r="I154" s="1365">
        <f>'Расчет ЦП - общая форма'!AP154</f>
        <v>0</v>
      </c>
      <c r="J154" s="1365" t="str">
        <f>'Расчет ЦП - общая форма'!AQ154</f>
        <v/>
      </c>
      <c r="K154" s="924" t="str">
        <f>'Расчет ЦП - общая форма'!AR154</f>
        <v/>
      </c>
      <c r="L154" s="924">
        <f>'Расчет ЦП - общая форма'!AS154</f>
        <v>0</v>
      </c>
      <c r="M154" s="924"/>
      <c r="N154" s="924"/>
    </row>
    <row r="155" spans="1:14" hidden="1" x14ac:dyDescent="0.25">
      <c r="A155" s="1378">
        <f>'Расчет ЦП - общая форма'!Y155</f>
        <v>0</v>
      </c>
      <c r="B155" s="1394"/>
      <c r="C155" s="228" t="str">
        <f>'Расчет ЦП - общая форма'!AA155</f>
        <v>Ном. мощность НН, МВА</v>
      </c>
      <c r="D155" s="230">
        <f>'Расчет ЦП - общая форма'!AB155</f>
        <v>25</v>
      </c>
      <c r="E155" s="229" t="str">
        <f>'Расчет ЦП - общая форма'!AC155</f>
        <v>+</v>
      </c>
      <c r="F155" s="229">
        <f>'Расчет ЦП - общая форма'!AD155</f>
        <v>25</v>
      </c>
      <c r="G155" s="229">
        <f>'Расчет ЦП - общая форма'!AE155</f>
        <v>0</v>
      </c>
      <c r="H155" s="229">
        <f>'Расчет ЦП - общая форма'!AF155</f>
        <v>0</v>
      </c>
      <c r="I155" s="1366">
        <f>'Расчет ЦП - общая форма'!AP155</f>
        <v>0</v>
      </c>
      <c r="J155" s="1366" t="str">
        <f>'Расчет ЦП - общая форма'!AQ155</f>
        <v/>
      </c>
      <c r="K155" s="924" t="str">
        <f>'Расчет ЦП - общая форма'!AR155</f>
        <v/>
      </c>
      <c r="L155" s="924">
        <f>'Расчет ЦП - общая форма'!AS155</f>
        <v>0</v>
      </c>
      <c r="M155" s="924"/>
      <c r="N155" s="924"/>
    </row>
    <row r="156" spans="1:14" x14ac:dyDescent="0.25">
      <c r="A156" s="84">
        <f>'Расчет ЦП - общая форма'!Y156</f>
        <v>111</v>
      </c>
      <c r="B156" s="1255">
        <f>COUNTIFS($C$8:C156,"*ПС*",$J$8:J156,"*закрыт*")</f>
        <v>16</v>
      </c>
      <c r="C156" s="84" t="str">
        <f>'Расчет ЦП - общая форма'!AA156</f>
        <v xml:space="preserve">ПС  35/6 кВ Микрорайонная </v>
      </c>
      <c r="D156" s="230">
        <f>'Расчет ЦП - общая форма'!AB156</f>
        <v>6.3</v>
      </c>
      <c r="E156" s="229">
        <f>'Расчет ЦП - общая форма'!AC156</f>
        <v>0</v>
      </c>
      <c r="F156" s="229">
        <f>'Расчет ЦП - общая форма'!AD156</f>
        <v>0</v>
      </c>
      <c r="G156" s="229">
        <f>'Расчет ЦП - общая форма'!AE156</f>
        <v>0</v>
      </c>
      <c r="H156" s="229">
        <f>'Расчет ЦП - общая форма'!AF156</f>
        <v>0</v>
      </c>
      <c r="I156" s="23">
        <f>'Расчет ЦП - общая форма'!AP156</f>
        <v>-4.0025000000000004</v>
      </c>
      <c r="J156" s="23" t="str">
        <f>'Расчет ЦП - общая форма'!AQ156</f>
        <v>закрыт</v>
      </c>
      <c r="K156" s="924" t="str">
        <f>'Расчет ЦП - общая форма'!AR156</f>
        <v>закрыт</v>
      </c>
      <c r="L156" s="924">
        <f>'Расчет ЦП - общая форма'!AS156</f>
        <v>73.658352229780803</v>
      </c>
      <c r="M156" s="924"/>
      <c r="N156" s="924"/>
    </row>
    <row r="157" spans="1:14" x14ac:dyDescent="0.25">
      <c r="A157" s="84">
        <f>'Расчет ЦП - общая форма'!Y157</f>
        <v>112</v>
      </c>
      <c r="B157" s="1255">
        <f>COUNTIFS($C$8:C157,"*ПС*",$J$8:J157,"*закрыт*")</f>
        <v>17</v>
      </c>
      <c r="C157" s="84" t="str">
        <f>'Расчет ЦП - общая форма'!AA157</f>
        <v xml:space="preserve">ПС  35/10 кВ Барыково </v>
      </c>
      <c r="D157" s="230">
        <f>'Расчет ЦП - общая форма'!AB157</f>
        <v>2.5</v>
      </c>
      <c r="E157" s="229" t="str">
        <f>'Расчет ЦП - общая форма'!AC157</f>
        <v>+</v>
      </c>
      <c r="F157" s="229">
        <f>'Расчет ЦП - общая форма'!AD157</f>
        <v>2.5</v>
      </c>
      <c r="G157" s="229">
        <f>'Расчет ЦП - общая форма'!AE157</f>
        <v>0</v>
      </c>
      <c r="H157" s="229">
        <f>'Расчет ЦП - общая форма'!AF157</f>
        <v>0</v>
      </c>
      <c r="I157" s="23">
        <f>'Расчет ЦП - общая форма'!AP157</f>
        <v>-0.47750000000000004</v>
      </c>
      <c r="J157" s="23" t="str">
        <f>'Расчет ЦП - общая форма'!AQ157</f>
        <v>закрыт</v>
      </c>
      <c r="K157" s="924" t="str">
        <f>'Расчет ЦП - общая форма'!AR157</f>
        <v>закрыт</v>
      </c>
      <c r="L157" s="924">
        <f>'Расчет ЦП - общая форма'!AS157</f>
        <v>118.19047619047619</v>
      </c>
      <c r="M157" s="924"/>
      <c r="N157" s="924"/>
    </row>
    <row r="158" spans="1:14" hidden="1" x14ac:dyDescent="0.25">
      <c r="A158" s="84">
        <f>'Расчет ЦП - общая форма'!Y158</f>
        <v>113</v>
      </c>
      <c r="B158" s="1152">
        <f>COUNTIFS($C$8:C158,"*ПС*",$J$8:J158,"*закрыт*")</f>
        <v>17</v>
      </c>
      <c r="C158" s="84" t="str">
        <f>'Расчет ЦП - общая форма'!AA158</f>
        <v xml:space="preserve">ПС  35/6 кВ Б.Городок </v>
      </c>
      <c r="D158" s="230">
        <f>'Расчет ЦП - общая форма'!AB158</f>
        <v>5.6</v>
      </c>
      <c r="E158" s="229" t="str">
        <f>'Расчет ЦП - общая форма'!AC158</f>
        <v>+</v>
      </c>
      <c r="F158" s="229">
        <f>'Расчет ЦП - общая форма'!AD158</f>
        <v>6.3</v>
      </c>
      <c r="G158" s="229">
        <f>'Расчет ЦП - общая форма'!AE158</f>
        <v>0</v>
      </c>
      <c r="H158" s="229">
        <f>'Расчет ЦП - общая форма'!AF158</f>
        <v>0</v>
      </c>
      <c r="I158" s="23">
        <f>'Расчет ЦП - общая форма'!AP158</f>
        <v>0.78249999999999975</v>
      </c>
      <c r="J158" s="23" t="str">
        <f>'Расчет ЦП - общая форма'!AQ158</f>
        <v/>
      </c>
      <c r="K158" s="924" t="str">
        <f>'Расчет ЦП - общая форма'!AR158</f>
        <v/>
      </c>
      <c r="L158" s="924">
        <f>'Расчет ЦП - общая форма'!AS158</f>
        <v>86.692176870748298</v>
      </c>
      <c r="M158" s="924"/>
      <c r="N158" s="924"/>
    </row>
    <row r="159" spans="1:14" hidden="1" x14ac:dyDescent="0.25">
      <c r="A159" s="84">
        <f>'Расчет ЦП - общая форма'!Y159</f>
        <v>114</v>
      </c>
      <c r="B159" s="763">
        <f>COUNTIFS($C$8:C159,"*ПС*",$J$8:J159,"*закрыт*")</f>
        <v>17</v>
      </c>
      <c r="C159" s="84" t="str">
        <f>'Расчет ЦП - общая форма'!AA159</f>
        <v xml:space="preserve">ПС 35/10 кВ Вега </v>
      </c>
      <c r="D159" s="230">
        <f>'Расчет ЦП - общая форма'!AB159</f>
        <v>2.5</v>
      </c>
      <c r="E159" s="229" t="str">
        <f>'Расчет ЦП - общая форма'!AC159</f>
        <v>+</v>
      </c>
      <c r="F159" s="229">
        <f>'Расчет ЦП - общая форма'!AD159</f>
        <v>2.5</v>
      </c>
      <c r="G159" s="229">
        <f>'Расчет ЦП - общая форма'!AE159</f>
        <v>0</v>
      </c>
      <c r="H159" s="229">
        <f>'Расчет ЦП - общая форма'!AF159</f>
        <v>0</v>
      </c>
      <c r="I159" s="23">
        <f>'Расчет ЦП - общая форма'!AP159</f>
        <v>1.1387499999999999</v>
      </c>
      <c r="J159" s="23" t="str">
        <f>'Расчет ЦП - общая форма'!AQ159</f>
        <v/>
      </c>
      <c r="K159" s="924" t="str">
        <f>'Расчет ЦП - общая форма'!AR159</f>
        <v/>
      </c>
      <c r="L159" s="924">
        <f>'Расчет ЦП - общая форма'!AS159</f>
        <v>56.61904761904762</v>
      </c>
      <c r="M159" s="924"/>
      <c r="N159" s="924"/>
    </row>
    <row r="160" spans="1:14" hidden="1" x14ac:dyDescent="0.25">
      <c r="A160" s="84">
        <f>'Расчет ЦП - общая форма'!Y160</f>
        <v>115</v>
      </c>
      <c r="B160" s="1152">
        <f>COUNTIFS($C$8:C160,"*ПС*",$J$8:J160,"*закрыт*")</f>
        <v>17</v>
      </c>
      <c r="C160" s="84" t="str">
        <f>'Расчет ЦП - общая форма'!AA160</f>
        <v xml:space="preserve"> ПС 35/10 кВ Волга </v>
      </c>
      <c r="D160" s="230">
        <f>'Расчет ЦП - общая форма'!AB160</f>
        <v>6.3</v>
      </c>
      <c r="E160" s="229" t="str">
        <f>'Расчет ЦП - общая форма'!AC160</f>
        <v>+</v>
      </c>
      <c r="F160" s="229">
        <f>'Расчет ЦП - общая форма'!AD160</f>
        <v>6.3</v>
      </c>
      <c r="G160" s="229">
        <f>'Расчет ЦП - общая форма'!AE160</f>
        <v>0</v>
      </c>
      <c r="H160" s="229">
        <f>'Расчет ЦП - общая форма'!AF160</f>
        <v>0</v>
      </c>
      <c r="I160" s="23">
        <f>'Расчет ЦП - общая форма'!AP160</f>
        <v>1.0350000000000001</v>
      </c>
      <c r="J160" s="23" t="str">
        <f>'Расчет ЦП - общая форма'!AQ160</f>
        <v/>
      </c>
      <c r="K160" s="924" t="str">
        <f>'Расчет ЦП - общая форма'!AR160</f>
        <v/>
      </c>
      <c r="L160" s="924">
        <f>'Расчет ЦП - общая форма'!AS160</f>
        <v>84.35374149659863</v>
      </c>
      <c r="M160" s="924"/>
      <c r="N160" s="924"/>
    </row>
    <row r="161" spans="1:14" hidden="1" x14ac:dyDescent="0.25">
      <c r="A161" s="84">
        <f>'Расчет ЦП - общая форма'!Y161</f>
        <v>116</v>
      </c>
      <c r="B161" s="1152">
        <f>COUNTIFS($C$8:C161,"*ПС*",$J$8:J161,"*закрыт*")</f>
        <v>17</v>
      </c>
      <c r="C161" s="84" t="str">
        <f>'Расчет ЦП - общая форма'!AA161</f>
        <v xml:space="preserve">ПС 35/10 кВ Ильинское </v>
      </c>
      <c r="D161" s="230">
        <f>'Расчет ЦП - общая форма'!AB161</f>
        <v>4</v>
      </c>
      <c r="E161" s="229" t="str">
        <f>'Расчет ЦП - общая форма'!AC161</f>
        <v>+</v>
      </c>
      <c r="F161" s="229">
        <f>'Расчет ЦП - общая форма'!AD161</f>
        <v>2.5</v>
      </c>
      <c r="G161" s="229">
        <f>'Расчет ЦП - общая форма'!AE161</f>
        <v>0</v>
      </c>
      <c r="H161" s="229">
        <f>'Расчет ЦП - общая форма'!AF161</f>
        <v>0</v>
      </c>
      <c r="I161" s="23">
        <f>'Расчет ЦП - общая форма'!AP161</f>
        <v>0.22500000000000009</v>
      </c>
      <c r="J161" s="23" t="str">
        <f>'Расчет ЦП - общая форма'!AQ161</f>
        <v/>
      </c>
      <c r="K161" s="924" t="str">
        <f>'Расчет ЦП - общая форма'!AR161</f>
        <v/>
      </c>
      <c r="L161" s="924">
        <f>'Расчет ЦП - общая форма'!AS161</f>
        <v>91.428571428571431</v>
      </c>
      <c r="M161" s="924"/>
      <c r="N161" s="924"/>
    </row>
    <row r="162" spans="1:14" ht="20.100000000000001" hidden="1" customHeight="1" x14ac:dyDescent="0.25">
      <c r="A162" s="84">
        <f>'Расчет ЦП - общая форма'!Y162</f>
        <v>117</v>
      </c>
      <c r="B162" s="763">
        <f>COUNTIFS($C$8:C162,"*ПС*",$J$8:J162,"*закрыт*")</f>
        <v>17</v>
      </c>
      <c r="C162" s="84" t="str">
        <f>'Расчет ЦП - общая форма'!AA162</f>
        <v xml:space="preserve">ПС  35/10 кВ Калязин </v>
      </c>
      <c r="D162" s="230">
        <f>'Расчет ЦП - общая форма'!AB162</f>
        <v>6.3</v>
      </c>
      <c r="E162" s="229" t="str">
        <f>'Расчет ЦП - общая форма'!AC162</f>
        <v>+</v>
      </c>
      <c r="F162" s="229">
        <f>'Расчет ЦП - общая форма'!AD162</f>
        <v>6.3</v>
      </c>
      <c r="G162" s="229">
        <f>'Расчет ЦП - общая форма'!AE162</f>
        <v>0</v>
      </c>
      <c r="H162" s="229">
        <f>'Расчет ЦП - общая форма'!AF162</f>
        <v>0</v>
      </c>
      <c r="I162" s="23">
        <f>'Расчет ЦП - общая форма'!AP162</f>
        <v>0.90000000000000036</v>
      </c>
      <c r="J162" s="23" t="str">
        <f>'Расчет ЦП - общая форма'!AQ162</f>
        <v/>
      </c>
      <c r="K162" s="924" t="str">
        <f>'Расчет ЦП - общая форма'!AR162</f>
        <v/>
      </c>
      <c r="L162" s="924">
        <f>'Расчет ЦП - общая форма'!AS162</f>
        <v>86.394557823129247</v>
      </c>
      <c r="M162" s="924"/>
      <c r="N162" s="924"/>
    </row>
    <row r="163" spans="1:14" hidden="1" x14ac:dyDescent="0.25">
      <c r="A163" s="84">
        <f>'Расчет ЦП - общая форма'!Y163</f>
        <v>118</v>
      </c>
      <c r="B163" s="1152">
        <f>COUNTIFS($C$8:C163,"*ПС*",$J$8:J163,"*закрыт*")</f>
        <v>17</v>
      </c>
      <c r="C163" s="84" t="str">
        <f>'Расчет ЦП - общая форма'!AA163</f>
        <v xml:space="preserve">ПС 35/10 кВ Кимры </v>
      </c>
      <c r="D163" s="230">
        <f>'Расчет ЦП - общая форма'!AB163</f>
        <v>16</v>
      </c>
      <c r="E163" s="229" t="str">
        <f>'Расчет ЦП - общая форма'!AC163</f>
        <v>+</v>
      </c>
      <c r="F163" s="229">
        <f>'Расчет ЦП - общая форма'!AD163</f>
        <v>16</v>
      </c>
      <c r="G163" s="229">
        <f>'Расчет ЦП - общая форма'!AE163</f>
        <v>0</v>
      </c>
      <c r="H163" s="229">
        <f>'Расчет ЦП - общая форма'!AF163</f>
        <v>0</v>
      </c>
      <c r="I163" s="23">
        <f>'Расчет ЦП - общая форма'!AP163</f>
        <v>8.4300000000000015</v>
      </c>
      <c r="J163" s="23" t="str">
        <f>'Расчет ЦП - общая форма'!AQ163</f>
        <v/>
      </c>
      <c r="K163" s="924" t="str">
        <f>'Расчет ЦП - общая форма'!AR163</f>
        <v/>
      </c>
      <c r="L163" s="924">
        <f>'Расчет ЦП - общая форма'!AS163</f>
        <v>49.821428571428562</v>
      </c>
      <c r="M163" s="924"/>
      <c r="N163" s="924"/>
    </row>
    <row r="164" spans="1:14" ht="30" hidden="1" customHeight="1" x14ac:dyDescent="0.25">
      <c r="A164" s="84">
        <f>'Расчет ЦП - общая форма'!Y164</f>
        <v>119</v>
      </c>
      <c r="B164" s="1152">
        <f>COUNTIFS($C$8:C164,"*ПС*",$J$8:J164,"*закрыт*")</f>
        <v>17</v>
      </c>
      <c r="C164" s="84" t="str">
        <f>'Расчет ЦП - общая форма'!AA164</f>
        <v xml:space="preserve"> ПС 35/10 кВ Козьмодемьяновская </v>
      </c>
      <c r="D164" s="230">
        <f>'Расчет ЦП - общая форма'!AB164</f>
        <v>2.5</v>
      </c>
      <c r="E164" s="229" t="str">
        <f>'Расчет ЦП - общая форма'!AC164</f>
        <v>+</v>
      </c>
      <c r="F164" s="229">
        <f>'Расчет ЦП - общая форма'!AD164</f>
        <v>2.5</v>
      </c>
      <c r="G164" s="229">
        <f>'Расчет ЦП - общая форма'!AE164</f>
        <v>0</v>
      </c>
      <c r="H164" s="229">
        <f>'Расчет ЦП - общая форма'!AF164</f>
        <v>0</v>
      </c>
      <c r="I164" s="23">
        <f>'Расчет ЦП - общая форма'!AP164</f>
        <v>2.165</v>
      </c>
      <c r="J164" s="23" t="str">
        <f>'Расчет ЦП - общая форма'!AQ164</f>
        <v/>
      </c>
      <c r="K164" s="924" t="str">
        <f>'Расчет ЦП - общая форма'!AR164</f>
        <v/>
      </c>
      <c r="L164" s="924">
        <f>'Расчет ЦП - общая форма'!AS164</f>
        <v>17.523809523809526</v>
      </c>
      <c r="M164" s="924"/>
      <c r="N164" s="924"/>
    </row>
    <row r="165" spans="1:14" hidden="1" x14ac:dyDescent="0.25">
      <c r="A165" s="84">
        <f>'Расчет ЦП - общая форма'!Y165</f>
        <v>120</v>
      </c>
      <c r="B165" s="1152">
        <f>COUNTIFS($C$8:C165,"*ПС*",$J$8:J165,"*закрыт*")</f>
        <v>17</v>
      </c>
      <c r="C165" s="84" t="str">
        <f>'Расчет ЦП - общая форма'!AA165</f>
        <v xml:space="preserve">ПС  35/10 кВ Курортная </v>
      </c>
      <c r="D165" s="230">
        <f>'Расчет ЦП - общая форма'!AB165</f>
        <v>4</v>
      </c>
      <c r="E165" s="229" t="str">
        <f>'Расчет ЦП - общая форма'!AC165</f>
        <v>+</v>
      </c>
      <c r="F165" s="229">
        <f>'Расчет ЦП - общая форма'!AD165</f>
        <v>4</v>
      </c>
      <c r="G165" s="229">
        <f>'Расчет ЦП - общая форма'!AE165</f>
        <v>0</v>
      </c>
      <c r="H165" s="229">
        <f>'Расчет ЦП - общая форма'!AF165</f>
        <v>0</v>
      </c>
      <c r="I165" s="23">
        <f>'Расчет ЦП - общая форма'!AP165</f>
        <v>0.88000000000000034</v>
      </c>
      <c r="J165" s="23" t="str">
        <f>'Расчет ЦП - общая форма'!AQ165</f>
        <v/>
      </c>
      <c r="K165" s="924" t="str">
        <f>'Расчет ЦП - общая форма'!AR165</f>
        <v/>
      </c>
      <c r="L165" s="924">
        <f>'Расчет ЦП - общая форма'!AS165</f>
        <v>79.047619047619051</v>
      </c>
      <c r="M165" s="924"/>
      <c r="N165" s="924"/>
    </row>
    <row r="166" spans="1:14" hidden="1" x14ac:dyDescent="0.25">
      <c r="A166" s="84">
        <f>'Расчет ЦП - общая форма'!Y166</f>
        <v>121</v>
      </c>
      <c r="B166" s="1152">
        <f>COUNTIFS($C$8:C166,"*ПС*",$J$8:J166,"*закрыт*")</f>
        <v>17</v>
      </c>
      <c r="C166" s="84" t="str">
        <f>'Расчет ЦП - общая форма'!AA166</f>
        <v xml:space="preserve"> ПС 35/10 кВ Маяк </v>
      </c>
      <c r="D166" s="230">
        <f>'Расчет ЦП - общая форма'!AB166</f>
        <v>6.3</v>
      </c>
      <c r="E166" s="229" t="str">
        <f>'Расчет ЦП - общая форма'!AC166</f>
        <v>+</v>
      </c>
      <c r="F166" s="229">
        <f>'Расчет ЦП - общая форма'!AD166</f>
        <v>6.3</v>
      </c>
      <c r="G166" s="229">
        <f>'Расчет ЦП - общая форма'!AE166</f>
        <v>0</v>
      </c>
      <c r="H166" s="229">
        <f>'Расчет ЦП - общая форма'!AF166</f>
        <v>0</v>
      </c>
      <c r="I166" s="23">
        <f>'Расчет ЦП - общая форма'!AP166</f>
        <v>0.73500000000000032</v>
      </c>
      <c r="J166" s="23" t="str">
        <f>'Расчет ЦП - общая форма'!AQ166</f>
        <v/>
      </c>
      <c r="K166" s="924" t="str">
        <f>'Расчет ЦП - общая форма'!AR166</f>
        <v/>
      </c>
      <c r="L166" s="924">
        <f>'Расчет ЦП - общая форма'!AS166</f>
        <v>88.888888888888886</v>
      </c>
      <c r="M166" s="924"/>
      <c r="N166" s="924"/>
    </row>
    <row r="167" spans="1:14" ht="30" hidden="1" customHeight="1" x14ac:dyDescent="0.25">
      <c r="A167" s="84">
        <f>'Расчет ЦП - общая форма'!Y167</f>
        <v>122</v>
      </c>
      <c r="B167" s="1152">
        <f>COUNTIFS($C$8:C167,"*ПС*",$J$8:J167,"*закрыт*")</f>
        <v>17</v>
      </c>
      <c r="C167" s="84" t="str">
        <f>'Расчет ЦП - общая форма'!AA167</f>
        <v xml:space="preserve"> ПС 35/10 кВ Микрорайонная </v>
      </c>
      <c r="D167" s="230">
        <f>'Расчет ЦП - общая форма'!AB167</f>
        <v>4</v>
      </c>
      <c r="E167" s="229" t="str">
        <f>'Расчет ЦП - общая форма'!AC167</f>
        <v>+</v>
      </c>
      <c r="F167" s="229">
        <f>'Расчет ЦП - общая форма'!AD167</f>
        <v>4</v>
      </c>
      <c r="G167" s="229">
        <f>'Расчет ЦП - общая форма'!AE167</f>
        <v>0</v>
      </c>
      <c r="H167" s="229">
        <f>'Расчет ЦП - общая форма'!AF167</f>
        <v>0</v>
      </c>
      <c r="I167" s="23">
        <f>'Расчет ЦП - общая форма'!AP167</f>
        <v>0.70250000000000012</v>
      </c>
      <c r="J167" s="23" t="str">
        <f>'Расчет ЦП - общая форма'!AQ167</f>
        <v/>
      </c>
      <c r="K167" s="924" t="str">
        <f>'Расчет ЦП - общая форма'!AR167</f>
        <v/>
      </c>
      <c r="L167" s="924">
        <f>'Расчет ЦП - общая форма'!AS167</f>
        <v>83.273809523809518</v>
      </c>
      <c r="M167" s="924"/>
      <c r="N167" s="924"/>
    </row>
    <row r="168" spans="1:14" hidden="1" x14ac:dyDescent="0.25">
      <c r="A168" s="84">
        <f>'Расчет ЦП - общая форма'!Y168</f>
        <v>123</v>
      </c>
      <c r="B168" s="1152">
        <f>COUNTIFS($C$8:C168,"*ПС*",$J$8:J168,"*закрыт*")</f>
        <v>17</v>
      </c>
      <c r="C168" s="84" t="str">
        <f>'Расчет ЦП - общая форма'!AA168</f>
        <v>ПС 35/10 кВ Нагорское</v>
      </c>
      <c r="D168" s="230">
        <f>'Расчет ЦП - общая форма'!AB168</f>
        <v>2.5</v>
      </c>
      <c r="E168" s="229" t="str">
        <f>'Расчет ЦП - общая форма'!AC168</f>
        <v>+</v>
      </c>
      <c r="F168" s="229">
        <f>'Расчет ЦП - общая форма'!AD168</f>
        <v>1.8</v>
      </c>
      <c r="G168" s="229">
        <f>'Расчет ЦП - общая форма'!AE168</f>
        <v>0</v>
      </c>
      <c r="H168" s="229">
        <f>'Расчет ЦП - общая форма'!AF168</f>
        <v>0</v>
      </c>
      <c r="I168" s="23">
        <f>'Расчет ЦП - общая форма'!AP168</f>
        <v>0.78000000000000025</v>
      </c>
      <c r="J168" s="23" t="str">
        <f>'Расчет ЦП - общая форма'!AQ168</f>
        <v/>
      </c>
      <c r="K168" s="924" t="str">
        <f>'Расчет ЦП - общая форма'!AR168</f>
        <v/>
      </c>
      <c r="L168" s="924">
        <f>'Расчет ЦП - общая форма'!AS168</f>
        <v>58.73015873015872</v>
      </c>
      <c r="M168" s="924"/>
      <c r="N168" s="924"/>
    </row>
    <row r="169" spans="1:14" ht="20.100000000000001" customHeight="1" x14ac:dyDescent="0.25">
      <c r="A169" s="84">
        <f>'Расчет ЦП - общая форма'!Y169</f>
        <v>124</v>
      </c>
      <c r="B169" s="1255">
        <f>COUNTIFS($C$8:C169,"*ПС*",$J$8:J169,"*закрыт*")</f>
        <v>18</v>
      </c>
      <c r="C169" s="84" t="str">
        <f>'Расчет ЦП - общая форма'!AA169</f>
        <v>ПС 35/10 кВ Неклюдово</v>
      </c>
      <c r="D169" s="230">
        <f>'Расчет ЦП - общая форма'!AB169</f>
        <v>1.6</v>
      </c>
      <c r="E169" s="229" t="str">
        <f>'Расчет ЦП - общая форма'!AC169</f>
        <v>+</v>
      </c>
      <c r="F169" s="229">
        <f>'Расчет ЦП - общая форма'!AD169</f>
        <v>1.6</v>
      </c>
      <c r="G169" s="229">
        <f>'Расчет ЦП - общая форма'!AE169</f>
        <v>0</v>
      </c>
      <c r="H169" s="229">
        <f>'Расчет ЦП - общая форма'!AF169</f>
        <v>0</v>
      </c>
      <c r="I169" s="23">
        <f>'Расчет ЦП - общая форма'!AP169</f>
        <v>-1.0462499999999997</v>
      </c>
      <c r="J169" s="23" t="str">
        <f>'Расчет ЦП - общая форма'!AQ169</f>
        <v>закрыт</v>
      </c>
      <c r="K169" s="924" t="str">
        <f>'Расчет ЦП - общая форма'!AR169</f>
        <v>закрыт</v>
      </c>
      <c r="L169" s="924">
        <f>'Расчет ЦП - общая форма'!AS169</f>
        <v>162.27678571428569</v>
      </c>
      <c r="M169" s="924"/>
      <c r="N169" s="924"/>
    </row>
    <row r="170" spans="1:14" x14ac:dyDescent="0.25">
      <c r="A170" s="84">
        <f>'Расчет ЦП - общая форма'!Y170</f>
        <v>125</v>
      </c>
      <c r="B170" s="1255">
        <f>COUNTIFS($C$8:C170,"*ПС*",$J$8:J170,"*закрыт*")</f>
        <v>19</v>
      </c>
      <c r="C170" s="84" t="str">
        <f>'Расчет ЦП - общая форма'!AA170</f>
        <v>ПС 35/10 кВ Нерль</v>
      </c>
      <c r="D170" s="230">
        <f>'Расчет ЦП - общая форма'!AB170</f>
        <v>4</v>
      </c>
      <c r="E170" s="229" t="str">
        <f>'Расчет ЦП - общая форма'!AC170</f>
        <v>+</v>
      </c>
      <c r="F170" s="229">
        <f>'Расчет ЦП - общая форма'!AD170</f>
        <v>2.5</v>
      </c>
      <c r="G170" s="229">
        <f>'Расчет ЦП - общая форма'!AE170</f>
        <v>0</v>
      </c>
      <c r="H170" s="229">
        <f>'Расчет ЦП - общая форма'!AF170</f>
        <v>0</v>
      </c>
      <c r="I170" s="23">
        <f>'Расчет ЦП - общая форма'!AP170</f>
        <v>-7.2499999999999787E-2</v>
      </c>
      <c r="J170" s="23" t="str">
        <f>'Расчет ЦП - общая форма'!AQ170</f>
        <v>закрыт</v>
      </c>
      <c r="K170" s="924" t="str">
        <f>'Расчет ЦП - общая форма'!AR170</f>
        <v>закрыт</v>
      </c>
      <c r="L170" s="924">
        <f>'Расчет ЦП - общая форма'!AS170</f>
        <v>102.76190476190476</v>
      </c>
      <c r="M170" s="924"/>
      <c r="N170" s="924"/>
    </row>
    <row r="171" spans="1:14" x14ac:dyDescent="0.25">
      <c r="A171" s="84">
        <f>'Расчет ЦП - общая форма'!Y171</f>
        <v>126</v>
      </c>
      <c r="B171" s="1255">
        <f>COUNTIFS($C$8:C171,"*ПС*",$J$8:J171,"*закрыт*")</f>
        <v>20</v>
      </c>
      <c r="C171" s="84" t="str">
        <f>'Расчет ЦП - общая форма'!AA171</f>
        <v xml:space="preserve">ПС 35/10 кВ Плутково  </v>
      </c>
      <c r="D171" s="230">
        <f>'Расчет ЦП - общая форма'!AB171</f>
        <v>2.5</v>
      </c>
      <c r="E171" s="229" t="str">
        <f>'Расчет ЦП - общая форма'!AC171</f>
        <v>+</v>
      </c>
      <c r="F171" s="229">
        <f>'Расчет ЦП - общая форма'!AD171</f>
        <v>2.5</v>
      </c>
      <c r="G171" s="229">
        <f>'Расчет ЦП - общая форма'!AE171</f>
        <v>0</v>
      </c>
      <c r="H171" s="229">
        <f>'Расчет ЦП - общая форма'!AF171</f>
        <v>0</v>
      </c>
      <c r="I171" s="23">
        <f>'Расчет ЦП - общая форма'!AP171</f>
        <v>-1.0762499999999999</v>
      </c>
      <c r="J171" s="23" t="str">
        <f>'Расчет ЦП - общая форма'!AQ171</f>
        <v>закрыт</v>
      </c>
      <c r="K171" s="924" t="str">
        <f>'Расчет ЦП - общая форма'!AR171</f>
        <v>закрыт</v>
      </c>
      <c r="L171" s="924">
        <f>'Расчет ЦП - общая форма'!AS171</f>
        <v>141</v>
      </c>
      <c r="M171" s="924"/>
      <c r="N171" s="924"/>
    </row>
    <row r="172" spans="1:14" hidden="1" x14ac:dyDescent="0.25">
      <c r="A172" s="84">
        <f>'Расчет ЦП - общая форма'!Y172</f>
        <v>127</v>
      </c>
      <c r="B172" s="1152">
        <f>COUNTIFS($C$8:C172,"*ПС*",$J$8:J172,"*закрыт*")</f>
        <v>20</v>
      </c>
      <c r="C172" s="84" t="str">
        <f>'Расчет ЦП - общая форма'!AA172</f>
        <v xml:space="preserve">ПС 35/10 кВ Савцино </v>
      </c>
      <c r="D172" s="230">
        <f>'Расчет ЦП - общая форма'!AB172</f>
        <v>2.5</v>
      </c>
      <c r="E172" s="229" t="str">
        <f>'Расчет ЦП - общая форма'!AC172</f>
        <v>+</v>
      </c>
      <c r="F172" s="229">
        <f>'Расчет ЦП - общая форма'!AD172</f>
        <v>2.5</v>
      </c>
      <c r="G172" s="229">
        <f>'Расчет ЦП - общая форма'!AE172</f>
        <v>0</v>
      </c>
      <c r="H172" s="229">
        <f>'Расчет ЦП - общая форма'!AF172</f>
        <v>0</v>
      </c>
      <c r="I172" s="23">
        <f>'Расчет ЦП - общая форма'!AP172</f>
        <v>2.3650000000000002</v>
      </c>
      <c r="J172" s="23" t="str">
        <f>'Расчет ЦП - общая форма'!AQ172</f>
        <v/>
      </c>
      <c r="K172" s="924" t="str">
        <f>'Расчет ЦП - общая форма'!AR172</f>
        <v/>
      </c>
      <c r="L172" s="924">
        <f>'Расчет ЦП - общая форма'!AS172</f>
        <v>9.9047619047619051</v>
      </c>
      <c r="M172" s="924"/>
      <c r="N172" s="924"/>
    </row>
    <row r="173" spans="1:14" hidden="1" x14ac:dyDescent="0.25">
      <c r="A173" s="84">
        <f>'Расчет ЦП - общая форма'!Y173</f>
        <v>128</v>
      </c>
      <c r="B173" s="1152">
        <f>COUNTIFS($C$8:C173,"*ПС*",$J$8:J173,"*закрыт*")</f>
        <v>20</v>
      </c>
      <c r="C173" s="84" t="str">
        <f>'Расчет ЦП - общая форма'!AA173</f>
        <v xml:space="preserve">ПС 35/10 кВ Сотское </v>
      </c>
      <c r="D173" s="230">
        <f>'Расчет ЦП - общая форма'!AB173</f>
        <v>1.6</v>
      </c>
      <c r="E173" s="229" t="str">
        <f>'Расчет ЦП - общая форма'!AC173</f>
        <v>+</v>
      </c>
      <c r="F173" s="229">
        <f>'Расчет ЦП - общая форма'!AD173</f>
        <v>2.5</v>
      </c>
      <c r="G173" s="229">
        <f>'Расчет ЦП - общая форма'!AE173</f>
        <v>0</v>
      </c>
      <c r="H173" s="229">
        <f>'Расчет ЦП - общая форма'!AF173</f>
        <v>0</v>
      </c>
      <c r="I173" s="23">
        <f>'Расчет ЦП - общая форма'!AP173</f>
        <v>1.2500000000000002</v>
      </c>
      <c r="J173" s="23" t="str">
        <f>'Расчет ЦП - общая форма'!AQ173</f>
        <v/>
      </c>
      <c r="K173" s="924" t="str">
        <f>'Расчет ЦП - общая форма'!AR173</f>
        <v/>
      </c>
      <c r="L173" s="924">
        <f>'Расчет ЦП - общая форма'!AS173</f>
        <v>25.595238095238091</v>
      </c>
      <c r="M173" s="924"/>
      <c r="N173" s="924"/>
    </row>
    <row r="174" spans="1:14" hidden="1" x14ac:dyDescent="0.25">
      <c r="A174" s="84">
        <f>'Расчет ЦП - общая форма'!Y174</f>
        <v>129</v>
      </c>
      <c r="B174" s="1152">
        <f>COUNTIFS($C$8:C174,"*ПС*",$J$8:J174,"*закрыт*")</f>
        <v>20</v>
      </c>
      <c r="C174" s="84" t="str">
        <f>'Расчет ЦП - общая форма'!AA174</f>
        <v xml:space="preserve">ПС 35/10 кВ Стоянцы </v>
      </c>
      <c r="D174" s="230">
        <f>'Расчет ЦП - общая форма'!AB174</f>
        <v>2.5</v>
      </c>
      <c r="E174" s="229" t="str">
        <f>'Расчет ЦП - общая форма'!AC174</f>
        <v>+</v>
      </c>
      <c r="F174" s="229">
        <f>'Расчет ЦП - общая форма'!AD174</f>
        <v>2.5</v>
      </c>
      <c r="G174" s="229">
        <f>'Расчет ЦП - общая форма'!AE174</f>
        <v>0</v>
      </c>
      <c r="H174" s="229">
        <f>'Расчет ЦП - общая форма'!AF174</f>
        <v>0</v>
      </c>
      <c r="I174" s="23">
        <f>'Расчет ЦП - общая форма'!AP174</f>
        <v>2.3050000000000002</v>
      </c>
      <c r="J174" s="23" t="str">
        <f>'Расчет ЦП - общая форма'!AQ174</f>
        <v/>
      </c>
      <c r="K174" s="924" t="str">
        <f>'Расчет ЦП - общая форма'!AR174</f>
        <v/>
      </c>
      <c r="L174" s="924">
        <f>'Расчет ЦП - общая форма'!AS174</f>
        <v>12.19047619047619</v>
      </c>
      <c r="M174" s="924"/>
      <c r="N174" s="924"/>
    </row>
    <row r="175" spans="1:14" ht="20.100000000000001" customHeight="1" x14ac:dyDescent="0.25">
      <c r="A175" s="84">
        <f>'Расчет ЦП - общая форма'!Y175</f>
        <v>130</v>
      </c>
      <c r="B175" s="1255">
        <f>COUNTIFS($C$8:C175,"*ПС*",$J$8:J175,"*закрыт*")</f>
        <v>21</v>
      </c>
      <c r="C175" s="84" t="str">
        <f>'Расчет ЦП - общая форма'!AA175</f>
        <v xml:space="preserve">ПС 35/10 кВ Уланово </v>
      </c>
      <c r="D175" s="230">
        <f>'Расчет ЦП - общая форма'!AB175</f>
        <v>1.6</v>
      </c>
      <c r="E175" s="229" t="str">
        <f>'Расчет ЦП - общая форма'!AC175</f>
        <v>+</v>
      </c>
      <c r="F175" s="229">
        <f>'Расчет ЦП - общая форма'!AD175</f>
        <v>1.6</v>
      </c>
      <c r="G175" s="229">
        <f>'Расчет ЦП - общая форма'!AE175</f>
        <v>0</v>
      </c>
      <c r="H175" s="229">
        <f>'Расчет ЦП - общая форма'!AF175</f>
        <v>0</v>
      </c>
      <c r="I175" s="23">
        <f>'Расчет ЦП - общая форма'!AP175</f>
        <v>-0.15874999999999995</v>
      </c>
      <c r="J175" s="23" t="str">
        <f>'Расчет ЦП - общая форма'!AQ175</f>
        <v>закрыт</v>
      </c>
      <c r="K175" s="924" t="str">
        <f>'Расчет ЦП - общая форма'!AR175</f>
        <v>закрыт</v>
      </c>
      <c r="L175" s="924">
        <f>'Расчет ЦП - общая форма'!AS175</f>
        <v>109.44940476190474</v>
      </c>
      <c r="M175" s="924"/>
      <c r="N175" s="924"/>
    </row>
    <row r="176" spans="1:14" hidden="1" x14ac:dyDescent="0.25">
      <c r="A176" s="84">
        <f>'Расчет ЦП - общая форма'!Y176</f>
        <v>131</v>
      </c>
      <c r="B176" s="1152">
        <f>COUNTIFS($C$8:C176,"*ПС*",$J$8:J176,"*закрыт*")</f>
        <v>21</v>
      </c>
      <c r="C176" s="84" t="str">
        <f>'Расчет ЦП - общая форма'!AA176</f>
        <v xml:space="preserve">ПС 35/10 кВ Уницы </v>
      </c>
      <c r="D176" s="230">
        <f>'Расчет ЦП - общая форма'!AB176</f>
        <v>4</v>
      </c>
      <c r="E176" s="229" t="str">
        <f>'Расчет ЦП - общая форма'!AC176</f>
        <v>+</v>
      </c>
      <c r="F176" s="229">
        <f>'Расчет ЦП - общая форма'!AD176</f>
        <v>4</v>
      </c>
      <c r="G176" s="229">
        <f>'Расчет ЦП - общая форма'!AE176</f>
        <v>0</v>
      </c>
      <c r="H176" s="229">
        <f>'Расчет ЦП - общая форма'!AF176</f>
        <v>0</v>
      </c>
      <c r="I176" s="23">
        <f>'Расчет ЦП - общая форма'!AP176</f>
        <v>3.92</v>
      </c>
      <c r="J176" s="23" t="str">
        <f>'Расчет ЦП - общая форма'!AQ176</f>
        <v/>
      </c>
      <c r="K176" s="924" t="str">
        <f>'Расчет ЦП - общая форма'!AR176</f>
        <v/>
      </c>
      <c r="L176" s="924">
        <f>'Расчет ЦП - общая форма'!AS176</f>
        <v>6.666666666666667</v>
      </c>
      <c r="M176" s="924"/>
      <c r="N176" s="924"/>
    </row>
    <row r="177" spans="1:14" hidden="1" x14ac:dyDescent="0.25">
      <c r="A177" s="84">
        <f>'Расчет ЦП - общая форма'!Y177</f>
        <v>132</v>
      </c>
      <c r="B177" s="1152">
        <f>COUNTIFS($C$8:C177,"*ПС*",$J$8:J177,"*закрыт*")</f>
        <v>21</v>
      </c>
      <c r="C177" s="84" t="str">
        <f>'Расчет ЦП - общая форма'!AA177</f>
        <v xml:space="preserve">ПС 35/10 кВ Фенево </v>
      </c>
      <c r="D177" s="230">
        <f>'Расчет ЦП - общая форма'!AB177</f>
        <v>2.5</v>
      </c>
      <c r="E177" s="229" t="str">
        <f>'Расчет ЦП - общая форма'!AC177</f>
        <v>+</v>
      </c>
      <c r="F177" s="229">
        <f>'Расчет ЦП - общая форма'!AD177</f>
        <v>2.5</v>
      </c>
      <c r="G177" s="229">
        <f>'Расчет ЦП - общая форма'!AE177</f>
        <v>0</v>
      </c>
      <c r="H177" s="229">
        <f>'Расчет ЦП - общая форма'!AF177</f>
        <v>0</v>
      </c>
      <c r="I177" s="23">
        <f>'Расчет ЦП - общая форма'!AP177</f>
        <v>2.1550000000000002</v>
      </c>
      <c r="J177" s="23" t="str">
        <f>'Расчет ЦП - общая форма'!AQ177</f>
        <v/>
      </c>
      <c r="K177" s="924" t="str">
        <f>'Расчет ЦП - общая форма'!AR177</f>
        <v/>
      </c>
      <c r="L177" s="924">
        <f>'Расчет ЦП - общая форма'!AS177</f>
        <v>17.904761904761905</v>
      </c>
      <c r="M177" s="924"/>
      <c r="N177" s="924"/>
    </row>
    <row r="178" spans="1:14" hidden="1" x14ac:dyDescent="0.25">
      <c r="A178" s="84">
        <f>'Расчет ЦП - общая форма'!Y178</f>
        <v>133</v>
      </c>
      <c r="B178" s="1152">
        <f>COUNTIFS($C$8:C178,"*ПС*",$J$8:J178,"*закрыт*")</f>
        <v>21</v>
      </c>
      <c r="C178" s="84" t="str">
        <f>'Расчет ЦП - общая форма'!AA178</f>
        <v xml:space="preserve">ПС 35/10 кВ Фролово </v>
      </c>
      <c r="D178" s="230">
        <f>'Расчет ЦП - общая форма'!AB178</f>
        <v>2.5</v>
      </c>
      <c r="E178" s="229" t="str">
        <f>'Расчет ЦП - общая форма'!AC178</f>
        <v>+</v>
      </c>
      <c r="F178" s="229">
        <f>'Расчет ЦП - общая форма'!AD178</f>
        <v>2.5</v>
      </c>
      <c r="G178" s="229">
        <f>'Расчет ЦП - общая форма'!AE178</f>
        <v>0</v>
      </c>
      <c r="H178" s="229">
        <f>'Расчет ЦП - общая форма'!AF178</f>
        <v>0</v>
      </c>
      <c r="I178" s="23">
        <f>'Расчет ЦП - общая форма'!AP178</f>
        <v>1.3250000000000002</v>
      </c>
      <c r="J178" s="23" t="str">
        <f>'Расчет ЦП - общая форма'!AQ178</f>
        <v/>
      </c>
      <c r="K178" s="924" t="str">
        <f>'Расчет ЦП - общая форма'!AR178</f>
        <v/>
      </c>
      <c r="L178" s="924">
        <f>'Расчет ЦП - общая форма'!AS178</f>
        <v>49.523809523809511</v>
      </c>
      <c r="M178" s="924"/>
      <c r="N178" s="924"/>
    </row>
    <row r="179" spans="1:14" hidden="1" x14ac:dyDescent="0.25">
      <c r="A179" s="84">
        <f>'Расчет ЦП - общая форма'!Y179</f>
        <v>134</v>
      </c>
      <c r="B179" s="1152">
        <f>COUNTIFS($C$8:C179,"*ПС*",$J$8:J179,"*закрыт*")</f>
        <v>21</v>
      </c>
      <c r="C179" s="84" t="str">
        <f>'Расчет ЦП - общая форма'!AA179</f>
        <v xml:space="preserve"> ПС 110/10 кВ Зарница </v>
      </c>
      <c r="D179" s="230">
        <f>'Расчет ЦП - общая форма'!AB179</f>
        <v>10</v>
      </c>
      <c r="E179" s="229" t="str">
        <f>'Расчет ЦП - общая форма'!AC179</f>
        <v>+</v>
      </c>
      <c r="F179" s="229">
        <f>'Расчет ЦП - общая форма'!AD179</f>
        <v>10</v>
      </c>
      <c r="G179" s="229">
        <f>'Расчет ЦП - общая форма'!AE179</f>
        <v>0</v>
      </c>
      <c r="H179" s="229">
        <f>'Расчет ЦП - общая форма'!AF179</f>
        <v>0</v>
      </c>
      <c r="I179" s="23">
        <f>'Расчет ЦП - общая форма'!AP179</f>
        <v>10.39</v>
      </c>
      <c r="J179" s="23" t="str">
        <f>'Расчет ЦП - общая форма'!AQ179</f>
        <v/>
      </c>
      <c r="K179" s="924" t="str">
        <f>'Расчет ЦП - общая форма'!AR179</f>
        <v/>
      </c>
      <c r="L179" s="924">
        <f>'Расчет ЦП - общая форма'!AS179</f>
        <v>1.0476190476190477</v>
      </c>
      <c r="M179" s="924"/>
      <c r="N179" s="924"/>
    </row>
    <row r="180" spans="1:14" hidden="1" x14ac:dyDescent="0.25">
      <c r="A180" s="84">
        <f>'Расчет ЦП - общая форма'!Y180</f>
        <v>135</v>
      </c>
      <c r="B180" s="1152">
        <f>COUNTIFS($C$8:C180,"*ПС*",$J$8:J180,"*закрыт*")</f>
        <v>21</v>
      </c>
      <c r="C180" s="84" t="str">
        <f>'Расчет ЦП - общая форма'!AA180</f>
        <v xml:space="preserve">ПС 110/10 кВ Зобнино </v>
      </c>
      <c r="D180" s="230">
        <f>'Расчет ЦП - общая форма'!AB180</f>
        <v>2.5</v>
      </c>
      <c r="E180" s="229" t="str">
        <f>'Расчет ЦП - общая форма'!AC180</f>
        <v>+</v>
      </c>
      <c r="F180" s="229">
        <f>'Расчет ЦП - общая форма'!AD180</f>
        <v>2.5</v>
      </c>
      <c r="G180" s="229">
        <f>'Расчет ЦП - общая форма'!AE180</f>
        <v>0</v>
      </c>
      <c r="H180" s="229">
        <f>'Расчет ЦП - общая форма'!AF180</f>
        <v>0</v>
      </c>
      <c r="I180" s="23">
        <f>'Расчет ЦП - общая форма'!AP180</f>
        <v>1.67</v>
      </c>
      <c r="J180" s="23" t="str">
        <f>'Расчет ЦП - общая форма'!AQ180</f>
        <v/>
      </c>
      <c r="K180" s="924" t="str">
        <f>'Расчет ЦП - общая форма'!AR180</f>
        <v/>
      </c>
      <c r="L180" s="924">
        <f>'Расчет ЦП - общая форма'!AS180</f>
        <v>36.38095238095238</v>
      </c>
      <c r="M180" s="924"/>
      <c r="N180" s="924"/>
    </row>
    <row r="181" spans="1:14" hidden="1" x14ac:dyDescent="0.25">
      <c r="A181" s="84">
        <f>'Расчет ЦП - общая форма'!Y181</f>
        <v>136</v>
      </c>
      <c r="B181" s="1152">
        <f>COUNTIFS($C$8:C181,"*ПС*",$J$8:J181,"*закрыт*")</f>
        <v>21</v>
      </c>
      <c r="C181" s="84" t="str">
        <f>'Расчет ЦП - общая форма'!AA181</f>
        <v xml:space="preserve">ПС 110/10 кВ Инякино </v>
      </c>
      <c r="D181" s="230">
        <f>'Расчет ЦП - общая форма'!AB181</f>
        <v>25</v>
      </c>
      <c r="E181" s="229" t="str">
        <f>'Расчет ЦП - общая форма'!AC181</f>
        <v>+</v>
      </c>
      <c r="F181" s="229">
        <f>'Расчет ЦП - общая форма'!AD181</f>
        <v>25</v>
      </c>
      <c r="G181" s="229">
        <f>'Расчет ЦП - общая форма'!AE181</f>
        <v>0</v>
      </c>
      <c r="H181" s="229">
        <f>'Расчет ЦП - общая форма'!AF181</f>
        <v>0</v>
      </c>
      <c r="I181" s="23">
        <f>'Расчет ЦП - общая форма'!AP181</f>
        <v>26.04</v>
      </c>
      <c r="J181" s="23" t="str">
        <f>'Расчет ЦП - общая форма'!AQ181</f>
        <v/>
      </c>
      <c r="K181" s="924" t="str">
        <f>'Расчет ЦП - общая форма'!AR181</f>
        <v/>
      </c>
      <c r="L181" s="924">
        <f>'Расчет ЦП - общая форма'!AS181</f>
        <v>0.8</v>
      </c>
      <c r="M181" s="924"/>
      <c r="N181" s="924"/>
    </row>
    <row r="182" spans="1:14" hidden="1" x14ac:dyDescent="0.25">
      <c r="A182" s="1375">
        <f>'Расчет ЦП - общая форма'!Y182</f>
        <v>137</v>
      </c>
      <c r="B182" s="1376">
        <f>COUNTIFS($C$8:C182,"*ПС*",$J$8:J182,"*закрыт*")</f>
        <v>21</v>
      </c>
      <c r="C182" s="84" t="str">
        <f>'Расчет ЦП - общая форма'!AA182</f>
        <v xml:space="preserve"> ПС 110/35/10 кВ Василево </v>
      </c>
      <c r="D182" s="230">
        <f>'Расчет ЦП - общая форма'!AB182</f>
        <v>6.3</v>
      </c>
      <c r="E182" s="229" t="str">
        <f>'Расчет ЦП - общая форма'!AC182</f>
        <v>+</v>
      </c>
      <c r="F182" s="229">
        <f>'Расчет ЦП - общая форма'!AD182</f>
        <v>6.3</v>
      </c>
      <c r="G182" s="229">
        <f>'Расчет ЦП - общая форма'!AE182</f>
        <v>0</v>
      </c>
      <c r="H182" s="229">
        <f>'Расчет ЦП - общая форма'!AF182</f>
        <v>0</v>
      </c>
      <c r="I182" s="1372">
        <f>'Расчет ЦП - общая форма'!AP182</f>
        <v>6.4950000000000001</v>
      </c>
      <c r="J182" s="1372" t="str">
        <f>'Расчет ЦП - общая форма'!AQ182</f>
        <v/>
      </c>
      <c r="K182" s="924" t="str">
        <f>'Расчет ЦП - общая форма'!AR182</f>
        <v/>
      </c>
      <c r="L182" s="924">
        <f>'Расчет ЦП - общая форма'!AS182</f>
        <v>1.8140589569160996</v>
      </c>
      <c r="M182" s="924"/>
      <c r="N182" s="924"/>
    </row>
    <row r="183" spans="1:14" hidden="1" x14ac:dyDescent="0.25">
      <c r="A183" s="1375">
        <f>'Расчет ЦП - общая форма'!Y183</f>
        <v>0</v>
      </c>
      <c r="B183" s="1393"/>
      <c r="C183" s="84" t="str">
        <f>'Расчет ЦП - общая форма'!AA183</f>
        <v xml:space="preserve">Ном. Мощность СН, МВА </v>
      </c>
      <c r="D183" s="230">
        <f>'Расчет ЦП - общая форма'!AB183</f>
        <v>6.3</v>
      </c>
      <c r="E183" s="229" t="str">
        <f>'Расчет ЦП - общая форма'!AC183</f>
        <v>+</v>
      </c>
      <c r="F183" s="229">
        <f>'Расчет ЦП - общая форма'!AD183</f>
        <v>6.3</v>
      </c>
      <c r="G183" s="229">
        <f>'Расчет ЦП - общая форма'!AE183</f>
        <v>0</v>
      </c>
      <c r="H183" s="229">
        <f>'Расчет ЦП - общая форма'!AF183</f>
        <v>0</v>
      </c>
      <c r="I183" s="1373">
        <f>'Расчет ЦП - общая форма'!AP183</f>
        <v>0</v>
      </c>
      <c r="J183" s="1373" t="str">
        <f>'Расчет ЦП - общая форма'!AQ183</f>
        <v/>
      </c>
      <c r="K183" s="924" t="str">
        <f>'Расчет ЦП - общая форма'!AR183</f>
        <v/>
      </c>
      <c r="L183" s="924">
        <f>'Расчет ЦП - общая форма'!AS183</f>
        <v>0</v>
      </c>
      <c r="M183" s="924"/>
      <c r="N183" s="924"/>
    </row>
    <row r="184" spans="1:14" hidden="1" x14ac:dyDescent="0.25">
      <c r="A184" s="1375">
        <f>'Расчет ЦП - общая форма'!Y184</f>
        <v>0</v>
      </c>
      <c r="B184" s="1394"/>
      <c r="C184" s="84" t="str">
        <f>'Расчет ЦП - общая форма'!AA184</f>
        <v>Ном. мощность НН, МВА</v>
      </c>
      <c r="D184" s="230">
        <f>'Расчет ЦП - общая форма'!AB184</f>
        <v>6.3</v>
      </c>
      <c r="E184" s="229" t="str">
        <f>'Расчет ЦП - общая форма'!AC184</f>
        <v>+</v>
      </c>
      <c r="F184" s="229">
        <f>'Расчет ЦП - общая форма'!AD184</f>
        <v>6.3</v>
      </c>
      <c r="G184" s="229">
        <f>'Расчет ЦП - общая форма'!AE184</f>
        <v>0</v>
      </c>
      <c r="H184" s="229">
        <f>'Расчет ЦП - общая форма'!AF184</f>
        <v>0</v>
      </c>
      <c r="I184" s="1374">
        <f>'Расчет ЦП - общая форма'!AP184</f>
        <v>0</v>
      </c>
      <c r="J184" s="1374" t="str">
        <f>'Расчет ЦП - общая форма'!AQ184</f>
        <v/>
      </c>
      <c r="K184" s="924" t="str">
        <f>'Расчет ЦП - общая форма'!AR184</f>
        <v/>
      </c>
      <c r="L184" s="924">
        <f>'Расчет ЦП - общая форма'!AS184</f>
        <v>0</v>
      </c>
      <c r="M184" s="924"/>
      <c r="N184" s="924"/>
    </row>
    <row r="185" spans="1:14" hidden="1" x14ac:dyDescent="0.25">
      <c r="A185" s="1375">
        <f>'Расчет ЦП - общая форма'!Y185</f>
        <v>138</v>
      </c>
      <c r="B185" s="1376">
        <f>COUNTIFS($C$8:C185,"*ПС*",$J$8:J185,"*закрыт*")</f>
        <v>21</v>
      </c>
      <c r="C185" s="84" t="str">
        <f>'Расчет ЦП - общая форма'!AA185</f>
        <v xml:space="preserve">ПС 110/35/10 кВ Борки  </v>
      </c>
      <c r="D185" s="230">
        <f>'Расчет ЦП - общая форма'!AB185</f>
        <v>40</v>
      </c>
      <c r="E185" s="229" t="str">
        <f>'Расчет ЦП - общая форма'!AC185</f>
        <v>+</v>
      </c>
      <c r="F185" s="229">
        <f>'Расчет ЦП - общая форма'!AD185</f>
        <v>25</v>
      </c>
      <c r="G185" s="229">
        <f>'Расчет ЦП - общая форма'!AE185</f>
        <v>0</v>
      </c>
      <c r="H185" s="229">
        <f>'Расчет ЦП - общая форма'!AF185</f>
        <v>0</v>
      </c>
      <c r="I185" s="1372">
        <f>'Расчет ЦП - общая форма'!AP185</f>
        <v>0.15874999999999773</v>
      </c>
      <c r="J185" s="1372" t="str">
        <f>'Расчет ЦП - общая форма'!AQ185</f>
        <v/>
      </c>
      <c r="K185" s="924" t="str">
        <f>'Расчет ЦП - общая форма'!AR185</f>
        <v/>
      </c>
      <c r="L185" s="924">
        <f>'Расчет ЦП - общая форма'!AS185</f>
        <v>99.395238095238099</v>
      </c>
      <c r="M185" s="924"/>
      <c r="N185" s="924"/>
    </row>
    <row r="186" spans="1:14" hidden="1" x14ac:dyDescent="0.25">
      <c r="A186" s="1375">
        <f>'Расчет ЦП - общая форма'!Y186</f>
        <v>0</v>
      </c>
      <c r="B186" s="1393"/>
      <c r="C186" s="84" t="str">
        <f>'Расчет ЦП - общая форма'!AA186</f>
        <v xml:space="preserve">Ном. Мощность СН, МВА </v>
      </c>
      <c r="D186" s="230">
        <f>'Расчет ЦП - общая форма'!AB186</f>
        <v>40</v>
      </c>
      <c r="E186" s="229" t="str">
        <f>'Расчет ЦП - общая форма'!AC186</f>
        <v>+</v>
      </c>
      <c r="F186" s="229">
        <f>'Расчет ЦП - общая форма'!AD186</f>
        <v>25</v>
      </c>
      <c r="G186" s="229">
        <f>'Расчет ЦП - общая форма'!AE186</f>
        <v>0</v>
      </c>
      <c r="H186" s="229">
        <f>'Расчет ЦП - общая форма'!AF186</f>
        <v>0</v>
      </c>
      <c r="I186" s="1373">
        <f>'Расчет ЦП - общая форма'!AP186</f>
        <v>0</v>
      </c>
      <c r="J186" s="1373">
        <f>'Расчет ЦП - общая форма'!AQ186</f>
        <v>0</v>
      </c>
      <c r="K186" s="924" t="str">
        <f>'Расчет ЦП - общая форма'!AR186</f>
        <v/>
      </c>
      <c r="L186" s="924">
        <f>'Расчет ЦП - общая форма'!AS186</f>
        <v>0</v>
      </c>
      <c r="M186" s="924"/>
      <c r="N186" s="924"/>
    </row>
    <row r="187" spans="1:14" hidden="1" x14ac:dyDescent="0.25">
      <c r="A187" s="1375">
        <f>'Расчет ЦП - общая форма'!Y187</f>
        <v>0</v>
      </c>
      <c r="B187" s="1394"/>
      <c r="C187" s="84" t="str">
        <f>'Расчет ЦП - общая форма'!AA187</f>
        <v>Ном. мощность НН, МВА</v>
      </c>
      <c r="D187" s="230">
        <f>'Расчет ЦП - общая форма'!AB187</f>
        <v>40</v>
      </c>
      <c r="E187" s="229" t="str">
        <f>'Расчет ЦП - общая форма'!AC187</f>
        <v>+</v>
      </c>
      <c r="F187" s="229">
        <f>'Расчет ЦП - общая форма'!AD187</f>
        <v>25</v>
      </c>
      <c r="G187" s="229">
        <f>'Расчет ЦП - общая форма'!AE187</f>
        <v>0</v>
      </c>
      <c r="H187" s="229">
        <f>'Расчет ЦП - общая форма'!AF187</f>
        <v>0</v>
      </c>
      <c r="I187" s="1374">
        <f>'Расчет ЦП - общая форма'!AP187</f>
        <v>0</v>
      </c>
      <c r="J187" s="1374">
        <f>'Расчет ЦП - общая форма'!AQ187</f>
        <v>0</v>
      </c>
      <c r="K187" s="924" t="str">
        <f>'Расчет ЦП - общая форма'!AR187</f>
        <v/>
      </c>
      <c r="L187" s="924">
        <f>'Расчет ЦП - общая форма'!AS187</f>
        <v>0</v>
      </c>
      <c r="M187" s="924"/>
      <c r="N187" s="924"/>
    </row>
    <row r="188" spans="1:14" hidden="1" x14ac:dyDescent="0.25">
      <c r="A188" s="1375">
        <f>'Расчет ЦП - общая форма'!Y188</f>
        <v>139</v>
      </c>
      <c r="B188" s="1376">
        <f>COUNTIFS($C$8:C188,"*ПС*",$J$8:J188,"*закрыт*")</f>
        <v>21</v>
      </c>
      <c r="C188" s="84" t="str">
        <f>'Расчет ЦП - общая форма'!AA188</f>
        <v xml:space="preserve">ПС 110/35/10 кВ  Верхняя Троица </v>
      </c>
      <c r="D188" s="230">
        <f>'Расчет ЦП - общая форма'!AB188</f>
        <v>6.3</v>
      </c>
      <c r="E188" s="229" t="str">
        <f>'Расчет ЦП - общая форма'!AC188</f>
        <v>+</v>
      </c>
      <c r="F188" s="229">
        <f>'Расчет ЦП - общая форма'!AD188</f>
        <v>6.3</v>
      </c>
      <c r="G188" s="229">
        <f>'Расчет ЦП - общая форма'!AE188</f>
        <v>0</v>
      </c>
      <c r="H188" s="229">
        <f>'Расчет ЦП - общая форма'!AF188</f>
        <v>0</v>
      </c>
      <c r="I188" s="1372">
        <f>'Расчет ЦП - общая форма'!AP188</f>
        <v>4.0250000000000004</v>
      </c>
      <c r="J188" s="1372" t="str">
        <f>'Расчет ЦП - общая форма'!AQ188</f>
        <v/>
      </c>
      <c r="K188" s="924" t="str">
        <f>'Расчет ЦП - общая форма'!AR188</f>
        <v/>
      </c>
      <c r="L188" s="924">
        <f>'Расчет ЦП - общая форма'!AS188</f>
        <v>65.551776266061978</v>
      </c>
      <c r="M188" s="924"/>
      <c r="N188" s="924"/>
    </row>
    <row r="189" spans="1:14" hidden="1" x14ac:dyDescent="0.25">
      <c r="A189" s="1375">
        <f>'Расчет ЦП - общая форма'!Y189</f>
        <v>0</v>
      </c>
      <c r="B189" s="1393"/>
      <c r="C189" s="84" t="str">
        <f>'Расчет ЦП - общая форма'!AA189</f>
        <v xml:space="preserve">Ном. Мощность СН, МВА </v>
      </c>
      <c r="D189" s="230">
        <f>'Расчет ЦП - общая форма'!AB189</f>
        <v>6.3</v>
      </c>
      <c r="E189" s="229" t="str">
        <f>'Расчет ЦП - общая форма'!AC189</f>
        <v>+</v>
      </c>
      <c r="F189" s="229">
        <f>'Расчет ЦП - общая форма'!AD189</f>
        <v>6.3</v>
      </c>
      <c r="G189" s="229">
        <f>'Расчет ЦП - общая форма'!AE189</f>
        <v>0</v>
      </c>
      <c r="H189" s="229">
        <f>'Расчет ЦП - общая форма'!AF189</f>
        <v>0</v>
      </c>
      <c r="I189" s="1373">
        <f>'Расчет ЦП - общая форма'!AP189</f>
        <v>0</v>
      </c>
      <c r="J189" s="1373" t="str">
        <f>'Расчет ЦП - общая форма'!AQ189</f>
        <v/>
      </c>
      <c r="K189" s="924" t="str">
        <f>'Расчет ЦП - общая форма'!AR189</f>
        <v/>
      </c>
      <c r="L189" s="924">
        <f>'Расчет ЦП - общая форма'!AS189</f>
        <v>0</v>
      </c>
      <c r="M189" s="924"/>
      <c r="N189" s="924"/>
    </row>
    <row r="190" spans="1:14" hidden="1" x14ac:dyDescent="0.25">
      <c r="A190" s="1375">
        <f>'Расчет ЦП - общая форма'!Y190</f>
        <v>0</v>
      </c>
      <c r="B190" s="1394"/>
      <c r="C190" s="84" t="str">
        <f>'Расчет ЦП - общая форма'!AA190</f>
        <v>Ном. мощность НН, МВА</v>
      </c>
      <c r="D190" s="230">
        <f>'Расчет ЦП - общая форма'!AB190</f>
        <v>6.3</v>
      </c>
      <c r="E190" s="229" t="str">
        <f>'Расчет ЦП - общая форма'!AC190</f>
        <v>+</v>
      </c>
      <c r="F190" s="229">
        <f>'Расчет ЦП - общая форма'!AD190</f>
        <v>6.3</v>
      </c>
      <c r="G190" s="229">
        <f>'Расчет ЦП - общая форма'!AE190</f>
        <v>0</v>
      </c>
      <c r="H190" s="229">
        <f>'Расчет ЦП - общая форма'!AF190</f>
        <v>0</v>
      </c>
      <c r="I190" s="1374">
        <f>'Расчет ЦП - общая форма'!AP190</f>
        <v>0</v>
      </c>
      <c r="J190" s="1374" t="str">
        <f>'Расчет ЦП - общая форма'!AQ190</f>
        <v/>
      </c>
      <c r="K190" s="924" t="str">
        <f>'Расчет ЦП - общая форма'!AR190</f>
        <v/>
      </c>
      <c r="L190" s="924">
        <f>'Расчет ЦП - общая форма'!AS190</f>
        <v>0</v>
      </c>
      <c r="M190" s="924"/>
      <c r="N190" s="924"/>
    </row>
    <row r="191" spans="1:14" hidden="1" x14ac:dyDescent="0.25">
      <c r="A191" s="1375">
        <f>'Расчет ЦП - общая форма'!Y191</f>
        <v>140</v>
      </c>
      <c r="B191" s="1376">
        <f>COUNTIFS($C$8:C191,"*ПС*",$J$8:J191,"*закрыт*")</f>
        <v>21</v>
      </c>
      <c r="C191" s="84" t="str">
        <f>'Расчет ЦП - общая форма'!AA191</f>
        <v xml:space="preserve">ПС 110/35/10 кВ Горицы </v>
      </c>
      <c r="D191" s="245">
        <f>'Расчет ЦП - общая форма'!AB191</f>
        <v>6.3</v>
      </c>
      <c r="E191" s="246" t="str">
        <f>'Расчет ЦП - общая форма'!AC191</f>
        <v>+</v>
      </c>
      <c r="F191" s="246">
        <f>'Расчет ЦП - общая форма'!AD191</f>
        <v>6.3</v>
      </c>
      <c r="G191" s="246">
        <f>'Расчет ЦП - общая форма'!AE191</f>
        <v>0</v>
      </c>
      <c r="H191" s="246">
        <f>'Расчет ЦП - общая форма'!AF191</f>
        <v>0</v>
      </c>
      <c r="I191" s="1372">
        <f>'Расчет ЦП - общая форма'!AP191</f>
        <v>3.589375</v>
      </c>
      <c r="J191" s="1372" t="str">
        <f>'Расчет ЦП - общая форма'!AQ191</f>
        <v/>
      </c>
      <c r="K191" s="924" t="str">
        <f>'Расчет ЦП - общая форма'!AR191</f>
        <v/>
      </c>
      <c r="L191" s="924">
        <f>'Расчет ЦП - общая форма'!AS191</f>
        <v>48.611111111111107</v>
      </c>
      <c r="M191" s="924"/>
      <c r="N191" s="924"/>
    </row>
    <row r="192" spans="1:14" hidden="1" x14ac:dyDescent="0.25">
      <c r="A192" s="1375">
        <f>'Расчет ЦП - общая форма'!Y192</f>
        <v>0</v>
      </c>
      <c r="B192" s="1393"/>
      <c r="C192" s="84" t="str">
        <f>'Расчет ЦП - общая форма'!AA192</f>
        <v xml:space="preserve">Ном. Мощность СН, МВА </v>
      </c>
      <c r="D192" s="245">
        <f>'Расчет ЦП - общая форма'!AB192</f>
        <v>6.3</v>
      </c>
      <c r="E192" s="246" t="str">
        <f>'Расчет ЦП - общая форма'!AC192</f>
        <v>+</v>
      </c>
      <c r="F192" s="246">
        <f>'Расчет ЦП - общая форма'!AD192</f>
        <v>6.3</v>
      </c>
      <c r="G192" s="246">
        <f>'Расчет ЦП - общая форма'!AE192</f>
        <v>0</v>
      </c>
      <c r="H192" s="246">
        <f>'Расчет ЦП - общая форма'!AF192</f>
        <v>0</v>
      </c>
      <c r="I192" s="1373">
        <f>'Расчет ЦП - общая форма'!AP192</f>
        <v>0</v>
      </c>
      <c r="J192" s="1373" t="str">
        <f>'Расчет ЦП - общая форма'!AQ192</f>
        <v/>
      </c>
      <c r="K192" s="924" t="str">
        <f>'Расчет ЦП - общая форма'!AR192</f>
        <v/>
      </c>
      <c r="L192" s="924">
        <f>'Расчет ЦП - общая форма'!AS192</f>
        <v>0</v>
      </c>
      <c r="M192" s="924"/>
      <c r="N192" s="924"/>
    </row>
    <row r="193" spans="1:14" hidden="1" x14ac:dyDescent="0.25">
      <c r="A193" s="1375">
        <f>'Расчет ЦП - общая форма'!Y193</f>
        <v>0</v>
      </c>
      <c r="B193" s="1394"/>
      <c r="C193" s="84" t="str">
        <f>'Расчет ЦП - общая форма'!AA193</f>
        <v>Ном. мощность НН, МВА</v>
      </c>
      <c r="D193" s="245">
        <f>'Расчет ЦП - общая форма'!AB193</f>
        <v>6.3</v>
      </c>
      <c r="E193" s="246" t="str">
        <f>'Расчет ЦП - общая форма'!AC193</f>
        <v>+</v>
      </c>
      <c r="F193" s="246">
        <f>'Расчет ЦП - общая форма'!AD193</f>
        <v>6.3</v>
      </c>
      <c r="G193" s="246">
        <f>'Расчет ЦП - общая форма'!AE193</f>
        <v>0</v>
      </c>
      <c r="H193" s="246">
        <f>'Расчет ЦП - общая форма'!AF193</f>
        <v>0</v>
      </c>
      <c r="I193" s="1374">
        <f>'Расчет ЦП - общая форма'!AP193</f>
        <v>0</v>
      </c>
      <c r="J193" s="1374" t="str">
        <f>'Расчет ЦП - общая форма'!AQ193</f>
        <v/>
      </c>
      <c r="K193" s="924" t="str">
        <f>'Расчет ЦП - общая форма'!AR193</f>
        <v/>
      </c>
      <c r="L193" s="924">
        <f>'Расчет ЦП - общая форма'!AS193</f>
        <v>0</v>
      </c>
      <c r="M193" s="924"/>
      <c r="N193" s="924"/>
    </row>
    <row r="194" spans="1:14" ht="20.100000000000001" customHeight="1" x14ac:dyDescent="0.25">
      <c r="A194" s="1375">
        <f>'Расчет ЦП - общая форма'!Y194</f>
        <v>141</v>
      </c>
      <c r="B194" s="1376">
        <f>COUNTIFS($C$8:C194,"*ПС*",$J$8:J194,"*закрыт*")</f>
        <v>22</v>
      </c>
      <c r="C194" s="84" t="str">
        <f>'Расчет ЦП - общая форма'!AA194</f>
        <v xml:space="preserve">ПС 110/35/10 кВ Луч </v>
      </c>
      <c r="D194" s="245">
        <f>'Расчет ЦП - общая форма'!AB194</f>
        <v>16</v>
      </c>
      <c r="E194" s="246" t="str">
        <f>'Расчет ЦП - общая форма'!AC194</f>
        <v>+</v>
      </c>
      <c r="F194" s="246">
        <f>'Расчет ЦП - общая форма'!AD194</f>
        <v>16</v>
      </c>
      <c r="G194" s="246">
        <f>'Расчет ЦП - общая форма'!AE194</f>
        <v>0</v>
      </c>
      <c r="H194" s="246">
        <f>'Расчет ЦП - общая форма'!AF194</f>
        <v>0</v>
      </c>
      <c r="I194" s="1372">
        <f>'Расчет ЦП - общая форма'!AP194</f>
        <v>-5.4749999999999979</v>
      </c>
      <c r="J194" s="1372" t="str">
        <f>'Расчет ЦП - общая форма'!AQ194</f>
        <v>закрыт</v>
      </c>
      <c r="K194" s="924" t="str">
        <f>'Расчет ЦП - общая форма'!AR194</f>
        <v>закрыт</v>
      </c>
      <c r="L194" s="924">
        <f>'Расчет ЦП - общая форма'!AS194</f>
        <v>132.58928571428572</v>
      </c>
      <c r="M194" s="924"/>
      <c r="N194" s="924"/>
    </row>
    <row r="195" spans="1:14" ht="20.100000000000001" customHeight="1" x14ac:dyDescent="0.25">
      <c r="A195" s="1375">
        <f>'Расчет ЦП - общая форма'!Y195</f>
        <v>0</v>
      </c>
      <c r="B195" s="1393"/>
      <c r="C195" s="84" t="str">
        <f>'Расчет ЦП - общая форма'!AA195</f>
        <v xml:space="preserve">Ном. Мощность СН, МВА </v>
      </c>
      <c r="D195" s="245">
        <f>'Расчет ЦП - общая форма'!AB195</f>
        <v>16</v>
      </c>
      <c r="E195" s="246" t="str">
        <f>'Расчет ЦП - общая форма'!AC195</f>
        <v>+</v>
      </c>
      <c r="F195" s="246">
        <f>'Расчет ЦП - общая форма'!AD195</f>
        <v>16</v>
      </c>
      <c r="G195" s="246">
        <f>'Расчет ЦП - общая форма'!AE195</f>
        <v>0</v>
      </c>
      <c r="H195" s="246">
        <f>'Расчет ЦП - общая форма'!AF195</f>
        <v>0</v>
      </c>
      <c r="I195" s="1373">
        <f>'Расчет ЦП - общая форма'!AP195</f>
        <v>0</v>
      </c>
      <c r="J195" s="1373">
        <f>'Расчет ЦП - общая форма'!AQ195</f>
        <v>0</v>
      </c>
      <c r="K195" s="924" t="str">
        <f>'Расчет ЦП - общая форма'!AR195</f>
        <v>закрыт</v>
      </c>
      <c r="L195" s="924">
        <f>'Расчет ЦП - общая форма'!AS195</f>
        <v>0</v>
      </c>
      <c r="M195" s="924"/>
      <c r="N195" s="924"/>
    </row>
    <row r="196" spans="1:14" ht="20.100000000000001" customHeight="1" x14ac:dyDescent="0.25">
      <c r="A196" s="1375">
        <f>'Расчет ЦП - общая форма'!Y196</f>
        <v>0</v>
      </c>
      <c r="B196" s="1394"/>
      <c r="C196" s="84" t="str">
        <f>'Расчет ЦП - общая форма'!AA196</f>
        <v>Ном. мощность НН, МВА</v>
      </c>
      <c r="D196" s="245">
        <f>'Расчет ЦП - общая форма'!AB196</f>
        <v>16</v>
      </c>
      <c r="E196" s="246" t="str">
        <f>'Расчет ЦП - общая форма'!AC196</f>
        <v>+</v>
      </c>
      <c r="F196" s="246">
        <f>'Расчет ЦП - общая форма'!AD196</f>
        <v>16</v>
      </c>
      <c r="G196" s="246">
        <f>'Расчет ЦП - общая форма'!AE196</f>
        <v>0</v>
      </c>
      <c r="H196" s="246">
        <f>'Расчет ЦП - общая форма'!AF196</f>
        <v>0</v>
      </c>
      <c r="I196" s="1374">
        <f>'Расчет ЦП - общая форма'!AP196</f>
        <v>0</v>
      </c>
      <c r="J196" s="1374">
        <f>'Расчет ЦП - общая форма'!AQ196</f>
        <v>0</v>
      </c>
      <c r="K196" s="924" t="str">
        <f>'Расчет ЦП - общая форма'!AR196</f>
        <v>закрыт</v>
      </c>
      <c r="L196" s="924">
        <f>'Расчет ЦП - общая форма'!AS196</f>
        <v>0</v>
      </c>
      <c r="M196" s="924"/>
      <c r="N196" s="924"/>
    </row>
    <row r="197" spans="1:14" hidden="1" x14ac:dyDescent="0.25">
      <c r="A197" s="1375">
        <f>'Расчет ЦП - общая форма'!Y197</f>
        <v>142</v>
      </c>
      <c r="B197" s="1376">
        <f>COUNTIFS($C$8:C197,"*ПС*",$J$8:J197,"*закрыт*")</f>
        <v>22</v>
      </c>
      <c r="C197" s="84" t="str">
        <f>'Расчет ЦП - общая форма'!AA197</f>
        <v xml:space="preserve">ПС 110/35/10 кВ Простор </v>
      </c>
      <c r="D197" s="230">
        <f>'Расчет ЦП - общая форма'!AB197</f>
        <v>25</v>
      </c>
      <c r="E197" s="229" t="str">
        <f>'Расчет ЦП - общая форма'!AC197</f>
        <v>+</v>
      </c>
      <c r="F197" s="229">
        <f>'Расчет ЦП - общая форма'!AD197</f>
        <v>25</v>
      </c>
      <c r="G197" s="229">
        <f>'Расчет ЦП - общая форма'!AE197</f>
        <v>0</v>
      </c>
      <c r="H197" s="229">
        <f>'Расчет ЦП - общая форма'!AF197</f>
        <v>0</v>
      </c>
      <c r="I197" s="1372">
        <f>'Расчет ЦП - общая форма'!AP197</f>
        <v>7.5437499999999993</v>
      </c>
      <c r="J197" s="1372" t="str">
        <f>'Расчет ЦП - общая форма'!AQ197</f>
        <v/>
      </c>
      <c r="K197" s="924" t="str">
        <f>'Расчет ЦП - общая форма'!AR197</f>
        <v/>
      </c>
      <c r="L197" s="924">
        <f>'Расчет ЦП - общая форма'!AS197</f>
        <v>72.36666666666666</v>
      </c>
      <c r="M197" s="924"/>
      <c r="N197" s="924"/>
    </row>
    <row r="198" spans="1:14" hidden="1" x14ac:dyDescent="0.25">
      <c r="A198" s="1375">
        <f>'Расчет ЦП - общая форма'!Y198</f>
        <v>0</v>
      </c>
      <c r="B198" s="1393"/>
      <c r="C198" s="84" t="str">
        <f>'Расчет ЦП - общая форма'!AA198</f>
        <v xml:space="preserve">Ном. Мощность СН, МВА </v>
      </c>
      <c r="D198" s="230">
        <f>'Расчет ЦП - общая форма'!AB198</f>
        <v>25</v>
      </c>
      <c r="E198" s="229" t="str">
        <f>'Расчет ЦП - общая форма'!AC198</f>
        <v>+</v>
      </c>
      <c r="F198" s="229">
        <f>'Расчет ЦП - общая форма'!AD198</f>
        <v>25</v>
      </c>
      <c r="G198" s="229">
        <f>'Расчет ЦП - общая форма'!AE198</f>
        <v>0</v>
      </c>
      <c r="H198" s="229">
        <f>'Расчет ЦП - общая форма'!AF198</f>
        <v>0</v>
      </c>
      <c r="I198" s="1373">
        <f>'Расчет ЦП - общая форма'!AP198</f>
        <v>0</v>
      </c>
      <c r="J198" s="1373" t="str">
        <f>'Расчет ЦП - общая форма'!AQ198</f>
        <v/>
      </c>
      <c r="K198" s="924" t="str">
        <f>'Расчет ЦП - общая форма'!AR198</f>
        <v/>
      </c>
      <c r="L198" s="924">
        <f>'Расчет ЦП - общая форма'!AS198</f>
        <v>0</v>
      </c>
      <c r="M198" s="924"/>
      <c r="N198" s="924"/>
    </row>
    <row r="199" spans="1:14" hidden="1" x14ac:dyDescent="0.25">
      <c r="A199" s="1375">
        <f>'Расчет ЦП - общая форма'!Y199</f>
        <v>0</v>
      </c>
      <c r="B199" s="1394"/>
      <c r="C199" s="84" t="str">
        <f>'Расчет ЦП - общая форма'!AA199</f>
        <v>Ном. мощность НН, МВА</v>
      </c>
      <c r="D199" s="230">
        <f>'Расчет ЦП - общая форма'!AB199</f>
        <v>25</v>
      </c>
      <c r="E199" s="229" t="str">
        <f>'Расчет ЦП - общая форма'!AC199</f>
        <v>+</v>
      </c>
      <c r="F199" s="229">
        <f>'Расчет ЦП - общая форма'!AD199</f>
        <v>25</v>
      </c>
      <c r="G199" s="229">
        <f>'Расчет ЦП - общая форма'!AE199</f>
        <v>0</v>
      </c>
      <c r="H199" s="229">
        <f>'Расчет ЦП - общая форма'!AF199</f>
        <v>0</v>
      </c>
      <c r="I199" s="1374">
        <f>'Расчет ЦП - общая форма'!AP199</f>
        <v>0</v>
      </c>
      <c r="J199" s="1374" t="str">
        <f>'Расчет ЦП - общая форма'!AQ199</f>
        <v/>
      </c>
      <c r="K199" s="924" t="str">
        <f>'Расчет ЦП - общая форма'!AR199</f>
        <v/>
      </c>
      <c r="L199" s="924">
        <f>'Расчет ЦП - общая форма'!AS199</f>
        <v>0</v>
      </c>
      <c r="M199" s="924"/>
      <c r="N199" s="924"/>
    </row>
    <row r="200" spans="1:14" ht="20.100000000000001" customHeight="1" x14ac:dyDescent="0.25">
      <c r="A200" s="1375">
        <f>'Расчет ЦП - общая форма'!Y200</f>
        <v>143</v>
      </c>
      <c r="B200" s="1376">
        <f>COUNTIFS($C$8:C200,"*ПС*",$J$8:J200,"*закрыт*")</f>
        <v>23</v>
      </c>
      <c r="C200" s="84" t="str">
        <f>'Расчет ЦП - общая форма'!AA200</f>
        <v xml:space="preserve">ПС 110/35/10 кВ  Радуга </v>
      </c>
      <c r="D200" s="230">
        <f>'Расчет ЦП - общая форма'!AB200</f>
        <v>40</v>
      </c>
      <c r="E200" s="229" t="str">
        <f>'Расчет ЦП - общая форма'!AC200</f>
        <v>+</v>
      </c>
      <c r="F200" s="229">
        <f>'Расчет ЦП - общая форма'!AD200</f>
        <v>25</v>
      </c>
      <c r="G200" s="229">
        <f>'Расчет ЦП - общая форма'!AE200</f>
        <v>0</v>
      </c>
      <c r="H200" s="229">
        <f>'Расчет ЦП - общая форма'!AF200</f>
        <v>0</v>
      </c>
      <c r="I200" s="1372">
        <f>'Расчет ЦП - общая форма'!AP200</f>
        <v>-13.403125000000003</v>
      </c>
      <c r="J200" s="1372" t="str">
        <f>'Расчет ЦП - общая форма'!AQ200</f>
        <v>закрыт</v>
      </c>
      <c r="K200" s="924" t="str">
        <f>'Расчет ЦП - общая форма'!AR200</f>
        <v>закрыт</v>
      </c>
      <c r="L200" s="924">
        <f>'Расчет ЦП - общая форма'!AS200</f>
        <v>151.78333333333333</v>
      </c>
      <c r="M200" s="924"/>
      <c r="N200" s="924"/>
    </row>
    <row r="201" spans="1:14" ht="20.100000000000001" customHeight="1" x14ac:dyDescent="0.25">
      <c r="A201" s="1375">
        <f>'Расчет ЦП - общая форма'!Y201</f>
        <v>0</v>
      </c>
      <c r="B201" s="1393"/>
      <c r="C201" s="84" t="str">
        <f>'Расчет ЦП - общая форма'!AA201</f>
        <v xml:space="preserve">Ном. Мощность СН, МВА </v>
      </c>
      <c r="D201" s="230">
        <f>'Расчет ЦП - общая форма'!AB201</f>
        <v>40</v>
      </c>
      <c r="E201" s="229" t="str">
        <f>'Расчет ЦП - общая форма'!AC201</f>
        <v>+</v>
      </c>
      <c r="F201" s="229">
        <f>'Расчет ЦП - общая форма'!AD201</f>
        <v>25</v>
      </c>
      <c r="G201" s="229">
        <f>'Расчет ЦП - общая форма'!AE201</f>
        <v>0</v>
      </c>
      <c r="H201" s="229">
        <f>'Расчет ЦП - общая форма'!AF201</f>
        <v>0</v>
      </c>
      <c r="I201" s="1373">
        <f>'Расчет ЦП - общая форма'!AP201</f>
        <v>0</v>
      </c>
      <c r="J201" s="1373">
        <f>'Расчет ЦП - общая форма'!AQ201</f>
        <v>0</v>
      </c>
      <c r="K201" s="924" t="str">
        <f>'Расчет ЦП - общая форма'!AR201</f>
        <v>закрыт</v>
      </c>
      <c r="L201" s="924">
        <f>'Расчет ЦП - общая форма'!AS201</f>
        <v>0</v>
      </c>
      <c r="M201" s="924"/>
      <c r="N201" s="924"/>
    </row>
    <row r="202" spans="1:14" ht="20.100000000000001" customHeight="1" x14ac:dyDescent="0.25">
      <c r="A202" s="1375">
        <f>'Расчет ЦП - общая форма'!Y202</f>
        <v>0</v>
      </c>
      <c r="B202" s="1394"/>
      <c r="C202" s="84" t="str">
        <f>'Расчет ЦП - общая форма'!AA202</f>
        <v>Ном. мощность НН, МВА</v>
      </c>
      <c r="D202" s="230">
        <f>'Расчет ЦП - общая форма'!AB202</f>
        <v>40</v>
      </c>
      <c r="E202" s="229" t="str">
        <f>'Расчет ЦП - общая форма'!AC202</f>
        <v>+</v>
      </c>
      <c r="F202" s="229">
        <f>'Расчет ЦП - общая форма'!AD202</f>
        <v>25</v>
      </c>
      <c r="G202" s="229">
        <f>'Расчет ЦП - общая форма'!AE202</f>
        <v>0</v>
      </c>
      <c r="H202" s="229">
        <f>'Расчет ЦП - общая форма'!AF202</f>
        <v>0</v>
      </c>
      <c r="I202" s="1374">
        <f>'Расчет ЦП - общая форма'!AP202</f>
        <v>0</v>
      </c>
      <c r="J202" s="1374">
        <f>'Расчет ЦП - общая форма'!AQ202</f>
        <v>0</v>
      </c>
      <c r="K202" s="924" t="str">
        <f>'Расчет ЦП - общая форма'!AR202</f>
        <v>закрыт</v>
      </c>
      <c r="L202" s="924">
        <f>'Расчет ЦП - общая форма'!AS202</f>
        <v>0</v>
      </c>
      <c r="M202" s="924"/>
      <c r="N202" s="924"/>
    </row>
    <row r="203" spans="1:14" hidden="1" x14ac:dyDescent="0.25">
      <c r="A203" s="1375">
        <f>'Расчет ЦП - общая форма'!Y203</f>
        <v>144</v>
      </c>
      <c r="B203" s="1376">
        <f>COUNTIFS($C$8:C203,"*ПС*",$J$8:J203,"*закрыт*")</f>
        <v>23</v>
      </c>
      <c r="C203" s="84" t="str">
        <f>'Расчет ЦП - общая форма'!AA203</f>
        <v xml:space="preserve">ПС 110/35/10 кВ Роща </v>
      </c>
      <c r="D203" s="230">
        <f>'Расчет ЦП - общая форма'!AB203</f>
        <v>10</v>
      </c>
      <c r="E203" s="229" t="str">
        <f>'Расчет ЦП - общая форма'!AC203</f>
        <v>+</v>
      </c>
      <c r="F203" s="229">
        <f>'Расчет ЦП - общая форма'!AD203</f>
        <v>10</v>
      </c>
      <c r="G203" s="229">
        <f>'Расчет ЦП - общая форма'!AE203</f>
        <v>0</v>
      </c>
      <c r="H203" s="229">
        <f>'Расчет ЦП - общая форма'!AF203</f>
        <v>0</v>
      </c>
      <c r="I203" s="1372">
        <f>'Расчет ЦП - общая форма'!AP203</f>
        <v>5.2437500000000004</v>
      </c>
      <c r="J203" s="1372" t="str">
        <f>'Расчет ЦП - общая форма'!AQ203</f>
        <v/>
      </c>
      <c r="K203" s="924" t="str">
        <f>'Расчет ЦП - общая форма'!AR203</f>
        <v/>
      </c>
      <c r="L203" s="924">
        <f>'Расчет ЦП - общая форма'!AS203</f>
        <v>51.678571428571431</v>
      </c>
      <c r="M203" s="924"/>
      <c r="N203" s="924"/>
    </row>
    <row r="204" spans="1:14" hidden="1" x14ac:dyDescent="0.25">
      <c r="A204" s="1375">
        <f>'Расчет ЦП - общая форма'!Y204</f>
        <v>0</v>
      </c>
      <c r="B204" s="1393"/>
      <c r="C204" s="84" t="str">
        <f>'Расчет ЦП - общая форма'!AA204</f>
        <v xml:space="preserve">Ном. Мощность СН, МВА </v>
      </c>
      <c r="D204" s="230">
        <f>'Расчет ЦП - общая форма'!AB204</f>
        <v>10</v>
      </c>
      <c r="E204" s="229" t="str">
        <f>'Расчет ЦП - общая форма'!AC204</f>
        <v>+</v>
      </c>
      <c r="F204" s="229">
        <f>'Расчет ЦП - общая форма'!AD204</f>
        <v>10</v>
      </c>
      <c r="G204" s="229">
        <f>'Расчет ЦП - общая форма'!AE204</f>
        <v>0</v>
      </c>
      <c r="H204" s="229">
        <f>'Расчет ЦП - общая форма'!AF204</f>
        <v>0</v>
      </c>
      <c r="I204" s="1373">
        <f>'Расчет ЦП - общая форма'!AP204</f>
        <v>0</v>
      </c>
      <c r="J204" s="1373" t="str">
        <f>'Расчет ЦП - общая форма'!AQ204</f>
        <v/>
      </c>
      <c r="K204" s="924" t="str">
        <f>'Расчет ЦП - общая форма'!AR204</f>
        <v/>
      </c>
      <c r="L204" s="924">
        <f>'Расчет ЦП - общая форма'!AS204</f>
        <v>0</v>
      </c>
      <c r="M204" s="924"/>
      <c r="N204" s="924"/>
    </row>
    <row r="205" spans="1:14" hidden="1" x14ac:dyDescent="0.25">
      <c r="A205" s="1375">
        <f>'Расчет ЦП - общая форма'!Y205</f>
        <v>0</v>
      </c>
      <c r="B205" s="1394"/>
      <c r="C205" s="84" t="str">
        <f>'Расчет ЦП - общая форма'!AA205</f>
        <v>Ном. мощность НН, МВА</v>
      </c>
      <c r="D205" s="230">
        <f>'Расчет ЦП - общая форма'!AB205</f>
        <v>10</v>
      </c>
      <c r="E205" s="229" t="str">
        <f>'Расчет ЦП - общая форма'!AC205</f>
        <v>+</v>
      </c>
      <c r="F205" s="229">
        <f>'Расчет ЦП - общая форма'!AD205</f>
        <v>10</v>
      </c>
      <c r="G205" s="229">
        <f>'Расчет ЦП - общая форма'!AE205</f>
        <v>0</v>
      </c>
      <c r="H205" s="229">
        <f>'Расчет ЦП - общая форма'!AF205</f>
        <v>0</v>
      </c>
      <c r="I205" s="1374">
        <f>'Расчет ЦП - общая форма'!AP205</f>
        <v>0</v>
      </c>
      <c r="J205" s="1374" t="str">
        <f>'Расчет ЦП - общая форма'!AQ205</f>
        <v/>
      </c>
      <c r="K205" s="924" t="str">
        <f>'Расчет ЦП - общая форма'!AR205</f>
        <v/>
      </c>
      <c r="L205" s="924">
        <f>'Расчет ЦП - общая форма'!AS205</f>
        <v>0</v>
      </c>
      <c r="M205" s="924"/>
      <c r="N205" s="924"/>
    </row>
    <row r="206" spans="1:14" hidden="1" x14ac:dyDescent="0.25">
      <c r="A206" s="213">
        <f>'Расчет ЦП - общая форма'!Y206</f>
        <v>145</v>
      </c>
      <c r="B206" s="1152">
        <f>COUNTIFS($C$8:C206,"*ПС*",$J$8:J206,"*закрыт*")</f>
        <v>23</v>
      </c>
      <c r="C206" s="213" t="str">
        <f>'Расчет ЦП - общая форма'!AA206</f>
        <v>ПС 110/10 кВ Бибирево</v>
      </c>
      <c r="D206" s="230">
        <f>'Расчет ЦП - общая форма'!AB206</f>
        <v>2.5</v>
      </c>
      <c r="E206" s="229">
        <f>'Расчет ЦП - общая форма'!AC206</f>
        <v>0</v>
      </c>
      <c r="F206" s="229">
        <f>'Расчет ЦП - общая форма'!AD206</f>
        <v>0</v>
      </c>
      <c r="G206" s="229">
        <f>'Расчет ЦП - общая форма'!AE206</f>
        <v>0</v>
      </c>
      <c r="H206" s="229">
        <f>'Расчет ЦП - общая форма'!AF206</f>
        <v>0</v>
      </c>
      <c r="I206" s="172">
        <f>'Расчет ЦП - общая форма'!AP206</f>
        <v>1.1766200000000002</v>
      </c>
      <c r="J206" s="172" t="str">
        <f>'Расчет ЦП - общая форма'!AQ206</f>
        <v/>
      </c>
      <c r="K206" s="924" t="str">
        <f>'Расчет ЦП - общая форма'!AR206</f>
        <v/>
      </c>
      <c r="L206" s="924">
        <f>'Расчет ЦП - общая форма'!AS206</f>
        <v>6.9859047619047612</v>
      </c>
      <c r="M206" s="924"/>
      <c r="N206" s="924"/>
    </row>
    <row r="207" spans="1:14" hidden="1" x14ac:dyDescent="0.25">
      <c r="A207" s="213">
        <f>'Расчет ЦП - общая форма'!Y207</f>
        <v>146</v>
      </c>
      <c r="B207" s="1152">
        <f>COUNTIFS($C$8:C207,"*ПС*",$J$8:J207,"*закрыт*")</f>
        <v>23</v>
      </c>
      <c r="C207" s="213" t="str">
        <f>'Расчет ЦП - общая форма'!AA207</f>
        <v>ПС 35/10 кВ Бор</v>
      </c>
      <c r="D207" s="230">
        <f>'Расчет ЦП - общая форма'!AB207</f>
        <v>1.6</v>
      </c>
      <c r="E207" s="229">
        <f>'Расчет ЦП - общая форма'!AC207</f>
        <v>0</v>
      </c>
      <c r="F207" s="229">
        <f>'Расчет ЦП - общая форма'!AD207</f>
        <v>0</v>
      </c>
      <c r="G207" s="229">
        <f>'Расчет ЦП - общая форма'!AE207</f>
        <v>0</v>
      </c>
      <c r="H207" s="229">
        <f>'Расчет ЦП - общая форма'!AF207</f>
        <v>0</v>
      </c>
      <c r="I207" s="172">
        <f>'Расчет ЦП - общая форма'!AP207</f>
        <v>0.70404</v>
      </c>
      <c r="J207" s="172" t="str">
        <f>'Расчет ЦП - общая форма'!AQ207</f>
        <v/>
      </c>
      <c r="K207" s="924" t="str">
        <f>'Расчет ЦП - общая форма'!AR207</f>
        <v/>
      </c>
      <c r="L207" s="924">
        <f>'Расчет ЦП - общая форма'!AS207</f>
        <v>25.949999999999996</v>
      </c>
      <c r="M207" s="924"/>
      <c r="N207" s="924"/>
    </row>
    <row r="208" spans="1:14" hidden="1" x14ac:dyDescent="0.25">
      <c r="A208" s="213">
        <f>'Расчет ЦП - общая форма'!Y208</f>
        <v>147</v>
      </c>
      <c r="B208" s="1152">
        <f>COUNTIFS($C$8:C208,"*ПС*",$J$8:J208,"*закрыт*")</f>
        <v>23</v>
      </c>
      <c r="C208" s="213" t="str">
        <f>'Расчет ЦП - общая форма'!AA208</f>
        <v>ПС 110/10 кВ Воробьи</v>
      </c>
      <c r="D208" s="230">
        <f>'Расчет ЦП - общая форма'!AB208</f>
        <v>2.5</v>
      </c>
      <c r="E208" s="229">
        <f>'Расчет ЦП - общая форма'!AC208</f>
        <v>0</v>
      </c>
      <c r="F208" s="229">
        <f>'Расчет ЦП - общая форма'!AD208</f>
        <v>0</v>
      </c>
      <c r="G208" s="229">
        <f>'Расчет ЦП - общая форма'!AE208</f>
        <v>0</v>
      </c>
      <c r="H208" s="229">
        <f>'Расчет ЦП - общая форма'!AF208</f>
        <v>0</v>
      </c>
      <c r="I208" s="172">
        <f>'Расчет ЦП - общая форма'!AP208</f>
        <v>0.77969999999999995</v>
      </c>
      <c r="J208" s="172" t="str">
        <f>'Расчет ЦП - общая форма'!AQ208</f>
        <v/>
      </c>
      <c r="K208" s="924" t="str">
        <f>'Расчет ЦП - общая форма'!AR208</f>
        <v/>
      </c>
      <c r="L208" s="924">
        <f>'Расчет ЦП - общая форма'!AS208</f>
        <v>7.2495238095238097</v>
      </c>
      <c r="M208" s="924"/>
      <c r="N208" s="924"/>
    </row>
    <row r="209" spans="1:14" ht="20.100000000000001" customHeight="1" x14ac:dyDescent="0.25">
      <c r="A209" s="213">
        <f>'Расчет ЦП - общая форма'!Y209</f>
        <v>148</v>
      </c>
      <c r="B209" s="1255">
        <f>COUNTIFS($C$8:C209,"*ПС*",$J$8:J209,"*закрыт*")</f>
        <v>24</v>
      </c>
      <c r="C209" s="213" t="str">
        <f>'Расчет ЦП - общая форма'!AA209</f>
        <v>ПС 35/10 кВ Глазомичи</v>
      </c>
      <c r="D209" s="230">
        <f>'Расчет ЦП - общая форма'!AB209</f>
        <v>2.5</v>
      </c>
      <c r="E209" s="229">
        <f>'Расчет ЦП - общая форма'!AC209</f>
        <v>0</v>
      </c>
      <c r="F209" s="229">
        <f>'Расчет ЦП - общая форма'!AD209</f>
        <v>0</v>
      </c>
      <c r="G209" s="229">
        <f>'Расчет ЦП - общая форма'!AE209</f>
        <v>0</v>
      </c>
      <c r="H209" s="229">
        <f>'Расчет ЦП - общая форма'!AF209</f>
        <v>0</v>
      </c>
      <c r="I209" s="172">
        <f>'Расчет ЦП - общая форма'!AP209</f>
        <v>-0.22213199999999997</v>
      </c>
      <c r="J209" s="172" t="str">
        <f>'Расчет ЦП - общая форма'!AQ209</f>
        <v>закрыт</v>
      </c>
      <c r="K209" s="924" t="str">
        <f>'Расчет ЦП - общая форма'!AR209</f>
        <v>закрыт</v>
      </c>
      <c r="L209" s="924">
        <f>'Расчет ЦП - общая форма'!AS209</f>
        <v>8.4621714285714269</v>
      </c>
      <c r="M209" s="924"/>
      <c r="N209" s="924"/>
    </row>
    <row r="210" spans="1:14" ht="20.100000000000001" customHeight="1" x14ac:dyDescent="0.25">
      <c r="A210" s="213">
        <f>'Расчет ЦП - общая форма'!Y210</f>
        <v>149</v>
      </c>
      <c r="B210" s="1255">
        <f>COUNTIFS($C$8:C210,"*ПС*",$J$8:J210,"*закрыт*")</f>
        <v>25</v>
      </c>
      <c r="C210" s="213" t="str">
        <f>'Расчет ЦП - общая форма'!AA210</f>
        <v>ПС 35/10 кВ Жарки</v>
      </c>
      <c r="D210" s="230">
        <f>'Расчет ЦП - общая форма'!AB210</f>
        <v>10</v>
      </c>
      <c r="E210" s="229">
        <f>'Расчет ЦП - общая форма'!AC210</f>
        <v>0</v>
      </c>
      <c r="F210" s="229">
        <f>'Расчет ЦП - общая форма'!AD210</f>
        <v>0</v>
      </c>
      <c r="G210" s="229">
        <f>'Расчет ЦП - общая форма'!AE210</f>
        <v>0</v>
      </c>
      <c r="H210" s="229">
        <f>'Расчет ЦП - общая форма'!AF210</f>
        <v>0</v>
      </c>
      <c r="I210" s="172">
        <f>'Расчет ЦП - общая форма'!AP210</f>
        <v>-2.3989499999999997</v>
      </c>
      <c r="J210" s="172" t="str">
        <f>'Расчет ЦП - общая форма'!AQ210</f>
        <v>закрыт</v>
      </c>
      <c r="K210" s="924" t="str">
        <f>'Расчет ЦП - общая форма'!AR210</f>
        <v>закрыт</v>
      </c>
      <c r="L210" s="924">
        <f>'Расчет ЦП - общая форма'!AS210</f>
        <v>22.847142857142856</v>
      </c>
      <c r="M210" s="924"/>
      <c r="N210" s="924"/>
    </row>
    <row r="211" spans="1:14" ht="20.100000000000001" hidden="1" customHeight="1" x14ac:dyDescent="0.25">
      <c r="A211" s="213">
        <f>'Расчет ЦП - общая форма'!Y211</f>
        <v>150</v>
      </c>
      <c r="B211" s="1152">
        <f>COUNTIFS($C$8:C211,"*ПС*",$J$8:J211,"*закрыт*")</f>
        <v>25</v>
      </c>
      <c r="C211" s="213" t="str">
        <f>'Расчет ЦП - общая форма'!AA211</f>
        <v>ПС 35/10 кВ Земцы</v>
      </c>
      <c r="D211" s="230">
        <f>'Расчет ЦП - общая форма'!AB211</f>
        <v>2.5</v>
      </c>
      <c r="E211" s="229">
        <f>'Расчет ЦП - общая форма'!AC211</f>
        <v>0</v>
      </c>
      <c r="F211" s="229">
        <f>'Расчет ЦП - общая форма'!AD211</f>
        <v>0</v>
      </c>
      <c r="G211" s="229">
        <f>'Расчет ЦП - общая форма'!AE211</f>
        <v>0</v>
      </c>
      <c r="H211" s="229">
        <f>'Расчет ЦП - общая форма'!AF211</f>
        <v>0</v>
      </c>
      <c r="I211" s="172">
        <f>'Расчет ЦП - общая форма'!AP211</f>
        <v>0.79156500000000007</v>
      </c>
      <c r="J211" s="172" t="str">
        <f>'Расчет ЦП - общая форма'!AQ211</f>
        <v/>
      </c>
      <c r="K211" s="924" t="str">
        <f>'Расчет ЦП - общая форма'!AR211</f>
        <v/>
      </c>
      <c r="L211" s="924">
        <f>'Расчет ЦП - общая форма'!AS211</f>
        <v>26.987999999999996</v>
      </c>
      <c r="M211" s="924"/>
      <c r="N211" s="924"/>
    </row>
    <row r="212" spans="1:14" hidden="1" x14ac:dyDescent="0.25">
      <c r="A212" s="213">
        <f>'Расчет ЦП - общая форма'!Y212</f>
        <v>151</v>
      </c>
      <c r="B212" s="1152">
        <f>COUNTIFS($C$8:C212,"*ПС*",$J$8:J212,"*закрыт*")</f>
        <v>25</v>
      </c>
      <c r="C212" s="213" t="str">
        <f>'Расчет ЦП - общая форма'!AA212</f>
        <v>ПС 35/10 кВ Ковалево</v>
      </c>
      <c r="D212" s="230">
        <f>'Расчет ЦП - общая форма'!AB212</f>
        <v>2.5</v>
      </c>
      <c r="E212" s="229">
        <f>'Расчет ЦП - общая форма'!AC212</f>
        <v>0</v>
      </c>
      <c r="F212" s="229">
        <f>'Расчет ЦП - общая форма'!AD212</f>
        <v>0</v>
      </c>
      <c r="G212" s="229">
        <f>'Расчет ЦП - общая форма'!AE212</f>
        <v>0</v>
      </c>
      <c r="H212" s="229">
        <f>'Расчет ЦП - общая форма'!AF212</f>
        <v>0</v>
      </c>
      <c r="I212" s="172">
        <f>'Расчет ЦП - общая форма'!AP212</f>
        <v>0.24447599999999997</v>
      </c>
      <c r="J212" s="172" t="str">
        <f>'Расчет ЦП - общая форма'!AQ212</f>
        <v/>
      </c>
      <c r="K212" s="924" t="str">
        <f>'Расчет ЦП - общая форма'!AR212</f>
        <v/>
      </c>
      <c r="L212" s="924">
        <f>'Расчет ЦП - общая форма'!AS212</f>
        <v>7.8294857142857168</v>
      </c>
      <c r="M212" s="924"/>
      <c r="N212" s="924"/>
    </row>
    <row r="213" spans="1:14" hidden="1" x14ac:dyDescent="0.25">
      <c r="A213" s="213">
        <f>'Расчет ЦП - общая форма'!Y213</f>
        <v>152</v>
      </c>
      <c r="B213" s="1152">
        <f>COUNTIFS($C$8:C213,"*ПС*",$J$8:J213,"*закрыт*")</f>
        <v>25</v>
      </c>
      <c r="C213" s="213" t="str">
        <f>'Расчет ЦП - общая форма'!AA213</f>
        <v>ПС 35/10 кВ Коротыши</v>
      </c>
      <c r="D213" s="230">
        <f>'Расчет ЦП - общая форма'!AB213</f>
        <v>1.6</v>
      </c>
      <c r="E213" s="229">
        <f>'Расчет ЦП - общая форма'!AC213</f>
        <v>0</v>
      </c>
      <c r="F213" s="229">
        <f>'Расчет ЦП - общая форма'!AD213</f>
        <v>0</v>
      </c>
      <c r="G213" s="229">
        <f>'Расчет ЦП - общая форма'!AE213</f>
        <v>0</v>
      </c>
      <c r="H213" s="229">
        <f>'Расчет ЦП - общая форма'!AF213</f>
        <v>0</v>
      </c>
      <c r="I213" s="172">
        <f>'Расчет ЦП - общая форма'!AP213</f>
        <v>0.34822600000000009</v>
      </c>
      <c r="J213" s="172" t="str">
        <f>'Расчет ЦП - общая форма'!AQ213</f>
        <v/>
      </c>
      <c r="K213" s="924" t="str">
        <f>'Расчет ЦП - общая форма'!AR213</f>
        <v/>
      </c>
      <c r="L213" s="924">
        <f>'Расчет ЦП - общая форма'!AS213</f>
        <v>25.10559523809523</v>
      </c>
      <c r="M213" s="924"/>
      <c r="N213" s="924"/>
    </row>
    <row r="214" spans="1:14" ht="20.100000000000001" hidden="1" customHeight="1" x14ac:dyDescent="0.25">
      <c r="A214" s="213">
        <f>'Расчет ЦП - общая форма'!Y214</f>
        <v>153</v>
      </c>
      <c r="B214" s="1152">
        <f>COUNTIFS($C$8:C214,"*ПС*",$J$8:J214,"*закрыт*")</f>
        <v>25</v>
      </c>
      <c r="C214" s="213" t="str">
        <f>'Расчет ЦП - общая форма'!AA214</f>
        <v>ПС 110/10 кВ Монино</v>
      </c>
      <c r="D214" s="230">
        <f>'Расчет ЦП - общая форма'!AB214</f>
        <v>6.3</v>
      </c>
      <c r="E214" s="229">
        <f>'Расчет ЦП - общая форма'!AC214</f>
        <v>0</v>
      </c>
      <c r="F214" s="229">
        <f>'Расчет ЦП - общая форма'!AD214</f>
        <v>0</v>
      </c>
      <c r="G214" s="229">
        <f>'Расчет ЦП - общая форма'!AE214</f>
        <v>0</v>
      </c>
      <c r="H214" s="229">
        <f>'Расчет ЦП - общая форма'!AF214</f>
        <v>0</v>
      </c>
      <c r="I214" s="172">
        <f>'Расчет ЦП - общая форма'!AP214</f>
        <v>1.3711099999999998</v>
      </c>
      <c r="J214" s="172" t="str">
        <f>'Расчет ЦП - общая форма'!AQ214</f>
        <v/>
      </c>
      <c r="K214" s="924" t="str">
        <f>'Расчет ЦП - общая форма'!AR214</f>
        <v/>
      </c>
      <c r="L214" s="924">
        <f>'Расчет ЦП - общая форма'!AS214</f>
        <v>18.123809523809523</v>
      </c>
      <c r="M214" s="924"/>
      <c r="N214" s="924"/>
    </row>
    <row r="215" spans="1:14" ht="20.100000000000001" hidden="1" customHeight="1" x14ac:dyDescent="0.25">
      <c r="A215" s="213">
        <f>'Расчет ЦП - общая форма'!Y215</f>
        <v>154</v>
      </c>
      <c r="B215" s="763">
        <f>COUNTIFS($C$8:C215,"*ПС*",$J$8:J215,"*закрыт*")</f>
        <v>25</v>
      </c>
      <c r="C215" s="213" t="str">
        <f>'Расчет ЦП - общая форма'!AA215</f>
        <v>ПС 35/10 кВ Озерец</v>
      </c>
      <c r="D215" s="230">
        <f>'Расчет ЦП - общая форма'!AB215</f>
        <v>1</v>
      </c>
      <c r="E215" s="229">
        <f>'Расчет ЦП - общая форма'!AC215</f>
        <v>0</v>
      </c>
      <c r="F215" s="229">
        <f>'Расчет ЦП - общая форма'!AD215</f>
        <v>0</v>
      </c>
      <c r="G215" s="229">
        <f>'Расчет ЦП - общая форма'!AE215</f>
        <v>0</v>
      </c>
      <c r="H215" s="229">
        <f>'Расчет ЦП - общая форма'!AF215</f>
        <v>0</v>
      </c>
      <c r="I215" s="172">
        <f>'Расчет ЦП - общая форма'!AP215</f>
        <v>0.45662000000000003</v>
      </c>
      <c r="J215" s="172" t="str">
        <f>'Расчет ЦП - общая форма'!AQ215</f>
        <v/>
      </c>
      <c r="K215" s="924" t="str">
        <f>'Расчет ЦП - общая форма'!AR215</f>
        <v/>
      </c>
      <c r="L215" s="924">
        <f>'Расчет ЦП - общая форма'!AS215</f>
        <v>17.4647619047619</v>
      </c>
      <c r="M215" s="924"/>
      <c r="N215" s="924"/>
    </row>
    <row r="216" spans="1:14" hidden="1" x14ac:dyDescent="0.25">
      <c r="A216" s="213">
        <f>'Расчет ЦП - общая форма'!Y216</f>
        <v>155</v>
      </c>
      <c r="B216" s="1152">
        <f>COUNTIFS($C$8:C216,"*ПС*",$J$8:J216,"*закрыт*")</f>
        <v>25</v>
      </c>
      <c r="C216" s="213" t="str">
        <f>'Расчет ЦП - общая форма'!AA216</f>
        <v>ПС 35/10 кВ Пожня</v>
      </c>
      <c r="D216" s="230">
        <f>'Расчет ЦП - общая форма'!AB216</f>
        <v>1.6</v>
      </c>
      <c r="E216" s="229">
        <f>'Расчет ЦП - общая форма'!AC216</f>
        <v>0</v>
      </c>
      <c r="F216" s="229">
        <f>'Расчет ЦП - общая форма'!AD216</f>
        <v>0</v>
      </c>
      <c r="G216" s="229">
        <f>'Расчет ЦП - общая форма'!AE216</f>
        <v>0</v>
      </c>
      <c r="H216" s="229">
        <f>'Расчет ЦП - общая форма'!AF216</f>
        <v>0</v>
      </c>
      <c r="I216" s="172">
        <f>'Расчет ЦП - общая форма'!AP216</f>
        <v>0.30134</v>
      </c>
      <c r="J216" s="172" t="str">
        <f>'Расчет ЦП - общая форма'!AQ216</f>
        <v/>
      </c>
      <c r="K216" s="924" t="str">
        <f>'Расчет ЦП - общая форма'!AR216</f>
        <v/>
      </c>
      <c r="L216" s="924">
        <f>'Расчет ЦП - общая форма'!AS216</f>
        <v>24.920238095238094</v>
      </c>
      <c r="M216" s="924"/>
      <c r="N216" s="924"/>
    </row>
    <row r="217" spans="1:14" hidden="1" x14ac:dyDescent="0.25">
      <c r="A217" s="213">
        <f>'Расчет ЦП - общая форма'!Y217</f>
        <v>156</v>
      </c>
      <c r="B217" s="1152">
        <f>COUNTIFS($C$8:C217,"*ПС*",$J$8:J217,"*закрыт*")</f>
        <v>25</v>
      </c>
      <c r="C217" s="213" t="str">
        <f>'Расчет ЦП - общая форма'!AA217</f>
        <v>ПС 35/10 кВ Половцово</v>
      </c>
      <c r="D217" s="230">
        <f>'Расчет ЦП - общая форма'!AB217</f>
        <v>1.6</v>
      </c>
      <c r="E217" s="229">
        <f>'Расчет ЦП - общая форма'!AC217</f>
        <v>0</v>
      </c>
      <c r="F217" s="229">
        <f>'Расчет ЦП - общая форма'!AD217</f>
        <v>0</v>
      </c>
      <c r="G217" s="229">
        <f>'Расчет ЦП - общая форма'!AE217</f>
        <v>0</v>
      </c>
      <c r="H217" s="229">
        <f>'Расчет ЦП - общая форма'!AF217</f>
        <v>0</v>
      </c>
      <c r="I217" s="172">
        <f>'Расчет ЦП - общая форма'!AP217</f>
        <v>1.23</v>
      </c>
      <c r="J217" s="172" t="str">
        <f>'Расчет ЦП - общая форма'!AQ217</f>
        <v/>
      </c>
      <c r="K217" s="924" t="str">
        <f>'Расчет ЦП - общая форма'!AR217</f>
        <v/>
      </c>
      <c r="L217" s="924">
        <f>'Расчет ЦП - общая форма'!AS217</f>
        <v>29.761904761904759</v>
      </c>
      <c r="M217" s="924"/>
      <c r="N217" s="924"/>
    </row>
    <row r="218" spans="1:14" ht="20.100000000000001" hidden="1" customHeight="1" x14ac:dyDescent="0.25">
      <c r="A218" s="213">
        <f>'Расчет ЦП - общая форма'!Y218</f>
        <v>157</v>
      </c>
      <c r="B218" s="1152">
        <f>COUNTIFS($C$8:C218,"*ПС*",$J$8:J218,"*закрыт*")</f>
        <v>25</v>
      </c>
      <c r="C218" s="213" t="str">
        <f>'Расчет ЦП - общая форма'!AA218</f>
        <v>ПС 110/10 кВ Понизовье</v>
      </c>
      <c r="D218" s="230">
        <f>'Расчет ЦП - общая форма'!AB218</f>
        <v>2.5</v>
      </c>
      <c r="E218" s="229">
        <f>'Расчет ЦП - общая форма'!AC218</f>
        <v>0</v>
      </c>
      <c r="F218" s="229">
        <f>'Расчет ЦП - общая форма'!AD218</f>
        <v>0</v>
      </c>
      <c r="G218" s="229">
        <f>'Расчет ЦП - общая форма'!AE218</f>
        <v>0</v>
      </c>
      <c r="H218" s="229">
        <f>'Расчет ЦП - общая форма'!AF218</f>
        <v>0</v>
      </c>
      <c r="I218" s="172">
        <f>'Расчет ЦП - общая форма'!AP218</f>
        <v>1.9115779999999998</v>
      </c>
      <c r="J218" s="172" t="str">
        <f>'Расчет ЦП - общая форма'!AQ218</f>
        <v/>
      </c>
      <c r="K218" s="924" t="str">
        <f>'Расчет ЦП - общая форма'!AR218</f>
        <v/>
      </c>
      <c r="L218" s="924">
        <f>'Расчет ЦП - общая форма'!AS218</f>
        <v>13.273219047619047</v>
      </c>
      <c r="M218" s="924"/>
      <c r="N218" s="924"/>
    </row>
    <row r="219" spans="1:14" hidden="1" x14ac:dyDescent="0.25">
      <c r="A219" s="213">
        <f>'Расчет ЦП - общая форма'!Y219</f>
        <v>158</v>
      </c>
      <c r="B219" s="1152">
        <f>COUNTIFS($C$8:C219,"*ПС*",$J$8:J219,"*закрыт*")</f>
        <v>25</v>
      </c>
      <c r="C219" s="213" t="str">
        <f>'Расчет ЦП - общая форма'!AA219</f>
        <v>ПС 35/10 кВ Синьково</v>
      </c>
      <c r="D219" s="230">
        <f>'Расчет ЦП - общая форма'!AB219</f>
        <v>1</v>
      </c>
      <c r="E219" s="229">
        <f>'Расчет ЦП - общая форма'!AC219</f>
        <v>0</v>
      </c>
      <c r="F219" s="229">
        <f>'Расчет ЦП - общая форма'!AD219</f>
        <v>0</v>
      </c>
      <c r="G219" s="229">
        <f>'Расчет ЦП - общая форма'!AE219</f>
        <v>0</v>
      </c>
      <c r="H219" s="229">
        <f>'Расчет ЦП - общая форма'!AF219</f>
        <v>0</v>
      </c>
      <c r="I219" s="172">
        <f>'Расчет ЦП - общая форма'!AP219</f>
        <v>1.1885000000000034E-2</v>
      </c>
      <c r="J219" s="172" t="str">
        <f>'Расчет ЦП - общая форма'!AQ219</f>
        <v/>
      </c>
      <c r="K219" s="924" t="str">
        <f>'Расчет ЦП - общая форма'!AR219</f>
        <v/>
      </c>
      <c r="L219" s="924">
        <f>'Расчет ЦП - общая форма'!AS219</f>
        <v>60.772857142857134</v>
      </c>
      <c r="M219" s="924"/>
      <c r="N219" s="924"/>
    </row>
    <row r="220" spans="1:14" ht="20.100000000000001" customHeight="1" x14ac:dyDescent="0.25">
      <c r="A220" s="213">
        <f>'Расчет ЦП - общая форма'!Y220</f>
        <v>159</v>
      </c>
      <c r="B220" s="1255">
        <f>COUNTIFS($C$8:C220,"*ПС*",$J$8:J220,"*закрыт*")</f>
        <v>26</v>
      </c>
      <c r="C220" s="213" t="str">
        <f>'Расчет ЦП - общая форма'!AA220</f>
        <v>ПС 35/10 кВ Улин</v>
      </c>
      <c r="D220" s="230">
        <f>'Расчет ЦП - общая форма'!AB220</f>
        <v>1.6</v>
      </c>
      <c r="E220" s="229">
        <f>'Расчет ЦП - общая форма'!AC220</f>
        <v>0</v>
      </c>
      <c r="F220" s="229">
        <f>'Расчет ЦП - общая форма'!AD220</f>
        <v>0</v>
      </c>
      <c r="G220" s="229">
        <f>'Расчет ЦП - общая форма'!AE220</f>
        <v>0</v>
      </c>
      <c r="H220" s="229">
        <f>'Расчет ЦП - общая форма'!AF220</f>
        <v>0</v>
      </c>
      <c r="I220" s="172">
        <f>'Расчет ЦП - общая форма'!AP220</f>
        <v>-0.31468699999999994</v>
      </c>
      <c r="J220" s="172" t="str">
        <f>'Расчет ЦП - общая форма'!AQ220</f>
        <v>закрыт</v>
      </c>
      <c r="K220" s="924" t="str">
        <f>'Расчет ЦП - общая форма'!AR220</f>
        <v>закрыт</v>
      </c>
      <c r="L220" s="924">
        <f>'Расчет ЦП - общая форма'!AS220</f>
        <v>18.731369047619044</v>
      </c>
      <c r="M220" s="924"/>
      <c r="N220" s="924"/>
    </row>
    <row r="221" spans="1:14" hidden="1" x14ac:dyDescent="0.25">
      <c r="A221" s="213">
        <f>'Расчет ЦП - общая форма'!Y221</f>
        <v>160</v>
      </c>
      <c r="B221" s="1152">
        <f>COUNTIFS($C$8:C221,"*ПС*",$J$8:J221,"*закрыт*")</f>
        <v>26</v>
      </c>
      <c r="C221" s="213" t="str">
        <f>'Расчет ЦП - общая форма'!AA221</f>
        <v>ПС 35/10 кВ Кавельщино</v>
      </c>
      <c r="D221" s="230">
        <f>'Расчет ЦП - общая форма'!AB221</f>
        <v>2.5</v>
      </c>
      <c r="E221" s="229">
        <f>'Расчет ЦП - общая форма'!AC221</f>
        <v>0</v>
      </c>
      <c r="F221" s="229">
        <f>'Расчет ЦП - общая форма'!AD221</f>
        <v>0</v>
      </c>
      <c r="G221" s="229">
        <f>'Расчет ЦП - общая форма'!AE221</f>
        <v>0</v>
      </c>
      <c r="H221" s="229">
        <f>'Расчет ЦП - общая форма'!AF221</f>
        <v>0</v>
      </c>
      <c r="I221" s="172">
        <f>'Расчет ЦП - общая форма'!AP221</f>
        <v>1.5483499999999999</v>
      </c>
      <c r="J221" s="172" t="str">
        <f>'Расчет ЦП - общая форма'!AQ221</f>
        <v/>
      </c>
      <c r="K221" s="924" t="str">
        <f>'Расчет ЦП - общая форма'!AR221</f>
        <v/>
      </c>
      <c r="L221" s="924">
        <f>'Расчет ЦП - общая форма'!AS221</f>
        <v>6.92</v>
      </c>
      <c r="M221" s="924"/>
      <c r="N221" s="924"/>
    </row>
    <row r="222" spans="1:14" hidden="1" x14ac:dyDescent="0.25">
      <c r="A222" s="213">
        <f>'Расчет ЦП - общая форма'!Y222</f>
        <v>161</v>
      </c>
      <c r="B222" s="1152">
        <f>COUNTIFS($C$8:C222,"*ПС*",$J$8:J222,"*закрыт*")</f>
        <v>26</v>
      </c>
      <c r="C222" s="213" t="str">
        <f>'Расчет ЦП - общая форма'!AA222</f>
        <v>ПС 35/10 кВ Бологово</v>
      </c>
      <c r="D222" s="230">
        <f>'Расчет ЦП - общая форма'!AB222</f>
        <v>1.6</v>
      </c>
      <c r="E222" s="229" t="str">
        <f>'Расчет ЦП - общая форма'!AC222</f>
        <v>+</v>
      </c>
      <c r="F222" s="229">
        <f>'Расчет ЦП - общая форма'!AD222</f>
        <v>2.5</v>
      </c>
      <c r="G222" s="229">
        <f>'Расчет ЦП - общая форма'!AE222</f>
        <v>0</v>
      </c>
      <c r="H222" s="229">
        <f>'Расчет ЦП - общая форма'!AF222</f>
        <v>0</v>
      </c>
      <c r="I222" s="172">
        <f>'Расчет ЦП - общая форма'!AP222</f>
        <v>1.237895</v>
      </c>
      <c r="J222" s="172" t="str">
        <f>'Расчет ЦП - общая форма'!AQ222</f>
        <v/>
      </c>
      <c r="K222" s="924" t="str">
        <f>'Расчет ЦП - общая форма'!AR222</f>
        <v/>
      </c>
      <c r="L222" s="924">
        <f>'Расчет ЦП - общая форма'!AS222</f>
        <v>40.006250000000001</v>
      </c>
      <c r="M222" s="924"/>
      <c r="N222" s="924"/>
    </row>
    <row r="223" spans="1:14" hidden="1" x14ac:dyDescent="0.25">
      <c r="A223" s="213">
        <f>'Расчет ЦП - общая форма'!Y223</f>
        <v>162</v>
      </c>
      <c r="B223" s="1152">
        <f>COUNTIFS($C$8:C223,"*ПС*",$J$8:J223,"*закрыт*")</f>
        <v>26</v>
      </c>
      <c r="C223" s="213" t="str">
        <f>'Расчет ЦП - общая форма'!AA223</f>
        <v>ПС 35/10 кВ Верховье</v>
      </c>
      <c r="D223" s="230">
        <f>'Расчет ЦП - общая форма'!AB223</f>
        <v>1</v>
      </c>
      <c r="E223" s="229" t="str">
        <f>'Расчет ЦП - общая форма'!AC223</f>
        <v>+</v>
      </c>
      <c r="F223" s="229">
        <f>'Расчет ЦП - общая форма'!AD223</f>
        <v>2.5</v>
      </c>
      <c r="G223" s="229">
        <f>'Расчет ЦП - общая форма'!AE223</f>
        <v>0</v>
      </c>
      <c r="H223" s="229">
        <f>'Расчет ЦП - общая форма'!AF223</f>
        <v>0</v>
      </c>
      <c r="I223" s="172">
        <f>'Расчет ЦП - общая форма'!AP223</f>
        <v>1.01468</v>
      </c>
      <c r="J223" s="172" t="str">
        <f>'Расчет ЦП - общая форма'!AQ223</f>
        <v/>
      </c>
      <c r="K223" s="924" t="str">
        <f>'Расчет ЦП - общая форма'!AR223</f>
        <v/>
      </c>
      <c r="L223" s="924">
        <f>'Расчет ЦП - общая форма'!AS223</f>
        <v>13.84</v>
      </c>
      <c r="M223" s="924"/>
      <c r="N223" s="924"/>
    </row>
    <row r="224" spans="1:14" hidden="1" x14ac:dyDescent="0.25">
      <c r="A224" s="213">
        <f>'Расчет ЦП - общая форма'!Y224</f>
        <v>163</v>
      </c>
      <c r="B224" s="1152">
        <f>COUNTIFS($C$8:C224,"*ПС*",$J$8:J224,"*закрыт*")</f>
        <v>26</v>
      </c>
      <c r="C224" s="213" t="str">
        <f>'Расчет ЦП - общая форма'!AA224</f>
        <v>ПС 35/10 кВ Воскресенское</v>
      </c>
      <c r="D224" s="230">
        <f>'Расчет ЦП - общая форма'!AB224</f>
        <v>1.6</v>
      </c>
      <c r="E224" s="229" t="str">
        <f>'Расчет ЦП - общая форма'!AC224</f>
        <v>+</v>
      </c>
      <c r="F224" s="229">
        <f>'Расчет ЦП - общая форма'!AD224</f>
        <v>1.6</v>
      </c>
      <c r="G224" s="229">
        <f>'Расчет ЦП - общая форма'!AE224</f>
        <v>0</v>
      </c>
      <c r="H224" s="229">
        <f>'Расчет ЦП - общая форма'!AF224</f>
        <v>0</v>
      </c>
      <c r="I224" s="172">
        <f>'Расчет ЦП - общая форма'!AP224</f>
        <v>1.6282260000000002</v>
      </c>
      <c r="J224" s="172" t="str">
        <f>'Расчет ЦП - общая форма'!AQ224</f>
        <v/>
      </c>
      <c r="K224" s="924" t="str">
        <f>'Расчет ЦП - общая форма'!AR224</f>
        <v/>
      </c>
      <c r="L224" s="924">
        <f>'Расчет ЦП - общая форма'!AS224</f>
        <v>25.10559523809523</v>
      </c>
      <c r="M224" s="924"/>
      <c r="N224" s="924"/>
    </row>
    <row r="225" spans="1:14" hidden="1" x14ac:dyDescent="0.25">
      <c r="A225" s="213">
        <f>'Расчет ЦП - общая форма'!Y225</f>
        <v>164</v>
      </c>
      <c r="B225" s="1152">
        <f>COUNTIFS($C$8:C225,"*ПС*",$J$8:J225,"*закрыт*")</f>
        <v>26</v>
      </c>
      <c r="C225" s="213" t="str">
        <f>'Расчет ЦП - общая форма'!AA225</f>
        <v>ПС 35/10 кВ Дашково</v>
      </c>
      <c r="D225" s="230">
        <f>'Расчет ЦП - общая форма'!AB225</f>
        <v>2.5</v>
      </c>
      <c r="E225" s="229" t="str">
        <f>'Расчет ЦП - общая форма'!AC225</f>
        <v>+</v>
      </c>
      <c r="F225" s="229">
        <f>'Расчет ЦП - общая форма'!AD225</f>
        <v>2.5</v>
      </c>
      <c r="G225" s="229">
        <f>'Расчет ЦП - общая форма'!AE225</f>
        <v>0</v>
      </c>
      <c r="H225" s="229">
        <f>'Расчет ЦП - общая форма'!AF225</f>
        <v>0</v>
      </c>
      <c r="I225" s="172">
        <f>'Расчет ЦП - общая форма'!AP225</f>
        <v>1.304608</v>
      </c>
      <c r="J225" s="172" t="str">
        <f>'Расчет ЦП - общая форма'!AQ225</f>
        <v/>
      </c>
      <c r="K225" s="924" t="str">
        <f>'Расчет ЦП - общая форма'!AR225</f>
        <v/>
      </c>
      <c r="L225" s="924">
        <f>'Расчет ЦП - общая форма'!AS225</f>
        <v>58.681599999999996</v>
      </c>
      <c r="M225" s="924"/>
      <c r="N225" s="924"/>
    </row>
    <row r="226" spans="1:14" hidden="1" x14ac:dyDescent="0.25">
      <c r="A226" s="213">
        <f>'Расчет ЦП - общая форма'!Y226</f>
        <v>165</v>
      </c>
      <c r="B226" s="1152">
        <f>COUNTIFS($C$8:C226,"*ПС*",$J$8:J226,"*закрыт*")</f>
        <v>26</v>
      </c>
      <c r="C226" s="213" t="str">
        <f>'Расчет ЦП - общая форма'!AA226</f>
        <v>ПС 110/10 кВ Ерохино</v>
      </c>
      <c r="D226" s="230">
        <f>'Расчет ЦП - общая форма'!AB226</f>
        <v>25</v>
      </c>
      <c r="E226" s="229" t="str">
        <f>'Расчет ЦП - общая форма'!AC226</f>
        <v>+</v>
      </c>
      <c r="F226" s="229">
        <f>'Расчет ЦП - общая форма'!AD226</f>
        <v>25</v>
      </c>
      <c r="G226" s="229">
        <f>'Расчет ЦП - общая форма'!AE226</f>
        <v>0</v>
      </c>
      <c r="H226" s="229">
        <f>'Расчет ЦП - общая форма'!AF226</f>
        <v>0</v>
      </c>
      <c r="I226" s="796">
        <f>'Расчет ЦП - общая форма'!AP226</f>
        <v>26.25</v>
      </c>
      <c r="J226" s="796" t="str">
        <f>'Расчет ЦП - общая форма'!AQ226</f>
        <v/>
      </c>
      <c r="K226" s="924" t="str">
        <f>'Расчет ЦП - общая форма'!AR226</f>
        <v/>
      </c>
      <c r="L226" s="924">
        <f>'Расчет ЦП - общая форма'!AS226</f>
        <v>0</v>
      </c>
      <c r="M226" s="924"/>
      <c r="N226" s="924"/>
    </row>
    <row r="227" spans="1:14" hidden="1" x14ac:dyDescent="0.25">
      <c r="A227" s="213">
        <f>'Расчет ЦП - общая форма'!Y227</f>
        <v>166</v>
      </c>
      <c r="B227" s="1152">
        <f>COUNTIFS($C$8:C227,"*ПС*",$J$8:J227,"*закрыт*")</f>
        <v>26</v>
      </c>
      <c r="C227" s="213" t="str">
        <f>'Расчет ЦП - общая форма'!AA227</f>
        <v>ПС 35/10 кВ Ильино</v>
      </c>
      <c r="D227" s="230">
        <f>'Расчет ЦП - общая форма'!AB227</f>
        <v>1.6</v>
      </c>
      <c r="E227" s="229" t="str">
        <f>'Расчет ЦП - общая форма'!AC227</f>
        <v>+</v>
      </c>
      <c r="F227" s="229">
        <f>'Расчет ЦП - общая форма'!AD227</f>
        <v>2.5</v>
      </c>
      <c r="G227" s="229">
        <f>'Расчет ЦП - общая форма'!AE227</f>
        <v>0</v>
      </c>
      <c r="H227" s="229">
        <f>'Расчет ЦП - общая форма'!AF227</f>
        <v>0</v>
      </c>
      <c r="I227" s="172">
        <f>'Расчет ЦП - общая форма'!AP227</f>
        <v>1.1190900000000001</v>
      </c>
      <c r="J227" s="172" t="str">
        <f>'Расчет ЦП - общая форма'!AQ227</f>
        <v/>
      </c>
      <c r="K227" s="924" t="str">
        <f>'Расчет ЦП - общая форма'!AR227</f>
        <v/>
      </c>
      <c r="L227" s="924">
        <f>'Расчет ЦП - общая форма'!AS227</f>
        <v>58.387499999999989</v>
      </c>
      <c r="M227" s="924"/>
      <c r="N227" s="924"/>
    </row>
    <row r="228" spans="1:14" hidden="1" x14ac:dyDescent="0.25">
      <c r="A228" s="213">
        <f>'Расчет ЦП - общая форма'!Y228</f>
        <v>167</v>
      </c>
      <c r="B228" s="1152">
        <f>COUNTIFS($C$8:C228,"*ПС*",$J$8:J228,"*закрыт*")</f>
        <v>26</v>
      </c>
      <c r="C228" s="213" t="str">
        <f>'Расчет ЦП - общая форма'!AA228</f>
        <v>ПС 35/10 кВ Плоскошь</v>
      </c>
      <c r="D228" s="230">
        <f>'Расчет ЦП - общая форма'!AB228</f>
        <v>3.2</v>
      </c>
      <c r="E228" s="229" t="str">
        <f>'Расчет ЦП - общая форма'!AC228</f>
        <v>+</v>
      </c>
      <c r="F228" s="229">
        <f>'Расчет ЦП - общая форма'!AD228</f>
        <v>4</v>
      </c>
      <c r="G228" s="229">
        <f>'Расчет ЦП - общая форма'!AE228</f>
        <v>0</v>
      </c>
      <c r="H228" s="229">
        <f>'Расчет ЦП - общая форма'!AF228</f>
        <v>0</v>
      </c>
      <c r="I228" s="172">
        <f>'Расчет ЦП - общая форма'!AP228</f>
        <v>3.0036500000000004</v>
      </c>
      <c r="J228" s="172" t="str">
        <f>'Расчет ЦП - общая форма'!AQ228</f>
        <v/>
      </c>
      <c r="K228" s="924" t="str">
        <f>'Расчет ЦП - общая форма'!AR228</f>
        <v/>
      </c>
      <c r="L228" s="924">
        <f>'Расчет ЦП - общая форма'!AS228</f>
        <v>25.486607142857142</v>
      </c>
      <c r="M228" s="924"/>
      <c r="N228" s="924"/>
    </row>
    <row r="229" spans="1:14" hidden="1" x14ac:dyDescent="0.25">
      <c r="A229" s="213">
        <f>'Расчет ЦП - общая форма'!Y229</f>
        <v>168</v>
      </c>
      <c r="B229" s="1152">
        <f>COUNTIFS($C$8:C229,"*ПС*",$J$8:J229,"*закрыт*")</f>
        <v>26</v>
      </c>
      <c r="C229" s="213" t="str">
        <f>'Расчет ЦП - общая форма'!AA229</f>
        <v>ПС 35/6 кВ Половцово</v>
      </c>
      <c r="D229" s="230">
        <f>'Расчет ЦП - общая форма'!AB229</f>
        <v>5.6</v>
      </c>
      <c r="E229" s="229" t="str">
        <f>'Расчет ЦП - общая форма'!AC229</f>
        <v>+</v>
      </c>
      <c r="F229" s="229">
        <f>'Расчет ЦП - общая форма'!AD229</f>
        <v>5.6</v>
      </c>
      <c r="G229" s="229">
        <f>'Расчет ЦП - общая форма'!AE229</f>
        <v>0</v>
      </c>
      <c r="H229" s="229">
        <f>'Расчет ЦП - общая форма'!AF229</f>
        <v>0</v>
      </c>
      <c r="I229" s="172">
        <f>'Расчет ЦП - общая форма'!AP229</f>
        <v>2.2299999999999995</v>
      </c>
      <c r="J229" s="172" t="str">
        <f>'Расчет ЦП - общая форма'!AQ229</f>
        <v/>
      </c>
      <c r="K229" s="924" t="str">
        <f>'Расчет ЦП - общая форма'!AR229</f>
        <v/>
      </c>
      <c r="L229" s="924">
        <f>'Расчет ЦП - общая форма'!AS229</f>
        <v>67.517006802721085</v>
      </c>
      <c r="M229" s="924"/>
      <c r="N229" s="924"/>
    </row>
    <row r="230" spans="1:14" ht="20.100000000000001" hidden="1" customHeight="1" x14ac:dyDescent="0.25">
      <c r="A230" s="213">
        <f>'Расчет ЦП - общая форма'!Y230</f>
        <v>169</v>
      </c>
      <c r="B230" s="1152">
        <f>COUNTIFS($C$8:C230,"*ПС*",$J$8:J230,"*закрыт*")</f>
        <v>26</v>
      </c>
      <c r="C230" s="213" t="str">
        <f>'Расчет ЦП - общая форма'!AA230</f>
        <v>ПС 35/10 кВ Ст. Торопа</v>
      </c>
      <c r="D230" s="230">
        <f>'Расчет ЦП - общая форма'!AB230</f>
        <v>4</v>
      </c>
      <c r="E230" s="229" t="str">
        <f>'Расчет ЦП - общая форма'!AC230</f>
        <v>+</v>
      </c>
      <c r="F230" s="229">
        <f>'Расчет ЦП - общая форма'!AD230</f>
        <v>4</v>
      </c>
      <c r="G230" s="229">
        <f>'Расчет ЦП - общая форма'!AE230</f>
        <v>0</v>
      </c>
      <c r="H230" s="229">
        <f>'Расчет ЦП - общая форма'!AF230</f>
        <v>0</v>
      </c>
      <c r="I230" s="172">
        <f>'Расчет ЦП - общая форма'!AP230</f>
        <v>1.7862500000000003</v>
      </c>
      <c r="J230" s="172" t="str">
        <f>'Расчет ЦП - общая форма'!AQ230</f>
        <v/>
      </c>
      <c r="K230" s="924" t="str">
        <f>'Расчет ЦП - общая форма'!AR230</f>
        <v/>
      </c>
      <c r="L230" s="924">
        <f>'Расчет ЦП - общая форма'!AS230</f>
        <v>57.470238095238088</v>
      </c>
      <c r="M230" s="924"/>
      <c r="N230" s="924"/>
    </row>
    <row r="231" spans="1:14" ht="20.100000000000001" hidden="1" customHeight="1" x14ac:dyDescent="0.25">
      <c r="A231" s="1371">
        <f>'Расчет ЦП - общая форма'!Y231</f>
        <v>170</v>
      </c>
      <c r="B231" s="1376">
        <f>COUNTIFS($C$8:C231,"*ПС*",$J$8:J231,"*закрыт*")</f>
        <v>26</v>
      </c>
      <c r="C231" s="213" t="str">
        <f>'Расчет ЦП - общая форма'!AA231</f>
        <v>ПС 110/35/10 кВ Андреаполь</v>
      </c>
      <c r="D231" s="230">
        <f>'Расчет ЦП - общая форма'!AB231</f>
        <v>10</v>
      </c>
      <c r="E231" s="229" t="str">
        <f>'Расчет ЦП - общая форма'!AC231</f>
        <v>+</v>
      </c>
      <c r="F231" s="229">
        <f>'Расчет ЦП - общая форма'!AD231</f>
        <v>10</v>
      </c>
      <c r="G231" s="229">
        <f>'Расчет ЦП - общая форма'!AE231</f>
        <v>0</v>
      </c>
      <c r="H231" s="229">
        <f>'Расчет ЦП - общая форма'!AF231</f>
        <v>0</v>
      </c>
      <c r="I231" s="1364">
        <f>'Расчет ЦП - общая форма'!AP231</f>
        <v>2.4162500000000016</v>
      </c>
      <c r="J231" s="1364" t="str">
        <f>'Расчет ЦП - общая форма'!AQ231</f>
        <v/>
      </c>
      <c r="K231" s="924" t="str">
        <f>'Расчет ЦП - общая форма'!AR231</f>
        <v/>
      </c>
      <c r="L231" s="924">
        <f>'Расчет ЦП - общая форма'!AS231</f>
        <v>84.607142857142847</v>
      </c>
      <c r="M231" s="924"/>
      <c r="N231" s="924"/>
    </row>
    <row r="232" spans="1:14" ht="20.100000000000001" hidden="1" customHeight="1" x14ac:dyDescent="0.25">
      <c r="A232" s="1371">
        <f>'Расчет ЦП - общая форма'!Y232</f>
        <v>0</v>
      </c>
      <c r="B232" s="1393"/>
      <c r="C232" s="7" t="str">
        <f>'Расчет ЦП - общая форма'!AA232</f>
        <v xml:space="preserve">Ном. Мощность СН, МВА </v>
      </c>
      <c r="D232" s="230">
        <f>'Расчет ЦП - общая форма'!AB232</f>
        <v>10</v>
      </c>
      <c r="E232" s="229" t="str">
        <f>'Расчет ЦП - общая форма'!AC232</f>
        <v>+</v>
      </c>
      <c r="F232" s="229">
        <f>'Расчет ЦП - общая форма'!AD232</f>
        <v>10</v>
      </c>
      <c r="G232" s="229">
        <f>'Расчет ЦП - общая форма'!AE232</f>
        <v>0</v>
      </c>
      <c r="H232" s="229">
        <f>'Расчет ЦП - общая форма'!AF232</f>
        <v>0</v>
      </c>
      <c r="I232" s="1365">
        <f>'Расчет ЦП - общая форма'!AP232</f>
        <v>0</v>
      </c>
      <c r="J232" s="1365">
        <f>'Расчет ЦП - общая форма'!AQ232</f>
        <v>0</v>
      </c>
      <c r="K232" s="924" t="str">
        <f>'Расчет ЦП - общая форма'!AR232</f>
        <v/>
      </c>
      <c r="L232" s="924">
        <f>'Расчет ЦП - общая форма'!AS232</f>
        <v>0</v>
      </c>
      <c r="M232" s="924"/>
      <c r="N232" s="924"/>
    </row>
    <row r="233" spans="1:14" hidden="1" x14ac:dyDescent="0.25">
      <c r="A233" s="1371">
        <f>'Расчет ЦП - общая форма'!Y233</f>
        <v>0</v>
      </c>
      <c r="B233" s="1394"/>
      <c r="C233" s="7" t="str">
        <f>'Расчет ЦП - общая форма'!AA233</f>
        <v>Ном. мощность НН, МВА</v>
      </c>
      <c r="D233" s="230">
        <f>'Расчет ЦП - общая форма'!AB233</f>
        <v>10</v>
      </c>
      <c r="E233" s="229" t="str">
        <f>'Расчет ЦП - общая форма'!AC233</f>
        <v>+</v>
      </c>
      <c r="F233" s="229">
        <f>'Расчет ЦП - общая форма'!AD233</f>
        <v>10</v>
      </c>
      <c r="G233" s="229">
        <f>'Расчет ЦП - общая форма'!AE233</f>
        <v>0</v>
      </c>
      <c r="H233" s="229">
        <f>'Расчет ЦП - общая форма'!AF233</f>
        <v>0</v>
      </c>
      <c r="I233" s="1366">
        <f>'Расчет ЦП - общая форма'!AP233</f>
        <v>0</v>
      </c>
      <c r="J233" s="1366">
        <f>'Расчет ЦП - общая форма'!AQ233</f>
        <v>0</v>
      </c>
      <c r="K233" s="924" t="str">
        <f>'Расчет ЦП - общая форма'!AR233</f>
        <v/>
      </c>
      <c r="L233" s="924">
        <f>'Расчет ЦП - общая форма'!AS233</f>
        <v>0</v>
      </c>
      <c r="M233" s="924"/>
      <c r="N233" s="924"/>
    </row>
    <row r="234" spans="1:14" hidden="1" x14ac:dyDescent="0.25">
      <c r="A234" s="1371">
        <f>'Расчет ЦП - общая форма'!Y234</f>
        <v>171</v>
      </c>
      <c r="B234" s="1376">
        <f>COUNTIFS($C$8:C234,"*ПС*",$J$8:J234,"*закрыт*")</f>
        <v>26</v>
      </c>
      <c r="C234" s="213" t="str">
        <f>'Расчет ЦП - общая форма'!AA234</f>
        <v>ПС 110/35/10 кВ Белый</v>
      </c>
      <c r="D234" s="230">
        <f>'Расчет ЦП - общая форма'!AB234</f>
        <v>16</v>
      </c>
      <c r="E234" s="229" t="str">
        <f>'Расчет ЦП - общая форма'!AC234</f>
        <v>+</v>
      </c>
      <c r="F234" s="229">
        <f>'Расчет ЦП - общая форма'!AD234</f>
        <v>10</v>
      </c>
      <c r="G234" s="229">
        <f>'Расчет ЦП - общая форма'!AE234</f>
        <v>0</v>
      </c>
      <c r="H234" s="229">
        <f>'Расчет ЦП - общая форма'!AF234</f>
        <v>0</v>
      </c>
      <c r="I234" s="1364">
        <f>'Расчет ЦП - общая форма'!AP234</f>
        <v>6.1179249999999996</v>
      </c>
      <c r="J234" s="1364" t="str">
        <f>'Расчет ЦП - общая форма'!AQ234</f>
        <v/>
      </c>
      <c r="K234" s="924" t="str">
        <f>'Расчет ЦП - общая форма'!AR234</f>
        <v/>
      </c>
      <c r="L234" s="924">
        <f>'Расчет ЦП - общая форма'!AS234</f>
        <v>56.0197619047619</v>
      </c>
      <c r="M234" s="924"/>
      <c r="N234" s="924"/>
    </row>
    <row r="235" spans="1:14" hidden="1" x14ac:dyDescent="0.25">
      <c r="A235" s="1371">
        <f>'Расчет ЦП - общая форма'!Y235</f>
        <v>0</v>
      </c>
      <c r="B235" s="1393"/>
      <c r="C235" s="7" t="str">
        <f>'Расчет ЦП - общая форма'!AA235</f>
        <v xml:space="preserve">Ном. Мощность СН, МВА </v>
      </c>
      <c r="D235" s="230">
        <f>'Расчет ЦП - общая форма'!AB235</f>
        <v>16</v>
      </c>
      <c r="E235" s="229" t="str">
        <f>'Расчет ЦП - общая форма'!AC235</f>
        <v>+</v>
      </c>
      <c r="F235" s="229">
        <f>'Расчет ЦП - общая форма'!AD235</f>
        <v>10</v>
      </c>
      <c r="G235" s="229">
        <f>'Расчет ЦП - общая форма'!AE235</f>
        <v>0</v>
      </c>
      <c r="H235" s="229">
        <f>'Расчет ЦП - общая форма'!AF235</f>
        <v>0</v>
      </c>
      <c r="I235" s="1365">
        <f>'Расчет ЦП - общая форма'!AP235</f>
        <v>0</v>
      </c>
      <c r="J235" s="1365" t="str">
        <f>'Расчет ЦП - общая форма'!AQ235</f>
        <v/>
      </c>
      <c r="K235" s="924" t="str">
        <f>'Расчет ЦП - общая форма'!AR235</f>
        <v/>
      </c>
      <c r="L235" s="924">
        <f>'Расчет ЦП - общая форма'!AS235</f>
        <v>0</v>
      </c>
      <c r="M235" s="924"/>
      <c r="N235" s="924"/>
    </row>
    <row r="236" spans="1:14" hidden="1" x14ac:dyDescent="0.25">
      <c r="A236" s="1371">
        <f>'Расчет ЦП - общая форма'!Y236</f>
        <v>0</v>
      </c>
      <c r="B236" s="1394"/>
      <c r="C236" s="7" t="str">
        <f>'Расчет ЦП - общая форма'!AA236</f>
        <v>Ном. мощность НН, МВА</v>
      </c>
      <c r="D236" s="230">
        <f>'Расчет ЦП - общая форма'!AB236</f>
        <v>16</v>
      </c>
      <c r="E236" s="229" t="str">
        <f>'Расчет ЦП - общая форма'!AC236</f>
        <v>+</v>
      </c>
      <c r="F236" s="229">
        <f>'Расчет ЦП - общая форма'!AD236</f>
        <v>10</v>
      </c>
      <c r="G236" s="229">
        <f>'Расчет ЦП - общая форма'!AE236</f>
        <v>0</v>
      </c>
      <c r="H236" s="229">
        <f>'Расчет ЦП - общая форма'!AF236</f>
        <v>0</v>
      </c>
      <c r="I236" s="1366">
        <f>'Расчет ЦП - общая форма'!AP236</f>
        <v>0</v>
      </c>
      <c r="J236" s="1366" t="str">
        <f>'Расчет ЦП - общая форма'!AQ236</f>
        <v/>
      </c>
      <c r="K236" s="924" t="str">
        <f>'Расчет ЦП - общая форма'!AR236</f>
        <v/>
      </c>
      <c r="L236" s="924">
        <f>'Расчет ЦП - общая форма'!AS236</f>
        <v>0</v>
      </c>
      <c r="M236" s="924"/>
      <c r="N236" s="924"/>
    </row>
    <row r="237" spans="1:14" hidden="1" x14ac:dyDescent="0.25">
      <c r="A237" s="1371">
        <f>'Расчет ЦП - общая форма'!Y237</f>
        <v>172</v>
      </c>
      <c r="B237" s="1376">
        <f>COUNTIFS($C$8:C237,"*ПС*",$J$8:J237,"*закрыт*")</f>
        <v>26</v>
      </c>
      <c r="C237" s="213" t="str">
        <f>'Расчет ЦП - общая форма'!AA237</f>
        <v>ПС 110/35/10 кВ Западная Двина</v>
      </c>
      <c r="D237" s="230">
        <f>'Расчет ЦП - общая форма'!AB237</f>
        <v>10</v>
      </c>
      <c r="E237" s="229" t="str">
        <f>'Расчет ЦП - общая форма'!AC237</f>
        <v>+</v>
      </c>
      <c r="F237" s="229">
        <f>'Расчет ЦП - общая форма'!AD237</f>
        <v>10</v>
      </c>
      <c r="G237" s="229">
        <f>'Расчет ЦП - общая форма'!AE237</f>
        <v>0</v>
      </c>
      <c r="H237" s="229">
        <f>'Расчет ЦП - общая форма'!AF237</f>
        <v>0</v>
      </c>
      <c r="I237" s="1364">
        <f>'Расчет ЦП - общая форма'!AP237</f>
        <v>0.69875000000000043</v>
      </c>
      <c r="J237" s="1364" t="str">
        <f>'Расчет ЦП - общая форма'!AQ237</f>
        <v/>
      </c>
      <c r="K237" s="924" t="str">
        <f>'Расчет ЦП - общая форма'!AR237</f>
        <v/>
      </c>
      <c r="L237" s="924">
        <f>'Расчет ЦП - общая форма'!AS237</f>
        <v>116.20238095238095</v>
      </c>
      <c r="M237" s="924"/>
      <c r="N237" s="924"/>
    </row>
    <row r="238" spans="1:14" hidden="1" x14ac:dyDescent="0.25">
      <c r="A238" s="1371">
        <f>'Расчет ЦП - общая форма'!Y238</f>
        <v>0</v>
      </c>
      <c r="B238" s="1393"/>
      <c r="C238" s="7" t="str">
        <f>'Расчет ЦП - общая форма'!AA238</f>
        <v xml:space="preserve">Ном. Мощность СН, МВА </v>
      </c>
      <c r="D238" s="230">
        <f>'Расчет ЦП - общая форма'!AB238</f>
        <v>10</v>
      </c>
      <c r="E238" s="229" t="str">
        <f>'Расчет ЦП - общая форма'!AC238</f>
        <v>+</v>
      </c>
      <c r="F238" s="229">
        <f>'Расчет ЦП - общая форма'!AD238</f>
        <v>10</v>
      </c>
      <c r="G238" s="229">
        <f>'Расчет ЦП - общая форма'!AE238</f>
        <v>0</v>
      </c>
      <c r="H238" s="229">
        <f>'Расчет ЦП - общая форма'!AF238</f>
        <v>0</v>
      </c>
      <c r="I238" s="1365">
        <f>'Расчет ЦП - общая форма'!AP238</f>
        <v>0</v>
      </c>
      <c r="J238" s="1365" t="str">
        <f>'Расчет ЦП - общая форма'!AQ238</f>
        <v/>
      </c>
      <c r="K238" s="924" t="str">
        <f>'Расчет ЦП - общая форма'!AR238</f>
        <v/>
      </c>
      <c r="L238" s="924">
        <f>'Расчет ЦП - общая форма'!AS238</f>
        <v>0</v>
      </c>
      <c r="M238" s="924"/>
      <c r="N238" s="924"/>
    </row>
    <row r="239" spans="1:14" ht="20.100000000000001" hidden="1" customHeight="1" x14ac:dyDescent="0.25">
      <c r="A239" s="1371">
        <f>'Расчет ЦП - общая форма'!Y239</f>
        <v>0</v>
      </c>
      <c r="B239" s="1394"/>
      <c r="C239" s="7" t="str">
        <f>'Расчет ЦП - общая форма'!AA239</f>
        <v>Ном. мощность НН, МВА</v>
      </c>
      <c r="D239" s="230">
        <f>'Расчет ЦП - общая форма'!AB239</f>
        <v>10</v>
      </c>
      <c r="E239" s="229" t="str">
        <f>'Расчет ЦП - общая форма'!AC239</f>
        <v>+</v>
      </c>
      <c r="F239" s="229">
        <f>'Расчет ЦП - общая форма'!AD239</f>
        <v>10</v>
      </c>
      <c r="G239" s="229">
        <f>'Расчет ЦП - общая форма'!AE239</f>
        <v>0</v>
      </c>
      <c r="H239" s="229">
        <f>'Расчет ЦП - общая форма'!AF239</f>
        <v>0</v>
      </c>
      <c r="I239" s="1366">
        <f>'Расчет ЦП - общая форма'!AP239</f>
        <v>0</v>
      </c>
      <c r="J239" s="1366" t="str">
        <f>'Расчет ЦП - общая форма'!AQ239</f>
        <v/>
      </c>
      <c r="K239" s="924" t="str">
        <f>'Расчет ЦП - общая форма'!AR239</f>
        <v/>
      </c>
      <c r="L239" s="924">
        <f>'Расчет ЦП - общая форма'!AS239</f>
        <v>0</v>
      </c>
      <c r="M239" s="924"/>
      <c r="N239" s="924"/>
    </row>
    <row r="240" spans="1:14" ht="20.100000000000001" hidden="1" customHeight="1" x14ac:dyDescent="0.25">
      <c r="A240" s="1371">
        <f>'Расчет ЦП - общая форма'!Y240</f>
        <v>173</v>
      </c>
      <c r="B240" s="1376">
        <f>COUNTIFS($C$8:C240,"*ПС*",$J$8:J240,"*закрыт*")</f>
        <v>26</v>
      </c>
      <c r="C240" s="213" t="str">
        <f>'Расчет ЦП - общая форма'!AA240</f>
        <v>ПС 110/35/10 кВ Торопец</v>
      </c>
      <c r="D240" s="230">
        <f>'Расчет ЦП - общая форма'!AB240</f>
        <v>25</v>
      </c>
      <c r="E240" s="229" t="str">
        <f>'Расчет ЦП - общая форма'!AC240</f>
        <v>+</v>
      </c>
      <c r="F240" s="229">
        <f>'Расчет ЦП - общая форма'!AD240</f>
        <v>25</v>
      </c>
      <c r="G240" s="229">
        <f>'Расчет ЦП - общая форма'!AE240</f>
        <v>0</v>
      </c>
      <c r="H240" s="229">
        <f>'Расчет ЦП - общая форма'!AF240</f>
        <v>0</v>
      </c>
      <c r="I240" s="1364">
        <f>'Расчет ЦП - общая форма'!AP240</f>
        <v>7.7387499999999996</v>
      </c>
      <c r="J240" s="1364" t="str">
        <f>'Расчет ЦП - общая форма'!AQ240</f>
        <v/>
      </c>
      <c r="K240" s="924" t="str">
        <f>'Расчет ЦП - общая форма'!AR240</f>
        <v/>
      </c>
      <c r="L240" s="924">
        <f>'Расчет ЦП - общая форма'!AS240</f>
        <v>78.900000000000006</v>
      </c>
      <c r="M240" s="924"/>
      <c r="N240" s="924"/>
    </row>
    <row r="241" spans="1:14" ht="20.100000000000001" hidden="1" customHeight="1" x14ac:dyDescent="0.25">
      <c r="A241" s="1371">
        <f>'Расчет ЦП - общая форма'!Y241</f>
        <v>0</v>
      </c>
      <c r="B241" s="1393"/>
      <c r="C241" s="7" t="str">
        <f>'Расчет ЦП - общая форма'!AA241</f>
        <v xml:space="preserve">Ном. Мощность СН, МВА </v>
      </c>
      <c r="D241" s="230">
        <f>'Расчет ЦП - общая форма'!AB241</f>
        <v>25</v>
      </c>
      <c r="E241" s="229" t="str">
        <f>'Расчет ЦП - общая форма'!AC241</f>
        <v>+</v>
      </c>
      <c r="F241" s="229">
        <f>'Расчет ЦП - общая форма'!AD241</f>
        <v>25</v>
      </c>
      <c r="G241" s="229">
        <f>'Расчет ЦП - общая форма'!AE241</f>
        <v>0</v>
      </c>
      <c r="H241" s="229">
        <f>'Расчет ЦП - общая форма'!AF241</f>
        <v>0</v>
      </c>
      <c r="I241" s="1365">
        <f>'Расчет ЦП - общая форма'!AP241</f>
        <v>0</v>
      </c>
      <c r="J241" s="1365">
        <f>'Расчет ЦП - общая форма'!AQ241</f>
        <v>0</v>
      </c>
      <c r="K241" s="924" t="str">
        <f>'Расчет ЦП - общая форма'!AR241</f>
        <v/>
      </c>
      <c r="L241" s="924">
        <f>'Расчет ЦП - общая форма'!AS241</f>
        <v>0</v>
      </c>
      <c r="M241" s="924"/>
      <c r="N241" s="924"/>
    </row>
    <row r="242" spans="1:14" ht="15.75" hidden="1" customHeight="1" x14ac:dyDescent="0.25">
      <c r="A242" s="1371">
        <f>'Расчет ЦП - общая форма'!Y242</f>
        <v>0</v>
      </c>
      <c r="B242" s="1394"/>
      <c r="C242" s="7" t="str">
        <f>'Расчет ЦП - общая форма'!AA242</f>
        <v>Ном. мощность НН, МВА</v>
      </c>
      <c r="D242" s="230">
        <f>'Расчет ЦП - общая форма'!AB242</f>
        <v>25</v>
      </c>
      <c r="E242" s="229" t="str">
        <f>'Расчет ЦП - общая форма'!AC242</f>
        <v>+</v>
      </c>
      <c r="F242" s="229">
        <f>'Расчет ЦП - общая форма'!AD242</f>
        <v>25</v>
      </c>
      <c r="G242" s="229">
        <f>'Расчет ЦП - общая форма'!AE242</f>
        <v>0</v>
      </c>
      <c r="H242" s="229">
        <f>'Расчет ЦП - общая форма'!AF242</f>
        <v>0</v>
      </c>
      <c r="I242" s="1366">
        <f>'Расчет ЦП - общая форма'!AP242</f>
        <v>0</v>
      </c>
      <c r="J242" s="1366">
        <f>'Расчет ЦП - общая форма'!AQ242</f>
        <v>0</v>
      </c>
      <c r="K242" s="924" t="str">
        <f>'Расчет ЦП - общая форма'!AR242</f>
        <v/>
      </c>
      <c r="L242" s="924">
        <f>'Расчет ЦП - общая форма'!AS242</f>
        <v>0</v>
      </c>
      <c r="M242" s="924"/>
      <c r="N242" s="924"/>
    </row>
    <row r="243" spans="1:14" ht="15.75" hidden="1" customHeight="1" x14ac:dyDescent="0.25">
      <c r="A243" s="213">
        <f>'Расчет ЦП - общая форма'!Y243</f>
        <v>174</v>
      </c>
      <c r="B243" s="1255">
        <f>COUNTIFS($C$8:C243,"*ПС*",$J$8:J243,"*закрыт*")</f>
        <v>26</v>
      </c>
      <c r="C243" s="213" t="str">
        <f>'Расчет ЦП - общая форма'!AA243</f>
        <v xml:space="preserve">ПС 35/10 кВ Бахмутово </v>
      </c>
      <c r="D243" s="230">
        <f>'Расчет ЦП - общая форма'!AB243</f>
        <v>2.5</v>
      </c>
      <c r="E243" s="229">
        <f>'Расчет ЦП - общая форма'!AC243</f>
        <v>0</v>
      </c>
      <c r="F243" s="229">
        <f>'Расчет ЦП - общая форма'!AD243</f>
        <v>0</v>
      </c>
      <c r="G243" s="229">
        <f>'Расчет ЦП - общая форма'!AE243</f>
        <v>0</v>
      </c>
      <c r="H243" s="229">
        <f>'Расчет ЦП - общая форма'!AF243</f>
        <v>0</v>
      </c>
      <c r="I243" s="172">
        <f>'Расчет ЦП - общая форма'!AP243</f>
        <v>0.19442474292514833</v>
      </c>
      <c r="J243" s="172" t="str">
        <f>'Расчет ЦП - общая форма'!AQ243</f>
        <v/>
      </c>
      <c r="K243" s="924" t="str">
        <f>'Расчет ЦП - общая форма'!AR243</f>
        <v/>
      </c>
      <c r="L243" s="924">
        <f>'Расчет ЦП - общая форма'!AS243</f>
        <v>27.260009793327683</v>
      </c>
      <c r="M243" s="924"/>
      <c r="N243" s="924"/>
    </row>
    <row r="244" spans="1:14" ht="20.100000000000001" hidden="1" customHeight="1" x14ac:dyDescent="0.25">
      <c r="A244" s="213">
        <f>'Расчет ЦП - общая форма'!Y244</f>
        <v>175</v>
      </c>
      <c r="B244" s="1255">
        <f>COUNTIFS($C$8:C244,"*ПС*",$J$8:J244,"*закрыт*")</f>
        <v>26</v>
      </c>
      <c r="C244" s="213" t="str">
        <f>'Расчет ЦП - общая форма'!AA244</f>
        <v xml:space="preserve">ПС 35/10 кВ Пятницкое </v>
      </c>
      <c r="D244" s="230">
        <f>'Расчет ЦП - общая форма'!AB244</f>
        <v>2.5</v>
      </c>
      <c r="E244" s="229">
        <f>'Расчет ЦП - общая форма'!AC244</f>
        <v>0</v>
      </c>
      <c r="F244" s="229">
        <f>'Расчет ЦП - общая форма'!AD244</f>
        <v>0</v>
      </c>
      <c r="G244" s="229">
        <f>'Расчет ЦП - общая форма'!AE244</f>
        <v>0</v>
      </c>
      <c r="H244" s="229">
        <f>'Расчет ЦП - общая форма'!AF244</f>
        <v>0</v>
      </c>
      <c r="I244" s="172">
        <f>'Расчет ЦП - общая форма'!AP244</f>
        <v>5.3787171326646899E-4</v>
      </c>
      <c r="J244" s="172" t="str">
        <f>'Расчет ЦП - общая форма'!AQ244</f>
        <v/>
      </c>
      <c r="K244" s="924" t="str">
        <f>'Расчет ЦП - общая форма'!AR244</f>
        <v/>
      </c>
      <c r="L244" s="924">
        <f>'Расчет ЦП - общая форма'!AS244</f>
        <v>5.6937953633041349</v>
      </c>
      <c r="M244" s="924"/>
      <c r="N244" s="924"/>
    </row>
    <row r="245" spans="1:14" ht="20.100000000000001" customHeight="1" x14ac:dyDescent="0.25">
      <c r="A245" s="213">
        <f>'Расчет ЦП - общая форма'!Y245</f>
        <v>176</v>
      </c>
      <c r="B245" s="1255">
        <f>COUNTIFS($C$8:C245,"*ПС*",$J$8:J245,"*закрыт*")</f>
        <v>27</v>
      </c>
      <c r="C245" s="213" t="str">
        <f>'Расчет ЦП - общая форма'!AA245</f>
        <v xml:space="preserve">ПС 35/10 кВ Карамзино </v>
      </c>
      <c r="D245" s="230">
        <f>'Расчет ЦП - общая форма'!AB245</f>
        <v>1.6</v>
      </c>
      <c r="E245" s="229">
        <f>'Расчет ЦП - общая форма'!AC245</f>
        <v>0</v>
      </c>
      <c r="F245" s="229">
        <f>'Расчет ЦП - общая форма'!AD245</f>
        <v>0</v>
      </c>
      <c r="G245" s="229">
        <f>'Расчет ЦП - общая форма'!AE245</f>
        <v>0</v>
      </c>
      <c r="H245" s="229">
        <f>'Расчет ЦП - общая форма'!AF245</f>
        <v>0</v>
      </c>
      <c r="I245" s="172">
        <f>'Расчет ЦП - общая форма'!AP245</f>
        <v>-0.83472513890904021</v>
      </c>
      <c r="J245" s="172" t="str">
        <f>'Расчет ЦП - общая форма'!AQ245</f>
        <v>закрыт</v>
      </c>
      <c r="K245" s="924" t="str">
        <f>'Расчет ЦП - общая форма'!AR245</f>
        <v>закрыт</v>
      </c>
      <c r="L245" s="924">
        <f>'Расчет ЦП - общая форма'!AS245</f>
        <v>49.686020173157154</v>
      </c>
      <c r="M245" s="924"/>
      <c r="N245" s="924"/>
    </row>
    <row r="246" spans="1:14" ht="20.100000000000001" customHeight="1" x14ac:dyDescent="0.25">
      <c r="A246" s="213">
        <f>'Расчет ЦП - общая форма'!Y246</f>
        <v>177</v>
      </c>
      <c r="B246" s="1255">
        <f>COUNTIFS($C$8:C246,"*ПС*",$J$8:J246,"*закрыт*")</f>
        <v>28</v>
      </c>
      <c r="C246" s="213" t="str">
        <f>'Расчет ЦП - общая форма'!AA246</f>
        <v xml:space="preserve">ПС 35/10 кВ Кн.Горы  </v>
      </c>
      <c r="D246" s="230">
        <f>'Расчет ЦП - общая форма'!AB246</f>
        <v>2.5</v>
      </c>
      <c r="E246" s="229">
        <f>'Расчет ЦП - общая форма'!AC246</f>
        <v>0</v>
      </c>
      <c r="F246" s="229">
        <f>'Расчет ЦП - общая форма'!AD246</f>
        <v>0</v>
      </c>
      <c r="G246" s="229">
        <f>'Расчет ЦП - общая форма'!AE246</f>
        <v>0</v>
      </c>
      <c r="H246" s="229">
        <f>'Расчет ЦП - общая форма'!AF246</f>
        <v>0</v>
      </c>
      <c r="I246" s="172">
        <f>'Расчет ЦП - общая форма'!AP246</f>
        <v>-2.8784280824080959</v>
      </c>
      <c r="J246" s="172" t="str">
        <f>'Расчет ЦП - общая форма'!AQ246</f>
        <v>закрыт</v>
      </c>
      <c r="K246" s="924" t="str">
        <f>'Расчет ЦП - общая форма'!AR246</f>
        <v>закрыт</v>
      </c>
      <c r="L246" s="924">
        <f>'Расчет ЦП - общая форма'!AS246</f>
        <v>109.65440313935603</v>
      </c>
      <c r="M246" s="924"/>
      <c r="N246" s="924"/>
    </row>
    <row r="247" spans="1:14" ht="15.75" customHeight="1" x14ac:dyDescent="0.25">
      <c r="A247" s="213">
        <f>'Расчет ЦП - общая форма'!Y247</f>
        <v>178</v>
      </c>
      <c r="B247" s="1255">
        <f>COUNTIFS($C$8:C247,"*ПС*",$J$8:J247,"*закрыт*")</f>
        <v>29</v>
      </c>
      <c r="C247" s="213" t="str">
        <f>'Расчет ЦП - общая форма'!AA247</f>
        <v xml:space="preserve">ПС 35/10 кВ Салино </v>
      </c>
      <c r="D247" s="230">
        <f>'Расчет ЦП - общая форма'!AB247</f>
        <v>2.5</v>
      </c>
      <c r="E247" s="229">
        <f>'Расчет ЦП - общая форма'!AC247</f>
        <v>0</v>
      </c>
      <c r="F247" s="229">
        <f>'Расчет ЦП - общая форма'!AD247</f>
        <v>0</v>
      </c>
      <c r="G247" s="229">
        <f>'Расчет ЦП - общая форма'!AE247</f>
        <v>0</v>
      </c>
      <c r="H247" s="229">
        <f>'Расчет ЦП - общая форма'!AF247</f>
        <v>0</v>
      </c>
      <c r="I247" s="172">
        <f>'Расчет ЦП - общая форма'!AP247</f>
        <v>-0.8069971122630023</v>
      </c>
      <c r="J247" s="172" t="str">
        <f>'Расчет ЦП - общая форма'!AQ247</f>
        <v>закрыт</v>
      </c>
      <c r="K247" s="924" t="str">
        <f>'Расчет ЦП - общая форма'!AR247</f>
        <v>закрыт</v>
      </c>
      <c r="L247" s="924">
        <f>'Расчет ЦП - общая форма'!AS247</f>
        <v>30.742747133828658</v>
      </c>
      <c r="M247" s="924"/>
      <c r="N247" s="924"/>
    </row>
    <row r="248" spans="1:14" ht="15.75" hidden="1" customHeight="1" x14ac:dyDescent="0.25">
      <c r="A248" s="213">
        <f>'Расчет ЦП - общая форма'!Y248</f>
        <v>179</v>
      </c>
      <c r="B248" s="1255">
        <f>COUNTIFS($C$8:C248,"*ПС*",$J$8:J248,"*закрыт*")</f>
        <v>29</v>
      </c>
      <c r="C248" s="213" t="str">
        <f>'Расчет ЦП - общая форма'!AA248</f>
        <v xml:space="preserve">ПС 35/10 кВ Гусево </v>
      </c>
      <c r="D248" s="230">
        <f>'Расчет ЦП - общая форма'!AB248</f>
        <v>2.5</v>
      </c>
      <c r="E248" s="229">
        <f>'Расчет ЦП - общая форма'!AC248</f>
        <v>0</v>
      </c>
      <c r="F248" s="229">
        <f>'Расчет ЦП - общая форма'!AD248</f>
        <v>0</v>
      </c>
      <c r="G248" s="229">
        <f>'Расчет ЦП - общая форма'!AE248</f>
        <v>0</v>
      </c>
      <c r="H248" s="229">
        <f>'Расчет ЦП - общая форма'!AF248</f>
        <v>0</v>
      </c>
      <c r="I248" s="172">
        <f>'Расчет ЦП - общая форма'!AP248</f>
        <v>7.1058083754116652E-3</v>
      </c>
      <c r="J248" s="172" t="str">
        <f>'Расчет ЦП - общая форма'!AQ248</f>
        <v/>
      </c>
      <c r="K248" s="924" t="str">
        <f>'Расчет ЦП - общая форма'!AR248</f>
        <v/>
      </c>
      <c r="L248" s="924">
        <f>'Расчет ЦП - общая форма'!AS248</f>
        <v>5.4435882523652692</v>
      </c>
      <c r="M248" s="924"/>
      <c r="N248" s="924"/>
    </row>
    <row r="249" spans="1:14" ht="15.75" hidden="1" customHeight="1" x14ac:dyDescent="0.25">
      <c r="A249" s="213">
        <f>'Расчет ЦП - общая форма'!Y249</f>
        <v>180</v>
      </c>
      <c r="B249" s="1255">
        <f>COUNTIFS($C$8:C249,"*ПС*",$J$8:J249,"*закрыт*")</f>
        <v>29</v>
      </c>
      <c r="C249" s="213" t="str">
        <f>'Расчет ЦП - общая форма'!AA249</f>
        <v xml:space="preserve">ПС 35/10 кВ Мол.Туд </v>
      </c>
      <c r="D249" s="230">
        <f>'Расчет ЦП - общая форма'!AB249</f>
        <v>2.5</v>
      </c>
      <c r="E249" s="229">
        <f>'Расчет ЦП - общая форма'!AC249</f>
        <v>0</v>
      </c>
      <c r="F249" s="229">
        <f>'Расчет ЦП - общая форма'!AD249</f>
        <v>0</v>
      </c>
      <c r="G249" s="229">
        <f>'Расчет ЦП - общая форма'!AE249</f>
        <v>0</v>
      </c>
      <c r="H249" s="229">
        <f>'Расчет ЦП - общая форма'!AF249</f>
        <v>0</v>
      </c>
      <c r="I249" s="172">
        <f>'Расчет ЦП - общая форма'!AP249</f>
        <v>6.2900777200442515E-3</v>
      </c>
      <c r="J249" s="172" t="str">
        <f>'Расчет ЦП - общая форма'!AQ249</f>
        <v/>
      </c>
      <c r="K249" s="924" t="str">
        <f>'Расчет ЦП - общая форма'!AR249</f>
        <v/>
      </c>
      <c r="L249" s="924">
        <f>'Расчет ЦП - общая форма'!AS249</f>
        <v>10.807997039236408</v>
      </c>
      <c r="M249" s="924"/>
      <c r="N249" s="924"/>
    </row>
    <row r="250" spans="1:14" ht="15.75" hidden="1" customHeight="1" x14ac:dyDescent="0.25">
      <c r="A250" s="213">
        <f>'Расчет ЦП - общая форма'!Y250</f>
        <v>181</v>
      </c>
      <c r="B250" s="1255">
        <f>COUNTIFS($C$8:C250,"*ПС*",$J$8:J250,"*закрыт*")</f>
        <v>29</v>
      </c>
      <c r="C250" s="213" t="str">
        <f>'Расчет ЦП - общая форма'!AA250</f>
        <v xml:space="preserve">ПС 35/10 кВ Ильенки </v>
      </c>
      <c r="D250" s="230">
        <f>'Расчет ЦП - общая форма'!AB250</f>
        <v>2.5</v>
      </c>
      <c r="E250" s="229">
        <f>'Расчет ЦП - общая форма'!AC250</f>
        <v>0</v>
      </c>
      <c r="F250" s="229">
        <f>'Расчет ЦП - общая форма'!AD250</f>
        <v>0</v>
      </c>
      <c r="G250" s="229">
        <f>'Расчет ЦП - общая форма'!AE250</f>
        <v>0</v>
      </c>
      <c r="H250" s="229">
        <f>'Расчет ЦП - общая форма'!AF250</f>
        <v>0</v>
      </c>
      <c r="I250" s="172">
        <f>'Расчет ЦП - общая форма'!AP250</f>
        <v>3.4477543699908408E-3</v>
      </c>
      <c r="J250" s="172" t="str">
        <f>'Расчет ЦП - общая форма'!AQ250</f>
        <v/>
      </c>
      <c r="K250" s="924" t="str">
        <f>'Расчет ЦП - общая форма'!AR250</f>
        <v/>
      </c>
      <c r="L250" s="924">
        <f>'Расчет ЦП - общая форма'!AS250</f>
        <v>8.6305617382860635</v>
      </c>
      <c r="M250" s="924"/>
      <c r="N250" s="924"/>
    </row>
    <row r="251" spans="1:14" ht="20.100000000000001" hidden="1" customHeight="1" x14ac:dyDescent="0.25">
      <c r="A251" s="213">
        <f>'Расчет ЦП - общая форма'!Y251</f>
        <v>182</v>
      </c>
      <c r="B251" s="1255">
        <f>COUNTIFS($C$8:C251,"*ПС*",$J$8:J251,"*закрыт*")</f>
        <v>29</v>
      </c>
      <c r="C251" s="213" t="str">
        <f>'Расчет ЦП - общая форма'!AA251</f>
        <v xml:space="preserve">ПС 35/10 кВ Каденка </v>
      </c>
      <c r="D251" s="230">
        <f>'Расчет ЦП - общая форма'!AB251</f>
        <v>1</v>
      </c>
      <c r="E251" s="229">
        <f>'Расчет ЦП - общая форма'!AC251</f>
        <v>0</v>
      </c>
      <c r="F251" s="229">
        <f>'Расчет ЦП - общая форма'!AD251</f>
        <v>0</v>
      </c>
      <c r="G251" s="229">
        <f>'Расчет ЦП - общая форма'!AE251</f>
        <v>0</v>
      </c>
      <c r="H251" s="229">
        <f>'Расчет ЦП - общая форма'!AF251</f>
        <v>0</v>
      </c>
      <c r="I251" s="172">
        <f>'Расчет ЦП - общая форма'!AP251</f>
        <v>9.4146752643650689E-4</v>
      </c>
      <c r="J251" s="172" t="str">
        <f>'Расчет ЦП - общая форма'!AQ251</f>
        <v/>
      </c>
      <c r="K251" s="924" t="str">
        <f>'Расчет ЦП - общая форма'!AR251</f>
        <v/>
      </c>
      <c r="L251" s="924">
        <f>'Расчет ЦП - общая форма'!AS251</f>
        <v>19.910336426053664</v>
      </c>
      <c r="M251" s="924"/>
      <c r="N251" s="924"/>
    </row>
    <row r="252" spans="1:14" ht="20.100000000000001" hidden="1" customHeight="1" x14ac:dyDescent="0.25">
      <c r="A252" s="213">
        <f>'Расчет ЦП - общая форма'!Y252</f>
        <v>183</v>
      </c>
      <c r="B252" s="1255">
        <f>COUNTIFS($C$8:C252,"*ПС*",$J$8:J252,"*закрыт*")</f>
        <v>29</v>
      </c>
      <c r="C252" s="213" t="str">
        <f>'Расчет ЦП - общая форма'!AA252</f>
        <v xml:space="preserve">ПС 35/10 кВ Родня </v>
      </c>
      <c r="D252" s="230">
        <f>'Расчет ЦП - общая форма'!AB252</f>
        <v>2.5</v>
      </c>
      <c r="E252" s="229">
        <f>'Расчет ЦП - общая форма'!AC252</f>
        <v>0</v>
      </c>
      <c r="F252" s="229">
        <f>'Расчет ЦП - общая форма'!AD252</f>
        <v>0</v>
      </c>
      <c r="G252" s="229">
        <f>'Расчет ЦП - общая форма'!AE252</f>
        <v>0</v>
      </c>
      <c r="H252" s="229">
        <f>'Расчет ЦП - общая форма'!AF252</f>
        <v>0</v>
      </c>
      <c r="I252" s="172">
        <f>'Расчет ЦП - общая форма'!AP252</f>
        <v>2.9211363244150301E-2</v>
      </c>
      <c r="J252" s="172" t="str">
        <f>'Расчет ЦП - общая форма'!AQ252</f>
        <v/>
      </c>
      <c r="K252" s="924" t="str">
        <f>'Расчет ЦП - общая форма'!AR252</f>
        <v/>
      </c>
      <c r="L252" s="924">
        <f>'Расчет ЦП - общая форма'!AS252</f>
        <v>25.553852828794273</v>
      </c>
      <c r="M252" s="924"/>
      <c r="N252" s="924"/>
    </row>
    <row r="253" spans="1:14" ht="15.75" customHeight="1" x14ac:dyDescent="0.25">
      <c r="A253" s="213">
        <f>'Расчет ЦП - общая форма'!Y253</f>
        <v>184</v>
      </c>
      <c r="B253" s="1255">
        <f>COUNTIFS($C$8:C253,"*ПС*",$J$8:J253,"*закрыт*")</f>
        <v>30</v>
      </c>
      <c r="C253" s="213" t="str">
        <f>'Расчет ЦП - общая форма'!AA253</f>
        <v xml:space="preserve">ПС 35/10 кВ Берново </v>
      </c>
      <c r="D253" s="230">
        <f>'Расчет ЦП - общая форма'!AB253</f>
        <v>1.6</v>
      </c>
      <c r="E253" s="229">
        <f>'Расчет ЦП - общая форма'!AC253</f>
        <v>0</v>
      </c>
      <c r="F253" s="229">
        <f>'Расчет ЦП - общая форма'!AD253</f>
        <v>0</v>
      </c>
      <c r="G253" s="229">
        <f>'Расчет ЦП - общая форма'!AE253</f>
        <v>0</v>
      </c>
      <c r="H253" s="229">
        <f>'Расчет ЦП - общая форма'!AF253</f>
        <v>0</v>
      </c>
      <c r="I253" s="172">
        <f>'Расчет ЦП - общая форма'!AP253</f>
        <v>-0.60910336064826898</v>
      </c>
      <c r="J253" s="172" t="str">
        <f>'Расчет ЦП - общая форма'!AQ253</f>
        <v>закрыт</v>
      </c>
      <c r="K253" s="924" t="str">
        <f>'Расчет ЦП - общая форма'!AR253</f>
        <v>закрыт</v>
      </c>
      <c r="L253" s="924">
        <f>'Расчет ЦП - общая форма'!AS253</f>
        <v>38.637104800492203</v>
      </c>
      <c r="M253" s="924"/>
      <c r="N253" s="924"/>
    </row>
    <row r="254" spans="1:14" ht="15.75" customHeight="1" x14ac:dyDescent="0.25">
      <c r="A254" s="213">
        <f>'Расчет ЦП - общая форма'!Y254</f>
        <v>185</v>
      </c>
      <c r="B254" s="1255">
        <f>COUNTIFS($C$8:C254,"*ПС*",$J$8:J254,"*закрыт*")</f>
        <v>31</v>
      </c>
      <c r="C254" s="213" t="str">
        <f>'Расчет ЦП - общая форма'!AA254</f>
        <v xml:space="preserve">ПС 35/10 кВ РМК </v>
      </c>
      <c r="D254" s="245">
        <f>'Расчет ЦП - общая форма'!AB254</f>
        <v>10</v>
      </c>
      <c r="E254" s="246" t="str">
        <f>'Расчет ЦП - общая форма'!AC254</f>
        <v>+</v>
      </c>
      <c r="F254" s="246">
        <f>'Расчет ЦП - общая форма'!AD254</f>
        <v>10</v>
      </c>
      <c r="G254" s="246">
        <f>'Расчет ЦП - общая форма'!AE254</f>
        <v>0</v>
      </c>
      <c r="H254" s="246">
        <f>'Расчет ЦП - общая форма'!AF254</f>
        <v>0</v>
      </c>
      <c r="I254" s="172">
        <f>'Расчет ЦП - общая форма'!AP254</f>
        <v>-1.807500000000001</v>
      </c>
      <c r="J254" s="172" t="str">
        <f>'Расчет ЦП - общая форма'!AQ254</f>
        <v>закрыт</v>
      </c>
      <c r="K254" s="924" t="str">
        <f>'Расчет ЦП - общая форма'!AR254</f>
        <v>закрыт</v>
      </c>
      <c r="L254" s="924">
        <f>'Расчет ЦП - общая форма'!AS254</f>
        <v>151.6904761904762</v>
      </c>
      <c r="M254" s="924"/>
      <c r="N254" s="924"/>
    </row>
    <row r="255" spans="1:14" ht="20.100000000000001" hidden="1" customHeight="1" x14ac:dyDescent="0.25">
      <c r="A255" s="213">
        <f>'Расчет ЦП - общая форма'!Y255</f>
        <v>186</v>
      </c>
      <c r="B255" s="1152">
        <f>COUNTIFS($C$8:C255,"*ПС*",$J$8:J255,"*закрыт*")</f>
        <v>31</v>
      </c>
      <c r="C255" s="213" t="str">
        <f>'Расчет ЦП - общая форма'!AA255</f>
        <v xml:space="preserve">ПС 35/10 кВ Осуга </v>
      </c>
      <c r="D255" s="245">
        <f>'Расчет ЦП - общая форма'!AB255</f>
        <v>2.5</v>
      </c>
      <c r="E255" s="246" t="str">
        <f>'Расчет ЦП - общая форма'!AC255</f>
        <v>+</v>
      </c>
      <c r="F255" s="246">
        <f>'Расчет ЦП - общая форма'!AD255</f>
        <v>2.5</v>
      </c>
      <c r="G255" s="246">
        <f>'Расчет ЦП - общая форма'!AE255</f>
        <v>0</v>
      </c>
      <c r="H255" s="246">
        <f>'Расчет ЦП - общая форма'!AF255</f>
        <v>0</v>
      </c>
      <c r="I255" s="172">
        <f>'Расчет ЦП - общая форма'!AP255</f>
        <v>2.145</v>
      </c>
      <c r="J255" s="172" t="str">
        <f>'Расчет ЦП - общая форма'!AQ255</f>
        <v/>
      </c>
      <c r="K255" s="924" t="str">
        <f>'Расчет ЦП - общая форма'!AR255</f>
        <v/>
      </c>
      <c r="L255" s="924">
        <f>'Расчет ЦП - общая форма'!AS255</f>
        <v>18.285714285714285</v>
      </c>
      <c r="M255" s="924"/>
      <c r="N255" s="924"/>
    </row>
    <row r="256" spans="1:14" ht="15.75" hidden="1" customHeight="1" x14ac:dyDescent="0.25">
      <c r="A256" s="213">
        <f>'Расчет ЦП - общая форма'!Y256</f>
        <v>187</v>
      </c>
      <c r="B256" s="1152">
        <f>COUNTIFS($C$8:C256,"*ПС*",$J$8:J256,"*закрыт*")</f>
        <v>31</v>
      </c>
      <c r="C256" s="213" t="str">
        <f>'Расчет ЦП - общая форма'!AA256</f>
        <v xml:space="preserve">ПС 35/10 кВ Мин.Дворы </v>
      </c>
      <c r="D256" s="245">
        <f>'Расчет ЦП - общая форма'!AB256</f>
        <v>2.5</v>
      </c>
      <c r="E256" s="246" t="str">
        <f>'Расчет ЦП - общая форма'!AC256</f>
        <v>+</v>
      </c>
      <c r="F256" s="246">
        <f>'Расчет ЦП - общая форма'!AD256</f>
        <v>3.2</v>
      </c>
      <c r="G256" s="246">
        <f>'Расчет ЦП - общая форма'!AE256</f>
        <v>0</v>
      </c>
      <c r="H256" s="246">
        <f>'Расчет ЦП - общая форма'!AF256</f>
        <v>0</v>
      </c>
      <c r="I256" s="172">
        <f>'Расчет ЦП - общая форма'!AP256</f>
        <v>1.56</v>
      </c>
      <c r="J256" s="172" t="str">
        <f>'Расчет ЦП - общая форма'!AQ256</f>
        <v/>
      </c>
      <c r="K256" s="924" t="str">
        <f>'Расчет ЦП - общая форма'!AR256</f>
        <v/>
      </c>
      <c r="L256" s="924">
        <f>'Расчет ЦП - общая форма'!AS256</f>
        <v>40.571428571428569</v>
      </c>
      <c r="M256" s="924"/>
      <c r="N256" s="924"/>
    </row>
    <row r="257" spans="1:14" ht="20.100000000000001" hidden="1" customHeight="1" x14ac:dyDescent="0.25">
      <c r="A257" s="213">
        <f>'Расчет ЦП - общая форма'!Y257</f>
        <v>188</v>
      </c>
      <c r="B257" s="1152">
        <f>COUNTIFS($C$8:C257,"*ПС*",$J$8:J257,"*закрыт*")</f>
        <v>31</v>
      </c>
      <c r="C257" s="213" t="str">
        <f>'Расчет ЦП - общая форма'!AA257</f>
        <v xml:space="preserve">ПС 35/10 кВ Клешнево </v>
      </c>
      <c r="D257" s="245">
        <f>'Расчет ЦП - общая форма'!AB257</f>
        <v>4</v>
      </c>
      <c r="E257" s="246" t="str">
        <f>'Расчет ЦП - общая форма'!AC257</f>
        <v>+</v>
      </c>
      <c r="F257" s="246">
        <f>'Расчет ЦП - общая форма'!AD257</f>
        <v>4</v>
      </c>
      <c r="G257" s="246">
        <f>'Расчет ЦП - общая форма'!AE257</f>
        <v>0</v>
      </c>
      <c r="H257" s="246">
        <f>'Расчет ЦП - общая форма'!AF257</f>
        <v>0</v>
      </c>
      <c r="I257" s="172">
        <f>'Расчет ЦП - общая форма'!AP257</f>
        <v>1.6399999999999997</v>
      </c>
      <c r="J257" s="172" t="str">
        <f>'Расчет ЦП - общая форма'!AQ257</f>
        <v/>
      </c>
      <c r="K257" s="924" t="str">
        <f>'Расчет ЦП - общая форма'!AR257</f>
        <v/>
      </c>
      <c r="L257" s="924">
        <f>'Расчет ЦП - общая форма'!AS257</f>
        <v>89.047619047619037</v>
      </c>
      <c r="M257" s="924"/>
      <c r="N257" s="924"/>
    </row>
    <row r="258" spans="1:14" ht="15.75" hidden="1" customHeight="1" x14ac:dyDescent="0.25">
      <c r="A258" s="1371">
        <f>'Расчет ЦП - общая форма'!Y258</f>
        <v>189</v>
      </c>
      <c r="B258" s="1376">
        <f>COUNTIFS($C$8:C258,"*ПС*",$J$8:J258,"*закрыт*")</f>
        <v>31</v>
      </c>
      <c r="C258" s="213" t="str">
        <f>'Расчет ЦП - общая форма'!AA258</f>
        <v xml:space="preserve">ПС 110/35/10 кВ Зубцов </v>
      </c>
      <c r="D258" s="245">
        <f>'Расчет ЦП - общая форма'!AB258</f>
        <v>25</v>
      </c>
      <c r="E258" s="246" t="str">
        <f>'Расчет ЦП - общая форма'!AC258</f>
        <v>+</v>
      </c>
      <c r="F258" s="246">
        <f>'Расчет ЦП - общая форма'!AD258</f>
        <v>25</v>
      </c>
      <c r="G258" s="246">
        <f>'Расчет ЦП - общая форма'!AE258</f>
        <v>0</v>
      </c>
      <c r="H258" s="246">
        <f>'Расчет ЦП - общая форма'!AF258</f>
        <v>0</v>
      </c>
      <c r="I258" s="1364">
        <f>'Расчет ЦП - общая форма'!AP258</f>
        <v>13.3325</v>
      </c>
      <c r="J258" s="1364" t="str">
        <f>'Расчет ЦП - общая форма'!AQ258</f>
        <v/>
      </c>
      <c r="K258" s="924" t="str">
        <f>'Расчет ЦП - общая форма'!AR258</f>
        <v/>
      </c>
      <c r="L258" s="924">
        <f>'Расчет ЦП - общая форма'!AS258</f>
        <v>81.742857142857147</v>
      </c>
      <c r="M258" s="924"/>
      <c r="N258" s="924"/>
    </row>
    <row r="259" spans="1:14" ht="15.75" hidden="1" customHeight="1" x14ac:dyDescent="0.25">
      <c r="A259" s="1371">
        <f>'Расчет ЦП - общая форма'!Y259</f>
        <v>0</v>
      </c>
      <c r="B259" s="1393"/>
      <c r="C259" s="7" t="str">
        <f>'Расчет ЦП - общая форма'!AA259</f>
        <v xml:space="preserve">Ном. мощность СН, МВА </v>
      </c>
      <c r="D259" s="245">
        <f>'Расчет ЦП - общая форма'!AB259</f>
        <v>25</v>
      </c>
      <c r="E259" s="246" t="str">
        <f>'Расчет ЦП - общая форма'!AC259</f>
        <v>+</v>
      </c>
      <c r="F259" s="246">
        <f>'Расчет ЦП - общая форма'!AD259</f>
        <v>25</v>
      </c>
      <c r="G259" s="246">
        <f>'Расчет ЦП - общая форма'!AE259</f>
        <v>0</v>
      </c>
      <c r="H259" s="246">
        <f>'Расчет ЦП - общая форма'!AF259</f>
        <v>0</v>
      </c>
      <c r="I259" s="1365">
        <f>'Расчет ЦП - общая форма'!AP259</f>
        <v>0</v>
      </c>
      <c r="J259" s="1365">
        <f>'Расчет ЦП - общая форма'!AQ259</f>
        <v>0</v>
      </c>
      <c r="K259" s="924" t="str">
        <f>'Расчет ЦП - общая форма'!AR259</f>
        <v/>
      </c>
      <c r="L259" s="924">
        <f>'Расчет ЦП - общая форма'!AS259</f>
        <v>0</v>
      </c>
      <c r="M259" s="924"/>
      <c r="N259" s="924"/>
    </row>
    <row r="260" spans="1:14" ht="15.75" hidden="1" customHeight="1" x14ac:dyDescent="0.25">
      <c r="A260" s="1371">
        <f>'Расчет ЦП - общая форма'!Y260</f>
        <v>0</v>
      </c>
      <c r="B260" s="1394"/>
      <c r="C260" s="7" t="str">
        <f>'Расчет ЦП - общая форма'!AA260</f>
        <v>Ном. мощность НН, МВА</v>
      </c>
      <c r="D260" s="230">
        <f>'Расчет ЦП - общая форма'!AB260</f>
        <v>25</v>
      </c>
      <c r="E260" s="229" t="str">
        <f>'Расчет ЦП - общая форма'!AC260</f>
        <v>+</v>
      </c>
      <c r="F260" s="229">
        <f>'Расчет ЦП - общая форма'!AD260</f>
        <v>25</v>
      </c>
      <c r="G260" s="229">
        <f>'Расчет ЦП - общая форма'!AE260</f>
        <v>0</v>
      </c>
      <c r="H260" s="229">
        <f>'Расчет ЦП - общая форма'!AF260</f>
        <v>0</v>
      </c>
      <c r="I260" s="1366">
        <f>'Расчет ЦП - общая форма'!AP260</f>
        <v>0</v>
      </c>
      <c r="J260" s="1366">
        <f>'Расчет ЦП - общая форма'!AQ260</f>
        <v>0</v>
      </c>
      <c r="K260" s="924" t="str">
        <f>'Расчет ЦП - общая форма'!AR260</f>
        <v/>
      </c>
      <c r="L260" s="924">
        <f>'Расчет ЦП - общая форма'!AS260</f>
        <v>0</v>
      </c>
      <c r="M260" s="924"/>
      <c r="N260" s="924"/>
    </row>
    <row r="261" spans="1:14" ht="15.75" hidden="1" customHeight="1" x14ac:dyDescent="0.25">
      <c r="A261" s="213">
        <f>'Расчет ЦП - общая форма'!Y261</f>
        <v>190</v>
      </c>
      <c r="B261" s="1152">
        <f>COUNTIFS($C$8:C261,"*ПС*",$J$8:J261,"*закрыт*")</f>
        <v>31</v>
      </c>
      <c r="C261" s="213" t="str">
        <f>'Расчет ЦП - общая форма'!AA261</f>
        <v xml:space="preserve">ПС 35/10 кВ П.Городище </v>
      </c>
      <c r="D261" s="230">
        <f>'Расчет ЦП - общая форма'!AB261</f>
        <v>5.6</v>
      </c>
      <c r="E261" s="229" t="str">
        <f>'Расчет ЦП - общая форма'!AC261</f>
        <v>+</v>
      </c>
      <c r="F261" s="229">
        <f>'Расчет ЦП - общая форма'!AD261</f>
        <v>5.6</v>
      </c>
      <c r="G261" s="229">
        <f>'Расчет ЦП - общая форма'!AE261</f>
        <v>0</v>
      </c>
      <c r="H261" s="229">
        <f>'Расчет ЦП - общая форма'!AF261</f>
        <v>0</v>
      </c>
      <c r="I261" s="172">
        <f>'Расчет ЦП - общая форма'!AP261</f>
        <v>0.21424999999999983</v>
      </c>
      <c r="J261" s="172" t="str">
        <f>'Расчет ЦП - общая форма'!AQ261</f>
        <v/>
      </c>
      <c r="K261" s="924" t="str">
        <f>'Расчет ЦП - общая форма'!AR261</f>
        <v/>
      </c>
      <c r="L261" s="924">
        <f>'Расчет ЦП - общая форма'!AS261</f>
        <v>126.79846938775511</v>
      </c>
      <c r="M261" s="924"/>
      <c r="N261" s="924"/>
    </row>
    <row r="262" spans="1:14" ht="15.75" hidden="1" customHeight="1" x14ac:dyDescent="0.25">
      <c r="A262" s="213">
        <f>'Расчет ЦП - общая форма'!Y262</f>
        <v>191</v>
      </c>
      <c r="B262" s="1152">
        <f>COUNTIFS($C$8:C262,"*ПС*",$J$8:J262,"*закрыт*")</f>
        <v>31</v>
      </c>
      <c r="C262" s="213" t="str">
        <f>'Расчет ЦП - общая форма'!AA262</f>
        <v xml:space="preserve">ПС 35/10 кВ Степурино </v>
      </c>
      <c r="D262" s="230">
        <f>'Расчет ЦП - общая форма'!AB262</f>
        <v>4</v>
      </c>
      <c r="E262" s="229" t="str">
        <f>'Расчет ЦП - общая форма'!AC262</f>
        <v>+</v>
      </c>
      <c r="F262" s="229">
        <f>'Расчет ЦП - общая форма'!AD262</f>
        <v>4</v>
      </c>
      <c r="G262" s="229">
        <f>'Расчет ЦП - общая форма'!AE262</f>
        <v>0</v>
      </c>
      <c r="H262" s="229">
        <f>'Расчет ЦП - общая форма'!AF262</f>
        <v>0</v>
      </c>
      <c r="I262" s="172">
        <f>'Расчет ЦП - общая форма'!AP262</f>
        <v>2.2522500000000001</v>
      </c>
      <c r="J262" s="172" t="str">
        <f>'Расчет ЦП - общая форма'!AQ262</f>
        <v/>
      </c>
      <c r="K262" s="924" t="str">
        <f>'Расчет ЦП - общая форма'!AR262</f>
        <v/>
      </c>
      <c r="L262" s="924">
        <f>'Расчет ЦП - общая форма'!AS262</f>
        <v>46.375</v>
      </c>
      <c r="M262" s="924"/>
      <c r="N262" s="924"/>
    </row>
    <row r="263" spans="1:14" ht="15.75" hidden="1" customHeight="1" x14ac:dyDescent="0.25">
      <c r="A263" s="213">
        <f>'Расчет ЦП - общая форма'!Y263</f>
        <v>192</v>
      </c>
      <c r="B263" s="1152">
        <f>COUNTIFS($C$8:C263,"*ПС*",$J$8:J263,"*закрыт*")</f>
        <v>31</v>
      </c>
      <c r="C263" s="213" t="str">
        <f>'Расчет ЦП - общая форма'!AA263</f>
        <v xml:space="preserve">ПС 35/10 кВ Максимово </v>
      </c>
      <c r="D263" s="230">
        <f>'Расчет ЦП - общая форма'!AB263</f>
        <v>2.5</v>
      </c>
      <c r="E263" s="229" t="str">
        <f>'Расчет ЦП - общая форма'!AC263</f>
        <v>+</v>
      </c>
      <c r="F263" s="229">
        <f>'Расчет ЦП - общая форма'!AD263</f>
        <v>2.5</v>
      </c>
      <c r="G263" s="229">
        <f>'Расчет ЦП - общая форма'!AE263</f>
        <v>0</v>
      </c>
      <c r="H263" s="229">
        <f>'Расчет ЦП - общая форма'!AF263</f>
        <v>0</v>
      </c>
      <c r="I263" s="172">
        <f>'Расчет ЦП - общая форма'!AP263</f>
        <v>2.605</v>
      </c>
      <c r="J263" s="172" t="str">
        <f>'Расчет ЦП - общая форма'!AQ263</f>
        <v/>
      </c>
      <c r="K263" s="924" t="str">
        <f>'Расчет ЦП - общая форма'!AR263</f>
        <v/>
      </c>
      <c r="L263" s="924">
        <f>'Расчет ЦП - общая форма'!AS263</f>
        <v>24.38095238095238</v>
      </c>
      <c r="M263" s="924"/>
      <c r="N263" s="924"/>
    </row>
    <row r="264" spans="1:14" ht="20.100000000000001" hidden="1" customHeight="1" x14ac:dyDescent="0.25">
      <c r="A264" s="213">
        <f>'Расчет ЦП - общая форма'!Y264</f>
        <v>193</v>
      </c>
      <c r="B264" s="1152">
        <f>COUNTIFS($C$8:C264,"*ПС*",$J$8:J264,"*закрыт*")</f>
        <v>31</v>
      </c>
      <c r="C264" s="213" t="str">
        <f>'Расчет ЦП - общая форма'!AA264</f>
        <v xml:space="preserve">ПС 35/10 кВ Луковниково </v>
      </c>
      <c r="D264" s="230">
        <f>'Расчет ЦП - общая форма'!AB264</f>
        <v>4</v>
      </c>
      <c r="E264" s="229" t="str">
        <f>'Расчет ЦП - общая форма'!AC264</f>
        <v>+</v>
      </c>
      <c r="F264" s="229">
        <f>'Расчет ЦП - общая форма'!AD264</f>
        <v>2.5</v>
      </c>
      <c r="G264" s="229">
        <f>'Расчет ЦП - общая форма'!AE264</f>
        <v>0</v>
      </c>
      <c r="H264" s="229">
        <f>'Расчет ЦП - общая форма'!AF264</f>
        <v>0</v>
      </c>
      <c r="I264" s="172">
        <f>'Расчет ЦП - общая форма'!AP264</f>
        <v>1.405</v>
      </c>
      <c r="J264" s="172" t="str">
        <f>'Расчет ЦП - общая форма'!AQ264</f>
        <v/>
      </c>
      <c r="K264" s="924" t="str">
        <f>'Расчет ЦП - общая форма'!AR264</f>
        <v/>
      </c>
      <c r="L264" s="924">
        <f>'Расчет ЦП - общая форма'!AS264</f>
        <v>46.476190476190474</v>
      </c>
      <c r="M264" s="924"/>
      <c r="N264" s="924"/>
    </row>
    <row r="265" spans="1:14" ht="20.100000000000001" hidden="1" customHeight="1" x14ac:dyDescent="0.25">
      <c r="A265" s="213">
        <f>'Расчет ЦП - общая форма'!Y265</f>
        <v>194</v>
      </c>
      <c r="B265" s="1152">
        <f>COUNTIFS($C$8:C265,"*ПС*",$J$8:J265,"*закрыт*")</f>
        <v>31</v>
      </c>
      <c r="C265" s="213" t="str">
        <f>'Расчет ЦП - общая форма'!AA265</f>
        <v xml:space="preserve">ПС 110/10 кВ НТПФ </v>
      </c>
      <c r="D265" s="230">
        <f>'Расчет ЦП - общая форма'!AB265</f>
        <v>6.3</v>
      </c>
      <c r="E265" s="229" t="str">
        <f>'Расчет ЦП - общая форма'!AC265</f>
        <v>+</v>
      </c>
      <c r="F265" s="229">
        <f>'Расчет ЦП - общая форма'!AD265</f>
        <v>6.3</v>
      </c>
      <c r="G265" s="229">
        <f>'Расчет ЦП - общая форма'!AE265</f>
        <v>0</v>
      </c>
      <c r="H265" s="229">
        <f>'Расчет ЦП - общая форма'!AF265</f>
        <v>0</v>
      </c>
      <c r="I265" s="172">
        <f>'Расчет ЦП - общая форма'!AP265</f>
        <v>5.0250000000000004</v>
      </c>
      <c r="J265" s="172" t="str">
        <f>'Расчет ЦП - общая форма'!AQ265</f>
        <v/>
      </c>
      <c r="K265" s="924" t="str">
        <f>'Расчет ЦП - общая форма'!AR265</f>
        <v/>
      </c>
      <c r="L265" s="924">
        <f>'Расчет ЦП - общая форма'!AS265</f>
        <v>35.222978080120939</v>
      </c>
      <c r="M265" s="924"/>
      <c r="N265" s="924"/>
    </row>
    <row r="266" spans="1:14" ht="20.100000000000001" hidden="1" customHeight="1" x14ac:dyDescent="0.25">
      <c r="A266" s="213">
        <f>'Расчет ЦП - общая форма'!Y266</f>
        <v>195</v>
      </c>
      <c r="B266" s="1152">
        <f>COUNTIFS($C$8:C266,"*ПС*",$J$8:J266,"*закрыт*")</f>
        <v>31</v>
      </c>
      <c r="C266" s="213" t="str">
        <f>'Расчет ЦП - общая форма'!AA266</f>
        <v xml:space="preserve">ПС 110/10 кВ Мостовая </v>
      </c>
      <c r="D266" s="230">
        <f>'Расчет ЦП - общая форма'!AB266</f>
        <v>6.3</v>
      </c>
      <c r="E266" s="229" t="str">
        <f>'Расчет ЦП - общая форма'!AC266</f>
        <v>+</v>
      </c>
      <c r="F266" s="229">
        <f>'Расчет ЦП - общая форма'!AD266</f>
        <v>6.3</v>
      </c>
      <c r="G266" s="229">
        <f>'Расчет ЦП - общая форма'!AE266</f>
        <v>0</v>
      </c>
      <c r="H266" s="229">
        <f>'Расчет ЦП - общая форма'!AF266</f>
        <v>0</v>
      </c>
      <c r="I266" s="172">
        <f>'Расчет ЦП - общая форма'!AP266</f>
        <v>5.3112500000000002</v>
      </c>
      <c r="J266" s="172" t="str">
        <f>'Расчет ЦП - общая форма'!AQ266</f>
        <v/>
      </c>
      <c r="K266" s="924" t="str">
        <f>'Расчет ЦП - общая форма'!AR266</f>
        <v/>
      </c>
      <c r="L266" s="924">
        <f>'Расчет ЦП - общая форма'!AS266</f>
        <v>24.848828420256989</v>
      </c>
      <c r="M266" s="924"/>
      <c r="N266" s="924"/>
    </row>
    <row r="267" spans="1:14" hidden="1" x14ac:dyDescent="0.25">
      <c r="A267" s="1371">
        <f>'Расчет ЦП - общая форма'!Y267</f>
        <v>196</v>
      </c>
      <c r="B267" s="1376">
        <f>COUNTIFS($C$8:C267,"*ПС*",$J$8:J267,"*закрыт*")</f>
        <v>31</v>
      </c>
      <c r="C267" s="213" t="str">
        <f>'Расчет ЦП - общая форма'!AA267</f>
        <v xml:space="preserve">ПС 110/35/10кВ Ржев </v>
      </c>
      <c r="D267" s="230">
        <f>'Расчет ЦП - общая форма'!AB267</f>
        <v>40.5</v>
      </c>
      <c r="E267" s="229" t="str">
        <f>'Расчет ЦП - общая форма'!AC267</f>
        <v>+</v>
      </c>
      <c r="F267" s="229">
        <f>'Расчет ЦП - общая форма'!AD267</f>
        <v>40</v>
      </c>
      <c r="G267" s="229">
        <f>'Расчет ЦП - общая форма'!AE267</f>
        <v>0</v>
      </c>
      <c r="H267" s="229">
        <f>'Расчет ЦП - общая форма'!AF267</f>
        <v>0</v>
      </c>
      <c r="I267" s="1364">
        <f>'Расчет ЦП - общая форма'!AP267</f>
        <v>10.626367731367367</v>
      </c>
      <c r="J267" s="1364" t="str">
        <f>'Расчет ЦП - общая форма'!AQ267</f>
        <v/>
      </c>
      <c r="K267" s="924" t="str">
        <f>'Расчет ЦП - общая форма'!AR267</f>
        <v/>
      </c>
      <c r="L267" s="924">
        <f>'Расчет ЦП - общая форма'!AS267</f>
        <v>88.672976190476192</v>
      </c>
      <c r="M267" s="924"/>
      <c r="N267" s="924"/>
    </row>
    <row r="268" spans="1:14" hidden="1" x14ac:dyDescent="0.25">
      <c r="A268" s="1371">
        <f>'Расчет ЦП - общая форма'!Y268</f>
        <v>0</v>
      </c>
      <c r="B268" s="1393"/>
      <c r="C268" s="7" t="str">
        <f>'Расчет ЦП - общая форма'!AA268</f>
        <v xml:space="preserve">Ном. мощность СН, МВА </v>
      </c>
      <c r="D268" s="230">
        <f>'Расчет ЦП - общая форма'!AB268</f>
        <v>40.5</v>
      </c>
      <c r="E268" s="229" t="str">
        <f>'Расчет ЦП - общая форма'!AC268</f>
        <v>+</v>
      </c>
      <c r="F268" s="229">
        <f>'Расчет ЦП - общая форма'!AD268</f>
        <v>40</v>
      </c>
      <c r="G268" s="229">
        <f>'Расчет ЦП - общая форма'!AE268</f>
        <v>0</v>
      </c>
      <c r="H268" s="229">
        <f>'Расчет ЦП - общая форма'!AF268</f>
        <v>0</v>
      </c>
      <c r="I268" s="1365">
        <f>'Расчет ЦП - общая форма'!AP268</f>
        <v>0</v>
      </c>
      <c r="J268" s="1365">
        <f>'Расчет ЦП - общая форма'!AQ268</f>
        <v>0</v>
      </c>
      <c r="K268" s="924" t="str">
        <f>'Расчет ЦП - общая форма'!AR268</f>
        <v/>
      </c>
      <c r="L268" s="924">
        <f>'Расчет ЦП - общая форма'!AS268</f>
        <v>0</v>
      </c>
      <c r="M268" s="924"/>
      <c r="N268" s="924"/>
    </row>
    <row r="269" spans="1:14" hidden="1" x14ac:dyDescent="0.25">
      <c r="A269" s="1371">
        <f>'Расчет ЦП - общая форма'!Y269</f>
        <v>0</v>
      </c>
      <c r="B269" s="1394"/>
      <c r="C269" s="7" t="str">
        <f>'Расчет ЦП - общая форма'!AA269</f>
        <v>Ном. мощность НН, МВА</v>
      </c>
      <c r="D269" s="230">
        <f>'Расчет ЦП - общая форма'!AB269</f>
        <v>40.5</v>
      </c>
      <c r="E269" s="229" t="str">
        <f>'Расчет ЦП - общая форма'!AC269</f>
        <v>+</v>
      </c>
      <c r="F269" s="229">
        <f>'Расчет ЦП - общая форма'!AD269</f>
        <v>40</v>
      </c>
      <c r="G269" s="229">
        <f>'Расчет ЦП - общая форма'!AE269</f>
        <v>0</v>
      </c>
      <c r="H269" s="229">
        <f>'Расчет ЦП - общая форма'!AF269</f>
        <v>0</v>
      </c>
      <c r="I269" s="1366">
        <f>'Расчет ЦП - общая форма'!AP269</f>
        <v>0</v>
      </c>
      <c r="J269" s="1366">
        <f>'Расчет ЦП - общая форма'!AQ269</f>
        <v>0</v>
      </c>
      <c r="K269" s="924" t="str">
        <f>'Расчет ЦП - общая форма'!AR269</f>
        <v/>
      </c>
      <c r="L269" s="924">
        <f>'Расчет ЦП - общая форма'!AS269</f>
        <v>0</v>
      </c>
      <c r="M269" s="924"/>
      <c r="N269" s="924"/>
    </row>
    <row r="270" spans="1:14" hidden="1" x14ac:dyDescent="0.25">
      <c r="A270" s="1371">
        <f>'Расчет ЦП - общая форма'!Y270</f>
        <v>197</v>
      </c>
      <c r="B270" s="1376">
        <f>COUNTIFS($C$8:C270,"*ПС*",$J$8:J270,"*закрыт*")</f>
        <v>31</v>
      </c>
      <c r="C270" s="213" t="str">
        <f>'Расчет ЦП - общая форма'!AA270</f>
        <v>ПС  110/35/10 кВ Чертолино</v>
      </c>
      <c r="D270" s="230">
        <f>'Расчет ЦП - общая форма'!AB270</f>
        <v>5.6</v>
      </c>
      <c r="E270" s="229" t="str">
        <f>'Расчет ЦП - общая форма'!AC270</f>
        <v>+</v>
      </c>
      <c r="F270" s="229">
        <f>'Расчет ЦП - общая форма'!AD270</f>
        <v>6.3</v>
      </c>
      <c r="G270" s="229">
        <f>'Расчет ЦП - общая форма'!AE270</f>
        <v>0</v>
      </c>
      <c r="H270" s="229">
        <f>'Расчет ЦП - общая форма'!AF270</f>
        <v>0</v>
      </c>
      <c r="I270" s="1364">
        <f>'Расчет ЦП - общая форма'!AP270</f>
        <v>4.5618749999999997</v>
      </c>
      <c r="J270" s="1364" t="str">
        <f>'Расчет ЦП - общая форма'!AQ270</f>
        <v/>
      </c>
      <c r="K270" s="924" t="str">
        <f>'Расчет ЦП - общая форма'!AR270</f>
        <v/>
      </c>
      <c r="L270" s="924">
        <f>'Расчет ЦП - общая форма'!AS270</f>
        <v>36.702806122448983</v>
      </c>
      <c r="M270" s="924"/>
      <c r="N270" s="924"/>
    </row>
    <row r="271" spans="1:14" hidden="1" x14ac:dyDescent="0.25">
      <c r="A271" s="1371">
        <f>'Расчет ЦП - общая форма'!Y271</f>
        <v>0</v>
      </c>
      <c r="B271" s="1393"/>
      <c r="C271" s="7" t="str">
        <f>'Расчет ЦП - общая форма'!AA271</f>
        <v xml:space="preserve">Ном. мощность СН, МВА </v>
      </c>
      <c r="D271" s="230">
        <f>'Расчет ЦП - общая форма'!AB271</f>
        <v>5.6</v>
      </c>
      <c r="E271" s="229" t="str">
        <f>'Расчет ЦП - общая форма'!AC271</f>
        <v>+</v>
      </c>
      <c r="F271" s="229">
        <f>'Расчет ЦП - общая форма'!AD271</f>
        <v>6.3</v>
      </c>
      <c r="G271" s="229">
        <f>'Расчет ЦП - общая форма'!AE271</f>
        <v>0</v>
      </c>
      <c r="H271" s="229">
        <f>'Расчет ЦП - общая форма'!AF271</f>
        <v>0</v>
      </c>
      <c r="I271" s="1365">
        <f>'Расчет ЦП - общая форма'!AP271</f>
        <v>0</v>
      </c>
      <c r="J271" s="1365" t="str">
        <f>'Расчет ЦП - общая форма'!AQ271</f>
        <v/>
      </c>
      <c r="K271" s="924" t="str">
        <f>'Расчет ЦП - общая форма'!AR271</f>
        <v/>
      </c>
      <c r="L271" s="924">
        <f>'Расчет ЦП - общая форма'!AS271</f>
        <v>0</v>
      </c>
      <c r="M271" s="924"/>
      <c r="N271" s="924"/>
    </row>
    <row r="272" spans="1:14" hidden="1" x14ac:dyDescent="0.25">
      <c r="A272" s="1371">
        <f>'Расчет ЦП - общая форма'!Y272</f>
        <v>0</v>
      </c>
      <c r="B272" s="1394"/>
      <c r="C272" s="7" t="str">
        <f>'Расчет ЦП - общая форма'!AA272</f>
        <v>Ном. мощность НН, МВА</v>
      </c>
      <c r="D272" s="230">
        <f>'Расчет ЦП - общая форма'!AB272</f>
        <v>5.6</v>
      </c>
      <c r="E272" s="229" t="str">
        <f>'Расчет ЦП - общая форма'!AC272</f>
        <v>+</v>
      </c>
      <c r="F272" s="229">
        <f>'Расчет ЦП - общая форма'!AD272</f>
        <v>6.3</v>
      </c>
      <c r="G272" s="229">
        <f>'Расчет ЦП - общая форма'!AE272</f>
        <v>0</v>
      </c>
      <c r="H272" s="229">
        <f>'Расчет ЦП - общая форма'!AF272</f>
        <v>0</v>
      </c>
      <c r="I272" s="1366">
        <f>'Расчет ЦП - общая форма'!AP272</f>
        <v>0</v>
      </c>
      <c r="J272" s="1366" t="str">
        <f>'Расчет ЦП - общая форма'!AQ272</f>
        <v/>
      </c>
      <c r="K272" s="924" t="str">
        <f>'Расчет ЦП - общая форма'!AR272</f>
        <v/>
      </c>
      <c r="L272" s="924">
        <f>'Расчет ЦП - общая форма'!AS272</f>
        <v>0</v>
      </c>
      <c r="M272" s="924"/>
      <c r="N272" s="924"/>
    </row>
    <row r="273" spans="1:14" hidden="1" x14ac:dyDescent="0.25">
      <c r="A273" s="1371">
        <f>'Расчет ЦП - общая форма'!Y273</f>
        <v>198</v>
      </c>
      <c r="B273" s="1376">
        <f>COUNTIFS($C$8:C273,"*ПС*",$J$8:J273,"*закрыт*")</f>
        <v>31</v>
      </c>
      <c r="C273" s="213" t="str">
        <f>'Расчет ЦП - общая форма'!AA273</f>
        <v xml:space="preserve">ПС 110/35/10 кВ Оленино </v>
      </c>
      <c r="D273" s="230">
        <f>'Расчет ЦП - общая форма'!AB273</f>
        <v>16</v>
      </c>
      <c r="E273" s="229" t="str">
        <f>'Расчет ЦП - общая форма'!AC273</f>
        <v>+</v>
      </c>
      <c r="F273" s="229">
        <f>'Расчет ЦП - общая форма'!AD273</f>
        <v>10</v>
      </c>
      <c r="G273" s="229">
        <f>'Расчет ЦП - общая форма'!AE273</f>
        <v>0</v>
      </c>
      <c r="H273" s="229">
        <f>'Расчет ЦП - общая форма'!AF273</f>
        <v>0</v>
      </c>
      <c r="I273" s="1364">
        <f>'Расчет ЦП - общая форма'!AP273</f>
        <v>3.295723605288015</v>
      </c>
      <c r="J273" s="1364" t="str">
        <f>'Расчет ЦП - общая форма'!AQ273</f>
        <v/>
      </c>
      <c r="K273" s="924" t="str">
        <f>'Расчет ЦП - общая форма'!AR273</f>
        <v/>
      </c>
      <c r="L273" s="924">
        <f>'Расчет ЦП - общая форма'!AS273</f>
        <v>72.238095238095241</v>
      </c>
      <c r="M273" s="924"/>
      <c r="N273" s="924"/>
    </row>
    <row r="274" spans="1:14" hidden="1" x14ac:dyDescent="0.25">
      <c r="A274" s="1371">
        <f>'Расчет ЦП - общая форма'!Y274</f>
        <v>0</v>
      </c>
      <c r="B274" s="1393"/>
      <c r="C274" s="7" t="str">
        <f>'Расчет ЦП - общая форма'!AA274</f>
        <v xml:space="preserve">Ном. мощность СН, МВА </v>
      </c>
      <c r="D274" s="230">
        <f>'Расчет ЦП - общая форма'!AB274</f>
        <v>16</v>
      </c>
      <c r="E274" s="229" t="str">
        <f>'Расчет ЦП - общая форма'!AC274</f>
        <v>+</v>
      </c>
      <c r="F274" s="229">
        <f>'Расчет ЦП - общая форма'!AD274</f>
        <v>10</v>
      </c>
      <c r="G274" s="229">
        <f>'Расчет ЦП - общая форма'!AE274</f>
        <v>0</v>
      </c>
      <c r="H274" s="229">
        <f>'Расчет ЦП - общая форма'!AF274</f>
        <v>0</v>
      </c>
      <c r="I274" s="1365">
        <f>'Расчет ЦП - общая форма'!AP274</f>
        <v>0</v>
      </c>
      <c r="J274" s="1365" t="str">
        <f>'Расчет ЦП - общая форма'!AQ274</f>
        <v/>
      </c>
      <c r="K274" s="924" t="str">
        <f>'Расчет ЦП - общая форма'!AR274</f>
        <v/>
      </c>
      <c r="L274" s="924">
        <f>'Расчет ЦП - общая форма'!AS274</f>
        <v>0</v>
      </c>
      <c r="M274" s="924"/>
      <c r="N274" s="924"/>
    </row>
    <row r="275" spans="1:14" hidden="1" x14ac:dyDescent="0.25">
      <c r="A275" s="1371">
        <f>'Расчет ЦП - общая форма'!Y275</f>
        <v>0</v>
      </c>
      <c r="B275" s="1394"/>
      <c r="C275" s="7" t="str">
        <f>'Расчет ЦП - общая форма'!AA275</f>
        <v>Ном. мощность НН, МВА</v>
      </c>
      <c r="D275" s="230">
        <f>'Расчет ЦП - общая форма'!AB275</f>
        <v>16</v>
      </c>
      <c r="E275" s="229" t="str">
        <f>'Расчет ЦП - общая форма'!AC275</f>
        <v>+</v>
      </c>
      <c r="F275" s="229">
        <f>'Расчет ЦП - общая форма'!AD275</f>
        <v>10</v>
      </c>
      <c r="G275" s="229">
        <f>'Расчет ЦП - общая форма'!AE275</f>
        <v>0</v>
      </c>
      <c r="H275" s="229">
        <f>'Расчет ЦП - общая форма'!AF275</f>
        <v>0</v>
      </c>
      <c r="I275" s="1366">
        <f>'Расчет ЦП - общая форма'!AP275</f>
        <v>0</v>
      </c>
      <c r="J275" s="1366" t="str">
        <f>'Расчет ЦП - общая форма'!AQ275</f>
        <v/>
      </c>
      <c r="K275" s="924" t="str">
        <f>'Расчет ЦП - общая форма'!AR275</f>
        <v/>
      </c>
      <c r="L275" s="924">
        <f>'Расчет ЦП - общая форма'!AS275</f>
        <v>0</v>
      </c>
      <c r="M275" s="924"/>
      <c r="N275" s="924"/>
    </row>
    <row r="276" spans="1:14" hidden="1" x14ac:dyDescent="0.25">
      <c r="A276" s="1371">
        <f>'Расчет ЦП - общая форма'!Y276</f>
        <v>199</v>
      </c>
      <c r="B276" s="1376">
        <f>COUNTIFS($C$8:C276,"*ПС*",$J$8:J276,"*закрыт*")</f>
        <v>31</v>
      </c>
      <c r="C276" s="213" t="str">
        <f>'Расчет ЦП - общая форма'!AA276</f>
        <v xml:space="preserve">ПС 110/35/10 кВ Старица </v>
      </c>
      <c r="D276" s="230">
        <f>'Расчет ЦП - общая форма'!AB276</f>
        <v>16</v>
      </c>
      <c r="E276" s="229" t="str">
        <f>'Расчет ЦП - общая форма'!AC276</f>
        <v>+</v>
      </c>
      <c r="F276" s="229">
        <f>'Расчет ЦП - общая форма'!AD276</f>
        <v>16</v>
      </c>
      <c r="G276" s="229">
        <f>'Расчет ЦП - общая форма'!AE276</f>
        <v>0</v>
      </c>
      <c r="H276" s="229">
        <f>'Расчет ЦП - общая форма'!AF276</f>
        <v>0</v>
      </c>
      <c r="I276" s="1364">
        <f>'Расчет ЦП - общая форма'!AP276</f>
        <v>4.2300122045180863</v>
      </c>
      <c r="J276" s="1364" t="str">
        <f>'Расчет ЦП - общая форма'!AQ276</f>
        <v/>
      </c>
      <c r="K276" s="924" t="str">
        <f>'Расчет ЦП - общая форма'!AR276</f>
        <v/>
      </c>
      <c r="L276" s="924">
        <f>'Расчет ЦП - общая форма'!AS276</f>
        <v>107.02752976190476</v>
      </c>
      <c r="M276" s="924"/>
      <c r="N276" s="924"/>
    </row>
    <row r="277" spans="1:14" hidden="1" x14ac:dyDescent="0.25">
      <c r="A277" s="1371">
        <f>'Расчет ЦП - общая форма'!Y277</f>
        <v>0</v>
      </c>
      <c r="B277" s="1393"/>
      <c r="C277" s="7" t="str">
        <f>'Расчет ЦП - общая форма'!AA277</f>
        <v xml:space="preserve">Ном. мощность СН, МВА </v>
      </c>
      <c r="D277" s="230">
        <f>'Расчет ЦП - общая форма'!AB277</f>
        <v>16</v>
      </c>
      <c r="E277" s="229" t="str">
        <f>'Расчет ЦП - общая форма'!AC277</f>
        <v>+</v>
      </c>
      <c r="F277" s="229">
        <f>'Расчет ЦП - общая форма'!AD277</f>
        <v>16</v>
      </c>
      <c r="G277" s="229">
        <f>'Расчет ЦП - общая форма'!AE277</f>
        <v>0</v>
      </c>
      <c r="H277" s="229">
        <f>'Расчет ЦП - общая форма'!AF277</f>
        <v>0</v>
      </c>
      <c r="I277" s="1365">
        <f>'Расчет ЦП - общая форма'!AP277</f>
        <v>0</v>
      </c>
      <c r="J277" s="1365" t="str">
        <f>'Расчет ЦП - общая форма'!AQ277</f>
        <v/>
      </c>
      <c r="K277" s="924" t="str">
        <f>'Расчет ЦП - общая форма'!AR277</f>
        <v/>
      </c>
      <c r="L277" s="924">
        <f>'Расчет ЦП - общая форма'!AS277</f>
        <v>0</v>
      </c>
      <c r="M277" s="924"/>
      <c r="N277" s="924"/>
    </row>
    <row r="278" spans="1:14" hidden="1" x14ac:dyDescent="0.25">
      <c r="A278" s="1371">
        <f>'Расчет ЦП - общая форма'!Y278</f>
        <v>0</v>
      </c>
      <c r="B278" s="1394"/>
      <c r="C278" s="7" t="str">
        <f>'Расчет ЦП - общая форма'!AA278</f>
        <v>Ном. мощность НН, МВА</v>
      </c>
      <c r="D278" s="230">
        <f>'Расчет ЦП - общая форма'!AB278</f>
        <v>16</v>
      </c>
      <c r="E278" s="229" t="str">
        <f>'Расчет ЦП - общая форма'!AC278</f>
        <v>+</v>
      </c>
      <c r="F278" s="229">
        <f>'Расчет ЦП - общая форма'!AD278</f>
        <v>16</v>
      </c>
      <c r="G278" s="229">
        <f>'Расчет ЦП - общая форма'!AE278</f>
        <v>0</v>
      </c>
      <c r="H278" s="229">
        <f>'Расчет ЦП - общая форма'!AF278</f>
        <v>0</v>
      </c>
      <c r="I278" s="1366">
        <f>'Расчет ЦП - общая форма'!AP278</f>
        <v>0</v>
      </c>
      <c r="J278" s="1366" t="str">
        <f>'Расчет ЦП - общая форма'!AQ278</f>
        <v/>
      </c>
      <c r="K278" s="924" t="str">
        <f>'Расчет ЦП - общая форма'!AR278</f>
        <v/>
      </c>
      <c r="L278" s="924">
        <f>'Расчет ЦП - общая форма'!AS278</f>
        <v>0</v>
      </c>
      <c r="M278" s="924"/>
      <c r="N278" s="924"/>
    </row>
    <row r="279" spans="1:14" ht="20.100000000000001" hidden="1" customHeight="1" x14ac:dyDescent="0.25">
      <c r="A279" s="1371">
        <f>'Расчет ЦП - общая форма'!Y279</f>
        <v>200</v>
      </c>
      <c r="B279" s="1376">
        <f>COUNTIFS($C$8:C279,"*ПС*",$J$8:J279,"*закрыт*")</f>
        <v>31</v>
      </c>
      <c r="C279" s="213" t="str">
        <f>'Расчет ЦП - общая форма'!AA279</f>
        <v xml:space="preserve">ПС 110/35/10 кВ З.Поле </v>
      </c>
      <c r="D279" s="230">
        <f>'Расчет ЦП - общая форма'!AB279</f>
        <v>6.3</v>
      </c>
      <c r="E279" s="229" t="str">
        <f>'Расчет ЦП - общая форма'!AC279</f>
        <v>+</v>
      </c>
      <c r="F279" s="229">
        <f>'Расчет ЦП - общая форма'!AD279</f>
        <v>6.3</v>
      </c>
      <c r="G279" s="229">
        <f>'Расчет ЦП - общая форма'!AE279</f>
        <v>0</v>
      </c>
      <c r="H279" s="229">
        <f>'Расчет ЦП - общая форма'!AF279</f>
        <v>0</v>
      </c>
      <c r="I279" s="1364">
        <f>'Расчет ЦП - общая форма'!AP279</f>
        <v>2.7550000000000003</v>
      </c>
      <c r="J279" s="1364" t="str">
        <f>'Расчет ЦП - общая форма'!AQ279</f>
        <v/>
      </c>
      <c r="K279" s="924" t="str">
        <f>'Расчет ЦП - общая форма'!AR279</f>
        <v/>
      </c>
      <c r="L279" s="924">
        <f>'Расчет ЦП - общая форма'!AS279</f>
        <v>58.35222978080121</v>
      </c>
      <c r="M279" s="924"/>
      <c r="N279" s="924"/>
    </row>
    <row r="280" spans="1:14" ht="20.100000000000001" hidden="1" customHeight="1" x14ac:dyDescent="0.25">
      <c r="A280" s="1371">
        <f>'Расчет ЦП - общая форма'!Y280</f>
        <v>0</v>
      </c>
      <c r="B280" s="1393"/>
      <c r="C280" s="7" t="str">
        <f>'Расчет ЦП - общая форма'!AA280</f>
        <v xml:space="preserve">Ном. мощность СН, МВА </v>
      </c>
      <c r="D280" s="230">
        <f>'Расчет ЦП - общая форма'!AB280</f>
        <v>6.3</v>
      </c>
      <c r="E280" s="229" t="str">
        <f>'Расчет ЦП - общая форма'!AC280</f>
        <v>+</v>
      </c>
      <c r="F280" s="229">
        <f>'Расчет ЦП - общая форма'!AD280</f>
        <v>6.3</v>
      </c>
      <c r="G280" s="229">
        <f>'Расчет ЦП - общая форма'!AE280</f>
        <v>0</v>
      </c>
      <c r="H280" s="229">
        <f>'Расчет ЦП - общая форма'!AF280</f>
        <v>0</v>
      </c>
      <c r="I280" s="1365">
        <f>'Расчет ЦП - общая форма'!AP280</f>
        <v>0</v>
      </c>
      <c r="J280" s="1365" t="str">
        <f>'Расчет ЦП - общая форма'!AQ280</f>
        <v/>
      </c>
      <c r="K280" s="924" t="str">
        <f>'Расчет ЦП - общая форма'!AR280</f>
        <v/>
      </c>
      <c r="L280" s="924">
        <f>'Расчет ЦП - общая форма'!AS280</f>
        <v>0</v>
      </c>
      <c r="M280" s="924"/>
      <c r="N280" s="924"/>
    </row>
    <row r="281" spans="1:14" ht="20.100000000000001" hidden="1" customHeight="1" x14ac:dyDescent="0.25">
      <c r="A281" s="1371">
        <f>'Расчет ЦП - общая форма'!Y281</f>
        <v>0</v>
      </c>
      <c r="B281" s="1394"/>
      <c r="C281" s="7" t="str">
        <f>'Расчет ЦП - общая форма'!AA281</f>
        <v>Ном. мощность НН, МВА</v>
      </c>
      <c r="D281" s="230">
        <f>'Расчет ЦП - общая форма'!AB281</f>
        <v>6.3</v>
      </c>
      <c r="E281" s="229" t="str">
        <f>'Расчет ЦП - общая форма'!AC281</f>
        <v>+</v>
      </c>
      <c r="F281" s="229">
        <f>'Расчет ЦП - общая форма'!AD281</f>
        <v>6.3</v>
      </c>
      <c r="G281" s="229">
        <f>'Расчет ЦП - общая форма'!AE281</f>
        <v>0</v>
      </c>
      <c r="H281" s="229">
        <f>'Расчет ЦП - общая форма'!AF281</f>
        <v>0</v>
      </c>
      <c r="I281" s="1366">
        <f>'Расчет ЦП - общая форма'!AP281</f>
        <v>0</v>
      </c>
      <c r="J281" s="1366" t="str">
        <f>'Расчет ЦП - общая форма'!AQ281</f>
        <v/>
      </c>
      <c r="K281" s="924" t="str">
        <f>'Расчет ЦП - общая форма'!AR281</f>
        <v/>
      </c>
      <c r="L281" s="924">
        <f>'Расчет ЦП - общая форма'!AS281</f>
        <v>0</v>
      </c>
      <c r="M281" s="924"/>
      <c r="N281" s="924"/>
    </row>
    <row r="282" spans="1:14" ht="20.100000000000001" customHeight="1" x14ac:dyDescent="0.25">
      <c r="A282" s="213">
        <f>'Расчет ЦП - общая форма'!Y282</f>
        <v>201</v>
      </c>
      <c r="B282" s="1255">
        <f>COUNTIFS($C$8:C282,"*ПС*",$J$8:J282,"*закрыт*")</f>
        <v>32</v>
      </c>
      <c r="C282" s="213" t="str">
        <f>'Расчет ЦП - общая форма'!AA282</f>
        <v xml:space="preserve">ПС 110/10 кВ Золоотвал </v>
      </c>
      <c r="D282" s="230">
        <f>'Расчет ЦП - общая форма'!AB282</f>
        <v>2.5</v>
      </c>
      <c r="E282" s="229">
        <f>'Расчет ЦП - общая форма'!AC282</f>
        <v>0</v>
      </c>
      <c r="F282" s="229">
        <f>'Расчет ЦП - общая форма'!AD282</f>
        <v>0</v>
      </c>
      <c r="G282" s="229">
        <f>'Расчет ЦП - общая форма'!AE282</f>
        <v>0</v>
      </c>
      <c r="H282" s="229">
        <f>'Расчет ЦП - общая форма'!AF282</f>
        <v>0</v>
      </c>
      <c r="I282" s="172">
        <f>'Расчет ЦП - общая форма'!AP282</f>
        <v>-0.88412499999999994</v>
      </c>
      <c r="J282" s="172" t="str">
        <f>'Расчет ЦП - общая форма'!AQ282</f>
        <v>закрыт</v>
      </c>
      <c r="K282" s="924" t="str">
        <f>'Расчет ЦП - общая форма'!AR282</f>
        <v>закрыт</v>
      </c>
      <c r="L282" s="924">
        <f>'Расчет ЦП - общая форма'!AS282</f>
        <v>68.347619047619048</v>
      </c>
      <c r="M282" s="924"/>
      <c r="N282" s="924"/>
    </row>
    <row r="283" spans="1:14" ht="20.100000000000001" customHeight="1" x14ac:dyDescent="0.25">
      <c r="A283" s="213">
        <f>'Расчет ЦП - общая форма'!Y283</f>
        <v>202</v>
      </c>
      <c r="B283" s="1255">
        <f>COUNTIFS($C$8:C283,"*ПС*",$J$8:J283,"*закрыт*")</f>
        <v>33</v>
      </c>
      <c r="C283" s="213" t="str">
        <f>'Расчет ЦП - общая форма'!AA283</f>
        <v xml:space="preserve">ПС 35/10 кВ Красногорская </v>
      </c>
      <c r="D283" s="230">
        <f>'Расчет ЦП - общая форма'!AB283</f>
        <v>1.6</v>
      </c>
      <c r="E283" s="229">
        <f>'Расчет ЦП - общая форма'!AC283</f>
        <v>0</v>
      </c>
      <c r="F283" s="229">
        <f>'Расчет ЦП - общая форма'!AD283</f>
        <v>0</v>
      </c>
      <c r="G283" s="229">
        <f>'Расчет ЦП - общая форма'!AE283</f>
        <v>0</v>
      </c>
      <c r="H283" s="229">
        <f>'Расчет ЦП - общая форма'!AF283</f>
        <v>0</v>
      </c>
      <c r="I283" s="172">
        <f>'Расчет ЦП - общая форма'!AP283</f>
        <v>-3.6216740000000001</v>
      </c>
      <c r="J283" s="172" t="str">
        <f>'Расчет ЦП - общая форма'!AQ283</f>
        <v>закрыт</v>
      </c>
      <c r="K283" s="924" t="str">
        <f>'Расчет ЦП - общая форма'!AR283</f>
        <v>закрыт</v>
      </c>
      <c r="L283" s="924">
        <f>'Расчет ЦП - общая форма'!AS283</f>
        <v>215.57583333333329</v>
      </c>
      <c r="M283" s="924"/>
      <c r="N283" s="924"/>
    </row>
    <row r="284" spans="1:14" ht="20.100000000000001" customHeight="1" x14ac:dyDescent="0.25">
      <c r="A284" s="213">
        <f>'Расчет ЦП - общая форма'!Y284</f>
        <v>203</v>
      </c>
      <c r="B284" s="1255">
        <f>COUNTIFS($C$8:C284,"*ПС*",$J$8:J284,"*закрыт*")</f>
        <v>34</v>
      </c>
      <c r="C284" s="213" t="str">
        <f>'Расчет ЦП - общая форма'!AA284</f>
        <v xml:space="preserve">ПС 35/10 кВ Лисицкий Бор </v>
      </c>
      <c r="D284" s="230">
        <f>'Расчет ЦП - общая форма'!AB284</f>
        <v>2.5</v>
      </c>
      <c r="E284" s="229">
        <f>'Расчет ЦП - общая форма'!AC284</f>
        <v>0</v>
      </c>
      <c r="F284" s="229">
        <f>'Расчет ЦП - общая форма'!AD284</f>
        <v>0</v>
      </c>
      <c r="G284" s="229">
        <f>'Расчет ЦП - общая форма'!AE284</f>
        <v>0</v>
      </c>
      <c r="H284" s="229">
        <f>'Расчет ЦП - общая форма'!AF284</f>
        <v>0</v>
      </c>
      <c r="I284" s="172">
        <f>'Расчет ЦП - общая форма'!AP284</f>
        <v>-2.2912100000000004</v>
      </c>
      <c r="J284" s="172" t="str">
        <f>'Расчет ЦП - общая форма'!AQ284</f>
        <v>закрыт</v>
      </c>
      <c r="K284" s="924" t="str">
        <f>'Расчет ЦП - общая форма'!AR284</f>
        <v>закрыт</v>
      </c>
      <c r="L284" s="924">
        <f>'Расчет ЦП - общая форма'!AS284</f>
        <v>87.284190476190489</v>
      </c>
      <c r="M284" s="924"/>
      <c r="N284" s="924"/>
    </row>
    <row r="285" spans="1:14" ht="20.100000000000001" customHeight="1" x14ac:dyDescent="0.25">
      <c r="A285" s="213">
        <f>'Расчет ЦП - общая форма'!Y285</f>
        <v>204</v>
      </c>
      <c r="B285" s="1255">
        <f>COUNTIFS($C$8:C285,"*ПС*",$J$8:J285,"*закрыт*")</f>
        <v>35</v>
      </c>
      <c r="C285" s="213" t="str">
        <f>'Расчет ЦП - общая форма'!AA285</f>
        <v xml:space="preserve">ПС  35/3 кВ №6 </v>
      </c>
      <c r="D285" s="230">
        <f>'Расчет ЦП - общая форма'!AB285</f>
        <v>1</v>
      </c>
      <c r="E285" s="229">
        <f>'Расчет ЦП - общая форма'!AC285</f>
        <v>0</v>
      </c>
      <c r="F285" s="229">
        <f>'Расчет ЦП - общая форма'!AD285</f>
        <v>0</v>
      </c>
      <c r="G285" s="229">
        <f>'Расчет ЦП - общая форма'!AE285</f>
        <v>0</v>
      </c>
      <c r="H285" s="229">
        <f>'Расчет ЦП - общая форма'!AF285</f>
        <v>0</v>
      </c>
      <c r="I285" s="172">
        <f>'Расчет ЦП - общая форма'!AP285</f>
        <v>-0.14532</v>
      </c>
      <c r="J285" s="172" t="str">
        <f>'Расчет ЦП - общая форма'!AQ285</f>
        <v>закрыт</v>
      </c>
      <c r="K285" s="924" t="str">
        <f>'Расчет ЦП - общая форма'!AR285</f>
        <v>закрыт</v>
      </c>
      <c r="L285" s="924">
        <f>'Расчет ЦП - общая форма'!AS285</f>
        <v>13.84</v>
      </c>
      <c r="M285" s="924"/>
      <c r="N285" s="924"/>
    </row>
    <row r="286" spans="1:14" ht="20.100000000000001" customHeight="1" x14ac:dyDescent="0.25">
      <c r="A286" s="213">
        <f>'Расчет ЦП - общая форма'!Y286</f>
        <v>205</v>
      </c>
      <c r="B286" s="1255">
        <f>COUNTIFS($C$8:C286,"*ПС*",$J$8:J286,"*закрыт*")</f>
        <v>36</v>
      </c>
      <c r="C286" s="213" t="str">
        <f>'Расчет ЦП - общая форма'!AA286</f>
        <v xml:space="preserve">ПС 35/6 кВ №1 </v>
      </c>
      <c r="D286" s="230">
        <f>'Расчет ЦП - общая форма'!AB286</f>
        <v>1</v>
      </c>
      <c r="E286" s="229">
        <f>'Расчет ЦП - общая форма'!AC286</f>
        <v>0</v>
      </c>
      <c r="F286" s="229">
        <f>'Расчет ЦП - общая форма'!AD286</f>
        <v>0</v>
      </c>
      <c r="G286" s="229">
        <f>'Расчет ЦП - общая форма'!AE286</f>
        <v>0</v>
      </c>
      <c r="H286" s="229">
        <f>'Расчет ЦП - общая форма'!AF286</f>
        <v>0</v>
      </c>
      <c r="I286" s="172">
        <f>'Расчет ЦП - общая форма'!AP286</f>
        <v>-0.68646400000000007</v>
      </c>
      <c r="J286" s="172" t="str">
        <f>'Расчет ЦП - общая форма'!AQ286</f>
        <v>закрыт</v>
      </c>
      <c r="K286" s="924" t="str">
        <f>'Расчет ЦП - общая форма'!AR286</f>
        <v>закрыт</v>
      </c>
      <c r="L286" s="924">
        <f>'Расчет ЦП - общая форма'!AS286</f>
        <v>65.377523809523822</v>
      </c>
      <c r="M286" s="924"/>
      <c r="N286" s="924"/>
    </row>
    <row r="287" spans="1:14" x14ac:dyDescent="0.25">
      <c r="A287" s="213">
        <f>'Расчет ЦП - общая форма'!Y287</f>
        <v>206</v>
      </c>
      <c r="B287" s="1255">
        <f>COUNTIFS($C$8:C287,"*ПС*",$J$8:J287,"*закрыт*")</f>
        <v>37</v>
      </c>
      <c r="C287" s="213" t="str">
        <f>'Расчет ЦП - общая форма'!AA287</f>
        <v xml:space="preserve">  ПС  35/10 кВ №1 </v>
      </c>
      <c r="D287" s="230">
        <f>'Расчет ЦП - общая форма'!AB287</f>
        <v>2.5</v>
      </c>
      <c r="E287" s="229">
        <f>'Расчет ЦП - общая форма'!AC287</f>
        <v>0</v>
      </c>
      <c r="F287" s="229">
        <f>'Расчет ЦП - общая форма'!AD287</f>
        <v>0</v>
      </c>
      <c r="G287" s="229">
        <f>'Расчет ЦП - общая форма'!AE287</f>
        <v>0</v>
      </c>
      <c r="H287" s="229">
        <f>'Расчет ЦП - общая форма'!AF287</f>
        <v>0</v>
      </c>
      <c r="I287" s="172">
        <f>'Расчет ЦП - общая форма'!AP287</f>
        <v>-3.9707500000000002</v>
      </c>
      <c r="J287" s="172" t="str">
        <f>'Расчет ЦП - общая форма'!AQ287</f>
        <v>закрыт</v>
      </c>
      <c r="K287" s="924" t="str">
        <f>'Расчет ЦП - общая форма'!AR287</f>
        <v>закрыт</v>
      </c>
      <c r="L287" s="924">
        <f>'Расчет ЦП - общая форма'!AS287</f>
        <v>151.26666666666668</v>
      </c>
      <c r="M287" s="924"/>
      <c r="N287" s="924"/>
    </row>
    <row r="288" spans="1:14" x14ac:dyDescent="0.25">
      <c r="A288" s="213">
        <f>'Расчет ЦП - общая форма'!Y288</f>
        <v>207</v>
      </c>
      <c r="B288" s="1255">
        <f>COUNTIFS($C$8:C288,"*ПС*",$J$8:J288,"*закрыт*")</f>
        <v>38</v>
      </c>
      <c r="C288" s="213" t="str">
        <f>'Расчет ЦП - общая форма'!AA288</f>
        <v>ПС  35/6 кВ №16</v>
      </c>
      <c r="D288" s="230">
        <f>'Расчет ЦП - общая форма'!AB288</f>
        <v>1</v>
      </c>
      <c r="E288" s="229">
        <f>'Расчет ЦП - общая форма'!AC288</f>
        <v>0</v>
      </c>
      <c r="F288" s="229">
        <f>'Расчет ЦП - общая форма'!AD288</f>
        <v>0</v>
      </c>
      <c r="G288" s="229">
        <f>'Расчет ЦП - общая форма'!AE288</f>
        <v>0</v>
      </c>
      <c r="H288" s="229">
        <f>'Расчет ЦП - общая форма'!AF288</f>
        <v>0</v>
      </c>
      <c r="I288" s="172">
        <f>'Расчет ЦП - общая форма'!AP288</f>
        <v>-0.90742400000000001</v>
      </c>
      <c r="J288" s="172" t="str">
        <f>'Расчет ЦП - общая форма'!AQ288</f>
        <v>закрыт</v>
      </c>
      <c r="K288" s="924" t="str">
        <f>'Расчет ЦП - общая форма'!AR288</f>
        <v>закрыт</v>
      </c>
      <c r="L288" s="924">
        <f>'Расчет ЦП - общая форма'!AS288</f>
        <v>86.421333333333337</v>
      </c>
      <c r="M288" s="924"/>
      <c r="N288" s="924"/>
    </row>
    <row r="289" spans="1:14" x14ac:dyDescent="0.25">
      <c r="A289" s="213">
        <f>'Расчет ЦП - общая форма'!Y289</f>
        <v>208</v>
      </c>
      <c r="B289" s="1255">
        <f>COUNTIFS($C$8:C289,"*ПС*",$J$8:J289,"*закрыт*")</f>
        <v>39</v>
      </c>
      <c r="C289" s="213" t="str">
        <f>'Расчет ЦП - общая форма'!AA289</f>
        <v>ПС  35/10 кВ №16</v>
      </c>
      <c r="D289" s="230">
        <f>'Расчет ЦП - общая форма'!AB289</f>
        <v>2.5</v>
      </c>
      <c r="E289" s="229">
        <f>'Расчет ЦП - общая форма'!AC289</f>
        <v>0</v>
      </c>
      <c r="F289" s="229">
        <f>'Расчет ЦП - общая форма'!AD289</f>
        <v>0</v>
      </c>
      <c r="G289" s="229">
        <f>'Расчет ЦП - общая форма'!AE289</f>
        <v>0</v>
      </c>
      <c r="H289" s="229">
        <f>'Расчет ЦП - общая форма'!AF289</f>
        <v>0</v>
      </c>
      <c r="I289" s="172">
        <f>'Расчет ЦП - общая форма'!AP289</f>
        <v>-1.1002799999999999</v>
      </c>
      <c r="J289" s="172" t="str">
        <f>'Расчет ЦП - общая форма'!AQ289</f>
        <v>закрыт</v>
      </c>
      <c r="K289" s="924" t="str">
        <f>'Расчет ЦП - общая форма'!AR289</f>
        <v>закрыт</v>
      </c>
      <c r="L289" s="924">
        <f>'Расчет ЦП - общая форма'!AS289</f>
        <v>41.915428571428571</v>
      </c>
      <c r="M289" s="924"/>
      <c r="N289" s="924"/>
    </row>
    <row r="290" spans="1:14" ht="20.100000000000001" hidden="1" customHeight="1" x14ac:dyDescent="0.25">
      <c r="A290" s="213">
        <f>'Расчет ЦП - общая форма'!Y290</f>
        <v>209</v>
      </c>
      <c r="B290" s="1255">
        <f>COUNTIFS($C$8:C290,"*ПС*",$J$8:J290,"*закрыт*")</f>
        <v>39</v>
      </c>
      <c r="C290" s="213" t="str">
        <f>'Расчет ЦП - общая форма'!AA290</f>
        <v xml:space="preserve">ПС 35/10 кВ Золотиха </v>
      </c>
      <c r="D290" s="230">
        <f>'Расчет ЦП - общая форма'!AB290</f>
        <v>2.5</v>
      </c>
      <c r="E290" s="229">
        <f>'Расчет ЦП - общая форма'!AC290</f>
        <v>0</v>
      </c>
      <c r="F290" s="229">
        <f>'Расчет ЦП - общая форма'!AD290</f>
        <v>0</v>
      </c>
      <c r="G290" s="229">
        <f>'Расчет ЦП - общая форма'!AE290</f>
        <v>0</v>
      </c>
      <c r="H290" s="229">
        <f>'Расчет ЦП - общая форма'!AF290</f>
        <v>0</v>
      </c>
      <c r="I290" s="172">
        <f>'Расчет ЦП - общая форма'!AP290</f>
        <v>8.0710000000001614E-3</v>
      </c>
      <c r="J290" s="172" t="str">
        <f>'Расчет ЦП - общая форма'!AQ290</f>
        <v/>
      </c>
      <c r="K290" s="924" t="str">
        <f>'Расчет ЦП - общая форма'!AR290</f>
        <v/>
      </c>
      <c r="L290" s="924">
        <f>'Расчет ЦП - общая форма'!AS290</f>
        <v>27.502057142857137</v>
      </c>
      <c r="M290" s="924"/>
      <c r="N290" s="924"/>
    </row>
    <row r="291" spans="1:14" ht="20.100000000000001" hidden="1" customHeight="1" x14ac:dyDescent="0.25">
      <c r="A291" s="213">
        <f>'Расчет ЦП - общая форма'!Y291</f>
        <v>210</v>
      </c>
      <c r="B291" s="1255">
        <f>COUNTIFS($C$8:C291,"*ПС*",$J$8:J291,"*закрыт*")</f>
        <v>39</v>
      </c>
      <c r="C291" s="213" t="str">
        <f>'Расчет ЦП - общая форма'!AA291</f>
        <v>ПС  35/10 кВ Новый Стан</v>
      </c>
      <c r="D291" s="230">
        <f>'Расчет ЦП - общая форма'!AB291</f>
        <v>2.5</v>
      </c>
      <c r="E291" s="229">
        <f>'Расчет ЦП - общая форма'!AC291</f>
        <v>0</v>
      </c>
      <c r="F291" s="229">
        <f>'Расчет ЦП - общая форма'!AD291</f>
        <v>0</v>
      </c>
      <c r="G291" s="229">
        <f>'Расчет ЦП - общая форма'!AE291</f>
        <v>0</v>
      </c>
      <c r="H291" s="229">
        <f>'Расчет ЦП - общая форма'!AF291</f>
        <v>0</v>
      </c>
      <c r="I291" s="172">
        <f>'Расчет ЦП - общая форма'!AP291</f>
        <v>5.3130000000000677E-3</v>
      </c>
      <c r="J291" s="172" t="str">
        <f>'Расчет ЦП - общая форма'!AQ291</f>
        <v/>
      </c>
      <c r="K291" s="924" t="str">
        <f>'Расчет ЦП - общая форма'!AR291</f>
        <v/>
      </c>
      <c r="L291" s="924">
        <f>'Расчет ЦП - общая форма'!AS291</f>
        <v>11.988076190476189</v>
      </c>
      <c r="M291" s="924"/>
      <c r="N291" s="924"/>
    </row>
    <row r="292" spans="1:14" ht="20.100000000000001" hidden="1" customHeight="1" x14ac:dyDescent="0.25">
      <c r="A292" s="213">
        <f>'Расчет ЦП - общая форма'!Y292</f>
        <v>211</v>
      </c>
      <c r="B292" s="1255">
        <f>COUNTIFS($C$8:C292,"*ПС*",$J$8:J292,"*закрыт*")</f>
        <v>39</v>
      </c>
      <c r="C292" s="213" t="str">
        <f>'Расчет ЦП - общая форма'!AA292</f>
        <v>ПС  35/10 кВ Романово</v>
      </c>
      <c r="D292" s="230">
        <f>'Расчет ЦП - общая форма'!AB292</f>
        <v>2.5</v>
      </c>
      <c r="E292" s="229">
        <f>'Расчет ЦП - общая форма'!AC292</f>
        <v>0</v>
      </c>
      <c r="F292" s="229">
        <f>'Расчет ЦП - общая форма'!AD292</f>
        <v>0</v>
      </c>
      <c r="G292" s="229">
        <f>'Расчет ЦП - общая форма'!AE292</f>
        <v>0</v>
      </c>
      <c r="H292" s="229">
        <f>'Расчет ЦП - общая форма'!AF292</f>
        <v>0</v>
      </c>
      <c r="I292" s="172">
        <f>'Расчет ЦП - общая форма'!AP292</f>
        <v>5.5499999999997218E-4</v>
      </c>
      <c r="J292" s="172" t="str">
        <f>'Расчет ЦП - общая форма'!AQ292</f>
        <v/>
      </c>
      <c r="K292" s="924" t="str">
        <f>'Расчет ЦП - общая форма'!AR292</f>
        <v/>
      </c>
      <c r="L292" s="924">
        <f>'Расчет ЦП - общая форма'!AS292</f>
        <v>22.835999999999999</v>
      </c>
      <c r="M292" s="924"/>
      <c r="N292" s="924"/>
    </row>
    <row r="293" spans="1:14" ht="20.100000000000001" customHeight="1" x14ac:dyDescent="0.25">
      <c r="A293" s="213">
        <f>'Расчет ЦП - общая форма'!Y293</f>
        <v>212</v>
      </c>
      <c r="B293" s="1255">
        <f>COUNTIFS($C$8:C293,"*ПС*",$J$8:J293,"*закрыт*")</f>
        <v>40</v>
      </c>
      <c r="C293" s="213" t="str">
        <f>'Расчет ЦП - общая форма'!AA293</f>
        <v xml:space="preserve">ПС 35/10 кВ Первитино </v>
      </c>
      <c r="D293" s="230">
        <f>'Расчет ЦП - общая форма'!AB293</f>
        <v>1.6</v>
      </c>
      <c r="E293" s="229">
        <f>'Расчет ЦП - общая форма'!AC293</f>
        <v>0</v>
      </c>
      <c r="F293" s="229">
        <f>'Расчет ЦП - общая форма'!AD293</f>
        <v>0</v>
      </c>
      <c r="G293" s="229">
        <f>'Расчет ЦП - общая форма'!AE293</f>
        <v>0</v>
      </c>
      <c r="H293" s="229">
        <f>'Расчет ЦП - общая форма'!AF293</f>
        <v>0</v>
      </c>
      <c r="I293" s="172">
        <f>'Расчет ЦП - общая форма'!AP293</f>
        <v>-0.28544999999999998</v>
      </c>
      <c r="J293" s="172" t="str">
        <f>'Расчет ЦП - общая форма'!AQ293</f>
        <v>закрыт</v>
      </c>
      <c r="K293" s="924" t="str">
        <f>'Расчет ЦП - общая форма'!AR293</f>
        <v>закрыт</v>
      </c>
      <c r="L293" s="924">
        <f>'Расчет ЦП - общая форма'!AS293</f>
        <v>16.991071428571427</v>
      </c>
      <c r="M293" s="924"/>
      <c r="N293" s="924"/>
    </row>
    <row r="294" spans="1:14" x14ac:dyDescent="0.25">
      <c r="A294" s="213">
        <f>'Расчет ЦП - общая форма'!Y294</f>
        <v>213</v>
      </c>
      <c r="B294" s="1255">
        <f>COUNTIFS($C$8:C294,"*ПС*",$J$8:J294,"*закрыт*")</f>
        <v>41</v>
      </c>
      <c r="C294" s="213" t="str">
        <f>'Расчет ЦП - общая форма'!AA294</f>
        <v xml:space="preserve">ПС 35/10 кВ № 8  </v>
      </c>
      <c r="D294" s="230">
        <f>'Расчет ЦП - общая форма'!AB294</f>
        <v>2.5</v>
      </c>
      <c r="E294" s="229">
        <f>'Расчет ЦП - общая форма'!AC294</f>
        <v>0</v>
      </c>
      <c r="F294" s="229">
        <f>'Расчет ЦП - общая форма'!AD294</f>
        <v>0</v>
      </c>
      <c r="G294" s="229">
        <f>'Расчет ЦП - общая форма'!AE294</f>
        <v>0</v>
      </c>
      <c r="H294" s="229">
        <f>'Расчет ЦП - общая форма'!AF294</f>
        <v>0</v>
      </c>
      <c r="I294" s="172">
        <f>'Расчет ЦП - общая форма'!AP294</f>
        <v>-1.9644249999999999</v>
      </c>
      <c r="J294" s="172" t="str">
        <f>'Расчет ЦП - общая форма'!AQ294</f>
        <v>закрыт</v>
      </c>
      <c r="K294" s="924" t="str">
        <f>'Расчет ЦП - общая форма'!AR294</f>
        <v>закрыт</v>
      </c>
      <c r="L294" s="924">
        <f>'Расчет ЦП - общая форма'!AS294</f>
        <v>74.835238095238097</v>
      </c>
      <c r="M294" s="924"/>
      <c r="N294" s="924"/>
    </row>
    <row r="295" spans="1:14" ht="20.100000000000001" customHeight="1" x14ac:dyDescent="0.25">
      <c r="A295" s="213">
        <f>'Расчет ЦП - общая форма'!Y295</f>
        <v>214</v>
      </c>
      <c r="B295" s="1255">
        <f>COUNTIFS($C$8:C295,"*ПС*",$J$8:J295,"*закрыт*")</f>
        <v>42</v>
      </c>
      <c r="C295" s="213" t="str">
        <f>'Расчет ЦП - общая форма'!AA295</f>
        <v xml:space="preserve">ПС 35/6 кВ Алексино </v>
      </c>
      <c r="D295" s="230">
        <f>'Расчет ЦП - общая форма'!AB295</f>
        <v>2.5</v>
      </c>
      <c r="E295" s="229">
        <f>'Расчет ЦП - общая форма'!AC295</f>
        <v>0</v>
      </c>
      <c r="F295" s="229">
        <f>'Расчет ЦП - общая форма'!AD295</f>
        <v>0</v>
      </c>
      <c r="G295" s="229">
        <f>'Расчет ЦП - общая форма'!AE295</f>
        <v>0</v>
      </c>
      <c r="H295" s="229">
        <f>'Расчет ЦП - общая форма'!AF295</f>
        <v>0</v>
      </c>
      <c r="I295" s="172">
        <f>'Расчет ЦП - общая форма'!AP295</f>
        <v>-2.712415</v>
      </c>
      <c r="J295" s="172" t="str">
        <f>'Расчет ЦП - общая форма'!AQ295</f>
        <v>закрыт</v>
      </c>
      <c r="K295" s="924" t="str">
        <f>'Расчет ЦП - общая форма'!AR295</f>
        <v>закрыт</v>
      </c>
      <c r="L295" s="924">
        <f>'Расчет ЦП - общая форма'!AS295</f>
        <v>103.33009523809523</v>
      </c>
      <c r="M295" s="924"/>
      <c r="N295" s="924"/>
    </row>
    <row r="296" spans="1:14" x14ac:dyDescent="0.25">
      <c r="A296" s="213">
        <f>'Расчет ЦП - общая форма'!Y296</f>
        <v>215</v>
      </c>
      <c r="B296" s="1255">
        <f>COUNTIFS($C$8:C296,"*ПС*",$J$8:J296,"*закрыт*")</f>
        <v>43</v>
      </c>
      <c r="C296" s="213" t="str">
        <f>'Расчет ЦП - общая форма'!AA296</f>
        <v xml:space="preserve">ПС 35/10 кВ Безбородово </v>
      </c>
      <c r="D296" s="230">
        <f>'Расчет ЦП - общая форма'!AB296</f>
        <v>2.5</v>
      </c>
      <c r="E296" s="229">
        <f>'Расчет ЦП - общая форма'!AC296</f>
        <v>0</v>
      </c>
      <c r="F296" s="229">
        <f>'Расчет ЦП - общая форма'!AD296</f>
        <v>0</v>
      </c>
      <c r="G296" s="229">
        <f>'Расчет ЦП - общая форма'!AE296</f>
        <v>0</v>
      </c>
      <c r="H296" s="229">
        <f>'Расчет ЦП - общая форма'!AF296</f>
        <v>0</v>
      </c>
      <c r="I296" s="172">
        <f>'Расчет ЦП - общая форма'!AP296</f>
        <v>-0.90670500000000009</v>
      </c>
      <c r="J296" s="172" t="str">
        <f>'Расчет ЦП - общая форма'!AQ296</f>
        <v>закрыт</v>
      </c>
      <c r="K296" s="924" t="str">
        <f>'Расчет ЦП - общая форма'!AR296</f>
        <v>закрыт</v>
      </c>
      <c r="L296" s="924">
        <f>'Расчет ЦП - общая форма'!AS296</f>
        <v>34.541142857142859</v>
      </c>
      <c r="M296" s="924"/>
      <c r="N296" s="924"/>
    </row>
    <row r="297" spans="1:14" x14ac:dyDescent="0.25">
      <c r="A297" s="213">
        <f>'Расчет ЦП - общая форма'!Y297</f>
        <v>216</v>
      </c>
      <c r="B297" s="1255">
        <f>COUNTIFS($C$8:C297,"*ПС*",$J$8:J297,"*закрыт*")</f>
        <v>44</v>
      </c>
      <c r="C297" s="213" t="str">
        <f>'Расчет ЦП - общая форма'!AA297</f>
        <v xml:space="preserve">ПС 110/10 кВ Медведиха </v>
      </c>
      <c r="D297" s="230">
        <f>'Расчет ЦП - общая форма'!AB297</f>
        <v>2.5</v>
      </c>
      <c r="E297" s="229">
        <f>'Расчет ЦП - общая форма'!AC297</f>
        <v>0</v>
      </c>
      <c r="F297" s="229">
        <f>'Расчет ЦП - общая форма'!AD297</f>
        <v>0</v>
      </c>
      <c r="G297" s="229">
        <f>'Расчет ЦП - общая форма'!AE297</f>
        <v>0</v>
      </c>
      <c r="H297" s="229">
        <f>'Расчет ЦП - общая форма'!AF297</f>
        <v>0</v>
      </c>
      <c r="I297" s="172">
        <f>'Расчет ЦП - общая форма'!AP297</f>
        <v>-0.25177499999999986</v>
      </c>
      <c r="J297" s="172" t="str">
        <f>'Расчет ЦП - общая форма'!AQ297</f>
        <v>закрыт</v>
      </c>
      <c r="K297" s="924" t="str">
        <f>'Расчет ЦП - общая форма'!AR297</f>
        <v>закрыт</v>
      </c>
      <c r="L297" s="924">
        <f>'Расчет ЦП - общая форма'!AS297</f>
        <v>44.524761904761895</v>
      </c>
      <c r="M297" s="924"/>
      <c r="N297" s="924"/>
    </row>
    <row r="298" spans="1:14" x14ac:dyDescent="0.25">
      <c r="A298" s="213">
        <f>'Расчет ЦП - общая форма'!Y298</f>
        <v>217</v>
      </c>
      <c r="B298" s="1255">
        <f>COUNTIFS($C$8:C298,"*ПС*",$J$8:J298,"*закрыт*")</f>
        <v>45</v>
      </c>
      <c r="C298" s="213" t="str">
        <f>'Расчет ЦП - общая форма'!AA298</f>
        <v xml:space="preserve">ПС 35/10 кВ Киверичи </v>
      </c>
      <c r="D298" s="230">
        <f>'Расчет ЦП - общая форма'!AB298</f>
        <v>2.5</v>
      </c>
      <c r="E298" s="229">
        <f>'Расчет ЦП - общая форма'!AC298</f>
        <v>0</v>
      </c>
      <c r="F298" s="229">
        <f>'Расчет ЦП - общая форма'!AD298</f>
        <v>0</v>
      </c>
      <c r="G298" s="229">
        <f>'Расчет ЦП - общая форма'!AE298</f>
        <v>0</v>
      </c>
      <c r="H298" s="229">
        <f>'Расчет ЦП - общая форма'!AF298</f>
        <v>0</v>
      </c>
      <c r="I298" s="172">
        <f>'Расчет ЦП - общая форма'!AP298</f>
        <v>-0.586816</v>
      </c>
      <c r="J298" s="172" t="str">
        <f>'Расчет ЦП - общая форма'!AQ298</f>
        <v>закрыт</v>
      </c>
      <c r="K298" s="924" t="str">
        <f>'Расчет ЦП - общая форма'!AR298</f>
        <v>закрыт</v>
      </c>
      <c r="L298" s="924">
        <f>'Расчет ЦП - общая форма'!AS298</f>
        <v>22.354895238095239</v>
      </c>
      <c r="M298" s="924"/>
      <c r="N298" s="924"/>
    </row>
    <row r="299" spans="1:14" hidden="1" x14ac:dyDescent="0.25">
      <c r="A299" s="213">
        <f>'Расчет ЦП - общая форма'!Y299</f>
        <v>218</v>
      </c>
      <c r="B299" s="1255">
        <f>COUNTIFS($C$8:C299,"*ПС*",$J$8:J299,"*закрыт*")</f>
        <v>45</v>
      </c>
      <c r="C299" s="213" t="str">
        <f>'Расчет ЦП - общая форма'!AA299</f>
        <v xml:space="preserve">ПС 35/10 кВ Диево </v>
      </c>
      <c r="D299" s="230">
        <f>'Расчет ЦП - общая форма'!AB299</f>
        <v>2.5</v>
      </c>
      <c r="E299" s="229">
        <f>'Расчет ЦП - общая форма'!AC299</f>
        <v>0</v>
      </c>
      <c r="F299" s="229">
        <f>'Расчет ЦП - общая форма'!AD299</f>
        <v>0</v>
      </c>
      <c r="G299" s="229">
        <f>'Расчет ЦП - общая форма'!AE299</f>
        <v>0</v>
      </c>
      <c r="H299" s="229">
        <f>'Расчет ЦП - общая форма'!AF299</f>
        <v>0</v>
      </c>
      <c r="I299" s="172">
        <f>'Расчет ЦП - общая форма'!AP299</f>
        <v>6.6200000000000148E-3</v>
      </c>
      <c r="J299" s="172" t="str">
        <f>'Расчет ЦП - общая форма'!AQ299</f>
        <v/>
      </c>
      <c r="K299" s="924" t="str">
        <f>'Расчет ЦП - общая форма'!AR299</f>
        <v/>
      </c>
      <c r="L299" s="924">
        <f>'Расчет ЦП - общая форма'!AS299</f>
        <v>6.9859047619047612</v>
      </c>
      <c r="M299" s="924"/>
      <c r="N299" s="924"/>
    </row>
    <row r="300" spans="1:14" hidden="1" x14ac:dyDescent="0.25">
      <c r="A300" s="213">
        <f>'Расчет ЦП - общая форма'!Y300</f>
        <v>219</v>
      </c>
      <c r="B300" s="1152">
        <f>COUNTIFS($C$8:C300,"*ПС*",$J$8:J300,"*закрыт*")</f>
        <v>45</v>
      </c>
      <c r="C300" s="213" t="str">
        <f>'Расчет ЦП - общая форма'!AA300</f>
        <v xml:space="preserve">ПС 35/10 кВ №17 </v>
      </c>
      <c r="D300" s="230">
        <f>'Расчет ЦП - общая форма'!AB300</f>
        <v>4</v>
      </c>
      <c r="E300" s="229" t="str">
        <f>'Расчет ЦП - общая форма'!AC300</f>
        <v>+</v>
      </c>
      <c r="F300" s="229">
        <f>'Расчет ЦП - общая форма'!AD300</f>
        <v>4</v>
      </c>
      <c r="G300" s="229">
        <f>'Расчет ЦП - общая форма'!AE300</f>
        <v>0</v>
      </c>
      <c r="H300" s="229">
        <f>'Расчет ЦП - общая форма'!AF300</f>
        <v>0</v>
      </c>
      <c r="I300" s="172">
        <f>'Расчет ЦП - общая форма'!AP300</f>
        <v>3.0266200000000003</v>
      </c>
      <c r="J300" s="172" t="str">
        <f>'Расчет ЦП - общая форма'!AQ300</f>
        <v/>
      </c>
      <c r="K300" s="924" t="str">
        <f>'Расчет ЦП - общая форма'!AR300</f>
        <v/>
      </c>
      <c r="L300" s="924">
        <f>'Расчет ЦП - общая форма'!AS300</f>
        <v>27.937619047619044</v>
      </c>
      <c r="M300" s="924"/>
      <c r="N300" s="924"/>
    </row>
    <row r="301" spans="1:14" x14ac:dyDescent="0.25">
      <c r="A301" s="213">
        <f>'Расчет ЦП - общая форма'!Y301</f>
        <v>220</v>
      </c>
      <c r="B301" s="1255">
        <f>COUNTIFS($C$8:C301,"*ПС*",$J$8:J301,"*закрыт*")</f>
        <v>46</v>
      </c>
      <c r="C301" s="213" t="str">
        <f>'Расчет ЦП - общая форма'!AA301</f>
        <v>ПС  35/6 кВ Даниловская</v>
      </c>
      <c r="D301" s="230">
        <f>'Расчет ЦП - общая форма'!AB301</f>
        <v>2.5</v>
      </c>
      <c r="E301" s="229" t="str">
        <f>'Расчет ЦП - общая форма'!AC301</f>
        <v>+</v>
      </c>
      <c r="F301" s="229">
        <f>'Расчет ЦП - общая форма'!AD301</f>
        <v>6.3</v>
      </c>
      <c r="G301" s="229">
        <f>'Расчет ЦП - общая форма'!AE301</f>
        <v>0</v>
      </c>
      <c r="H301" s="229">
        <f>'Расчет ЦП - общая форма'!AF301</f>
        <v>0</v>
      </c>
      <c r="I301" s="172">
        <f>'Расчет ЦП - общая форма'!AP301</f>
        <v>-2.4958450000000001</v>
      </c>
      <c r="J301" s="172" t="str">
        <f>'Расчет ЦП - общая форма'!AQ301</f>
        <v>закрыт</v>
      </c>
      <c r="K301" s="924" t="str">
        <f>'Расчет ЦП - общая форма'!AR301</f>
        <v>закрыт</v>
      </c>
      <c r="L301" s="924">
        <f>'Расчет ЦП - общая форма'!AS301</f>
        <v>195.07980952380953</v>
      </c>
      <c r="M301" s="924"/>
      <c r="N301" s="924"/>
    </row>
    <row r="302" spans="1:14" ht="20.100000000000001" customHeight="1" x14ac:dyDescent="0.25">
      <c r="A302" s="213">
        <f>'Расчет ЦП - общая форма'!Y302</f>
        <v>221</v>
      </c>
      <c r="B302" s="1255">
        <f>COUNTIFS($C$8:C302,"*ПС*",$J$8:J302,"*закрыт*")</f>
        <v>47</v>
      </c>
      <c r="C302" s="213" t="str">
        <f>'Расчет ЦП - общая форма'!AA302</f>
        <v>ПС 35/10 кВ Кушалино</v>
      </c>
      <c r="D302" s="230">
        <f>'Расчет ЦП - общая форма'!AB302</f>
        <v>2.5</v>
      </c>
      <c r="E302" s="229" t="str">
        <f>'Расчет ЦП - общая форма'!AC302</f>
        <v>+</v>
      </c>
      <c r="F302" s="229">
        <f>'Расчет ЦП - общая форма'!AD302</f>
        <v>2.5</v>
      </c>
      <c r="G302" s="229">
        <f>'Расчет ЦП - общая форма'!AE302</f>
        <v>0</v>
      </c>
      <c r="H302" s="229">
        <f>'Расчет ЦП - общая форма'!AF302</f>
        <v>0</v>
      </c>
      <c r="I302" s="172">
        <f>'Расчет ЦП - общая форма'!AP302</f>
        <v>-0.91082000000000019</v>
      </c>
      <c r="J302" s="172" t="str">
        <f>'Расчет ЦП - общая форма'!AQ302</f>
        <v>закрыт</v>
      </c>
      <c r="K302" s="924" t="str">
        <f>'Расчет ЦП - общая форма'!AR302</f>
        <v>закрыт</v>
      </c>
      <c r="L302" s="924">
        <f>'Расчет ЦП - общая форма'!AS302</f>
        <v>134.69790476190477</v>
      </c>
      <c r="M302" s="924"/>
      <c r="N302" s="924"/>
    </row>
    <row r="303" spans="1:14" ht="20.100000000000001" hidden="1" customHeight="1" x14ac:dyDescent="0.25">
      <c r="A303" s="213">
        <f>'Расчет ЦП - общая форма'!Y303</f>
        <v>222</v>
      </c>
      <c r="B303" s="1152">
        <f>COUNTIFS($C$8:C303,"*ПС*",$J$8:J303,"*закрыт*")</f>
        <v>47</v>
      </c>
      <c r="C303" s="213" t="str">
        <f>'Расчет ЦП - общая форма'!AA303</f>
        <v xml:space="preserve">ПС 35/6 кВ №4 </v>
      </c>
      <c r="D303" s="230">
        <f>'Расчет ЦП - общая форма'!AB303</f>
        <v>5.6</v>
      </c>
      <c r="E303" s="229" t="str">
        <f>'Расчет ЦП - общая форма'!AC303</f>
        <v>+</v>
      </c>
      <c r="F303" s="229">
        <f>'Расчет ЦП - общая форма'!AD303</f>
        <v>5.6</v>
      </c>
      <c r="G303" s="229">
        <f>'Расчет ЦП - общая форма'!AE303</f>
        <v>0</v>
      </c>
      <c r="H303" s="229">
        <f>'Расчет ЦП - общая форма'!AF303</f>
        <v>0</v>
      </c>
      <c r="I303" s="172">
        <f>'Расчет ЦП - общая форма'!AP303</f>
        <v>2.63924</v>
      </c>
      <c r="J303" s="172" t="str">
        <f>'Расчет ЦП - общая форма'!AQ303</f>
        <v/>
      </c>
      <c r="K303" s="924" t="str">
        <f>'Расчет ЦП - общая форма'!AR303</f>
        <v/>
      </c>
      <c r="L303" s="924">
        <f>'Расчет ЦП - общая форма'!AS303</f>
        <v>55.114965986394552</v>
      </c>
      <c r="M303" s="924"/>
      <c r="N303" s="924"/>
    </row>
    <row r="304" spans="1:14" hidden="1" x14ac:dyDescent="0.25">
      <c r="A304" s="213">
        <f>'Расчет ЦП - общая форма'!Y304</f>
        <v>223</v>
      </c>
      <c r="B304" s="1152">
        <f>COUNTIFS($C$8:C304,"*ПС*",$J$8:J304,"*закрыт*")</f>
        <v>47</v>
      </c>
      <c r="C304" s="213" t="str">
        <f>'Расчет ЦП - общая форма'!AA304</f>
        <v>ПС  35/6 кВ №13</v>
      </c>
      <c r="D304" s="230">
        <f>'Расчет ЦП - общая форма'!AB304</f>
        <v>3.2</v>
      </c>
      <c r="E304" s="229" t="str">
        <f>'Расчет ЦП - общая форма'!AC304</f>
        <v>+</v>
      </c>
      <c r="F304" s="229">
        <f>'Расчет ЦП - общая форма'!AD304</f>
        <v>3.2</v>
      </c>
      <c r="G304" s="229">
        <f>'Расчет ЦП - общая форма'!AE304</f>
        <v>0</v>
      </c>
      <c r="H304" s="229">
        <f>'Расчет ЦП - общая форма'!AF304</f>
        <v>0</v>
      </c>
      <c r="I304" s="172">
        <f>'Расчет ЦП - общая форма'!AP304</f>
        <v>1.6161600000000005</v>
      </c>
      <c r="J304" s="172" t="str">
        <f>'Расчет ЦП - общая форма'!AQ304</f>
        <v/>
      </c>
      <c r="K304" s="924" t="str">
        <f>'Расчет ЦП - общая форма'!AR304</f>
        <v/>
      </c>
      <c r="L304" s="924">
        <f>'Расчет ЦП - общая форма'!AS304</f>
        <v>51.899999999999991</v>
      </c>
      <c r="M304" s="924"/>
      <c r="N304" s="924"/>
    </row>
    <row r="305" spans="1:14" x14ac:dyDescent="0.25">
      <c r="A305" s="213">
        <f>'Расчет ЦП - общая форма'!Y305</f>
        <v>224</v>
      </c>
      <c r="B305" s="1255">
        <f>COUNTIFS($C$8:C305,"*ПС*",$J$8:J305,"*закрыт*")</f>
        <v>48</v>
      </c>
      <c r="C305" s="213" t="str">
        <f>'Расчет ЦП - общая форма'!AA305</f>
        <v xml:space="preserve">ПС 35/6 кВ №27 </v>
      </c>
      <c r="D305" s="230">
        <f>'Расчет ЦП - общая форма'!AB305</f>
        <v>10</v>
      </c>
      <c r="E305" s="229" t="str">
        <f>'Расчет ЦП - общая форма'!AC305</f>
        <v>+</v>
      </c>
      <c r="F305" s="229">
        <f>'Расчет ЦП - общая форма'!AD305</f>
        <v>10</v>
      </c>
      <c r="G305" s="229">
        <f>'Расчет ЦП - общая форма'!AE305</f>
        <v>0</v>
      </c>
      <c r="H305" s="229">
        <f>'Расчет ЦП - общая форма'!AF305</f>
        <v>0</v>
      </c>
      <c r="I305" s="172">
        <f>'Расчет ЦП - общая форма'!AP305</f>
        <v>-3.4673280000000002</v>
      </c>
      <c r="J305" s="172" t="str">
        <f>'Расчет ЦП - общая форма'!AQ305</f>
        <v>закрыт</v>
      </c>
      <c r="K305" s="924" t="str">
        <f>'Расчет ЦП - общая форма'!AR305</f>
        <v>закрыт</v>
      </c>
      <c r="L305" s="924">
        <f>'Расчет ЦП - общая форма'!AS305</f>
        <v>133.02217142857143</v>
      </c>
      <c r="M305" s="924"/>
      <c r="N305" s="924"/>
    </row>
    <row r="306" spans="1:14" x14ac:dyDescent="0.25">
      <c r="A306" s="213">
        <f>'Расчет ЦП - общая форма'!Y306</f>
        <v>225</v>
      </c>
      <c r="B306" s="1255">
        <f>COUNTIFS($C$8:C306,"*ПС*",$J$8:J306,"*закрыт*")</f>
        <v>49</v>
      </c>
      <c r="C306" s="213" t="str">
        <f>'Расчет ЦП - общая форма'!AA306</f>
        <v xml:space="preserve">ПС 35/6 кВ Вагжановская </v>
      </c>
      <c r="D306" s="230">
        <f>'Расчет ЦП - общая форма'!AB306</f>
        <v>16</v>
      </c>
      <c r="E306" s="229" t="str">
        <f>'Расчет ЦП - общая форма'!AC306</f>
        <v>+</v>
      </c>
      <c r="F306" s="229">
        <f>'Расчет ЦП - общая форма'!AD306</f>
        <v>16</v>
      </c>
      <c r="G306" s="229">
        <f>'Расчет ЦП - общая форма'!AE306</f>
        <v>0</v>
      </c>
      <c r="H306" s="229">
        <f>'Расчет ЦП - общая форма'!AF306</f>
        <v>0</v>
      </c>
      <c r="I306" s="172">
        <f>'Расчет ЦП - общая форма'!AP306</f>
        <v>-3.2956800000000008</v>
      </c>
      <c r="J306" s="172" t="str">
        <f>'Расчет ЦП - общая форма'!AQ306</f>
        <v>закрыт</v>
      </c>
      <c r="K306" s="924" t="str">
        <f>'Расчет ЦП - общая форма'!AR306</f>
        <v>закрыт</v>
      </c>
      <c r="L306" s="924">
        <f>'Расчет ЦП - общая форма'!AS306</f>
        <v>119.61714285714287</v>
      </c>
      <c r="M306" s="924"/>
      <c r="N306" s="924"/>
    </row>
    <row r="307" spans="1:14" hidden="1" x14ac:dyDescent="0.25">
      <c r="A307" s="213">
        <f>'Расчет ЦП - общая форма'!Y307</f>
        <v>226</v>
      </c>
      <c r="B307" s="1152">
        <f>COUNTIFS($C$8:C307,"*ПС*",$J$8:J307,"*закрыт*")</f>
        <v>49</v>
      </c>
      <c r="C307" s="213" t="str">
        <f>'Расчет ЦП - общая форма'!AA307</f>
        <v>ПС  35/6 кВ Завод 1 Мая</v>
      </c>
      <c r="D307" s="230">
        <f>'Расчет ЦП - общая форма'!AB307</f>
        <v>10</v>
      </c>
      <c r="E307" s="229" t="str">
        <f>'Расчет ЦП - общая форма'!AC307</f>
        <v>+</v>
      </c>
      <c r="F307" s="229">
        <f>'Расчет ЦП - общая форма'!AD307</f>
        <v>10</v>
      </c>
      <c r="G307" s="229">
        <f>'Расчет ЦП - общая форма'!AE307</f>
        <v>0</v>
      </c>
      <c r="H307" s="229">
        <f>'Расчет ЦП - общая форма'!AF307</f>
        <v>0</v>
      </c>
      <c r="I307" s="172">
        <f>'Расчет ЦП - общая форма'!AP307</f>
        <v>6.70092</v>
      </c>
      <c r="J307" s="172" t="str">
        <f>'Расчет ЦП - общая форма'!AQ307</f>
        <v/>
      </c>
      <c r="K307" s="924" t="str">
        <f>'Расчет ЦП - общая форма'!AR307</f>
        <v/>
      </c>
      <c r="L307" s="924">
        <f>'Расчет ЦП - общая форма'!AS307</f>
        <v>36.181714285714285</v>
      </c>
      <c r="M307" s="924"/>
      <c r="N307" s="924"/>
    </row>
    <row r="308" spans="1:14" hidden="1" x14ac:dyDescent="0.25">
      <c r="A308" s="213">
        <f>'Расчет ЦП - общая форма'!Y308</f>
        <v>227</v>
      </c>
      <c r="B308" s="1152">
        <f>COUNTIFS($C$8:C308,"*ПС*",$J$8:J308,"*закрыт*")</f>
        <v>49</v>
      </c>
      <c r="C308" s="213" t="str">
        <f>'Расчет ЦП - общая форма'!AA308</f>
        <v xml:space="preserve">ПС 35/6 кВ Стекловолокно </v>
      </c>
      <c r="D308" s="230">
        <f>'Расчет ЦП - общая форма'!AB308</f>
        <v>10</v>
      </c>
      <c r="E308" s="229" t="str">
        <f>'Расчет ЦП - общая форма'!AC308</f>
        <v>+</v>
      </c>
      <c r="F308" s="229">
        <f>'Расчет ЦП - общая форма'!AD308</f>
        <v>10</v>
      </c>
      <c r="G308" s="229">
        <f>'Расчет ЦП - общая форма'!AE308</f>
        <v>0</v>
      </c>
      <c r="H308" s="229">
        <f>'Расчет ЦП - общая форма'!AF308</f>
        <v>0</v>
      </c>
      <c r="I308" s="172">
        <f>'Расчет ЦП - общая форма'!AP308</f>
        <v>3.03017</v>
      </c>
      <c r="J308" s="172" t="str">
        <f>'Расчет ЦП - общая форма'!AQ308</f>
        <v/>
      </c>
      <c r="K308" s="924" t="str">
        <f>'Расчет ЦП - общая форма'!AR308</f>
        <v/>
      </c>
      <c r="L308" s="924">
        <f>'Расчет ЦП - общая форма'!AS308</f>
        <v>71.141238095238094</v>
      </c>
      <c r="M308" s="924"/>
      <c r="N308" s="924"/>
    </row>
    <row r="309" spans="1:14" ht="20.100000000000001" hidden="1" customHeight="1" x14ac:dyDescent="0.25">
      <c r="A309" s="213">
        <f>'Расчет ЦП - общая форма'!Y309</f>
        <v>228</v>
      </c>
      <c r="B309" s="1152">
        <f>COUNTIFS($C$8:C309,"*ПС*",$J$8:J309,"*закрыт*")</f>
        <v>49</v>
      </c>
      <c r="C309" s="213" t="str">
        <f>'Расчет ЦП - общая форма'!AA309</f>
        <v xml:space="preserve">ПС 35/10 кВ Соминка </v>
      </c>
      <c r="D309" s="230">
        <f>'Расчет ЦП - общая форма'!AB309</f>
        <v>16</v>
      </c>
      <c r="E309" s="229" t="str">
        <f>'Расчет ЦП - общая форма'!AC309</f>
        <v>+</v>
      </c>
      <c r="F309" s="229">
        <f>'Расчет ЦП - общая форма'!AD309</f>
        <v>16</v>
      </c>
      <c r="G309" s="229">
        <f>'Расчет ЦП - общая форма'!AE309</f>
        <v>0</v>
      </c>
      <c r="H309" s="229">
        <f>'Расчет ЦП - общая форма'!AF309</f>
        <v>0</v>
      </c>
      <c r="I309" s="172">
        <f>'Расчет ЦП - общая форма'!AP309</f>
        <v>0.10884400000000127</v>
      </c>
      <c r="J309" s="172" t="str">
        <f>'Расчет ЦП - общая форма'!AQ309</f>
        <v/>
      </c>
      <c r="K309" s="924" t="str">
        <f>'Расчет ЦП - общая форма'!AR309</f>
        <v/>
      </c>
      <c r="L309" s="924">
        <f>'Расчет ЦП - общая форма'!AS309</f>
        <v>99.352119047619041</v>
      </c>
      <c r="M309" s="924"/>
      <c r="N309" s="924"/>
    </row>
    <row r="310" spans="1:14" ht="20.100000000000001" hidden="1" customHeight="1" x14ac:dyDescent="0.25">
      <c r="A310" s="213">
        <f>'Расчет ЦП - общая форма'!Y310</f>
        <v>229</v>
      </c>
      <c r="B310" s="1152">
        <f>COUNTIFS($C$8:C310,"*ПС*",$J$8:J310,"*закрыт*")</f>
        <v>49</v>
      </c>
      <c r="C310" s="213" t="str">
        <f>'Расчет ЦП - общая форма'!AA310</f>
        <v>ПС  35/6 кВ Заволжская</v>
      </c>
      <c r="D310" s="230">
        <f>'Расчет ЦП - общая форма'!AB310</f>
        <v>7.5</v>
      </c>
      <c r="E310" s="229" t="str">
        <f>'Расчет ЦП - общая форма'!AC310</f>
        <v>+</v>
      </c>
      <c r="F310" s="229">
        <f>'Расчет ЦП - общая форма'!AD310</f>
        <v>10</v>
      </c>
      <c r="G310" s="229">
        <f>'Расчет ЦП - общая форма'!AE310</f>
        <v>0</v>
      </c>
      <c r="H310" s="229">
        <f>'Расчет ЦП - общая форма'!AF310</f>
        <v>0</v>
      </c>
      <c r="I310" s="172">
        <f>'Расчет ЦП - общая форма'!AP310</f>
        <v>1.2963450000000005</v>
      </c>
      <c r="J310" s="172" t="str">
        <f>'Расчет ЦП - общая форма'!AQ310</f>
        <v/>
      </c>
      <c r="K310" s="924" t="str">
        <f>'Расчет ЦП - общая форма'!AR310</f>
        <v/>
      </c>
      <c r="L310" s="924">
        <f>'Расчет ЦП - общая форма'!AS310</f>
        <v>83.538476190476189</v>
      </c>
      <c r="M310" s="924"/>
      <c r="N310" s="924"/>
    </row>
    <row r="311" spans="1:14" x14ac:dyDescent="0.25">
      <c r="A311" s="213">
        <f>'Расчет ЦП - общая форма'!Y311</f>
        <v>230</v>
      </c>
      <c r="B311" s="1255">
        <f>COUNTIFS($C$8:C311,"*ПС*",$J$8:J311,"*закрыт*")</f>
        <v>50</v>
      </c>
      <c r="C311" s="213" t="str">
        <f>'Расчет ЦП - общая форма'!AA311</f>
        <v xml:space="preserve">ПС 35/10 кВ Капошвар </v>
      </c>
      <c r="D311" s="230">
        <f>'Расчет ЦП - общая форма'!AB311</f>
        <v>10</v>
      </c>
      <c r="E311" s="229" t="str">
        <f>'Расчет ЦП - общая форма'!AC311</f>
        <v>+</v>
      </c>
      <c r="F311" s="229">
        <f>'Расчет ЦП - общая форма'!AD311</f>
        <v>10</v>
      </c>
      <c r="G311" s="229">
        <f>'Расчет ЦП - общая форма'!AE311</f>
        <v>0</v>
      </c>
      <c r="H311" s="229">
        <f>'Расчет ЦП - общая форма'!AF311</f>
        <v>0</v>
      </c>
      <c r="I311" s="172">
        <f>'Расчет ЦП - общая форма'!AP311</f>
        <v>-0.79344000000000037</v>
      </c>
      <c r="J311" s="172" t="str">
        <f>'Расчет ЦП - общая форма'!AQ311</f>
        <v>закрыт</v>
      </c>
      <c r="K311" s="924" t="str">
        <f>'Расчет ЦП - общая форма'!AR311</f>
        <v>закрыт</v>
      </c>
      <c r="L311" s="924">
        <f>'Расчет ЦП - общая форма'!AS311</f>
        <v>107.55657142857143</v>
      </c>
      <c r="M311" s="924"/>
      <c r="N311" s="924"/>
    </row>
    <row r="312" spans="1:14" hidden="1" x14ac:dyDescent="0.25">
      <c r="A312" s="213">
        <f>'Расчет ЦП - общая форма'!Y312</f>
        <v>231</v>
      </c>
      <c r="B312" s="763">
        <f>COUNTIFS($C$8:C312,"*ПС*",$J$8:J312,"*закрыт*")</f>
        <v>50</v>
      </c>
      <c r="C312" s="213" t="str">
        <f>'Расчет ЦП - общая форма'!AA312</f>
        <v>ПС  110/10 кВ Мамулино</v>
      </c>
      <c r="D312" s="230">
        <f>'Расчет ЦП - общая форма'!AB312</f>
        <v>6.3</v>
      </c>
      <c r="E312" s="229" t="str">
        <f>'Расчет ЦП - общая форма'!AC312</f>
        <v>+</v>
      </c>
      <c r="F312" s="229">
        <f>'Расчет ЦП - общая форма'!AD312</f>
        <v>6.3</v>
      </c>
      <c r="G312" s="229">
        <f>'Расчет ЦП - общая форма'!AE312</f>
        <v>0</v>
      </c>
      <c r="H312" s="229">
        <f>'Расчет ЦП - общая форма'!AF312</f>
        <v>0</v>
      </c>
      <c r="I312" s="172">
        <f>'Расчет ЦП - общая форма'!AP312</f>
        <v>1.0888505000000004</v>
      </c>
      <c r="J312" s="172" t="str">
        <f>'Расчет ЦП - общая форма'!AQ312</f>
        <v/>
      </c>
      <c r="K312" s="924" t="str">
        <f>'Расчет ЦП - общая форма'!AR312</f>
        <v/>
      </c>
      <c r="L312" s="924">
        <f>'Расчет ЦП - общая форма'!AS312</f>
        <v>83.539674981103559</v>
      </c>
      <c r="M312" s="924"/>
      <c r="N312" s="924"/>
    </row>
    <row r="313" spans="1:14" ht="20.100000000000001" customHeight="1" x14ac:dyDescent="0.25">
      <c r="A313" s="213">
        <f>'Расчет ЦП - общая форма'!Y313</f>
        <v>232</v>
      </c>
      <c r="B313" s="1255">
        <f>COUNTIFS($C$8:C313,"*ПС*",$J$8:J313,"*закрыт*")</f>
        <v>51</v>
      </c>
      <c r="C313" s="213" t="str">
        <f>'Расчет ЦП - общая форма'!AA313</f>
        <v xml:space="preserve">ПС 110/10 кВ Глазково </v>
      </c>
      <c r="D313" s="230">
        <f>'Расчет ЦП - общая форма'!AB313</f>
        <v>6.3</v>
      </c>
      <c r="E313" s="229" t="str">
        <f>'Расчет ЦП - общая форма'!AC313</f>
        <v>+</v>
      </c>
      <c r="F313" s="229">
        <f>'Расчет ЦП - общая форма'!AD313</f>
        <v>6.3</v>
      </c>
      <c r="G313" s="229">
        <f>'Расчет ЦП - общая форма'!AE313</f>
        <v>0</v>
      </c>
      <c r="H313" s="229">
        <f>'Расчет ЦП - общая форма'!AF313</f>
        <v>0</v>
      </c>
      <c r="I313" s="172">
        <f>'Расчет ЦП - общая форма'!AP313</f>
        <v>-0.40439999999999898</v>
      </c>
      <c r="J313" s="172" t="str">
        <f>'Расчет ЦП - общая форма'!AQ313</f>
        <v>закрыт</v>
      </c>
      <c r="K313" s="924" t="str">
        <f>'Расчет ЦП - общая форма'!AR313</f>
        <v>закрыт</v>
      </c>
      <c r="L313" s="924">
        <f>'Расчет ЦП - общая форма'!AS313</f>
        <v>106.11337868480724</v>
      </c>
      <c r="M313" s="924"/>
      <c r="N313" s="924"/>
    </row>
    <row r="314" spans="1:14" ht="30" hidden="1" customHeight="1" x14ac:dyDescent="0.25">
      <c r="A314" s="213">
        <f>'Расчет ЦП - общая форма'!Y314</f>
        <v>233</v>
      </c>
      <c r="B314" s="1152">
        <f>COUNTIFS($C$8:C314,"*ПС*",$J$8:J314,"*закрыт*")</f>
        <v>51</v>
      </c>
      <c r="C314" s="213" t="str">
        <f>'Расчет ЦП - общая форма'!AA314</f>
        <v xml:space="preserve">ПС 110/10 кВ Пролетарская </v>
      </c>
      <c r="D314" s="230">
        <f>'Расчет ЦП - общая форма'!AB314</f>
        <v>16</v>
      </c>
      <c r="E314" s="229" t="str">
        <f>'Расчет ЦП - общая форма'!AC314</f>
        <v>+</v>
      </c>
      <c r="F314" s="229">
        <f>'Расчет ЦП - общая форма'!AD314</f>
        <v>16</v>
      </c>
      <c r="G314" s="229">
        <f>'Расчет ЦП - общая форма'!AE314</f>
        <v>0</v>
      </c>
      <c r="H314" s="229">
        <f>'Расчет ЦП - общая форма'!AF314</f>
        <v>0</v>
      </c>
      <c r="I314" s="172">
        <f>'Расчет ЦП - общая форма'!AP314</f>
        <v>7.1549040000000019</v>
      </c>
      <c r="J314" s="172" t="str">
        <f>'Расчет ЦП - общая форма'!AQ314</f>
        <v/>
      </c>
      <c r="K314" s="924" t="str">
        <f>'Расчет ЦП - общая форма'!AR314</f>
        <v/>
      </c>
      <c r="L314" s="924">
        <f>'Расчет ЦП - общая форма'!AS314</f>
        <v>57.411285714285704</v>
      </c>
      <c r="M314" s="924"/>
      <c r="N314" s="924"/>
    </row>
    <row r="315" spans="1:14" x14ac:dyDescent="0.25">
      <c r="A315" s="213">
        <f>'Расчет ЦП - общая форма'!Y315</f>
        <v>234</v>
      </c>
      <c r="B315" s="1255">
        <f>COUNTIFS($C$8:C315,"*ПС*",$J$8:J315,"*закрыт*")</f>
        <v>52</v>
      </c>
      <c r="C315" s="213" t="str">
        <f>'Расчет ЦП - общая форма'!AA315</f>
        <v xml:space="preserve">ПС 35/10 кВ Тургиново </v>
      </c>
      <c r="D315" s="230">
        <f>'Расчет ЦП - общая форма'!AB315</f>
        <v>6.3</v>
      </c>
      <c r="E315" s="229" t="str">
        <f>'Расчет ЦП - общая форма'!AC315</f>
        <v>+</v>
      </c>
      <c r="F315" s="229">
        <f>'Расчет ЦП - общая форма'!AD315</f>
        <v>6.3</v>
      </c>
      <c r="G315" s="229">
        <f>'Расчет ЦП - общая форма'!AE315</f>
        <v>0</v>
      </c>
      <c r="H315" s="229">
        <f>'Расчет ЦП - общая форма'!AF315</f>
        <v>0</v>
      </c>
      <c r="I315" s="172">
        <f>'Расчет ЦП - общая форма'!AP315</f>
        <v>-3.8201539999999996</v>
      </c>
      <c r="J315" s="172" t="str">
        <f>'Расчет ЦП - общая форма'!AQ315</f>
        <v>закрыт</v>
      </c>
      <c r="K315" s="924" t="str">
        <f>'Расчет ЦП - общая форма'!AR315</f>
        <v>закрыт</v>
      </c>
      <c r="L315" s="924">
        <f>'Расчет ЦП - общая форма'!AS315</f>
        <v>115.28577475434616</v>
      </c>
      <c r="M315" s="924"/>
      <c r="N315" s="924"/>
    </row>
    <row r="316" spans="1:14" hidden="1" x14ac:dyDescent="0.25">
      <c r="A316" s="213">
        <f>'Расчет ЦП - общая форма'!Y316</f>
        <v>235</v>
      </c>
      <c r="B316" s="1152">
        <f>COUNTIFS($C$8:C316,"*ПС*",$J$8:J316,"*закрыт*")</f>
        <v>52</v>
      </c>
      <c r="C316" s="213" t="str">
        <f>'Расчет ЦП - общая форма'!AA316</f>
        <v xml:space="preserve">ПС 35/10 кВ Сахарово </v>
      </c>
      <c r="D316" s="230">
        <f>'Расчет ЦП - общая форма'!AB316</f>
        <v>4</v>
      </c>
      <c r="E316" s="229" t="str">
        <f>'Расчет ЦП - общая форма'!AC316</f>
        <v>+</v>
      </c>
      <c r="F316" s="229">
        <f>'Расчет ЦП - общая форма'!AD316</f>
        <v>4</v>
      </c>
      <c r="G316" s="229">
        <f>'Расчет ЦП - общая форма'!AE316</f>
        <v>0</v>
      </c>
      <c r="H316" s="229">
        <f>'Расчет ЦП - общая форма'!AF316</f>
        <v>0</v>
      </c>
      <c r="I316" s="172">
        <f>'Расчет ЦП - общая форма'!AP316</f>
        <v>0.48905000000000021</v>
      </c>
      <c r="J316" s="172" t="str">
        <f>'Расчет ЦП - общая форма'!AQ316</f>
        <v/>
      </c>
      <c r="K316" s="924" t="str">
        <f>'Расчет ЦП - общая форма'!AR316</f>
        <v/>
      </c>
      <c r="L316" s="924">
        <f>'Расчет ЦП - общая форма'!AS316</f>
        <v>88.355952380952374</v>
      </c>
      <c r="M316" s="924"/>
      <c r="N316" s="924"/>
    </row>
    <row r="317" spans="1:14" x14ac:dyDescent="0.25">
      <c r="A317" s="213">
        <f>'Расчет ЦП - общая форма'!Y317</f>
        <v>236</v>
      </c>
      <c r="B317" s="1255">
        <f>COUNTIFS($C$8:C317,"*ПС*",$J$8:J317,"*закрыт*")</f>
        <v>53</v>
      </c>
      <c r="C317" s="213" t="str">
        <f>'Расчет ЦП - общая форма'!AA317</f>
        <v>ПС  35/10 кВ Головино</v>
      </c>
      <c r="D317" s="245">
        <f>'Расчет ЦП - общая форма'!AB317</f>
        <v>2.5</v>
      </c>
      <c r="E317" s="246" t="str">
        <f>'Расчет ЦП - общая форма'!AC317</f>
        <v>+</v>
      </c>
      <c r="F317" s="246">
        <f>'Расчет ЦП - общая форма'!AD317</f>
        <v>2.5</v>
      </c>
      <c r="G317" s="246">
        <f>'Расчет ЦП - общая форма'!AE317</f>
        <v>0</v>
      </c>
      <c r="H317" s="246">
        <f>'Расчет ЦП - общая форма'!AF317</f>
        <v>0</v>
      </c>
      <c r="I317" s="172">
        <f>'Расчет ЦП - общая форма'!AP317</f>
        <v>-1.8474599999999997</v>
      </c>
      <c r="J317" s="172" t="str">
        <f>'Расчет ЦП - общая форма'!AQ317</f>
        <v>закрыт</v>
      </c>
      <c r="K317" s="924" t="str">
        <f>'Расчет ЦП - общая форма'!AR317</f>
        <v>закрыт</v>
      </c>
      <c r="L317" s="924">
        <f>'Расчет ЦП - общая форма'!AS317</f>
        <v>153.23657142857141</v>
      </c>
      <c r="M317" s="924"/>
      <c r="N317" s="924"/>
    </row>
    <row r="318" spans="1:14" x14ac:dyDescent="0.25">
      <c r="A318" s="213">
        <f>'Расчет ЦП - общая форма'!Y318</f>
        <v>237</v>
      </c>
      <c r="B318" s="1255">
        <f>COUNTIFS($C$8:C318,"*ПС*",$J$8:J318,"*закрыт*")</f>
        <v>54</v>
      </c>
      <c r="C318" s="213" t="str">
        <f>'Расчет ЦП - общая форма'!AA318</f>
        <v>ПС  35/6 кВ Каликино</v>
      </c>
      <c r="D318" s="245">
        <f>'Расчет ЦП - общая форма'!AB318</f>
        <v>2</v>
      </c>
      <c r="E318" s="246" t="str">
        <f>'Расчет ЦП - общая форма'!AC318</f>
        <v>+</v>
      </c>
      <c r="F318" s="246">
        <f>'Расчет ЦП - общая форма'!AD318</f>
        <v>3.2</v>
      </c>
      <c r="G318" s="246">
        <f>'Расчет ЦП - общая форма'!AE318</f>
        <v>0</v>
      </c>
      <c r="H318" s="246">
        <f>'Расчет ЦП - общая форма'!AF318</f>
        <v>0</v>
      </c>
      <c r="I318" s="172">
        <f>'Расчет ЦП - общая форма'!AP318</f>
        <v>-5.2614299999999989</v>
      </c>
      <c r="J318" s="172" t="str">
        <f>'Расчет ЦП - общая форма'!AQ318</f>
        <v>закрыт</v>
      </c>
      <c r="K318" s="924" t="str">
        <f>'Расчет ЦП - общая форма'!AR318</f>
        <v>закрыт</v>
      </c>
      <c r="L318" s="924">
        <f>'Расчет ЦП - общая форма'!AS318</f>
        <v>350.54428571428565</v>
      </c>
      <c r="M318" s="924"/>
      <c r="N318" s="924"/>
    </row>
    <row r="319" spans="1:14" hidden="1" x14ac:dyDescent="0.25">
      <c r="A319" s="213">
        <f>'Расчет ЦП - общая форма'!Y319</f>
        <v>238</v>
      </c>
      <c r="B319" s="1152">
        <f>COUNTIFS($C$8:C319,"*ПС*",$J$8:J319,"*закрыт*")</f>
        <v>54</v>
      </c>
      <c r="C319" s="213" t="str">
        <f>'Расчет ЦП - общая форма'!AA319</f>
        <v>ПС 35/10 кВ Квакшино</v>
      </c>
      <c r="D319" s="245">
        <f>'Расчет ЦП - общая форма'!AB319</f>
        <v>4</v>
      </c>
      <c r="E319" s="246" t="str">
        <f>'Расчет ЦП - общая форма'!AC319</f>
        <v>+</v>
      </c>
      <c r="F319" s="246">
        <f>'Расчет ЦП - общая форма'!AD319</f>
        <v>4</v>
      </c>
      <c r="G319" s="246">
        <f>'Расчет ЦП - общая форма'!AE319</f>
        <v>0</v>
      </c>
      <c r="H319" s="246">
        <f>'Расчет ЦП - общая форма'!AF319</f>
        <v>0</v>
      </c>
      <c r="I319" s="172">
        <f>'Расчет ЦП - общая форма'!AP319</f>
        <v>2.7131940000000005</v>
      </c>
      <c r="J319" s="172" t="str">
        <f>'Расчет ЦП - общая форма'!AQ319</f>
        <v/>
      </c>
      <c r="K319" s="924" t="str">
        <f>'Расчет ЦП - общая форма'!AR319</f>
        <v/>
      </c>
      <c r="L319" s="924">
        <f>'Расчет ЦП - общая форма'!AS319</f>
        <v>35.400142857142853</v>
      </c>
      <c r="M319" s="924"/>
      <c r="N319" s="924"/>
    </row>
    <row r="320" spans="1:14" hidden="1" x14ac:dyDescent="0.25">
      <c r="A320" s="213">
        <f>'Расчет ЦП - общая форма'!Y320</f>
        <v>239</v>
      </c>
      <c r="B320" s="1152">
        <f>COUNTIFS($C$8:C320,"*ПС*",$J$8:J320,"*закрыт*")</f>
        <v>54</v>
      </c>
      <c r="C320" s="213" t="str">
        <f>'Расчет ЦП - общая форма'!AA320</f>
        <v>ПС  35/10 кВ Городня</v>
      </c>
      <c r="D320" s="245">
        <f>'Расчет ЦП - общая форма'!AB320</f>
        <v>6.3</v>
      </c>
      <c r="E320" s="246" t="str">
        <f>'Расчет ЦП - общая форма'!AC320</f>
        <v>+</v>
      </c>
      <c r="F320" s="246">
        <f>'Расчет ЦП - общая форма'!AD320</f>
        <v>6.3</v>
      </c>
      <c r="G320" s="246">
        <f>'Расчет ЦП - общая форма'!AE320</f>
        <v>0</v>
      </c>
      <c r="H320" s="246">
        <f>'Расчет ЦП - общая форма'!AF320</f>
        <v>0</v>
      </c>
      <c r="I320" s="172">
        <f>'Расчет ЦП - общая форма'!AP320</f>
        <v>2.2896000000000001</v>
      </c>
      <c r="J320" s="172" t="str">
        <f>'Расчет ЦП - общая форма'!AQ320</f>
        <v/>
      </c>
      <c r="K320" s="924" t="str">
        <f>'Расчет ЦП - общая форма'!AR320</f>
        <v/>
      </c>
      <c r="L320" s="924">
        <f>'Расчет ЦП - общая форма'!AS320</f>
        <v>65.387755102040813</v>
      </c>
      <c r="M320" s="924"/>
      <c r="N320" s="924"/>
    </row>
    <row r="321" spans="1:14" hidden="1" x14ac:dyDescent="0.25">
      <c r="A321" s="213">
        <f>'Расчет ЦП - общая форма'!Y321</f>
        <v>240</v>
      </c>
      <c r="B321" s="1152">
        <f>COUNTIFS($C$8:C321,"*ПС*",$J$8:J321,"*закрыт*")</f>
        <v>54</v>
      </c>
      <c r="C321" s="213" t="str">
        <f>'Расчет ЦП - общая форма'!AA321</f>
        <v xml:space="preserve">ПС 35/10 кВ Рязаново </v>
      </c>
      <c r="D321" s="245">
        <f>'Расчет ЦП - общая форма'!AB321</f>
        <v>4</v>
      </c>
      <c r="E321" s="246" t="str">
        <f>'Расчет ЦП - общая форма'!AC321</f>
        <v>+</v>
      </c>
      <c r="F321" s="246">
        <f>'Расчет ЦП - общая форма'!AD321</f>
        <v>4</v>
      </c>
      <c r="G321" s="246">
        <f>'Расчет ЦП - общая форма'!AE321</f>
        <v>0</v>
      </c>
      <c r="H321" s="246">
        <f>'Расчет ЦП - общая форма'!AF321</f>
        <v>0</v>
      </c>
      <c r="I321" s="172">
        <f>'Расчет ЦП - общая форма'!AP321</f>
        <v>0.26396599999999992</v>
      </c>
      <c r="J321" s="172" t="str">
        <f>'Расчет ЦП - общая форма'!AQ321</f>
        <v/>
      </c>
      <c r="K321" s="924" t="str">
        <f>'Расчет ЦП - общая форма'!AR321</f>
        <v/>
      </c>
      <c r="L321" s="924">
        <f>'Расчет ЦП - общая форма'!AS321</f>
        <v>71.565095238095239</v>
      </c>
      <c r="M321" s="924"/>
      <c r="N321" s="924"/>
    </row>
    <row r="322" spans="1:14" ht="20.100000000000001" customHeight="1" x14ac:dyDescent="0.25">
      <c r="A322" s="213">
        <f>'Расчет ЦП - общая форма'!Y322</f>
        <v>241</v>
      </c>
      <c r="B322" s="1255">
        <f>COUNTIFS($C$8:C322,"*ПС*",$J$8:J322,"*закрыт*")</f>
        <v>55</v>
      </c>
      <c r="C322" s="213" t="str">
        <f>'Расчет ЦП - общая форма'!AA322</f>
        <v xml:space="preserve">ПС 35/10 кВ Савватьево </v>
      </c>
      <c r="D322" s="245">
        <f>'Расчет ЦП - общая форма'!AB322</f>
        <v>1.6</v>
      </c>
      <c r="E322" s="246" t="str">
        <f>'Расчет ЦП - общая форма'!AC322</f>
        <v>+</v>
      </c>
      <c r="F322" s="246">
        <f>'Расчет ЦП - общая форма'!AD322</f>
        <v>2.5</v>
      </c>
      <c r="G322" s="246">
        <f>'Расчет ЦП - общая форма'!AE322</f>
        <v>0</v>
      </c>
      <c r="H322" s="246">
        <f>'Расчет ЦП - общая форма'!AF322</f>
        <v>0</v>
      </c>
      <c r="I322" s="172">
        <f>'Расчет ЦП - общая форма'!AP322</f>
        <v>-1.3716919999999999</v>
      </c>
      <c r="J322" s="172" t="str">
        <f>'Расчет ЦП - общая форма'!AQ322</f>
        <v>закрыт</v>
      </c>
      <c r="K322" s="924" t="str">
        <f>'Расчет ЦП - общая форма'!AR322</f>
        <v>закрыт</v>
      </c>
      <c r="L322" s="924">
        <f>'Расчет ЦП - общая форма'!AS322</f>
        <v>181.64833333333331</v>
      </c>
      <c r="M322" s="924"/>
      <c r="N322" s="924"/>
    </row>
    <row r="323" spans="1:14" x14ac:dyDescent="0.25">
      <c r="A323" s="213">
        <f>'Расчет ЦП - общая форма'!Y323</f>
        <v>242</v>
      </c>
      <c r="B323" s="1255">
        <f>COUNTIFS($C$8:C323,"*ПС*",$J$8:J323,"*закрыт*")</f>
        <v>56</v>
      </c>
      <c r="C323" s="213" t="str">
        <f>'Расчет ЦП - общая форма'!AA323</f>
        <v xml:space="preserve">ПС 35/10 кВ Беле-Кушаль </v>
      </c>
      <c r="D323" s="230">
        <f>'Расчет ЦП - общая форма'!AB323</f>
        <v>1.6</v>
      </c>
      <c r="E323" s="229" t="str">
        <f>'Расчет ЦП - общая форма'!AC323</f>
        <v>+</v>
      </c>
      <c r="F323" s="229">
        <f>'Расчет ЦП - общая форма'!AD323</f>
        <v>2.5</v>
      </c>
      <c r="G323" s="229">
        <f>'Расчет ЦП - общая форма'!AE323</f>
        <v>0</v>
      </c>
      <c r="H323" s="229">
        <f>'Расчет ЦП - общая форма'!AF323</f>
        <v>0</v>
      </c>
      <c r="I323" s="172">
        <f>'Расчет ЦП - общая форма'!AP323</f>
        <v>-0.85950000000000015</v>
      </c>
      <c r="J323" s="172" t="str">
        <f>'Расчет ЦП - общая форма'!AQ323</f>
        <v>закрыт</v>
      </c>
      <c r="K323" s="924" t="str">
        <f>'Расчет ЦП - общая форма'!AR323</f>
        <v>закрыт</v>
      </c>
      <c r="L323" s="924">
        <f>'Расчет ЦП - общая форма'!AS323</f>
        <v>151.16071428571431</v>
      </c>
      <c r="M323" s="924"/>
      <c r="N323" s="924"/>
    </row>
    <row r="324" spans="1:14" hidden="1" x14ac:dyDescent="0.25">
      <c r="A324" s="213">
        <f>'Расчет ЦП - общая форма'!Y324</f>
        <v>243</v>
      </c>
      <c r="B324" s="1152">
        <f>COUNTIFS($C$8:C324,"*ПС*",$J$8:J324,"*закрыт*")</f>
        <v>56</v>
      </c>
      <c r="C324" s="213" t="str">
        <f>'Расчет ЦП - общая форма'!AA324</f>
        <v xml:space="preserve">ПС 35/10 кВ Стеклозавод </v>
      </c>
      <c r="D324" s="230">
        <f>'Расчет ЦП - общая форма'!AB324</f>
        <v>2.5</v>
      </c>
      <c r="E324" s="229" t="str">
        <f>'Расчет ЦП - общая форма'!AC324</f>
        <v>+</v>
      </c>
      <c r="F324" s="229">
        <f>'Расчет ЦП - общая форма'!AD324</f>
        <v>2.5</v>
      </c>
      <c r="G324" s="229">
        <f>'Расчет ЦП - общая форма'!AE324</f>
        <v>0</v>
      </c>
      <c r="H324" s="229">
        <f>'Расчет ЦП - общая форма'!AF324</f>
        <v>0</v>
      </c>
      <c r="I324" s="172">
        <f>'Расчет ЦП - общая форма'!AP324</f>
        <v>1.56392</v>
      </c>
      <c r="J324" s="172" t="str">
        <f>'Расчет ЦП - общая форма'!AQ324</f>
        <v/>
      </c>
      <c r="K324" s="924" t="str">
        <f>'Расчет ЦП - общая форма'!AR324</f>
        <v/>
      </c>
      <c r="L324" s="924">
        <f>'Расчет ЦП - общая форма'!AS324</f>
        <v>27.416380952380955</v>
      </c>
      <c r="M324" s="924"/>
      <c r="N324" s="924"/>
    </row>
    <row r="325" spans="1:14" ht="20.100000000000001" customHeight="1" x14ac:dyDescent="0.25">
      <c r="A325" s="213">
        <f>'Расчет ЦП - общая форма'!Y325</f>
        <v>244</v>
      </c>
      <c r="B325" s="1255">
        <f>COUNTIFS($C$8:C325,"*ПС*",$J$8:J325,"*закрыт*")</f>
        <v>57</v>
      </c>
      <c r="C325" s="213" t="str">
        <f>'Расчет ЦП - общая форма'!AA325</f>
        <v>ПС  35/10 кВ Гришкино</v>
      </c>
      <c r="D325" s="230">
        <f>'Расчет ЦП - общая форма'!AB325</f>
        <v>6.3</v>
      </c>
      <c r="E325" s="229" t="str">
        <f>'Расчет ЦП - общая форма'!AC325</f>
        <v>+</v>
      </c>
      <c r="F325" s="229">
        <f>'Расчет ЦП - общая форма'!AD325</f>
        <v>6.3</v>
      </c>
      <c r="G325" s="229">
        <f>'Расчет ЦП - общая форма'!AE325</f>
        <v>0</v>
      </c>
      <c r="H325" s="229">
        <f>'Расчет ЦП - общая форма'!AF325</f>
        <v>0</v>
      </c>
      <c r="I325" s="172">
        <f>'Расчет ЦП - общая форма'!AP325</f>
        <v>-9.2136200000000006</v>
      </c>
      <c r="J325" s="172" t="str">
        <f>'Расчет ЦП - общая форма'!AQ325</f>
        <v>закрыт</v>
      </c>
      <c r="K325" s="924" t="str">
        <f>'Расчет ЦП - общая форма'!AR325</f>
        <v>закрыт</v>
      </c>
      <c r="L325" s="924">
        <f>'Расчет ЦП - общая форма'!AS325</f>
        <v>239.28374905517762</v>
      </c>
      <c r="M325" s="924"/>
      <c r="N325" s="924"/>
    </row>
    <row r="326" spans="1:14" hidden="1" x14ac:dyDescent="0.25">
      <c r="A326" s="213">
        <f>'Расчет ЦП - общая форма'!Y326</f>
        <v>245</v>
      </c>
      <c r="B326" s="1152">
        <f>COUNTIFS($C$8:C326,"*ПС*",$J$8:J326,"*закрыт*")</f>
        <v>57</v>
      </c>
      <c r="C326" s="213" t="str">
        <f>'Расчет ЦП - общая форма'!AA326</f>
        <v xml:space="preserve">ПС 35/3 кВ №2 </v>
      </c>
      <c r="D326" s="230">
        <f>'Расчет ЦП - общая форма'!AB326</f>
        <v>1</v>
      </c>
      <c r="E326" s="229" t="str">
        <f>'Расчет ЦП - общая форма'!AC326</f>
        <v>+</v>
      </c>
      <c r="F326" s="229">
        <f>'Расчет ЦП - общая форма'!AD326</f>
        <v>1</v>
      </c>
      <c r="G326" s="229">
        <f>'Расчет ЦП - общая форма'!AE326</f>
        <v>0</v>
      </c>
      <c r="H326" s="229">
        <f>'Расчет ЦП - общая форма'!AF326</f>
        <v>0</v>
      </c>
      <c r="I326" s="172">
        <f>'Расчет ЦП - общая форма'!AP326</f>
        <v>0.2974500000000001</v>
      </c>
      <c r="J326" s="172" t="str">
        <f>'Расчет ЦП - общая форма'!AQ326</f>
        <v/>
      </c>
      <c r="K326" s="924" t="str">
        <f>'Расчет ЦП - общая форма'!AR326</f>
        <v/>
      </c>
      <c r="L326" s="924">
        <f>'Расчет ЦП - общая форма'!AS326</f>
        <v>71.671428571428564</v>
      </c>
      <c r="M326" s="924"/>
      <c r="N326" s="924"/>
    </row>
    <row r="327" spans="1:14" x14ac:dyDescent="0.25">
      <c r="A327" s="213">
        <f>'Расчет ЦП - общая форма'!Y327</f>
        <v>246</v>
      </c>
      <c r="B327" s="1255">
        <f>COUNTIFS($C$8:C327,"*ПС*",$J$8:J327,"*закрыт*")</f>
        <v>58</v>
      </c>
      <c r="C327" s="213" t="str">
        <f>'Расчет ЦП - общая форма'!AA327</f>
        <v>ПС  35/10 кВ №15</v>
      </c>
      <c r="D327" s="230">
        <f>'Расчет ЦП - общая форма'!AB327</f>
        <v>4</v>
      </c>
      <c r="E327" s="229" t="str">
        <f>'Расчет ЦП - общая форма'!AC327</f>
        <v>+</v>
      </c>
      <c r="F327" s="229">
        <f>'Расчет ЦП - общая форма'!AD327</f>
        <v>6.3</v>
      </c>
      <c r="G327" s="229">
        <f>'Расчет ЦП - общая форма'!AE327</f>
        <v>0</v>
      </c>
      <c r="H327" s="229">
        <f>'Расчет ЦП - общая форма'!AF327</f>
        <v>0</v>
      </c>
      <c r="I327" s="172">
        <f>'Расчет ЦП - общая форма'!AP327</f>
        <v>-3.4570799999999999</v>
      </c>
      <c r="J327" s="172" t="str">
        <f>'Расчет ЦП - общая форма'!AQ327</f>
        <v>закрыт</v>
      </c>
      <c r="K327" s="924" t="str">
        <f>'Расчет ЦП - общая форма'!AR327</f>
        <v>закрыт</v>
      </c>
      <c r="L327" s="924">
        <f>'Расчет ЦП - общая форма'!AS327</f>
        <v>147.18642857142856</v>
      </c>
      <c r="M327" s="924"/>
      <c r="N327" s="924"/>
    </row>
    <row r="328" spans="1:14" hidden="1" x14ac:dyDescent="0.25">
      <c r="A328" s="213">
        <f>'Расчет ЦП - общая форма'!Y328</f>
        <v>247</v>
      </c>
      <c r="B328" s="763">
        <f>COUNTIFS($C$8:C328,"*ПС*",$J$8:J328,"*закрыт*")</f>
        <v>58</v>
      </c>
      <c r="C328" s="213" t="str">
        <f>'Расчет ЦП - общая форма'!AA328</f>
        <v xml:space="preserve">ПС 35/10 кВ Медное </v>
      </c>
      <c r="D328" s="230">
        <f>'Расчет ЦП - общая форма'!AB328</f>
        <v>6.3</v>
      </c>
      <c r="E328" s="229" t="str">
        <f>'Расчет ЦП - общая форма'!AC328</f>
        <v>+</v>
      </c>
      <c r="F328" s="229">
        <f>'Расчет ЦП - общая форма'!AD328</f>
        <v>6.3</v>
      </c>
      <c r="G328" s="229">
        <f>'Расчет ЦП - общая форма'!AE328</f>
        <v>0</v>
      </c>
      <c r="H328" s="229">
        <f>'Расчет ЦП - общая форма'!AF328</f>
        <v>0</v>
      </c>
      <c r="I328" s="172">
        <f>'Расчет ЦП - общая форма'!AP328</f>
        <v>1.1581030000000014</v>
      </c>
      <c r="J328" s="172" t="str">
        <f>'Расчет ЦП - общая форма'!AQ328</f>
        <v/>
      </c>
      <c r="K328" s="924" t="str">
        <f>'Расчет ЦП - общая форма'!AR328</f>
        <v/>
      </c>
      <c r="L328" s="924">
        <f>'Расчет ЦП - общая форма'!AS328</f>
        <v>82.492773998488261</v>
      </c>
      <c r="M328" s="924"/>
      <c r="N328" s="924"/>
    </row>
    <row r="329" spans="1:14" ht="20.100000000000001" hidden="1" customHeight="1" x14ac:dyDescent="0.25">
      <c r="A329" s="213">
        <f>'Расчет ЦП - общая форма'!Y329</f>
        <v>248</v>
      </c>
      <c r="B329" s="1152">
        <f>COUNTIFS($C$8:C329,"*ПС*",$J$8:J329,"*закрыт*")</f>
        <v>58</v>
      </c>
      <c r="C329" s="213" t="str">
        <f>'Расчет ЦП - общая форма'!AA329</f>
        <v xml:space="preserve">ПС 35/10 кВ Толмачи       </v>
      </c>
      <c r="D329" s="230">
        <f>'Расчет ЦП - общая форма'!AB329</f>
        <v>2.5</v>
      </c>
      <c r="E329" s="229" t="str">
        <f>'Расчет ЦП - общая форма'!AC329</f>
        <v>+</v>
      </c>
      <c r="F329" s="229">
        <f>'Расчет ЦП - общая форма'!AD329</f>
        <v>1.8</v>
      </c>
      <c r="G329" s="229">
        <f>'Расчет ЦП - общая форма'!AE329</f>
        <v>0</v>
      </c>
      <c r="H329" s="229">
        <f>'Расчет ЦП - общая форма'!AF329</f>
        <v>0</v>
      </c>
      <c r="I329" s="172">
        <f>'Расчет ЦП - общая форма'!AP329</f>
        <v>1.0687690000000001</v>
      </c>
      <c r="J329" s="172" t="str">
        <f>'Расчет ЦП - общая форма'!AQ329</f>
        <v/>
      </c>
      <c r="K329" s="924" t="str">
        <f>'Расчет ЦП - общая форма'!AR329</f>
        <v/>
      </c>
      <c r="L329" s="924">
        <f>'Расчет ЦП - общая форма'!AS329</f>
        <v>43.451375661375664</v>
      </c>
      <c r="M329" s="924"/>
      <c r="N329" s="924"/>
    </row>
    <row r="330" spans="1:14" hidden="1" x14ac:dyDescent="0.25">
      <c r="A330" s="213">
        <f>'Расчет ЦП - общая форма'!Y330</f>
        <v>249</v>
      </c>
      <c r="B330" s="1152">
        <f>COUNTIFS($C$8:C330,"*ПС*",$J$8:J330,"*закрыт*")</f>
        <v>58</v>
      </c>
      <c r="C330" s="213" t="str">
        <f>'Расчет ЦП - общая форма'!AA330</f>
        <v xml:space="preserve">ПС 35/10 кВ № 7 </v>
      </c>
      <c r="D330" s="230">
        <f>'Расчет ЦП - общая форма'!AB330</f>
        <v>1.8</v>
      </c>
      <c r="E330" s="229" t="str">
        <f>'Расчет ЦП - общая форма'!AC330</f>
        <v>+</v>
      </c>
      <c r="F330" s="229">
        <f>'Расчет ЦП - общая форма'!AD330</f>
        <v>2.5</v>
      </c>
      <c r="G330" s="229">
        <f>'Расчет ЦП - общая форма'!AE330</f>
        <v>0</v>
      </c>
      <c r="H330" s="229">
        <f>'Расчет ЦП - общая форма'!AF330</f>
        <v>0</v>
      </c>
      <c r="I330" s="172">
        <f>'Расчет ЦП - общая форма'!AP330</f>
        <v>1.2648100000000002</v>
      </c>
      <c r="J330" s="172" t="str">
        <f>'Расчет ЦП - общая форма'!AQ330</f>
        <v/>
      </c>
      <c r="K330" s="924" t="str">
        <f>'Расчет ЦП - общая форма'!AR330</f>
        <v/>
      </c>
      <c r="L330" s="924">
        <f>'Расчет ЦП - общая форма'!AS330</f>
        <v>33.078835978835983</v>
      </c>
      <c r="M330" s="924"/>
      <c r="N330" s="924"/>
    </row>
    <row r="331" spans="1:14" ht="20.100000000000001" hidden="1" customHeight="1" x14ac:dyDescent="0.25">
      <c r="A331" s="213">
        <f>'Расчет ЦП - общая форма'!Y331</f>
        <v>250</v>
      </c>
      <c r="B331" s="1152">
        <f>COUNTIFS($C$8:C331,"*ПС*",$J$8:J331,"*закрыт*")</f>
        <v>58</v>
      </c>
      <c r="C331" s="213" t="str">
        <f>'Расчет ЦП - общая форма'!AA331</f>
        <v xml:space="preserve">ПС  35/6 кВ № 5 </v>
      </c>
      <c r="D331" s="230">
        <f>'Расчет ЦП - общая форма'!AB331</f>
        <v>5.6</v>
      </c>
      <c r="E331" s="229" t="str">
        <f>'Расчет ЦП - общая форма'!AC331</f>
        <v>+</v>
      </c>
      <c r="F331" s="229">
        <f>'Расчет ЦП - общая форма'!AD331</f>
        <v>4</v>
      </c>
      <c r="G331" s="229">
        <f>'Расчет ЦП - общая форма'!AE331</f>
        <v>0</v>
      </c>
      <c r="H331" s="229">
        <f>'Расчет ЦП - общая форма'!AF331</f>
        <v>0</v>
      </c>
      <c r="I331" s="172">
        <f>'Расчет ЦП - общая форма'!AP331</f>
        <v>1.3313460000000004</v>
      </c>
      <c r="J331" s="172" t="str">
        <f>'Расчет ЦП - общая форма'!AQ331</f>
        <v/>
      </c>
      <c r="K331" s="924" t="str">
        <f>'Расчет ЦП - общая форма'!AR331</f>
        <v/>
      </c>
      <c r="L331" s="924">
        <f>'Расчет ЦП - общая форма'!AS331</f>
        <v>68.301285714285697</v>
      </c>
      <c r="M331" s="924"/>
      <c r="N331" s="924"/>
    </row>
    <row r="332" spans="1:14" x14ac:dyDescent="0.25">
      <c r="A332" s="213">
        <f>'Расчет ЦП - общая форма'!Y332</f>
        <v>251</v>
      </c>
      <c r="B332" s="1255">
        <f>COUNTIFS($C$8:C332,"*ПС*",$J$8:J332,"*закрыт*")</f>
        <v>59</v>
      </c>
      <c r="C332" s="213" t="str">
        <f>'Расчет ЦП - общая форма'!AA332</f>
        <v xml:space="preserve">ПС  35/6 кВ № 9 </v>
      </c>
      <c r="D332" s="230">
        <f>'Расчет ЦП - общая форма'!AB332</f>
        <v>5.6</v>
      </c>
      <c r="E332" s="229" t="str">
        <f>'Расчет ЦП - общая форма'!AC332</f>
        <v>+</v>
      </c>
      <c r="F332" s="229">
        <f>'Расчет ЦП - общая форма'!AD332</f>
        <v>6.3</v>
      </c>
      <c r="G332" s="229">
        <f>'Расчет ЦП - общая форма'!AE332</f>
        <v>0</v>
      </c>
      <c r="H332" s="229">
        <f>'Расчет ЦП - общая форма'!AF332</f>
        <v>0</v>
      </c>
      <c r="I332" s="172">
        <f>'Расчет ЦП - общая форма'!AP332</f>
        <v>-0.46112600000000015</v>
      </c>
      <c r="J332" s="172" t="str">
        <f>'Расчет ЦП - общая форма'!AQ332</f>
        <v>закрыт</v>
      </c>
      <c r="K332" s="924" t="str">
        <f>'Расчет ЦП - общая форма'!AR332</f>
        <v>закрыт</v>
      </c>
      <c r="L332" s="924">
        <f>'Расчет ЦП - общая форма'!AS332</f>
        <v>107.84227891156463</v>
      </c>
      <c r="M332" s="924"/>
      <c r="N332" s="924"/>
    </row>
    <row r="333" spans="1:14" ht="20.100000000000001" hidden="1" customHeight="1" x14ac:dyDescent="0.25">
      <c r="A333" s="213">
        <f>'Расчет ЦП - общая форма'!Y333</f>
        <v>252</v>
      </c>
      <c r="B333" s="1152">
        <f>COUNTIFS($C$8:C333,"*ПС*",$J$8:J333,"*закрыт*")</f>
        <v>59</v>
      </c>
      <c r="C333" s="213" t="str">
        <f>'Расчет ЦП - общая форма'!AA333</f>
        <v xml:space="preserve">ПС 35/10 кВ № 9  </v>
      </c>
      <c r="D333" s="230">
        <f>'Расчет ЦП - общая форма'!AB333</f>
        <v>4</v>
      </c>
      <c r="E333" s="229" t="str">
        <f>'Расчет ЦП - общая форма'!AC333</f>
        <v>+</v>
      </c>
      <c r="F333" s="229">
        <f>'Расчет ЦП - общая форма'!AD333</f>
        <v>6.3</v>
      </c>
      <c r="G333" s="229">
        <f>'Расчет ЦП - общая форма'!AE333</f>
        <v>0</v>
      </c>
      <c r="H333" s="229">
        <f>'Расчет ЦП - общая форма'!AF333</f>
        <v>0</v>
      </c>
      <c r="I333" s="172">
        <f>'Расчет ЦП - общая форма'!AP333</f>
        <v>0.17979399999999934</v>
      </c>
      <c r="J333" s="172" t="str">
        <f>'Расчет ЦП - общая форма'!AQ333</f>
        <v/>
      </c>
      <c r="K333" s="924" t="str">
        <f>'Расчет ЦП - общая форма'!AR333</f>
        <v/>
      </c>
      <c r="L333" s="924">
        <f>'Расчет ЦП - общая форма'!AS333</f>
        <v>95.719190476190491</v>
      </c>
      <c r="M333" s="924"/>
      <c r="N333" s="924"/>
    </row>
    <row r="334" spans="1:14" x14ac:dyDescent="0.25">
      <c r="A334" s="213">
        <f>'Расчет ЦП - общая форма'!Y334</f>
        <v>253</v>
      </c>
      <c r="B334" s="1255">
        <f>COUNTIFS($C$8:C334,"*ПС*",$J$8:J334,"*закрыт*")</f>
        <v>60</v>
      </c>
      <c r="C334" s="213" t="str">
        <f>'Расчет ЦП - общая форма'!AA334</f>
        <v xml:space="preserve">ПС 35/6 кВ № 10 </v>
      </c>
      <c r="D334" s="230">
        <f>'Расчет ЦП - общая форма'!AB334</f>
        <v>1.8</v>
      </c>
      <c r="E334" s="229" t="str">
        <f>'Расчет ЦП - общая форма'!AC334</f>
        <v>+</v>
      </c>
      <c r="F334" s="229">
        <f>'Расчет ЦП - общая форма'!AD334</f>
        <v>1.8</v>
      </c>
      <c r="G334" s="229">
        <f>'Расчет ЦП - общая форма'!AE334</f>
        <v>0</v>
      </c>
      <c r="H334" s="229">
        <f>'Расчет ЦП - общая форма'!AF334</f>
        <v>0</v>
      </c>
      <c r="I334" s="172">
        <f>'Расчет ЦП - общая форма'!AP334</f>
        <v>-0.26189639999999992</v>
      </c>
      <c r="J334" s="172" t="str">
        <f>'Расчет ЦП - общая форма'!AQ334</f>
        <v>закрыт</v>
      </c>
      <c r="K334" s="924" t="str">
        <f>'Расчет ЦП - общая форма'!AR334</f>
        <v>закрыт</v>
      </c>
      <c r="L334" s="924">
        <f>'Расчет ЦП - общая форма'!AS334</f>
        <v>113.85695238095238</v>
      </c>
      <c r="M334" s="924"/>
      <c r="N334" s="924"/>
    </row>
    <row r="335" spans="1:14" hidden="1" x14ac:dyDescent="0.25">
      <c r="A335" s="213">
        <f>'Расчет ЦП - общая форма'!Y335</f>
        <v>254</v>
      </c>
      <c r="B335" s="1152">
        <f>COUNTIFS($C$8:C335,"*ПС*",$J$8:J335,"*закрыт*")</f>
        <v>60</v>
      </c>
      <c r="C335" s="213" t="str">
        <f>'Расчет ЦП - общая форма'!AA335</f>
        <v xml:space="preserve">ПС 35/10 кВ № 11  </v>
      </c>
      <c r="D335" s="230">
        <f>'Расчет ЦП - общая форма'!AB335</f>
        <v>10</v>
      </c>
      <c r="E335" s="229" t="str">
        <f>'Расчет ЦП - общая форма'!AC335</f>
        <v>+</v>
      </c>
      <c r="F335" s="229">
        <f>'Расчет ЦП - общая форма'!AD335</f>
        <v>6.3</v>
      </c>
      <c r="G335" s="229">
        <f>'Расчет ЦП - общая форма'!AE335</f>
        <v>0</v>
      </c>
      <c r="H335" s="229">
        <f>'Расчет ЦП - общая форма'!AF335</f>
        <v>0</v>
      </c>
      <c r="I335" s="172">
        <f>'Расчет ЦП - общая форма'!AP335</f>
        <v>0.26771399999999979</v>
      </c>
      <c r="J335" s="172" t="str">
        <f>'Расчет ЦП - общая форма'!AQ335</f>
        <v/>
      </c>
      <c r="K335" s="924" t="str">
        <f>'Расчет ЦП - общая форма'!AR335</f>
        <v/>
      </c>
      <c r="L335" s="924">
        <f>'Расчет ЦП - общая форма'!AS335</f>
        <v>95.952925170068028</v>
      </c>
      <c r="M335" s="924"/>
      <c r="N335" s="924"/>
    </row>
    <row r="336" spans="1:14" ht="20.100000000000001" customHeight="1" x14ac:dyDescent="0.25">
      <c r="A336" s="213">
        <f>'Расчет ЦП - общая форма'!Y336</f>
        <v>255</v>
      </c>
      <c r="B336" s="1255">
        <f>COUNTIFS($C$8:C336,"*ПС*",$J$8:J336,"*закрыт*")</f>
        <v>61</v>
      </c>
      <c r="C336" s="213" t="str">
        <f>'Расчет ЦП - общая форма'!AA336</f>
        <v xml:space="preserve">ПС 35/10 кВ Дм.Гора  </v>
      </c>
      <c r="D336" s="230">
        <f>'Расчет ЦП - общая форма'!AB336</f>
        <v>10</v>
      </c>
      <c r="E336" s="229" t="str">
        <f>'Расчет ЦП - общая форма'!AC336</f>
        <v>+</v>
      </c>
      <c r="F336" s="229">
        <f>'Расчет ЦП - общая форма'!AD336</f>
        <v>10</v>
      </c>
      <c r="G336" s="229">
        <f>'Расчет ЦП - общая форма'!AE336</f>
        <v>0</v>
      </c>
      <c r="H336" s="229">
        <f>'Расчет ЦП - общая форма'!AF336</f>
        <v>0</v>
      </c>
      <c r="I336" s="172">
        <f>'Расчет ЦП - общая форма'!AP336</f>
        <v>-0.97926000000000002</v>
      </c>
      <c r="J336" s="172" t="str">
        <f>'Расчет ЦП - общая форма'!AQ336</f>
        <v>закрыт</v>
      </c>
      <c r="K336" s="924" t="str">
        <f>'Расчет ЦП - общая форма'!AR336</f>
        <v>закрыт</v>
      </c>
      <c r="L336" s="924">
        <f>'Расчет ЦП - общая форма'!AS336</f>
        <v>109.3262857142857</v>
      </c>
      <c r="M336" s="924"/>
      <c r="N336" s="924"/>
    </row>
    <row r="337" spans="1:14" ht="20.100000000000001" hidden="1" customHeight="1" x14ac:dyDescent="0.25">
      <c r="A337" s="213">
        <f>'Расчет ЦП - общая форма'!Y337</f>
        <v>256</v>
      </c>
      <c r="B337" s="1152">
        <f>COUNTIFS($C$8:C337,"*ПС*",$J$8:J337,"*закрыт*")</f>
        <v>61</v>
      </c>
      <c r="C337" s="213" t="str">
        <f>'Расчет ЦП - общая форма'!AA337</f>
        <v xml:space="preserve">ПС 35/6 кВ ЗМИ  </v>
      </c>
      <c r="D337" s="230">
        <f>'Расчет ЦП - общая форма'!AB337</f>
        <v>10</v>
      </c>
      <c r="E337" s="229" t="str">
        <f>'Расчет ЦП - общая форма'!AC337</f>
        <v>+</v>
      </c>
      <c r="F337" s="229">
        <f>'Расчет ЦП - общая форма'!AD337</f>
        <v>16</v>
      </c>
      <c r="G337" s="229">
        <f>'Расчет ЦП - общая форма'!AE337</f>
        <v>0</v>
      </c>
      <c r="H337" s="229">
        <f>'Расчет ЦП - общая форма'!AF337</f>
        <v>0</v>
      </c>
      <c r="I337" s="172">
        <f>'Расчет ЦП - общая форма'!AP337</f>
        <v>4.8919049999999995</v>
      </c>
      <c r="J337" s="172" t="str">
        <f>'Расчет ЦП - общая форма'!AQ337</f>
        <v/>
      </c>
      <c r="K337" s="924" t="str">
        <f>'Расчет ЦП - общая форма'!AR337</f>
        <v/>
      </c>
      <c r="L337" s="924">
        <f>'Расчет ЦП - общая форма'!AS337</f>
        <v>53.410428571428575</v>
      </c>
      <c r="M337" s="924"/>
      <c r="N337" s="924"/>
    </row>
    <row r="338" spans="1:14" hidden="1" x14ac:dyDescent="0.25">
      <c r="A338" s="213">
        <f>'Расчет ЦП - общая форма'!Y338</f>
        <v>257</v>
      </c>
      <c r="B338" s="1152">
        <f>COUNTIFS($C$8:C338,"*ПС*",$J$8:J338,"*закрыт*")</f>
        <v>61</v>
      </c>
      <c r="C338" s="213" t="str">
        <f>'Расчет ЦП - общая форма'!AA338</f>
        <v xml:space="preserve">ПС 35/10 кВ Изоплит  </v>
      </c>
      <c r="D338" s="230">
        <f>'Расчет ЦП - общая форма'!AB338</f>
        <v>6.3</v>
      </c>
      <c r="E338" s="229" t="str">
        <f>'Расчет ЦП - общая форма'!AC338</f>
        <v>+</v>
      </c>
      <c r="F338" s="229">
        <f>'Расчет ЦП - общая форма'!AD338</f>
        <v>6.3</v>
      </c>
      <c r="G338" s="229">
        <f>'Расчет ЦП - общая форма'!AE338</f>
        <v>0</v>
      </c>
      <c r="H338" s="229">
        <f>'Расчет ЦП - общая форма'!AF338</f>
        <v>0</v>
      </c>
      <c r="I338" s="172">
        <f>'Расчет ЦП - общая форма'!AP338</f>
        <v>5.596895</v>
      </c>
      <c r="J338" s="172" t="str">
        <f>'Расчет ЦП - общая форма'!AQ338</f>
        <v/>
      </c>
      <c r="K338" s="924" t="str">
        <f>'Расчет ЦП - общая форма'!AR338</f>
        <v/>
      </c>
      <c r="L338" s="924">
        <f>'Расчет ЦП - общая форма'!AS338</f>
        <v>15.390854119425548</v>
      </c>
      <c r="M338" s="924"/>
      <c r="N338" s="924"/>
    </row>
    <row r="339" spans="1:14" x14ac:dyDescent="0.25">
      <c r="A339" s="213">
        <f>'Расчет ЦП - общая форма'!Y339</f>
        <v>258</v>
      </c>
      <c r="B339" s="1255">
        <f>COUNTIFS($C$8:C339,"*ПС*",$J$8:J339,"*закрыт*")</f>
        <v>62</v>
      </c>
      <c r="C339" s="213" t="str">
        <f>'Расчет ЦП - общая форма'!AA339</f>
        <v>ПС 35/6 кВ Карачарово</v>
      </c>
      <c r="D339" s="230">
        <f>'Расчет ЦП - общая форма'!AB339</f>
        <v>4</v>
      </c>
      <c r="E339" s="229" t="str">
        <f>'Расчет ЦП - общая форма'!AC339</f>
        <v>+</v>
      </c>
      <c r="F339" s="229">
        <f>'Расчет ЦП - общая форма'!AD339</f>
        <v>6.3</v>
      </c>
      <c r="G339" s="229">
        <f>'Расчет ЦП - общая форма'!AE339</f>
        <v>0</v>
      </c>
      <c r="H339" s="229">
        <f>'Расчет ЦП - общая форма'!AF339</f>
        <v>0</v>
      </c>
      <c r="I339" s="172">
        <f>'Расчет ЦП - общая форма'!AP339</f>
        <v>-0.47933899999999996</v>
      </c>
      <c r="J339" s="172" t="str">
        <f>'Расчет ЦП - общая форма'!AQ339</f>
        <v>закрыт</v>
      </c>
      <c r="K339" s="924" t="str">
        <f>'Расчет ЦП - общая форма'!AR339</f>
        <v>закрыт</v>
      </c>
      <c r="L339" s="924">
        <f>'Расчет ЦП - общая форма'!AS339</f>
        <v>73.692833333333326</v>
      </c>
      <c r="M339" s="924"/>
      <c r="N339" s="924"/>
    </row>
    <row r="340" spans="1:14" x14ac:dyDescent="0.25">
      <c r="A340" s="213">
        <f>'Расчет ЦП - общая форма'!Y340</f>
        <v>259</v>
      </c>
      <c r="B340" s="1255">
        <f>COUNTIFS($C$8:C340,"*ПС*",$J$8:J340,"*закрыт*")</f>
        <v>63</v>
      </c>
      <c r="C340" s="213" t="str">
        <f>'Расчет ЦП - общая форма'!AA340</f>
        <v xml:space="preserve">ПС 35/6 кВ Кр. Луч  </v>
      </c>
      <c r="D340" s="230">
        <f>'Расчет ЦП - общая форма'!AB340</f>
        <v>2.5</v>
      </c>
      <c r="E340" s="229" t="str">
        <f>'Расчет ЦП - общая форма'!AC340</f>
        <v>+</v>
      </c>
      <c r="F340" s="229">
        <f>'Расчет ЦП - общая форма'!AD340</f>
        <v>3.2</v>
      </c>
      <c r="G340" s="229">
        <f>'Расчет ЦП - общая форма'!AE340</f>
        <v>0</v>
      </c>
      <c r="H340" s="229">
        <f>'Расчет ЦП - общая форма'!AF340</f>
        <v>0</v>
      </c>
      <c r="I340" s="172">
        <f>'Расчет ЦП - общая форма'!AP340</f>
        <v>-1.2567549999999992</v>
      </c>
      <c r="J340" s="172" t="str">
        <f>'Расчет ЦП - общая форма'!AQ340</f>
        <v>закрыт</v>
      </c>
      <c r="K340" s="924" t="str">
        <f>'Расчет ЦП - общая форма'!AR340</f>
        <v>закрыт</v>
      </c>
      <c r="L340" s="924">
        <f>'Расчет ЦП - общая форма'!AS340</f>
        <v>141.29638095238093</v>
      </c>
      <c r="M340" s="924"/>
      <c r="N340" s="924"/>
    </row>
    <row r="341" spans="1:14" hidden="1" x14ac:dyDescent="0.25">
      <c r="A341" s="213">
        <f>'Расчет ЦП - общая форма'!Y341</f>
        <v>260</v>
      </c>
      <c r="B341" s="763">
        <f>COUNTIFS($C$8:C341,"*ПС*",$J$8:J341,"*закрыт*")</f>
        <v>63</v>
      </c>
      <c r="C341" s="213" t="str">
        <f>'Расчет ЦП - общая форма'!AA341</f>
        <v xml:space="preserve">ПС 35/6 кВ Мелково  </v>
      </c>
      <c r="D341" s="230">
        <f>'Расчет ЦП - общая форма'!AB341</f>
        <v>1.6</v>
      </c>
      <c r="E341" s="229" t="str">
        <f>'Расчет ЦП - общая форма'!AC341</f>
        <v>+</v>
      </c>
      <c r="F341" s="229">
        <f>'Расчет ЦП - общая форма'!AD341</f>
        <v>2.5</v>
      </c>
      <c r="G341" s="229">
        <f>'Расчет ЦП - общая форма'!AE341</f>
        <v>0</v>
      </c>
      <c r="H341" s="229">
        <f>'Расчет ЦП - общая форма'!AF341</f>
        <v>0</v>
      </c>
      <c r="I341" s="172">
        <f>'Расчет ЦП - общая форма'!AP341</f>
        <v>0.11546600000000007</v>
      </c>
      <c r="J341" s="172" t="str">
        <f>'Расчет ЦП - общая форма'!AQ341</f>
        <v/>
      </c>
      <c r="K341" s="924" t="str">
        <f>'Расчет ЦП - общая форма'!AR341</f>
        <v/>
      </c>
      <c r="L341" s="924">
        <f>'Расчет ЦП - общая форма'!AS341</f>
        <v>93.127023809523806</v>
      </c>
      <c r="M341" s="924"/>
      <c r="N341" s="924"/>
    </row>
    <row r="342" spans="1:14" ht="20.100000000000001" hidden="1" customHeight="1" x14ac:dyDescent="0.25">
      <c r="A342" s="213">
        <f>'Расчет ЦП - общая форма'!Y342</f>
        <v>261</v>
      </c>
      <c r="B342" s="1152">
        <f>COUNTIFS($C$8:C342,"*ПС*",$J$8:J342,"*закрыт*")</f>
        <v>63</v>
      </c>
      <c r="C342" s="213" t="str">
        <f>'Расчет ЦП - общая форма'!AA342</f>
        <v xml:space="preserve">ПС 35/6 кВ Селихово </v>
      </c>
      <c r="D342" s="230">
        <f>'Расчет ЦП - общая форма'!AB342</f>
        <v>2.5</v>
      </c>
      <c r="E342" s="229" t="str">
        <f>'Расчет ЦП - общая форма'!AC342</f>
        <v>+</v>
      </c>
      <c r="F342" s="229">
        <f>'Расчет ЦП - общая форма'!AD342</f>
        <v>2.5</v>
      </c>
      <c r="G342" s="229">
        <f>'Расчет ЦП - общая форма'!AE342</f>
        <v>0</v>
      </c>
      <c r="H342" s="229">
        <f>'Расчет ЦП - общая форма'!AF342</f>
        <v>0</v>
      </c>
      <c r="I342" s="172">
        <f>'Расчет ЦП - общая форма'!AP342</f>
        <v>0.17218800000000023</v>
      </c>
      <c r="J342" s="172" t="str">
        <f>'Расчет ЦП - общая форма'!AQ342</f>
        <v/>
      </c>
      <c r="K342" s="924" t="str">
        <f>'Расчет ЦП - общая форма'!AR342</f>
        <v/>
      </c>
      <c r="L342" s="924">
        <f>'Расчет ЦП - общая форма'!AS342</f>
        <v>93.440457142857142</v>
      </c>
      <c r="M342" s="924"/>
      <c r="N342" s="924"/>
    </row>
    <row r="343" spans="1:14" x14ac:dyDescent="0.25">
      <c r="A343" s="213">
        <f>'Расчет ЦП - общая форма'!Y343</f>
        <v>262</v>
      </c>
      <c r="B343" s="1255">
        <f>COUNTIFS($C$8:C343,"*ПС*",$J$8:J343,"*закрыт*")</f>
        <v>64</v>
      </c>
      <c r="C343" s="213" t="str">
        <f>'Расчет ЦП - общая форма'!AA343</f>
        <v>ПС 35/10 кВ Мокшино</v>
      </c>
      <c r="D343" s="230">
        <f>'Расчет ЦП - общая форма'!AB343</f>
        <v>6.3</v>
      </c>
      <c r="E343" s="229" t="str">
        <f>'Расчет ЦП - общая форма'!AC343</f>
        <v>+</v>
      </c>
      <c r="F343" s="229">
        <f>'Расчет ЦП - общая форма'!AD343</f>
        <v>10</v>
      </c>
      <c r="G343" s="229">
        <f>'Расчет ЦП - общая форма'!AE343</f>
        <v>0</v>
      </c>
      <c r="H343" s="229">
        <f>'Расчет ЦП - общая форма'!AF343</f>
        <v>0</v>
      </c>
      <c r="I343" s="172">
        <f>'Расчет ЦП - общая форма'!AP343</f>
        <v>-0.9141010000000005</v>
      </c>
      <c r="J343" s="172" t="str">
        <f>'Расчет ЦП - общая форма'!AQ343</f>
        <v>закрыт</v>
      </c>
      <c r="K343" s="924" t="str">
        <f>'Расчет ЦП - общая форма'!AR343</f>
        <v>закрыт</v>
      </c>
      <c r="L343" s="924">
        <f>'Расчет ЦП - общая форма'!AS343</f>
        <v>113.81860922146637</v>
      </c>
      <c r="M343" s="924"/>
      <c r="N343" s="924"/>
    </row>
    <row r="344" spans="1:14" ht="20.100000000000001" hidden="1" customHeight="1" x14ac:dyDescent="0.25">
      <c r="A344" s="213">
        <f>'Расчет ЦП - общая форма'!Y344</f>
        <v>263</v>
      </c>
      <c r="B344" s="1152">
        <f>COUNTIFS($C$8:C344,"*ПС*",$J$8:J344,"*закрыт*")</f>
        <v>64</v>
      </c>
      <c r="C344" s="213" t="str">
        <f>'Расчет ЦП - общая форма'!AA344</f>
        <v xml:space="preserve">ПС 35/10 кВ Энергетик </v>
      </c>
      <c r="D344" s="230">
        <f>'Расчет ЦП - общая форма'!AB344</f>
        <v>4</v>
      </c>
      <c r="E344" s="229" t="str">
        <f>'Расчет ЦП - общая форма'!AC344</f>
        <v>+</v>
      </c>
      <c r="F344" s="229">
        <f>'Расчет ЦП - общая форма'!AD344</f>
        <v>2.5</v>
      </c>
      <c r="G344" s="229">
        <f>'Расчет ЦП - общая форма'!AE344</f>
        <v>0</v>
      </c>
      <c r="H344" s="229">
        <f>'Расчет ЦП - общая форма'!AF344</f>
        <v>0</v>
      </c>
      <c r="I344" s="172">
        <f>'Расчет ЦП - общая форма'!AP344</f>
        <v>1.099175</v>
      </c>
      <c r="J344" s="172" t="str">
        <f>'Расчет ЦП - общая форма'!AQ344</f>
        <v/>
      </c>
      <c r="K344" s="924" t="str">
        <f>'Расчет ЦП - общая форма'!AR344</f>
        <v/>
      </c>
      <c r="L344" s="924">
        <f>'Расчет ЦП - общая форма'!AS344</f>
        <v>58.126666666666672</v>
      </c>
      <c r="M344" s="924"/>
      <c r="N344" s="924"/>
    </row>
    <row r="345" spans="1:14" hidden="1" x14ac:dyDescent="0.25">
      <c r="A345" s="213">
        <f>'Расчет ЦП - общая форма'!Y345</f>
        <v>264</v>
      </c>
      <c r="B345" s="1152">
        <f>COUNTIFS($C$8:C345,"*ПС*",$J$8:J345,"*закрыт*")</f>
        <v>64</v>
      </c>
      <c r="C345" s="213" t="str">
        <f>'Расчет ЦП - общая форма'!AA345</f>
        <v xml:space="preserve">ПС 35/10 кВ Эммаус  </v>
      </c>
      <c r="D345" s="230">
        <f>'Расчет ЦП - общая форма'!AB345</f>
        <v>4</v>
      </c>
      <c r="E345" s="229" t="str">
        <f>'Расчет ЦП - общая форма'!AC345</f>
        <v>+</v>
      </c>
      <c r="F345" s="229">
        <f>'Расчет ЦП - общая форма'!AD345</f>
        <v>4</v>
      </c>
      <c r="G345" s="229">
        <f>'Расчет ЦП - общая форма'!AE345</f>
        <v>0</v>
      </c>
      <c r="H345" s="229">
        <f>'Расчет ЦП - общая форма'!AF345</f>
        <v>0</v>
      </c>
      <c r="I345" s="172">
        <f>'Расчет ЦП - общая форма'!AP345</f>
        <v>0.62443500000000096</v>
      </c>
      <c r="J345" s="172" t="str">
        <f>'Расчет ЦП - общая форма'!AQ345</f>
        <v/>
      </c>
      <c r="K345" s="924" t="str">
        <f>'Расчет ЦП - общая форма'!AR345</f>
        <v/>
      </c>
      <c r="L345" s="924">
        <f>'Расчет ЦП - общая форма'!AS345</f>
        <v>85.132499999999979</v>
      </c>
      <c r="M345" s="924"/>
      <c r="N345" s="924"/>
    </row>
    <row r="346" spans="1:14" ht="20.100000000000001" customHeight="1" x14ac:dyDescent="0.25">
      <c r="A346" s="213">
        <f>'Расчет ЦП - общая форма'!Y346</f>
        <v>265</v>
      </c>
      <c r="B346" s="1255">
        <f>COUNTIFS($C$8:C346,"*ПС*",$J$8:J346,"*закрыт*")</f>
        <v>65</v>
      </c>
      <c r="C346" s="213" t="str">
        <f>'Расчет ЦП - общая форма'!AA346</f>
        <v>ПС  35/10 кВ Ю.-Девичье</v>
      </c>
      <c r="D346" s="230">
        <f>'Расчет ЦП - общая форма'!AB346</f>
        <v>4</v>
      </c>
      <c r="E346" s="229" t="str">
        <f>'Расчет ЦП - общая форма'!AC346</f>
        <v>+</v>
      </c>
      <c r="F346" s="229">
        <f>'Расчет ЦП - общая форма'!AD346</f>
        <v>4</v>
      </c>
      <c r="G346" s="229">
        <f>'Расчет ЦП - общая форма'!AE346</f>
        <v>0</v>
      </c>
      <c r="H346" s="229">
        <f>'Расчет ЦП - общая форма'!AF346</f>
        <v>0</v>
      </c>
      <c r="I346" s="172">
        <f>'Расчет ЦП - общая форма'!AP346</f>
        <v>-1.765363999999999</v>
      </c>
      <c r="J346" s="172" t="str">
        <f>'Расчет ЦП - общая форма'!AQ346</f>
        <v>закрыт</v>
      </c>
      <c r="K346" s="924" t="str">
        <f>'Расчет ЦП - общая форма'!AR346</f>
        <v>закрыт</v>
      </c>
      <c r="L346" s="924">
        <f>'Расчет ЦП - общая форма'!AS346</f>
        <v>142.03247619047619</v>
      </c>
      <c r="M346" s="924"/>
      <c r="N346" s="924"/>
    </row>
    <row r="347" spans="1:14" ht="20.100000000000001" customHeight="1" x14ac:dyDescent="0.25">
      <c r="A347" s="213">
        <f>'Расчет ЦП - общая форма'!Y347</f>
        <v>266</v>
      </c>
      <c r="B347" s="1255">
        <f>COUNTIFS($C$8:C347,"*ПС*",$J$8:J347,"*закрыт*")</f>
        <v>66</v>
      </c>
      <c r="C347" s="213" t="str">
        <f>'Расчет ЦП - общая форма'!AA347</f>
        <v xml:space="preserve">ПС 35/6 кВ №18  </v>
      </c>
      <c r="D347" s="230">
        <f>'Расчет ЦП - общая форма'!AB347</f>
        <v>10</v>
      </c>
      <c r="E347" s="229" t="str">
        <f>'Расчет ЦП - общая форма'!AC347</f>
        <v>+</v>
      </c>
      <c r="F347" s="229">
        <f>'Расчет ЦП - общая форма'!AD347</f>
        <v>10</v>
      </c>
      <c r="G347" s="229" t="str">
        <f>'Расчет ЦП - общая форма'!AE347</f>
        <v>+</v>
      </c>
      <c r="H347" s="229">
        <f>'Расчет ЦП - общая форма'!AF347</f>
        <v>10</v>
      </c>
      <c r="I347" s="172">
        <f>'Расчет ЦП - общая форма'!AP347</f>
        <v>-11.9208</v>
      </c>
      <c r="J347" s="172" t="str">
        <f>'Расчет ЦП - общая форма'!AQ347</f>
        <v>закрыт</v>
      </c>
      <c r="K347" s="924" t="str">
        <f>'Расчет ЦП - общая форма'!AR347</f>
        <v>закрыт</v>
      </c>
      <c r="L347" s="924">
        <f>'Расчет ЦП - общая форма'!AS347</f>
        <v>106.76571428571428</v>
      </c>
      <c r="M347" s="924"/>
      <c r="N347" s="924"/>
    </row>
    <row r="348" spans="1:14" ht="20.100000000000001" hidden="1" customHeight="1" x14ac:dyDescent="0.25">
      <c r="A348" s="213">
        <f>'Расчет ЦП - общая форма'!Y348</f>
        <v>267</v>
      </c>
      <c r="B348" s="1152">
        <f>COUNTIFS($C$8:C348,"*ПС*",$J$8:J348,"*закрыт*")</f>
        <v>66</v>
      </c>
      <c r="C348" s="213" t="str">
        <f>'Расчет ЦП - общая форма'!AA348</f>
        <v xml:space="preserve">ПС 35/6  кВ Затверецкая </v>
      </c>
      <c r="D348" s="230">
        <f>'Расчет ЦП - общая форма'!AB348</f>
        <v>10</v>
      </c>
      <c r="E348" s="229" t="str">
        <f>'Расчет ЦП - общая форма'!AC348</f>
        <v>+</v>
      </c>
      <c r="F348" s="229">
        <f>'Расчет ЦП - общая форма'!AD348</f>
        <v>10</v>
      </c>
      <c r="G348" s="229" t="str">
        <f>'Расчет ЦП - общая форма'!AE348</f>
        <v>+</v>
      </c>
      <c r="H348" s="229">
        <f>'Расчет ЦП - общая форма'!AF348</f>
        <v>10</v>
      </c>
      <c r="I348" s="172">
        <f>'Расчет ЦП - общая форма'!AP348</f>
        <v>3.5070460000000026</v>
      </c>
      <c r="J348" s="172" t="str">
        <f>'Расчет ЦП - общая форма'!AQ348</f>
        <v/>
      </c>
      <c r="K348" s="924" t="str">
        <f>'Расчет ЦП - общая форма'!AR348</f>
        <v/>
      </c>
      <c r="L348" s="924">
        <f>'Расчет ЦП - общая форма'!AS348</f>
        <v>83.299780952380942</v>
      </c>
      <c r="M348" s="924"/>
      <c r="N348" s="924"/>
    </row>
    <row r="349" spans="1:14" x14ac:dyDescent="0.25">
      <c r="A349" s="1371">
        <f>'Расчет ЦП - общая форма'!Y349</f>
        <v>268</v>
      </c>
      <c r="B349" s="1376">
        <f>COUNTIFS($C$8:C349,"*ПС*",$J$8:J349,"*закрыт*")</f>
        <v>67</v>
      </c>
      <c r="C349" s="213" t="str">
        <f>'Расчет ЦП - общая форма'!AA349</f>
        <v xml:space="preserve">ПС 110/35/10 кВ Пушкино </v>
      </c>
      <c r="D349" s="230">
        <f>'Расчет ЦП - общая форма'!AB349</f>
        <v>10</v>
      </c>
      <c r="E349" s="229">
        <f>'Расчет ЦП - общая форма'!AC349</f>
        <v>0</v>
      </c>
      <c r="F349" s="229">
        <f>'Расчет ЦП - общая форма'!AD349</f>
        <v>0</v>
      </c>
      <c r="G349" s="229">
        <f>'Расчет ЦП - общая форма'!AE349</f>
        <v>0</v>
      </c>
      <c r="H349" s="229">
        <f>'Расчет ЦП - общая форма'!AF349</f>
        <v>0</v>
      </c>
      <c r="I349" s="1364">
        <f>'Расчет ЦП - общая форма'!AP349</f>
        <v>-4.5185150000000007</v>
      </c>
      <c r="J349" s="1364" t="str">
        <f>'Расчет ЦП - общая форма'!AQ349</f>
        <v>закрыт</v>
      </c>
      <c r="K349" s="924" t="str">
        <f>'Расчет ЦП - общая форма'!AR349</f>
        <v>закрыт</v>
      </c>
      <c r="L349" s="924">
        <f>'Расчет ЦП - общая форма'!AS349</f>
        <v>43.890619047619055</v>
      </c>
      <c r="M349" s="924"/>
      <c r="N349" s="924"/>
    </row>
    <row r="350" spans="1:14" x14ac:dyDescent="0.25">
      <c r="A350" s="1371">
        <f>'Расчет ЦП - общая форма'!Y350</f>
        <v>0</v>
      </c>
      <c r="B350" s="1393"/>
      <c r="C350" s="7" t="str">
        <f>'Расчет ЦП - общая форма'!AA350</f>
        <v xml:space="preserve">Ном. Мощность СН, МВА </v>
      </c>
      <c r="D350" s="230">
        <f>'Расчет ЦП - общая форма'!AB350</f>
        <v>10</v>
      </c>
      <c r="E350" s="229">
        <f>'Расчет ЦП - общая форма'!AC350</f>
        <v>0</v>
      </c>
      <c r="F350" s="229">
        <f>'Расчет ЦП - общая форма'!AD350</f>
        <v>0</v>
      </c>
      <c r="G350" s="229">
        <f>'Расчет ЦП - общая форма'!AE350</f>
        <v>0</v>
      </c>
      <c r="H350" s="229">
        <f>'Расчет ЦП - общая форма'!AF350</f>
        <v>0</v>
      </c>
      <c r="I350" s="1365">
        <f>'Расчет ЦП - общая форма'!AP350</f>
        <v>0</v>
      </c>
      <c r="J350" s="1365">
        <f>'Расчет ЦП - общая форма'!AQ350</f>
        <v>0</v>
      </c>
      <c r="K350" s="924" t="str">
        <f>'Расчет ЦП - общая форма'!AR350</f>
        <v>закрыт</v>
      </c>
      <c r="L350" s="924">
        <f>'Расчет ЦП - общая форма'!AS350</f>
        <v>0</v>
      </c>
      <c r="M350" s="924"/>
      <c r="N350" s="924"/>
    </row>
    <row r="351" spans="1:14" x14ac:dyDescent="0.25">
      <c r="A351" s="1371">
        <f>'Расчет ЦП - общая форма'!Y351</f>
        <v>0</v>
      </c>
      <c r="B351" s="1394"/>
      <c r="C351" s="7" t="str">
        <f>'Расчет ЦП - общая форма'!AA351</f>
        <v>Ном. мощность НН, МВА</v>
      </c>
      <c r="D351" s="230">
        <f>'Расчет ЦП - общая форма'!AB351</f>
        <v>10</v>
      </c>
      <c r="E351" s="229">
        <f>'Расчет ЦП - общая форма'!AC351</f>
        <v>0</v>
      </c>
      <c r="F351" s="229">
        <f>'Расчет ЦП - общая форма'!AD351</f>
        <v>0</v>
      </c>
      <c r="G351" s="229">
        <f>'Расчет ЦП - общая форма'!AE351</f>
        <v>0</v>
      </c>
      <c r="H351" s="229">
        <f>'Расчет ЦП - общая форма'!AF351</f>
        <v>0</v>
      </c>
      <c r="I351" s="1366">
        <f>'Расчет ЦП - общая форма'!AP351</f>
        <v>0</v>
      </c>
      <c r="J351" s="1366">
        <f>'Расчет ЦП - общая форма'!AQ351</f>
        <v>0</v>
      </c>
      <c r="K351" s="924" t="str">
        <f>'Расчет ЦП - общая форма'!AR351</f>
        <v>закрыт</v>
      </c>
      <c r="L351" s="924">
        <f>'Расчет ЦП - общая форма'!AS351</f>
        <v>0</v>
      </c>
      <c r="M351" s="924"/>
      <c r="N351" s="924"/>
    </row>
    <row r="352" spans="1:14" hidden="1" x14ac:dyDescent="0.25">
      <c r="A352" s="1371">
        <f>'Расчет ЦП - общая форма'!Y352</f>
        <v>269</v>
      </c>
      <c r="B352" s="1376">
        <f>COUNTIFS($C$8:C352,"*ПС*",$J$8:J352,"*закрыт*")</f>
        <v>67</v>
      </c>
      <c r="C352" s="213" t="str">
        <f>'Расчет ЦП - общая форма'!AA352</f>
        <v xml:space="preserve">ПС 110/10/6 кВ Механич.з-д </v>
      </c>
      <c r="D352" s="230">
        <f>'Расчет ЦП - общая форма'!AB352</f>
        <v>40</v>
      </c>
      <c r="E352" s="229" t="str">
        <f>'Расчет ЦП - общая форма'!AC352</f>
        <v>+</v>
      </c>
      <c r="F352" s="229">
        <f>'Расчет ЦП - общая форма'!AD352</f>
        <v>40</v>
      </c>
      <c r="G352" s="229">
        <f>'Расчет ЦП - общая форма'!AE352</f>
        <v>0</v>
      </c>
      <c r="H352" s="229">
        <f>'Расчет ЦП - общая форма'!AF352</f>
        <v>0</v>
      </c>
      <c r="I352" s="1364">
        <f>'Расчет ЦП - общая форма'!AP352</f>
        <v>9.5342520000000004</v>
      </c>
      <c r="J352" s="1364" t="str">
        <f>'Расчет ЦП - общая форма'!AQ352</f>
        <v/>
      </c>
      <c r="K352" s="924" t="str">
        <f>'Расчет ЦП - общая форма'!AR352</f>
        <v/>
      </c>
      <c r="L352" s="924">
        <f>'Расчет ЦП - общая форма'!AS352</f>
        <v>54.589326190476186</v>
      </c>
      <c r="M352" s="924"/>
      <c r="N352" s="924"/>
    </row>
    <row r="353" spans="1:14" hidden="1" x14ac:dyDescent="0.25">
      <c r="A353" s="1371">
        <f>'Расчет ЦП - общая форма'!Y353</f>
        <v>0</v>
      </c>
      <c r="B353" s="1393"/>
      <c r="C353" s="7" t="str">
        <f>'Расчет ЦП - общая форма'!AA353</f>
        <v xml:space="preserve">Ном. Мощность СН, МВА </v>
      </c>
      <c r="D353" s="230">
        <f>'Расчет ЦП - общая форма'!AB353</f>
        <v>20</v>
      </c>
      <c r="E353" s="229" t="str">
        <f>'Расчет ЦП - общая форма'!AC353</f>
        <v>+</v>
      </c>
      <c r="F353" s="229">
        <f>'Расчет ЦП - общая форма'!AD353</f>
        <v>20</v>
      </c>
      <c r="G353" s="229">
        <f>'Расчет ЦП - общая форма'!AE353</f>
        <v>0</v>
      </c>
      <c r="H353" s="229">
        <f>'Расчет ЦП - общая форма'!AF353</f>
        <v>0</v>
      </c>
      <c r="I353" s="1365">
        <f>'Расчет ЦП - общая форма'!AP353</f>
        <v>0</v>
      </c>
      <c r="J353" s="1365" t="str">
        <f>'Расчет ЦП - общая форма'!AQ353</f>
        <v/>
      </c>
      <c r="K353" s="924" t="str">
        <f>'Расчет ЦП - общая форма'!AR353</f>
        <v/>
      </c>
      <c r="L353" s="924">
        <f>'Расчет ЦП - общая форма'!AS353</f>
        <v>0</v>
      </c>
      <c r="M353" s="924"/>
      <c r="N353" s="924"/>
    </row>
    <row r="354" spans="1:14" hidden="1" x14ac:dyDescent="0.25">
      <c r="A354" s="1371">
        <f>'Расчет ЦП - общая форма'!Y354</f>
        <v>0</v>
      </c>
      <c r="B354" s="1394"/>
      <c r="C354" s="7" t="str">
        <f>'Расчет ЦП - общая форма'!AA354</f>
        <v>Ном. мощность НН, МВА</v>
      </c>
      <c r="D354" s="230">
        <f>'Расчет ЦП - общая форма'!AB354</f>
        <v>20</v>
      </c>
      <c r="E354" s="229" t="str">
        <f>'Расчет ЦП - общая форма'!AC354</f>
        <v>+</v>
      </c>
      <c r="F354" s="229">
        <f>'Расчет ЦП - общая форма'!AD354</f>
        <v>20</v>
      </c>
      <c r="G354" s="229">
        <f>'Расчет ЦП - общая форма'!AE354</f>
        <v>0</v>
      </c>
      <c r="H354" s="229">
        <f>'Расчет ЦП - общая форма'!AF354</f>
        <v>0</v>
      </c>
      <c r="I354" s="1366">
        <f>'Расчет ЦП - общая форма'!AP354</f>
        <v>0</v>
      </c>
      <c r="J354" s="1366" t="str">
        <f>'Расчет ЦП - общая форма'!AQ354</f>
        <v/>
      </c>
      <c r="K354" s="924" t="str">
        <f>'Расчет ЦП - общая форма'!AR354</f>
        <v/>
      </c>
      <c r="L354" s="924">
        <f>'Расчет ЦП - общая форма'!AS354</f>
        <v>0</v>
      </c>
      <c r="M354" s="924"/>
      <c r="N354" s="924"/>
    </row>
    <row r="355" spans="1:14" x14ac:dyDescent="0.25">
      <c r="A355" s="1371">
        <f>'Расчет ЦП - общая форма'!Y355</f>
        <v>270</v>
      </c>
      <c r="B355" s="1376">
        <f>COUNTIFS($C$8:C355,"*ПС*",$J$8:J355,"*закрыт*")</f>
        <v>68</v>
      </c>
      <c r="C355" s="213" t="str">
        <f>'Расчет ЦП - общая форма'!AA355</f>
        <v xml:space="preserve">ПС 110/35/10 кВ Южная </v>
      </c>
      <c r="D355" s="230">
        <f>'Расчет ЦП - общая форма'!AB355</f>
        <v>40</v>
      </c>
      <c r="E355" s="229" t="str">
        <f>'Расчет ЦП - общая форма'!AC355</f>
        <v>+</v>
      </c>
      <c r="F355" s="229">
        <f>'Расчет ЦП - общая форма'!AD355</f>
        <v>40</v>
      </c>
      <c r="G355" s="229">
        <f>'Расчет ЦП - общая форма'!AE355</f>
        <v>0</v>
      </c>
      <c r="H355" s="229">
        <f>'Расчет ЦП - общая форма'!AF355</f>
        <v>0</v>
      </c>
      <c r="I355" s="1364">
        <f>'Расчет ЦП - общая форма'!AP355</f>
        <v>-31.429079799999997</v>
      </c>
      <c r="J355" s="1364" t="str">
        <f>'Расчет ЦП - общая форма'!AQ355</f>
        <v>закрыт</v>
      </c>
      <c r="K355" s="924" t="str">
        <f>'Расчет ЦП - общая форма'!AR355</f>
        <v>закрыт</v>
      </c>
      <c r="L355" s="924">
        <f>'Расчет ЦП - общая форма'!AS355</f>
        <v>188.33114238095237</v>
      </c>
      <c r="M355" s="924"/>
      <c r="N355" s="924"/>
    </row>
    <row r="356" spans="1:14" x14ac:dyDescent="0.25">
      <c r="A356" s="1371">
        <f>'Расчет ЦП - общая форма'!Y356</f>
        <v>0</v>
      </c>
      <c r="B356" s="1393"/>
      <c r="C356" s="7" t="str">
        <f>'Расчет ЦП - общая форма'!AA356</f>
        <v xml:space="preserve">Ном. Мощность СН, МВА </v>
      </c>
      <c r="D356" s="230">
        <f>'Расчет ЦП - общая форма'!AB356</f>
        <v>40</v>
      </c>
      <c r="E356" s="229" t="str">
        <f>'Расчет ЦП - общая форма'!AC356</f>
        <v>+</v>
      </c>
      <c r="F356" s="229">
        <f>'Расчет ЦП - общая форма'!AD356</f>
        <v>40</v>
      </c>
      <c r="G356" s="229">
        <f>'Расчет ЦП - общая форма'!AE356</f>
        <v>0</v>
      </c>
      <c r="H356" s="229">
        <f>'Расчет ЦП - общая форма'!AF356</f>
        <v>0</v>
      </c>
      <c r="I356" s="1365">
        <f>'Расчет ЦП - общая форма'!AP356</f>
        <v>0</v>
      </c>
      <c r="J356" s="1365">
        <f>'Расчет ЦП - общая форма'!AQ356</f>
        <v>0</v>
      </c>
      <c r="K356" s="924" t="str">
        <f>'Расчет ЦП - общая форма'!AR356</f>
        <v>закрыт</v>
      </c>
      <c r="L356" s="924">
        <f>'Расчет ЦП - общая форма'!AS356</f>
        <v>0</v>
      </c>
      <c r="M356" s="924"/>
      <c r="N356" s="924"/>
    </row>
    <row r="357" spans="1:14" x14ac:dyDescent="0.25">
      <c r="A357" s="1371">
        <f>'Расчет ЦП - общая форма'!Y357</f>
        <v>0</v>
      </c>
      <c r="B357" s="1394"/>
      <c r="C357" s="7" t="str">
        <f>'Расчет ЦП - общая форма'!AA357</f>
        <v>Ном. мощность НН, МВА</v>
      </c>
      <c r="D357" s="230">
        <f>'Расчет ЦП - общая форма'!AB357</f>
        <v>40</v>
      </c>
      <c r="E357" s="229" t="str">
        <f>'Расчет ЦП - общая форма'!AC357</f>
        <v>+</v>
      </c>
      <c r="F357" s="229">
        <f>'Расчет ЦП - общая форма'!AD357</f>
        <v>40</v>
      </c>
      <c r="G357" s="229">
        <f>'Расчет ЦП - общая форма'!AE357</f>
        <v>0</v>
      </c>
      <c r="H357" s="229">
        <f>'Расчет ЦП - общая форма'!AF357</f>
        <v>0</v>
      </c>
      <c r="I357" s="1366">
        <f>'Расчет ЦП - общая форма'!AP357</f>
        <v>0</v>
      </c>
      <c r="J357" s="1366">
        <f>'Расчет ЦП - общая форма'!AQ357</f>
        <v>0</v>
      </c>
      <c r="K357" s="924" t="str">
        <f>'Расчет ЦП - общая форма'!AR357</f>
        <v>закрыт</v>
      </c>
      <c r="L357" s="924">
        <f>'Расчет ЦП - общая форма'!AS357</f>
        <v>0</v>
      </c>
      <c r="M357" s="924"/>
      <c r="N357" s="924"/>
    </row>
    <row r="358" spans="1:14" hidden="1" x14ac:dyDescent="0.25">
      <c r="A358" s="1371">
        <f>'Расчет ЦП - общая форма'!Y358</f>
        <v>271</v>
      </c>
      <c r="B358" s="1376">
        <f>COUNTIFS($C$8:C358,"*ПС*",$J$8:J358,"*закрыт*")</f>
        <v>68</v>
      </c>
      <c r="C358" s="213" t="str">
        <f>'Расчет ЦП - общая форма'!AA358</f>
        <v xml:space="preserve">ПС 110/35/10 кВ Северная </v>
      </c>
      <c r="D358" s="230">
        <f>'Расчет ЦП - общая форма'!AB358</f>
        <v>40</v>
      </c>
      <c r="E358" s="229" t="str">
        <f>'Расчет ЦП - общая форма'!AC358</f>
        <v>+</v>
      </c>
      <c r="F358" s="229">
        <f>'Расчет ЦП - общая форма'!AD358</f>
        <v>40</v>
      </c>
      <c r="G358" s="229">
        <f>'Расчет ЦП - общая форма'!AE358</f>
        <v>0</v>
      </c>
      <c r="H358" s="229">
        <f>'Расчет ЦП - общая форма'!AF358</f>
        <v>0</v>
      </c>
      <c r="I358" s="1364">
        <f>'Расчет ЦП - общая форма'!AP358</f>
        <v>9.5108680000000021</v>
      </c>
      <c r="J358" s="1364" t="str">
        <f>'Расчет ЦП - общая форма'!AQ358</f>
        <v/>
      </c>
      <c r="K358" s="924" t="str">
        <f>'Расчет ЦП - общая форма'!AR358</f>
        <v/>
      </c>
      <c r="L358" s="924">
        <f>'Расчет ЦП - общая форма'!AS358</f>
        <v>81.831266666666664</v>
      </c>
      <c r="M358" s="924"/>
      <c r="N358" s="924"/>
    </row>
    <row r="359" spans="1:14" hidden="1" x14ac:dyDescent="0.25">
      <c r="A359" s="1371">
        <f>'Расчет ЦП - общая форма'!Y359</f>
        <v>0</v>
      </c>
      <c r="B359" s="1393"/>
      <c r="C359" s="7" t="str">
        <f>'Расчет ЦП - общая форма'!AA359</f>
        <v xml:space="preserve">Ном. Мощность СН, МВА </v>
      </c>
      <c r="D359" s="230">
        <f>'Расчет ЦП - общая форма'!AB359</f>
        <v>40</v>
      </c>
      <c r="E359" s="229" t="str">
        <f>'Расчет ЦП - общая форма'!AC359</f>
        <v>+</v>
      </c>
      <c r="F359" s="229">
        <f>'Расчет ЦП - общая форма'!AD359</f>
        <v>40</v>
      </c>
      <c r="G359" s="229">
        <f>'Расчет ЦП - общая форма'!AE359</f>
        <v>0</v>
      </c>
      <c r="H359" s="229">
        <f>'Расчет ЦП - общая форма'!AF359</f>
        <v>0</v>
      </c>
      <c r="I359" s="1365">
        <f>'Расчет ЦП - общая форма'!AP359</f>
        <v>0</v>
      </c>
      <c r="J359" s="1365" t="str">
        <f>'Расчет ЦП - общая форма'!AQ359</f>
        <v/>
      </c>
      <c r="K359" s="924" t="str">
        <f>'Расчет ЦП - общая форма'!AR359</f>
        <v/>
      </c>
      <c r="L359" s="924">
        <f>'Расчет ЦП - общая форма'!AS359</f>
        <v>0</v>
      </c>
      <c r="M359" s="924"/>
      <c r="N359" s="924"/>
    </row>
    <row r="360" spans="1:14" hidden="1" x14ac:dyDescent="0.25">
      <c r="A360" s="1371">
        <f>'Расчет ЦП - общая форма'!Y360</f>
        <v>0</v>
      </c>
      <c r="B360" s="1394"/>
      <c r="C360" s="7" t="str">
        <f>'Расчет ЦП - общая форма'!AA360</f>
        <v>Ном. мощность НН, МВА</v>
      </c>
      <c r="D360" s="230">
        <f>'Расчет ЦП - общая форма'!AB360</f>
        <v>40</v>
      </c>
      <c r="E360" s="229" t="str">
        <f>'Расчет ЦП - общая форма'!AC360</f>
        <v>+</v>
      </c>
      <c r="F360" s="229">
        <f>'Расчет ЦП - общая форма'!AD360</f>
        <v>40</v>
      </c>
      <c r="G360" s="229">
        <f>'Расчет ЦП - общая форма'!AE360</f>
        <v>0</v>
      </c>
      <c r="H360" s="229">
        <f>'Расчет ЦП - общая форма'!AF360</f>
        <v>0</v>
      </c>
      <c r="I360" s="1366">
        <f>'Расчет ЦП - общая форма'!AP360</f>
        <v>0</v>
      </c>
      <c r="J360" s="1366" t="str">
        <f>'Расчет ЦП - общая форма'!AQ360</f>
        <v/>
      </c>
      <c r="K360" s="924" t="str">
        <f>'Расчет ЦП - общая форма'!AR360</f>
        <v/>
      </c>
      <c r="L360" s="924">
        <f>'Расчет ЦП - общая форма'!AS360</f>
        <v>0</v>
      </c>
      <c r="M360" s="924"/>
      <c r="N360" s="924"/>
    </row>
    <row r="361" spans="1:14" x14ac:dyDescent="0.25">
      <c r="A361" s="1371">
        <f>'Расчет ЦП - общая форма'!Y361</f>
        <v>272</v>
      </c>
      <c r="B361" s="1376">
        <f>COUNTIFS($C$8:C361,"*ПС*",$J$8:J361,"*закрыт*")</f>
        <v>69</v>
      </c>
      <c r="C361" s="213" t="str">
        <f>'Расчет ЦП - общая форма'!AA361</f>
        <v xml:space="preserve">ПС 110/35/10 кВ Лазурная </v>
      </c>
      <c r="D361" s="230">
        <f>'Расчет ЦП - общая форма'!AB361</f>
        <v>40</v>
      </c>
      <c r="E361" s="229" t="str">
        <f>'Расчет ЦП - общая форма'!AC361</f>
        <v>+</v>
      </c>
      <c r="F361" s="229">
        <f>'Расчет ЦП - общая форма'!AD361</f>
        <v>40</v>
      </c>
      <c r="G361" s="229">
        <f>'Расчет ЦП - общая форма'!AE361</f>
        <v>0</v>
      </c>
      <c r="H361" s="229">
        <f>'Расчет ЦП - общая форма'!AF361</f>
        <v>0</v>
      </c>
      <c r="I361" s="1364">
        <f>'Расчет ЦП - общая форма'!AP361</f>
        <v>-10.283248500000006</v>
      </c>
      <c r="J361" s="1364" t="str">
        <f>'Расчет ЦП - общая форма'!AQ361</f>
        <v>закрыт</v>
      </c>
      <c r="K361" s="924" t="str">
        <f>'Расчет ЦП - общая форма'!AR361</f>
        <v>закрыт</v>
      </c>
      <c r="L361" s="924">
        <f>'Расчет ЦП - общая форма'!AS361</f>
        <v>124.48392500000003</v>
      </c>
      <c r="M361" s="924"/>
      <c r="N361" s="924"/>
    </row>
    <row r="362" spans="1:14" x14ac:dyDescent="0.25">
      <c r="A362" s="1371">
        <f>'Расчет ЦП - общая форма'!Y362</f>
        <v>0</v>
      </c>
      <c r="B362" s="1393"/>
      <c r="C362" s="7" t="str">
        <f>'Расчет ЦП - общая форма'!AA362</f>
        <v xml:space="preserve">Ном. Мощность СН, МВА </v>
      </c>
      <c r="D362" s="230">
        <f>'Расчет ЦП - общая форма'!AB362</f>
        <v>40</v>
      </c>
      <c r="E362" s="229" t="str">
        <f>'Расчет ЦП - общая форма'!AC362</f>
        <v>+</v>
      </c>
      <c r="F362" s="229">
        <f>'Расчет ЦП - общая форма'!AD362</f>
        <v>40</v>
      </c>
      <c r="G362" s="229">
        <f>'Расчет ЦП - общая форма'!AE362</f>
        <v>0</v>
      </c>
      <c r="H362" s="229">
        <f>'Расчет ЦП - общая форма'!AF362</f>
        <v>0</v>
      </c>
      <c r="I362" s="1365">
        <f>'Расчет ЦП - общая форма'!AP362</f>
        <v>0</v>
      </c>
      <c r="J362" s="1365">
        <f>'Расчет ЦП - общая форма'!AQ362</f>
        <v>0</v>
      </c>
      <c r="K362" s="924" t="str">
        <f>'Расчет ЦП - общая форма'!AR362</f>
        <v>закрыт</v>
      </c>
      <c r="L362" s="924">
        <f>'Расчет ЦП - общая форма'!AS362</f>
        <v>0</v>
      </c>
      <c r="M362" s="924"/>
      <c r="N362" s="924"/>
    </row>
    <row r="363" spans="1:14" x14ac:dyDescent="0.25">
      <c r="A363" s="1371">
        <f>'Расчет ЦП - общая форма'!Y363</f>
        <v>0</v>
      </c>
      <c r="B363" s="1394"/>
      <c r="C363" s="7" t="str">
        <f>'Расчет ЦП - общая форма'!AA363</f>
        <v>Ном. мощность НН, МВА</v>
      </c>
      <c r="D363" s="230">
        <f>'Расчет ЦП - общая форма'!AB363</f>
        <v>40</v>
      </c>
      <c r="E363" s="229" t="str">
        <f>'Расчет ЦП - общая форма'!AC363</f>
        <v>+</v>
      </c>
      <c r="F363" s="229">
        <f>'Расчет ЦП - общая форма'!AD363</f>
        <v>40</v>
      </c>
      <c r="G363" s="229">
        <f>'Расчет ЦП - общая форма'!AE363</f>
        <v>0</v>
      </c>
      <c r="H363" s="229">
        <f>'Расчет ЦП - общая форма'!AF363</f>
        <v>0</v>
      </c>
      <c r="I363" s="1366">
        <f>'Расчет ЦП - общая форма'!AP363</f>
        <v>0</v>
      </c>
      <c r="J363" s="1366">
        <f>'Расчет ЦП - общая форма'!AQ363</f>
        <v>0</v>
      </c>
      <c r="K363" s="924" t="str">
        <f>'Расчет ЦП - общая форма'!AR363</f>
        <v>закрыт</v>
      </c>
      <c r="L363" s="924">
        <f>'Расчет ЦП - общая форма'!AS363</f>
        <v>0</v>
      </c>
      <c r="M363" s="924"/>
      <c r="N363" s="924"/>
    </row>
    <row r="364" spans="1:14" hidden="1" x14ac:dyDescent="0.25">
      <c r="A364" s="1371">
        <f>'Расчет ЦП - общая форма'!Y364</f>
        <v>273</v>
      </c>
      <c r="B364" s="1376">
        <f>COUNTIFS($C$8:C364,"*ПС*",$J$8:J364,"*закрыт*")</f>
        <v>69</v>
      </c>
      <c r="C364" s="213" t="str">
        <f>'Расчет ЦП - общая форма'!AA364</f>
        <v xml:space="preserve">ПС 110/10/6 кВ Экскаваторный з-д </v>
      </c>
      <c r="D364" s="230">
        <f>'Расчет ЦП - общая форма'!AB364</f>
        <v>40</v>
      </c>
      <c r="E364" s="229" t="str">
        <f>'Расчет ЦП - общая форма'!AC364</f>
        <v>+</v>
      </c>
      <c r="F364" s="229">
        <f>'Расчет ЦП - общая форма'!AD364</f>
        <v>40</v>
      </c>
      <c r="G364" s="229">
        <f>'Расчет ЦП - общая форма'!AE364</f>
        <v>0</v>
      </c>
      <c r="H364" s="229">
        <f>'Расчет ЦП - общая форма'!AF364</f>
        <v>0</v>
      </c>
      <c r="I364" s="1364">
        <f>'Расчет ЦП - общая форма'!AP364</f>
        <v>4.2323209999999989</v>
      </c>
      <c r="J364" s="1364" t="str">
        <f>'Расчет ЦП - общая форма'!AQ364</f>
        <v/>
      </c>
      <c r="K364" s="924" t="str">
        <f>'Расчет ЦП - общая форма'!AR364</f>
        <v/>
      </c>
      <c r="L364" s="924">
        <f>'Расчет ЦП - общая форма'!AS364</f>
        <v>66.250973809523813</v>
      </c>
      <c r="M364" s="924"/>
      <c r="N364" s="924"/>
    </row>
    <row r="365" spans="1:14" hidden="1" x14ac:dyDescent="0.25">
      <c r="A365" s="1371">
        <f>'Расчет ЦП - общая форма'!Y365</f>
        <v>0</v>
      </c>
      <c r="B365" s="1393"/>
      <c r="C365" s="7" t="str">
        <f>'Расчет ЦП - общая форма'!AA365</f>
        <v xml:space="preserve">Ном. Мощность СН, МВА </v>
      </c>
      <c r="D365" s="230">
        <f>'Расчет ЦП - общая форма'!AB365</f>
        <v>20</v>
      </c>
      <c r="E365" s="229" t="str">
        <f>'Расчет ЦП - общая форма'!AC365</f>
        <v>+</v>
      </c>
      <c r="F365" s="229">
        <f>'Расчет ЦП - общая форма'!AD365</f>
        <v>20</v>
      </c>
      <c r="G365" s="229">
        <f>'Расчет ЦП - общая форма'!AE365</f>
        <v>0</v>
      </c>
      <c r="H365" s="229">
        <f>'Расчет ЦП - общая форма'!AF365</f>
        <v>0</v>
      </c>
      <c r="I365" s="1365">
        <f>'Расчет ЦП - общая форма'!AP365</f>
        <v>0</v>
      </c>
      <c r="J365" s="1365" t="str">
        <f>'Расчет ЦП - общая форма'!AQ365</f>
        <v/>
      </c>
      <c r="K365" s="924" t="str">
        <f>'Расчет ЦП - общая форма'!AR365</f>
        <v/>
      </c>
      <c r="L365" s="924">
        <f>'Расчет ЦП - общая форма'!AS365</f>
        <v>0</v>
      </c>
      <c r="M365" s="924"/>
      <c r="N365" s="924"/>
    </row>
    <row r="366" spans="1:14" hidden="1" x14ac:dyDescent="0.25">
      <c r="A366" s="1371">
        <f>'Расчет ЦП - общая форма'!Y366</f>
        <v>0</v>
      </c>
      <c r="B366" s="1394"/>
      <c r="C366" s="7" t="str">
        <f>'Расчет ЦП - общая форма'!AA366</f>
        <v>Ном. мощность НН, МВА</v>
      </c>
      <c r="D366" s="230">
        <f>'Расчет ЦП - общая форма'!AB366</f>
        <v>20</v>
      </c>
      <c r="E366" s="229" t="str">
        <f>'Расчет ЦП - общая форма'!AC366</f>
        <v>+</v>
      </c>
      <c r="F366" s="229">
        <f>'Расчет ЦП - общая форма'!AD366</f>
        <v>20</v>
      </c>
      <c r="G366" s="229">
        <f>'Расчет ЦП - общая форма'!AE366</f>
        <v>0</v>
      </c>
      <c r="H366" s="229">
        <f>'Расчет ЦП - общая форма'!AF366</f>
        <v>0</v>
      </c>
      <c r="I366" s="1366">
        <f>'Расчет ЦП - общая форма'!AP366</f>
        <v>0</v>
      </c>
      <c r="J366" s="1366" t="str">
        <f>'Расчет ЦП - общая форма'!AQ366</f>
        <v/>
      </c>
      <c r="K366" s="924" t="str">
        <f>'Расчет ЦП - общая форма'!AR366</f>
        <v/>
      </c>
      <c r="L366" s="924">
        <f>'Расчет ЦП - общая форма'!AS366</f>
        <v>0</v>
      </c>
      <c r="M366" s="924"/>
      <c r="N366" s="924"/>
    </row>
    <row r="367" spans="1:14" hidden="1" x14ac:dyDescent="0.25">
      <c r="A367" s="1371">
        <f>'Расчет ЦП - общая форма'!Y367</f>
        <v>274</v>
      </c>
      <c r="B367" s="1376">
        <f>COUNTIFS($C$8:C367,"*ПС*",$J$8:J367,"*закрыт*")</f>
        <v>69</v>
      </c>
      <c r="C367" s="213" t="str">
        <f>'Расчет ЦП - общая форма'!AA367</f>
        <v xml:space="preserve">ПС 110/35/10 кВ Медновский в-ор </v>
      </c>
      <c r="D367" s="230">
        <f>'Расчет ЦП - общая форма'!AB367</f>
        <v>10</v>
      </c>
      <c r="E367" s="229" t="str">
        <f>'Расчет ЦП - общая форма'!AC367</f>
        <v>+</v>
      </c>
      <c r="F367" s="229">
        <f>'Расчет ЦП - общая форма'!AD367</f>
        <v>10</v>
      </c>
      <c r="G367" s="229">
        <f>'Расчет ЦП - общая форма'!AE367</f>
        <v>0</v>
      </c>
      <c r="H367" s="229">
        <f>'Расчет ЦП - общая форма'!AF367</f>
        <v>0</v>
      </c>
      <c r="I367" s="1364">
        <f>'Расчет ЦП - общая форма'!AP367</f>
        <v>0.80096200000000195</v>
      </c>
      <c r="J367" s="1364" t="str">
        <f>'Расчет ЦП - общая форма'!AQ367</f>
        <v/>
      </c>
      <c r="K367" s="924" t="str">
        <f>'Расчет ЦП - общая форма'!AR367</f>
        <v/>
      </c>
      <c r="L367" s="924">
        <f>'Расчет ЦП - общая форма'!AS367</f>
        <v>141.51464761904759</v>
      </c>
      <c r="M367" s="924"/>
      <c r="N367" s="924"/>
    </row>
    <row r="368" spans="1:14" hidden="1" x14ac:dyDescent="0.25">
      <c r="A368" s="1371">
        <f>'Расчет ЦП - общая форма'!Y368</f>
        <v>0</v>
      </c>
      <c r="B368" s="1393"/>
      <c r="C368" s="7" t="str">
        <f>'Расчет ЦП - общая форма'!AA368</f>
        <v xml:space="preserve">Ном. Мощность СН, МВА </v>
      </c>
      <c r="D368" s="230">
        <f>'Расчет ЦП - общая форма'!AB368</f>
        <v>10</v>
      </c>
      <c r="E368" s="229" t="str">
        <f>'Расчет ЦП - общая форма'!AC368</f>
        <v>+</v>
      </c>
      <c r="F368" s="229">
        <f>'Расчет ЦП - общая форма'!AD368</f>
        <v>10</v>
      </c>
      <c r="G368" s="229">
        <f>'Расчет ЦП - общая форма'!AE368</f>
        <v>0</v>
      </c>
      <c r="H368" s="229">
        <f>'Расчет ЦП - общая форма'!AF368</f>
        <v>0</v>
      </c>
      <c r="I368" s="1365">
        <f>'Расчет ЦП - общая форма'!AP368</f>
        <v>0</v>
      </c>
      <c r="J368" s="1365" t="str">
        <f>'Расчет ЦП - общая форма'!AQ368</f>
        <v/>
      </c>
      <c r="K368" s="924" t="str">
        <f>'Расчет ЦП - общая форма'!AR368</f>
        <v/>
      </c>
      <c r="L368" s="924">
        <f>'Расчет ЦП - общая форма'!AS368</f>
        <v>0</v>
      </c>
      <c r="M368" s="924"/>
      <c r="N368" s="924"/>
    </row>
    <row r="369" spans="1:14" hidden="1" x14ac:dyDescent="0.25">
      <c r="A369" s="1371">
        <f>'Расчет ЦП - общая форма'!Y369</f>
        <v>0</v>
      </c>
      <c r="B369" s="1394"/>
      <c r="C369" s="7" t="str">
        <f>'Расчет ЦП - общая форма'!AA369</f>
        <v>Ном. мощность НН, МВА</v>
      </c>
      <c r="D369" s="230">
        <f>'Расчет ЦП - общая форма'!AB369</f>
        <v>10</v>
      </c>
      <c r="E369" s="229" t="str">
        <f>'Расчет ЦП - общая форма'!AC369</f>
        <v>+</v>
      </c>
      <c r="F369" s="229">
        <f>'Расчет ЦП - общая форма'!AD369</f>
        <v>10</v>
      </c>
      <c r="G369" s="229">
        <f>'Расчет ЦП - общая форма'!AE369</f>
        <v>0</v>
      </c>
      <c r="H369" s="229">
        <f>'Расчет ЦП - общая форма'!AF369</f>
        <v>0</v>
      </c>
      <c r="I369" s="1366">
        <f>'Расчет ЦП - общая форма'!AP369</f>
        <v>0</v>
      </c>
      <c r="J369" s="1366" t="str">
        <f>'Расчет ЦП - общая форма'!AQ369</f>
        <v/>
      </c>
      <c r="K369" s="924" t="str">
        <f>'Расчет ЦП - общая форма'!AR369</f>
        <v/>
      </c>
      <c r="L369" s="924">
        <f>'Расчет ЦП - общая форма'!AS369</f>
        <v>0</v>
      </c>
      <c r="M369" s="924"/>
      <c r="N369" s="924"/>
    </row>
    <row r="370" spans="1:14" hidden="1" x14ac:dyDescent="0.25">
      <c r="A370" s="1371">
        <f>'Расчет ЦП - общая форма'!Y370</f>
        <v>275</v>
      </c>
      <c r="B370" s="1376">
        <f>COUNTIFS($C$8:C370,"*ПС*",$J$8:J370,"*закрыт*")</f>
        <v>69</v>
      </c>
      <c r="C370" s="213" t="str">
        <f>'Расчет ЦП - общая форма'!AA370</f>
        <v xml:space="preserve">ПС 110/35/10 кВ Лихославль </v>
      </c>
      <c r="D370" s="230">
        <f>'Расчет ЦП - общая форма'!AB370</f>
        <v>25</v>
      </c>
      <c r="E370" s="229" t="str">
        <f>'Расчет ЦП - общая форма'!AC370</f>
        <v>+</v>
      </c>
      <c r="F370" s="229">
        <f>'Расчет ЦП - общая форма'!AD370</f>
        <v>25</v>
      </c>
      <c r="G370" s="229">
        <f>'Расчет ЦП - общая форма'!AE370</f>
        <v>0</v>
      </c>
      <c r="H370" s="229">
        <f>'Расчет ЦП - общая форма'!AF370</f>
        <v>0</v>
      </c>
      <c r="I370" s="1364">
        <f>'Расчет ЦП - общая форма'!AP370</f>
        <v>9.2418489999999984</v>
      </c>
      <c r="J370" s="1364" t="str">
        <f>'Расчет ЦП - общая форма'!AQ370</f>
        <v/>
      </c>
      <c r="K370" s="924" t="str">
        <f>'Расчет ЦП - общая форма'!AR370</f>
        <v/>
      </c>
      <c r="L370" s="924">
        <f>'Расчет ЦП - общая форма'!AS370</f>
        <v>66.837131428571439</v>
      </c>
      <c r="M370" s="924"/>
      <c r="N370" s="924"/>
    </row>
    <row r="371" spans="1:14" hidden="1" x14ac:dyDescent="0.25">
      <c r="A371" s="1371">
        <f>'Расчет ЦП - общая форма'!Y371</f>
        <v>0</v>
      </c>
      <c r="B371" s="1393"/>
      <c r="C371" s="7" t="str">
        <f>'Расчет ЦП - общая форма'!AA371</f>
        <v xml:space="preserve">Ном. Мощность СН, МВА </v>
      </c>
      <c r="D371" s="230">
        <f>'Расчет ЦП - общая форма'!AB371</f>
        <v>25</v>
      </c>
      <c r="E371" s="229" t="str">
        <f>'Расчет ЦП - общая форма'!AC371</f>
        <v>+</v>
      </c>
      <c r="F371" s="229">
        <f>'Расчет ЦП - общая форма'!AD371</f>
        <v>25</v>
      </c>
      <c r="G371" s="229">
        <f>'Расчет ЦП - общая форма'!AE371</f>
        <v>0</v>
      </c>
      <c r="H371" s="229">
        <f>'Расчет ЦП - общая форма'!AF371</f>
        <v>0</v>
      </c>
      <c r="I371" s="1365">
        <f>'Расчет ЦП - общая форма'!AP371</f>
        <v>0</v>
      </c>
      <c r="J371" s="1365" t="str">
        <f>'Расчет ЦП - общая форма'!AQ371</f>
        <v/>
      </c>
      <c r="K371" s="924" t="str">
        <f>'Расчет ЦП - общая форма'!AR371</f>
        <v/>
      </c>
      <c r="L371" s="924">
        <f>'Расчет ЦП - общая форма'!AS371</f>
        <v>0</v>
      </c>
      <c r="M371" s="924"/>
      <c r="N371" s="924"/>
    </row>
    <row r="372" spans="1:14" hidden="1" x14ac:dyDescent="0.25">
      <c r="A372" s="1371">
        <f>'Расчет ЦП - общая форма'!Y372</f>
        <v>0</v>
      </c>
      <c r="B372" s="1394"/>
      <c r="C372" s="7" t="str">
        <f>'Расчет ЦП - общая форма'!AA372</f>
        <v>Ном. мощность НН, МВА</v>
      </c>
      <c r="D372" s="230">
        <f>'Расчет ЦП - общая форма'!AB372</f>
        <v>25</v>
      </c>
      <c r="E372" s="229" t="str">
        <f>'Расчет ЦП - общая форма'!AC372</f>
        <v>+</v>
      </c>
      <c r="F372" s="229">
        <f>'Расчет ЦП - общая форма'!AD372</f>
        <v>25</v>
      </c>
      <c r="G372" s="229">
        <f>'Расчет ЦП - общая форма'!AE372</f>
        <v>0</v>
      </c>
      <c r="H372" s="229">
        <f>'Расчет ЦП - общая форма'!AF372</f>
        <v>0</v>
      </c>
      <c r="I372" s="1366">
        <f>'Расчет ЦП - общая форма'!AP372</f>
        <v>0</v>
      </c>
      <c r="J372" s="1366" t="str">
        <f>'Расчет ЦП - общая форма'!AQ372</f>
        <v/>
      </c>
      <c r="K372" s="924" t="str">
        <f>'Расчет ЦП - общая форма'!AR372</f>
        <v/>
      </c>
      <c r="L372" s="924">
        <f>'Расчет ЦП - общая форма'!AS372</f>
        <v>0</v>
      </c>
      <c r="M372" s="924"/>
      <c r="N372" s="924"/>
    </row>
    <row r="373" spans="1:14" x14ac:dyDescent="0.25">
      <c r="A373" s="1371">
        <f>'Расчет ЦП - общая форма'!Y373</f>
        <v>276</v>
      </c>
      <c r="B373" s="1376">
        <f>COUNTIFS($C$8:C373,"*ПС*",$J$8:J373,"*закрыт*")</f>
        <v>70</v>
      </c>
      <c r="C373" s="213" t="str">
        <f>'Расчет ЦП - общая форма'!AA373</f>
        <v xml:space="preserve">ПС 110/35/6 кВ Безбородово </v>
      </c>
      <c r="D373" s="230">
        <f>'Расчет ЦП - общая форма'!AB373</f>
        <v>16</v>
      </c>
      <c r="E373" s="229" t="str">
        <f>'Расчет ЦП - общая форма'!AC373</f>
        <v>+</v>
      </c>
      <c r="F373" s="229">
        <f>'Расчет ЦП - общая форма'!AD373</f>
        <v>16</v>
      </c>
      <c r="G373" s="229">
        <f>'Расчет ЦП - общая форма'!AE373</f>
        <v>0</v>
      </c>
      <c r="H373" s="229">
        <f>'Расчет ЦП - общая форма'!AF373</f>
        <v>0</v>
      </c>
      <c r="I373" s="1364">
        <f>'Расчет ЦП - общая форма'!AP373</f>
        <v>-1.3361350559999998</v>
      </c>
      <c r="J373" s="1364" t="str">
        <f>'Расчет ЦП - общая форма'!AQ373</f>
        <v>закрыт</v>
      </c>
      <c r="K373" s="924" t="str">
        <f>'Расчет ЦП - общая форма'!AR373</f>
        <v>закрыт</v>
      </c>
      <c r="L373" s="924">
        <f>'Расчет ЦП - общая форма'!AS373</f>
        <v>110.33041904761905</v>
      </c>
      <c r="M373" s="924"/>
      <c r="N373" s="924"/>
    </row>
    <row r="374" spans="1:14" x14ac:dyDescent="0.25">
      <c r="A374" s="1371">
        <f>'Расчет ЦП - общая форма'!Y374</f>
        <v>0</v>
      </c>
      <c r="B374" s="1393"/>
      <c r="C374" s="7" t="str">
        <f>'Расчет ЦП - общая форма'!AA374</f>
        <v xml:space="preserve">Ном. Мощность СН, МВА </v>
      </c>
      <c r="D374" s="230">
        <f>'Расчет ЦП - общая форма'!AB374</f>
        <v>16</v>
      </c>
      <c r="E374" s="229" t="str">
        <f>'Расчет ЦП - общая форма'!AC374</f>
        <v>+</v>
      </c>
      <c r="F374" s="229">
        <f>'Расчет ЦП - общая форма'!AD374</f>
        <v>16</v>
      </c>
      <c r="G374" s="229">
        <f>'Расчет ЦП - общая форма'!AE374</f>
        <v>0</v>
      </c>
      <c r="H374" s="229">
        <f>'Расчет ЦП - общая форма'!AF374</f>
        <v>0</v>
      </c>
      <c r="I374" s="1365">
        <f>'Расчет ЦП - общая форма'!AP374</f>
        <v>0</v>
      </c>
      <c r="J374" s="1365">
        <f>'Расчет ЦП - общая форма'!AQ374</f>
        <v>0</v>
      </c>
      <c r="K374" s="924" t="str">
        <f>'Расчет ЦП - общая форма'!AR374</f>
        <v>закрыт</v>
      </c>
      <c r="L374" s="924">
        <f>'Расчет ЦП - общая форма'!AS374</f>
        <v>0</v>
      </c>
      <c r="M374" s="924"/>
      <c r="N374" s="924"/>
    </row>
    <row r="375" spans="1:14" x14ac:dyDescent="0.25">
      <c r="A375" s="1371">
        <f>'Расчет ЦП - общая форма'!Y375</f>
        <v>0</v>
      </c>
      <c r="B375" s="1394"/>
      <c r="C375" s="7" t="str">
        <f>'Расчет ЦП - общая форма'!AA375</f>
        <v>Ном. мощность НН, МВА</v>
      </c>
      <c r="D375" s="230">
        <f>'Расчет ЦП - общая форма'!AB375</f>
        <v>16</v>
      </c>
      <c r="E375" s="229" t="str">
        <f>'Расчет ЦП - общая форма'!AC375</f>
        <v>+</v>
      </c>
      <c r="F375" s="229">
        <f>'Расчет ЦП - общая форма'!AD375</f>
        <v>16</v>
      </c>
      <c r="G375" s="229">
        <f>'Расчет ЦП - общая форма'!AE375</f>
        <v>0</v>
      </c>
      <c r="H375" s="229">
        <f>'Расчет ЦП - общая форма'!AF375</f>
        <v>0</v>
      </c>
      <c r="I375" s="1366">
        <f>'Расчет ЦП - общая форма'!AP375</f>
        <v>0</v>
      </c>
      <c r="J375" s="1366">
        <f>'Расчет ЦП - общая форма'!AQ375</f>
        <v>0</v>
      </c>
      <c r="K375" s="924" t="str">
        <f>'Расчет ЦП - общая форма'!AR375</f>
        <v>закрыт</v>
      </c>
      <c r="L375" s="924">
        <f>'Расчет ЦП - общая форма'!AS375</f>
        <v>0</v>
      </c>
      <c r="M375" s="924"/>
      <c r="N375" s="924"/>
    </row>
    <row r="376" spans="1:14" hidden="1" x14ac:dyDescent="0.25">
      <c r="A376" s="1371">
        <f>'Расчет ЦП - общая форма'!Y376</f>
        <v>277</v>
      </c>
      <c r="B376" s="1376">
        <f>COUNTIFS($C$8:C376,"*ПС*",$J$8:J376,"*закрыт*")</f>
        <v>70</v>
      </c>
      <c r="C376" s="213" t="str">
        <f>'Расчет ЦП - общая форма'!AA376</f>
        <v xml:space="preserve">ПС 110/35/6 кВ Редкино  </v>
      </c>
      <c r="D376" s="230">
        <f>'Расчет ЦП - общая форма'!AB376</f>
        <v>40</v>
      </c>
      <c r="E376" s="229" t="str">
        <f>'Расчет ЦП - общая форма'!AC376</f>
        <v>+</v>
      </c>
      <c r="F376" s="229">
        <f>'Расчет ЦП - общая форма'!AD376</f>
        <v>40.5</v>
      </c>
      <c r="G376" s="229">
        <f>'Расчет ЦП - общая форма'!AE376</f>
        <v>0</v>
      </c>
      <c r="H376" s="229">
        <f>'Расчет ЦП - общая форма'!AF376</f>
        <v>0</v>
      </c>
      <c r="I376" s="1364">
        <f>'Расчет ЦП - общая форма'!AP376</f>
        <v>5.1109399999999994</v>
      </c>
      <c r="J376" s="1364" t="str">
        <f>'Расчет ЦП - общая форма'!AQ376</f>
        <v/>
      </c>
      <c r="K376" s="924" t="str">
        <f>'Расчет ЦП - общая форма'!AR376</f>
        <v/>
      </c>
      <c r="L376" s="924">
        <f>'Расчет ЦП - общая форма'!AS376</f>
        <v>75.377333333333326</v>
      </c>
      <c r="M376" s="924"/>
      <c r="N376" s="924"/>
    </row>
    <row r="377" spans="1:14" hidden="1" x14ac:dyDescent="0.25">
      <c r="A377" s="1371">
        <f>'Расчет ЦП - общая форма'!Y377</f>
        <v>0</v>
      </c>
      <c r="B377" s="1393"/>
      <c r="C377" s="7" t="str">
        <f>'Расчет ЦП - общая форма'!AA377</f>
        <v xml:space="preserve">Ном. Мощность СН, МВА </v>
      </c>
      <c r="D377" s="230">
        <f>'Расчет ЦП - общая форма'!AB377</f>
        <v>40</v>
      </c>
      <c r="E377" s="229" t="str">
        <f>'Расчет ЦП - общая форма'!AC377</f>
        <v>+</v>
      </c>
      <c r="F377" s="229">
        <f>'Расчет ЦП - общая форма'!AD377</f>
        <v>40</v>
      </c>
      <c r="G377" s="229">
        <f>'Расчет ЦП - общая форма'!AE377</f>
        <v>0</v>
      </c>
      <c r="H377" s="229">
        <f>'Расчет ЦП - общая форма'!AF377</f>
        <v>0</v>
      </c>
      <c r="I377" s="1365">
        <f>'Расчет ЦП - общая форма'!AP377</f>
        <v>0</v>
      </c>
      <c r="J377" s="1365" t="str">
        <f>'Расчет ЦП - общая форма'!AQ377</f>
        <v/>
      </c>
      <c r="K377" s="924" t="str">
        <f>'Расчет ЦП - общая форма'!AR377</f>
        <v/>
      </c>
      <c r="L377" s="924">
        <f>'Расчет ЦП - общая форма'!AS377</f>
        <v>0</v>
      </c>
      <c r="M377" s="924"/>
      <c r="N377" s="924"/>
    </row>
    <row r="378" spans="1:14" hidden="1" x14ac:dyDescent="0.25">
      <c r="A378" s="1371">
        <f>'Расчет ЦП - общая форма'!Y378</f>
        <v>0</v>
      </c>
      <c r="B378" s="1394"/>
      <c r="C378" s="7" t="str">
        <f>'Расчет ЦП - общая форма'!AA378</f>
        <v>Ном. мощность НН, МВА</v>
      </c>
      <c r="D378" s="230">
        <f>'Расчет ЦП - общая форма'!AB378</f>
        <v>40</v>
      </c>
      <c r="E378" s="229" t="str">
        <f>'Расчет ЦП - общая форма'!AC378</f>
        <v>+</v>
      </c>
      <c r="F378" s="229">
        <f>'Расчет ЦП - общая форма'!AD378</f>
        <v>40</v>
      </c>
      <c r="G378" s="229">
        <f>'Расчет ЦП - общая форма'!AE378</f>
        <v>0</v>
      </c>
      <c r="H378" s="229">
        <f>'Расчет ЦП - общая форма'!AF378</f>
        <v>0</v>
      </c>
      <c r="I378" s="1366">
        <f>'Расчет ЦП - общая форма'!AP378</f>
        <v>0</v>
      </c>
      <c r="J378" s="1366" t="str">
        <f>'Расчет ЦП - общая форма'!AQ378</f>
        <v/>
      </c>
      <c r="K378" s="924" t="str">
        <f>'Расчет ЦП - общая форма'!AR378</f>
        <v/>
      </c>
      <c r="L378" s="924">
        <f>'Расчет ЦП - общая форма'!AS378</f>
        <v>0</v>
      </c>
      <c r="M378" s="924"/>
      <c r="N378" s="924"/>
    </row>
    <row r="379" spans="1:14" hidden="1" x14ac:dyDescent="0.25">
      <c r="A379" s="1371">
        <f>'Расчет ЦП - общая форма'!Y379</f>
        <v>278</v>
      </c>
      <c r="B379" s="1376">
        <f>COUNTIFS($C$8:C379,"*ПС*",$J$8:J379,"*закрыт*")</f>
        <v>70</v>
      </c>
      <c r="C379" s="213" t="str">
        <f>'Расчет ЦП - общая форма'!AA379</f>
        <v xml:space="preserve">ПС 110/35/10 кВ Рамешки </v>
      </c>
      <c r="D379" s="230">
        <f>'Расчет ЦП - общая форма'!AB379</f>
        <v>25</v>
      </c>
      <c r="E379" s="229" t="str">
        <f>'Расчет ЦП - общая форма'!AC379</f>
        <v>+</v>
      </c>
      <c r="F379" s="229">
        <f>'Расчет ЦП - общая форма'!AD379</f>
        <v>10</v>
      </c>
      <c r="G379" s="229">
        <f>'Расчет ЦП - общая форма'!AE379</f>
        <v>0</v>
      </c>
      <c r="H379" s="229">
        <f>'Расчет ЦП - общая форма'!AF379</f>
        <v>0</v>
      </c>
      <c r="I379" s="1364">
        <f>'Расчет ЦП - общая форма'!AP379</f>
        <v>4.4900830000000003</v>
      </c>
      <c r="J379" s="1364" t="str">
        <f>'Расчет ЦП - общая форма'!AQ379</f>
        <v/>
      </c>
      <c r="K379" s="924" t="str">
        <f>'Расчет ЦП - общая форма'!AR379</f>
        <v/>
      </c>
      <c r="L379" s="924">
        <f>'Расчет ЦП - общая форма'!AS379</f>
        <v>69.495590476190472</v>
      </c>
      <c r="M379" s="924"/>
      <c r="N379" s="924"/>
    </row>
    <row r="380" spans="1:14" hidden="1" x14ac:dyDescent="0.25">
      <c r="A380" s="1371">
        <f>'Расчет ЦП - общая форма'!Y380</f>
        <v>0</v>
      </c>
      <c r="B380" s="1393"/>
      <c r="C380" s="7" t="str">
        <f>'Расчет ЦП - общая форма'!AA380</f>
        <v xml:space="preserve">Ном. Мощность СН, МВА </v>
      </c>
      <c r="D380" s="245">
        <f>'Расчет ЦП - общая форма'!AB380</f>
        <v>25</v>
      </c>
      <c r="E380" s="246" t="str">
        <f>'Расчет ЦП - общая форма'!AC380</f>
        <v>+</v>
      </c>
      <c r="F380" s="246">
        <f>'Расчет ЦП - общая форма'!AD380</f>
        <v>10</v>
      </c>
      <c r="G380" s="246">
        <f>'Расчет ЦП - общая форма'!AE380</f>
        <v>0</v>
      </c>
      <c r="H380" s="246">
        <f>'Расчет ЦП - общая форма'!AF380</f>
        <v>0</v>
      </c>
      <c r="I380" s="1365">
        <f>'Расчет ЦП - общая форма'!AP380</f>
        <v>0</v>
      </c>
      <c r="J380" s="1365" t="str">
        <f>'Расчет ЦП - общая форма'!AQ380</f>
        <v/>
      </c>
      <c r="K380" s="924" t="str">
        <f>'Расчет ЦП - общая форма'!AR380</f>
        <v/>
      </c>
      <c r="L380" s="924">
        <f>'Расчет ЦП - общая форма'!AS380</f>
        <v>0</v>
      </c>
      <c r="M380" s="924"/>
      <c r="N380" s="924"/>
    </row>
    <row r="381" spans="1:14" hidden="1" x14ac:dyDescent="0.25">
      <c r="A381" s="1371">
        <f>'Расчет ЦП - общая форма'!Y381</f>
        <v>0</v>
      </c>
      <c r="B381" s="1394"/>
      <c r="C381" s="7" t="str">
        <f>'Расчет ЦП - общая форма'!AA381</f>
        <v>Ном. мощность НН, МВА</v>
      </c>
      <c r="D381" s="245">
        <f>'Расчет ЦП - общая форма'!AB381</f>
        <v>25</v>
      </c>
      <c r="E381" s="246" t="str">
        <f>'Расчет ЦП - общая форма'!AC381</f>
        <v>+</v>
      </c>
      <c r="F381" s="246">
        <f>'Расчет ЦП - общая форма'!AD381</f>
        <v>10</v>
      </c>
      <c r="G381" s="246">
        <f>'Расчет ЦП - общая форма'!AE381</f>
        <v>0</v>
      </c>
      <c r="H381" s="246">
        <f>'Расчет ЦП - общая форма'!AF381</f>
        <v>0</v>
      </c>
      <c r="I381" s="1366">
        <f>'Расчет ЦП - общая форма'!AP381</f>
        <v>0</v>
      </c>
      <c r="J381" s="1366" t="str">
        <f>'Расчет ЦП - общая форма'!AQ381</f>
        <v/>
      </c>
      <c r="K381" s="924" t="str">
        <f>'Расчет ЦП - общая форма'!AR381</f>
        <v/>
      </c>
      <c r="L381" s="924">
        <f>'Расчет ЦП - общая форма'!AS381</f>
        <v>0</v>
      </c>
      <c r="M381" s="924"/>
      <c r="N381" s="924"/>
    </row>
    <row r="382" spans="1:14" hidden="1" x14ac:dyDescent="0.25">
      <c r="A382" s="1371">
        <f>'Расчет ЦП - общая форма'!Y382</f>
        <v>279</v>
      </c>
      <c r="B382" s="1376">
        <f>COUNTIFS($C$8:C382,"*ПС*",$J$8:J382,"*закрыт*")</f>
        <v>70</v>
      </c>
      <c r="C382" s="213" t="str">
        <f>'Расчет ЦП - общая форма'!AA382</f>
        <v xml:space="preserve">ПС 110/35/10 кВ Тучево </v>
      </c>
      <c r="D382" s="245">
        <f>'Расчет ЦП - общая форма'!AB382</f>
        <v>25</v>
      </c>
      <c r="E382" s="246" t="str">
        <f>'Расчет ЦП - общая форма'!AC382</f>
        <v>+</v>
      </c>
      <c r="F382" s="246">
        <f>'Расчет ЦП - общая форма'!AD382</f>
        <v>25</v>
      </c>
      <c r="G382" s="246">
        <f>'Расчет ЦП - общая форма'!AE382</f>
        <v>0</v>
      </c>
      <c r="H382" s="246">
        <f>'Расчет ЦП - общая форма'!AF382</f>
        <v>0</v>
      </c>
      <c r="I382" s="1364">
        <f>'Расчет ЦП - общая форма'!AP382</f>
        <v>14.444462</v>
      </c>
      <c r="J382" s="1364" t="str">
        <f>'Расчет ЦП - общая форма'!AQ382</f>
        <v/>
      </c>
      <c r="K382" s="924" t="str">
        <f>'Расчет ЦП - общая форма'!AR382</f>
        <v/>
      </c>
      <c r="L382" s="924">
        <f>'Расчет ЦП - общая форма'!AS382</f>
        <v>1.3484114285714288</v>
      </c>
      <c r="M382" s="924"/>
      <c r="N382" s="924"/>
    </row>
    <row r="383" spans="1:14" hidden="1" x14ac:dyDescent="0.25">
      <c r="A383" s="1371">
        <f>'Расчет ЦП - общая форма'!Y383</f>
        <v>0</v>
      </c>
      <c r="B383" s="1393"/>
      <c r="C383" s="7" t="str">
        <f>'Расчет ЦП - общая форма'!AA383</f>
        <v xml:space="preserve">Ном. Мощность СН, МВА </v>
      </c>
      <c r="D383" s="245">
        <f>'Расчет ЦП - общая форма'!AB383</f>
        <v>25</v>
      </c>
      <c r="E383" s="246" t="str">
        <f>'Расчет ЦП - общая форма'!AC383</f>
        <v>+</v>
      </c>
      <c r="F383" s="246">
        <f>'Расчет ЦП - общая форма'!AD383</f>
        <v>25</v>
      </c>
      <c r="G383" s="246">
        <f>'Расчет ЦП - общая форма'!AE383</f>
        <v>0</v>
      </c>
      <c r="H383" s="246">
        <f>'Расчет ЦП - общая форма'!AF383</f>
        <v>0</v>
      </c>
      <c r="I383" s="1365">
        <f>'Расчет ЦП - общая форма'!AP383</f>
        <v>0</v>
      </c>
      <c r="J383" s="1365" t="str">
        <f>'Расчет ЦП - общая форма'!AQ383</f>
        <v/>
      </c>
      <c r="K383" s="924" t="str">
        <f>'Расчет ЦП - общая форма'!AR383</f>
        <v/>
      </c>
      <c r="L383" s="924">
        <f>'Расчет ЦП - общая форма'!AS383</f>
        <v>0</v>
      </c>
      <c r="M383" s="924"/>
      <c r="N383" s="924"/>
    </row>
    <row r="384" spans="1:14" ht="20.100000000000001" hidden="1" customHeight="1" x14ac:dyDescent="0.25">
      <c r="A384" s="1371">
        <f>'Расчет ЦП - общая форма'!Y384</f>
        <v>0</v>
      </c>
      <c r="B384" s="1394"/>
      <c r="C384" s="7" t="str">
        <f>'Расчет ЦП - общая форма'!AA384</f>
        <v>Ном. мощность НН, МВА</v>
      </c>
      <c r="D384" s="245">
        <f>'Расчет ЦП - общая форма'!AB384</f>
        <v>25</v>
      </c>
      <c r="E384" s="246" t="str">
        <f>'Расчет ЦП - общая форма'!AC384</f>
        <v>+</v>
      </c>
      <c r="F384" s="246">
        <f>'Расчет ЦП - общая форма'!AD384</f>
        <v>25</v>
      </c>
      <c r="G384" s="246">
        <f>'Расчет ЦП - общая форма'!AE384</f>
        <v>0</v>
      </c>
      <c r="H384" s="246">
        <f>'Расчет ЦП - общая форма'!AF384</f>
        <v>0</v>
      </c>
      <c r="I384" s="1366">
        <f>'Расчет ЦП - общая форма'!AP384</f>
        <v>0</v>
      </c>
      <c r="J384" s="1366" t="str">
        <f>'Расчет ЦП - общая форма'!AQ384</f>
        <v/>
      </c>
      <c r="K384" s="924" t="str">
        <f>'Расчет ЦП - общая форма'!AR384</f>
        <v/>
      </c>
      <c r="L384" s="924">
        <f>'Расчет ЦП - общая форма'!AS384</f>
        <v>0</v>
      </c>
      <c r="M384" s="924"/>
      <c r="N384" s="924"/>
    </row>
    <row r="385" spans="1:14" hidden="1" x14ac:dyDescent="0.25">
      <c r="A385" s="213">
        <f>'Расчет ЦП - общая форма'!Y385</f>
        <v>280</v>
      </c>
      <c r="B385" s="763">
        <f>COUNTIFS($C$8:C385,"*ПС*",$J$8:J385,"*закрыт*")</f>
        <v>70</v>
      </c>
      <c r="C385" s="244" t="str">
        <f>'Расчет ЦП - общая форма'!AA385</f>
        <v>ПС  35/10 кВ Страшевичи</v>
      </c>
      <c r="D385" s="245">
        <f>'Расчет ЦП - общая форма'!AB385</f>
        <v>4</v>
      </c>
      <c r="E385" s="246">
        <f>'Расчет ЦП - общая форма'!AC385</f>
        <v>0</v>
      </c>
      <c r="F385" s="246">
        <f>'Расчет ЦП - общая форма'!AD385</f>
        <v>0</v>
      </c>
      <c r="G385" s="246">
        <f>'Расчет ЦП - общая форма'!AE385</f>
        <v>0</v>
      </c>
      <c r="H385" s="246">
        <f>'Расчет ЦП - общая форма'!AF385</f>
        <v>0</v>
      </c>
      <c r="I385" s="249">
        <f>'Расчет ЦП - общая форма'!AP385</f>
        <v>0</v>
      </c>
      <c r="J385" s="249" t="str">
        <f>'Расчет ЦП - общая форма'!AQ385</f>
        <v/>
      </c>
      <c r="K385" s="924" t="str">
        <f>'Расчет ЦП - общая форма'!AR385</f>
        <v/>
      </c>
      <c r="L385" s="924">
        <f>'Расчет ЦП - общая форма'!AS385</f>
        <v>16.666666666666664</v>
      </c>
      <c r="M385" s="924"/>
      <c r="N385" s="924"/>
    </row>
    <row r="386" spans="1:14" ht="20.100000000000001" customHeight="1" x14ac:dyDescent="0.25">
      <c r="A386" s="213">
        <f>'Расчет ЦП - общая форма'!Y386</f>
        <v>281</v>
      </c>
      <c r="B386" s="1255">
        <f>COUNTIFS($C$8:C386,"*ПС*",$J$8:J386,"*закрыт*")</f>
        <v>71</v>
      </c>
      <c r="C386" s="244" t="str">
        <f>'Расчет ЦП - общая форма'!AA386</f>
        <v xml:space="preserve">ПС 35/10 кВ Сукромля </v>
      </c>
      <c r="D386" s="230">
        <f>'Расчет ЦП - общая форма'!AB386</f>
        <v>2.5</v>
      </c>
      <c r="E386" s="229">
        <f>'Расчет ЦП - общая форма'!AC386</f>
        <v>0</v>
      </c>
      <c r="F386" s="229">
        <f>'Расчет ЦП - общая форма'!AD386</f>
        <v>0</v>
      </c>
      <c r="G386" s="229">
        <f>'Расчет ЦП - общая форма'!AE386</f>
        <v>0</v>
      </c>
      <c r="H386" s="229">
        <f>'Расчет ЦП - общая форма'!AF386</f>
        <v>0</v>
      </c>
      <c r="I386" s="249">
        <f>'Расчет ЦП - общая форма'!AP386</f>
        <v>-0.75</v>
      </c>
      <c r="J386" s="249" t="str">
        <f>'Расчет ЦП - общая форма'!AQ386</f>
        <v>закрыт</v>
      </c>
      <c r="K386" s="924" t="str">
        <f>'Расчет ЦП - общая форма'!AR386</f>
        <v>закрыт</v>
      </c>
      <c r="L386" s="924">
        <f>'Расчет ЦП - общая форма'!AS386</f>
        <v>36.19047619047619</v>
      </c>
      <c r="M386" s="924"/>
      <c r="N386" s="924"/>
    </row>
    <row r="387" spans="1:14" hidden="1" x14ac:dyDescent="0.25">
      <c r="A387" s="213">
        <f>'Расчет ЦП - общая форма'!Y387</f>
        <v>282</v>
      </c>
      <c r="B387" s="1255">
        <f>COUNTIFS($C$8:C387,"*ПС*",$J$8:J387,"*закрыт*")</f>
        <v>71</v>
      </c>
      <c r="C387" s="244" t="str">
        <f>'Расчет ЦП - общая форма'!AA387</f>
        <v xml:space="preserve">ПС 35/10 кВ Кр. Городок </v>
      </c>
      <c r="D387" s="230">
        <f>'Расчет ЦП - общая форма'!AB387</f>
        <v>0.56000000000000005</v>
      </c>
      <c r="E387" s="229">
        <f>'Расчет ЦП - общая форма'!AC387</f>
        <v>0</v>
      </c>
      <c r="F387" s="229">
        <f>'Расчет ЦП - общая форма'!AD387</f>
        <v>0</v>
      </c>
      <c r="G387" s="229">
        <f>'Расчет ЦП - общая форма'!AE387</f>
        <v>0</v>
      </c>
      <c r="H387" s="229">
        <f>'Расчет ЦП - общая форма'!AF387</f>
        <v>0</v>
      </c>
      <c r="I387" s="249">
        <f>'Расчет ЦП - общая форма'!AP387</f>
        <v>0</v>
      </c>
      <c r="J387" s="249" t="str">
        <f>'Расчет ЦП - общая форма'!AQ387</f>
        <v/>
      </c>
      <c r="K387" s="924" t="str">
        <f>'Расчет ЦП - общая форма'!AR387</f>
        <v/>
      </c>
      <c r="L387" s="924">
        <f>'Расчет ЦП - общая форма'!AS387</f>
        <v>3.4013605442176864</v>
      </c>
      <c r="M387" s="924"/>
      <c r="N387" s="924"/>
    </row>
    <row r="388" spans="1:14" hidden="1" x14ac:dyDescent="0.25">
      <c r="A388" s="213">
        <f>'Расчет ЦП - общая форма'!Y388</f>
        <v>283</v>
      </c>
      <c r="B388" s="763">
        <f>COUNTIFS($C$8:C388,"*ПС*",$J$8:J388,"*закрыт*")</f>
        <v>71</v>
      </c>
      <c r="C388" s="244" t="str">
        <f>'Расчет ЦП - общая форма'!AA388</f>
        <v xml:space="preserve">ПС 35/10 кВ Прямухино </v>
      </c>
      <c r="D388" s="230">
        <f>'Расчет ЦП - общая форма'!AB388</f>
        <v>2.5</v>
      </c>
      <c r="E388" s="229">
        <f>'Расчет ЦП - общая форма'!AC388</f>
        <v>0</v>
      </c>
      <c r="F388" s="229">
        <f>'Расчет ЦП - общая форма'!AD388</f>
        <v>0</v>
      </c>
      <c r="G388" s="229">
        <f>'Расчет ЦП - общая форма'!AE388</f>
        <v>0</v>
      </c>
      <c r="H388" s="229">
        <f>'Расчет ЦП - общая форма'!AF388</f>
        <v>0</v>
      </c>
      <c r="I388" s="249">
        <f>'Расчет ЦП - общая форма'!AP388</f>
        <v>0</v>
      </c>
      <c r="J388" s="249" t="str">
        <f>'Расчет ЦП - общая форма'!AQ388</f>
        <v/>
      </c>
      <c r="K388" s="924" t="str">
        <f>'Расчет ЦП - общая форма'!AR388</f>
        <v/>
      </c>
      <c r="L388" s="924">
        <f>'Расчет ЦП - общая форма'!AS388</f>
        <v>38.095238095238095</v>
      </c>
      <c r="M388" s="924"/>
      <c r="N388" s="924"/>
    </row>
    <row r="389" spans="1:14" x14ac:dyDescent="0.25">
      <c r="A389" s="213">
        <f>'Расчет ЦП - общая форма'!Y389</f>
        <v>284</v>
      </c>
      <c r="B389" s="1255">
        <f>COUNTIFS($C$8:C389,"*ПС*",$J$8:J389,"*закрыт*")</f>
        <v>72</v>
      </c>
      <c r="C389" s="244" t="str">
        <f>'Расчет ЦП - общая форма'!AA389</f>
        <v xml:space="preserve">ПС 35/10 кВ Пень  </v>
      </c>
      <c r="D389" s="230">
        <f>'Расчет ЦП - общая форма'!AB389</f>
        <v>1.6</v>
      </c>
      <c r="E389" s="229">
        <f>'Расчет ЦП - общая форма'!AC389</f>
        <v>0</v>
      </c>
      <c r="F389" s="229">
        <f>'Расчет ЦП - общая форма'!AD389</f>
        <v>0</v>
      </c>
      <c r="G389" s="229">
        <f>'Расчет ЦП - общая форма'!AE389</f>
        <v>0</v>
      </c>
      <c r="H389" s="229">
        <f>'Расчет ЦП - общая форма'!AF389</f>
        <v>0</v>
      </c>
      <c r="I389" s="249">
        <f>'Расчет ЦП - общая форма'!AP389</f>
        <v>-0.3</v>
      </c>
      <c r="J389" s="249" t="str">
        <f>'Расчет ЦП - общая форма'!AQ389</f>
        <v>закрыт</v>
      </c>
      <c r="K389" s="924" t="str">
        <f>'Расчет ЦП - общая форма'!AR389</f>
        <v>закрыт</v>
      </c>
      <c r="L389" s="924">
        <f>'Расчет ЦП - общая форма'!AS389</f>
        <v>17.857142857142854</v>
      </c>
      <c r="M389" s="924"/>
      <c r="N389" s="924"/>
    </row>
    <row r="390" spans="1:14" x14ac:dyDescent="0.25">
      <c r="A390" s="213">
        <f>'Расчет ЦП - общая форма'!Y390</f>
        <v>285</v>
      </c>
      <c r="B390" s="1255">
        <f>COUNTIFS($C$8:C390,"*ПС*",$J$8:J390,"*закрыт*")</f>
        <v>73</v>
      </c>
      <c r="C390" s="244" t="str">
        <f>'Расчет ЦП - общая форма'!AA390</f>
        <v xml:space="preserve">ПС 35/10 кВ Печниково </v>
      </c>
      <c r="D390" s="230">
        <f>'Расчет ЦП - общая форма'!AB390</f>
        <v>2.5</v>
      </c>
      <c r="E390" s="229">
        <f>'Расчет ЦП - общая форма'!AC390</f>
        <v>0</v>
      </c>
      <c r="F390" s="229">
        <f>'Расчет ЦП - общая форма'!AD390</f>
        <v>0</v>
      </c>
      <c r="G390" s="229">
        <f>'Расчет ЦП - общая форма'!AE390</f>
        <v>0</v>
      </c>
      <c r="H390" s="229">
        <f>'Расчет ЦП - общая форма'!AF390</f>
        <v>0</v>
      </c>
      <c r="I390" s="249">
        <f>'Расчет ЦП - общая форма'!AP390</f>
        <v>-7.4999999999999983E-2</v>
      </c>
      <c r="J390" s="249" t="str">
        <f>'Расчет ЦП - общая форма'!AQ390</f>
        <v>закрыт</v>
      </c>
      <c r="K390" s="924" t="str">
        <f>'Расчет ЦП - общая форма'!AR390</f>
        <v>закрыт</v>
      </c>
      <c r="L390" s="924">
        <f>'Расчет ЦП - общая форма'!AS390</f>
        <v>6.666666666666667</v>
      </c>
      <c r="M390" s="924"/>
      <c r="N390" s="924"/>
    </row>
    <row r="391" spans="1:14" ht="20.100000000000001" hidden="1" customHeight="1" x14ac:dyDescent="0.25">
      <c r="A391" s="213">
        <f>'Расчет ЦП - общая форма'!Y391</f>
        <v>286</v>
      </c>
      <c r="B391" s="1152">
        <f>COUNTIFS($C$8:C391,"*ПС*",$J$8:J391,"*закрыт*")</f>
        <v>73</v>
      </c>
      <c r="C391" s="244" t="str">
        <f>'Расчет ЦП - общая форма'!AA391</f>
        <v xml:space="preserve">ПС 35/10 кВ Максимково </v>
      </c>
      <c r="D391" s="230">
        <f>'Расчет ЦП - общая форма'!AB391</f>
        <v>2.5</v>
      </c>
      <c r="E391" s="229">
        <f>'Расчет ЦП - общая форма'!AC391</f>
        <v>0</v>
      </c>
      <c r="F391" s="229">
        <f>'Расчет ЦП - общая форма'!AD391</f>
        <v>0</v>
      </c>
      <c r="G391" s="229">
        <f>'Расчет ЦП - общая форма'!AE391</f>
        <v>0</v>
      </c>
      <c r="H391" s="229">
        <f>'Расчет ЦП - общая форма'!AF391</f>
        <v>0</v>
      </c>
      <c r="I391" s="249">
        <f>'Расчет ЦП - общая форма'!AP391</f>
        <v>0</v>
      </c>
      <c r="J391" s="249" t="str">
        <f>'Расчет ЦП - общая форма'!AQ391</f>
        <v/>
      </c>
      <c r="K391" s="924" t="str">
        <f>'Расчет ЦП - общая форма'!AR391</f>
        <v/>
      </c>
      <c r="L391" s="924">
        <f>'Расчет ЦП - общая форма'!AS391</f>
        <v>22.857142857142858</v>
      </c>
      <c r="M391" s="924"/>
      <c r="N391" s="924"/>
    </row>
    <row r="392" spans="1:14" ht="20.100000000000001" hidden="1" customHeight="1" x14ac:dyDescent="0.25">
      <c r="A392" s="213">
        <f>'Расчет ЦП - общая форма'!Y392</f>
        <v>287</v>
      </c>
      <c r="B392" s="1152">
        <f>COUNTIFS($C$8:C392,"*ПС*",$J$8:J392,"*закрыт*")</f>
        <v>73</v>
      </c>
      <c r="C392" s="244" t="str">
        <f>'Расчет ЦП - общая форма'!AA392</f>
        <v xml:space="preserve">ПС 35/10 кВ Филистово </v>
      </c>
      <c r="D392" s="230">
        <f>'Расчет ЦП - общая форма'!AB392</f>
        <v>1.6</v>
      </c>
      <c r="E392" s="229">
        <f>'Расчет ЦП - общая форма'!AC392</f>
        <v>0</v>
      </c>
      <c r="F392" s="229">
        <f>'Расчет ЦП - общая форма'!AD392</f>
        <v>0</v>
      </c>
      <c r="G392" s="229">
        <f>'Расчет ЦП - общая форма'!AE392</f>
        <v>0</v>
      </c>
      <c r="H392" s="229">
        <f>'Расчет ЦП - общая форма'!AF392</f>
        <v>0</v>
      </c>
      <c r="I392" s="249">
        <f>'Расчет ЦП - общая форма'!AP392</f>
        <v>0</v>
      </c>
      <c r="J392" s="249" t="str">
        <f>'Расчет ЦП - общая форма'!AQ392</f>
        <v/>
      </c>
      <c r="K392" s="924" t="str">
        <f>'Расчет ЦП - общая форма'!AR392</f>
        <v/>
      </c>
      <c r="L392" s="924">
        <f>'Расчет ЦП - общая форма'!AS392</f>
        <v>11.904761904761903</v>
      </c>
      <c r="M392" s="924"/>
      <c r="N392" s="924"/>
    </row>
    <row r="393" spans="1:14" ht="20.100000000000001" hidden="1" customHeight="1" x14ac:dyDescent="0.25">
      <c r="A393" s="213">
        <f>'Расчет ЦП - общая форма'!Y393</f>
        <v>288</v>
      </c>
      <c r="B393" s="1152">
        <f>COUNTIFS($C$8:C393,"*ПС*",$J$8:J393,"*закрыт*")</f>
        <v>73</v>
      </c>
      <c r="C393" s="244" t="str">
        <f>'Расчет ЦП - общая форма'!AA393</f>
        <v xml:space="preserve">ПС 35/10 кВ Оковцы  </v>
      </c>
      <c r="D393" s="230">
        <f>'Расчет ЦП - общая форма'!AB393</f>
        <v>1</v>
      </c>
      <c r="E393" s="229">
        <f>'Расчет ЦП - общая форма'!AC393</f>
        <v>0</v>
      </c>
      <c r="F393" s="229">
        <f>'Расчет ЦП - общая форма'!AD393</f>
        <v>0</v>
      </c>
      <c r="G393" s="229">
        <f>'Расчет ЦП - общая форма'!AE393</f>
        <v>0</v>
      </c>
      <c r="H393" s="229">
        <f>'Расчет ЦП - общая форма'!AF393</f>
        <v>0</v>
      </c>
      <c r="I393" s="249">
        <f>'Расчет ЦП - общая форма'!AP393</f>
        <v>0</v>
      </c>
      <c r="J393" s="249" t="str">
        <f>'Расчет ЦП - общая форма'!AQ393</f>
        <v/>
      </c>
      <c r="K393" s="924" t="str">
        <f>'Расчет ЦП - общая форма'!AR393</f>
        <v/>
      </c>
      <c r="L393" s="924">
        <f>'Расчет ЦП - общая форма'!AS393</f>
        <v>28.571428571428569</v>
      </c>
      <c r="M393" s="924"/>
      <c r="N393" s="924"/>
    </row>
    <row r="394" spans="1:14" ht="20.100000000000001" customHeight="1" x14ac:dyDescent="0.25">
      <c r="A394" s="213">
        <f>'Расчет ЦП - общая форма'!Y394</f>
        <v>289</v>
      </c>
      <c r="B394" s="1255">
        <f>COUNTIFS($C$8:C394,"*ПС*",$J$8:J394,"*закрыт*")</f>
        <v>74</v>
      </c>
      <c r="C394" s="244" t="str">
        <f>'Расчет ЦП - общая форма'!AA394</f>
        <v xml:space="preserve">ПС 35/10 кВ Селигер  </v>
      </c>
      <c r="D394" s="230">
        <f>'Расчет ЦП - общая форма'!AB394</f>
        <v>6.3</v>
      </c>
      <c r="E394" s="229">
        <f>'Расчет ЦП - общая форма'!AC394</f>
        <v>0</v>
      </c>
      <c r="F394" s="229">
        <f>'Расчет ЦП - общая форма'!AD394</f>
        <v>0</v>
      </c>
      <c r="G394" s="229">
        <f>'Расчет ЦП - общая форма'!AE394</f>
        <v>0</v>
      </c>
      <c r="H394" s="229">
        <f>'Расчет ЦП - общая форма'!AF394</f>
        <v>0</v>
      </c>
      <c r="I394" s="249">
        <f>'Расчет ЦП - общая форма'!AP394</f>
        <v>-5.77</v>
      </c>
      <c r="J394" s="249" t="str">
        <f>'Расчет ЦП - общая форма'!AQ394</f>
        <v>закрыт</v>
      </c>
      <c r="K394" s="924" t="str">
        <f>'Расчет ЦП - общая форма'!AR394</f>
        <v>закрыт</v>
      </c>
      <c r="L394" s="924">
        <f>'Расчет ЦП - общая форма'!AS394</f>
        <v>87.226001511715793</v>
      </c>
      <c r="M394" s="924"/>
      <c r="N394" s="924"/>
    </row>
    <row r="395" spans="1:14" ht="20.100000000000001" customHeight="1" x14ac:dyDescent="0.25">
      <c r="A395" s="213">
        <f>'Расчет ЦП - общая форма'!Y395</f>
        <v>290</v>
      </c>
      <c r="B395" s="1255">
        <f>COUNTIFS($C$8:C395,"*ПС*",$J$8:J395,"*закрыт*")</f>
        <v>75</v>
      </c>
      <c r="C395" s="244" t="str">
        <f>'Расчет ЦП - общая форма'!AA395</f>
        <v xml:space="preserve">ПС 35/10 кВ Мошары  </v>
      </c>
      <c r="D395" s="230">
        <f>'Расчет ЦП - общая форма'!AB395</f>
        <v>1.6</v>
      </c>
      <c r="E395" s="229">
        <f>'Расчет ЦП - общая форма'!AC395</f>
        <v>0</v>
      </c>
      <c r="F395" s="229">
        <f>'Расчет ЦП - общая форма'!AD395</f>
        <v>0</v>
      </c>
      <c r="G395" s="229">
        <f>'Расчет ЦП - общая форма'!AE395</f>
        <v>0</v>
      </c>
      <c r="H395" s="229">
        <f>'Расчет ЦП - общая форма'!AF395</f>
        <v>0</v>
      </c>
      <c r="I395" s="249">
        <f>'Расчет ЦП - общая форма'!AP395</f>
        <v>-0.2</v>
      </c>
      <c r="J395" s="249" t="str">
        <f>'Расчет ЦП - общая форма'!AQ395</f>
        <v>закрыт</v>
      </c>
      <c r="K395" s="924" t="str">
        <f>'Расчет ЦП - общая форма'!AR395</f>
        <v>закрыт</v>
      </c>
      <c r="L395" s="924">
        <f>'Расчет ЦП - общая форма'!AS395</f>
        <v>11.904761904761903</v>
      </c>
      <c r="M395" s="924"/>
      <c r="N395" s="924"/>
    </row>
    <row r="396" spans="1:14" x14ac:dyDescent="0.25">
      <c r="A396" s="213">
        <f>'Расчет ЦП - общая форма'!Y396</f>
        <v>291</v>
      </c>
      <c r="B396" s="1255">
        <f>COUNTIFS($C$8:C396,"*ПС*",$J$8:J396,"*закрыт*")</f>
        <v>76</v>
      </c>
      <c r="C396" s="244" t="str">
        <f>'Расчет ЦП - общая форма'!AA396</f>
        <v xml:space="preserve">ПС  35/10 кВ Ворошилово </v>
      </c>
      <c r="D396" s="230">
        <f>'Расчет ЦП - общая форма'!AB396</f>
        <v>1</v>
      </c>
      <c r="E396" s="229">
        <f>'Расчет ЦП - общая форма'!AC396</f>
        <v>0</v>
      </c>
      <c r="F396" s="229">
        <f>'Расчет ЦП - общая форма'!AD396</f>
        <v>0</v>
      </c>
      <c r="G396" s="229">
        <f>'Расчет ЦП - общая форма'!AE396</f>
        <v>0</v>
      </c>
      <c r="H396" s="229">
        <f>'Расчет ЦП - общая форма'!AF396</f>
        <v>0</v>
      </c>
      <c r="I396" s="249">
        <f>'Расчет ЦП - общая форма'!AP396</f>
        <v>-0.4</v>
      </c>
      <c r="J396" s="249" t="str">
        <f>'Расчет ЦП - общая форма'!AQ396</f>
        <v>закрыт</v>
      </c>
      <c r="K396" s="924" t="str">
        <f>'Расчет ЦП - общая форма'!AR396</f>
        <v>закрыт</v>
      </c>
      <c r="L396" s="924">
        <f>'Расчет ЦП - общая форма'!AS396</f>
        <v>38.095238095238095</v>
      </c>
      <c r="M396" s="924"/>
      <c r="N396" s="924"/>
    </row>
    <row r="397" spans="1:14" x14ac:dyDescent="0.25">
      <c r="A397" s="213">
        <f>'Расчет ЦП - общая форма'!Y397</f>
        <v>292</v>
      </c>
      <c r="B397" s="1255">
        <f>COUNTIFS($C$8:C397,"*ПС*",$J$8:J397,"*закрыт*")</f>
        <v>77</v>
      </c>
      <c r="C397" s="244" t="str">
        <f>'Расчет ЦП - общая форма'!AA397</f>
        <v xml:space="preserve">ПС 35/10 кВ Слаутино   </v>
      </c>
      <c r="D397" s="230">
        <f>'Расчет ЦП - общая форма'!AB397</f>
        <v>1.6</v>
      </c>
      <c r="E397" s="229">
        <f>'Расчет ЦП - общая форма'!AC397</f>
        <v>0</v>
      </c>
      <c r="F397" s="229">
        <f>'Расчет ЦП - общая форма'!AD397</f>
        <v>0</v>
      </c>
      <c r="G397" s="229">
        <f>'Расчет ЦП - общая форма'!AE397</f>
        <v>0</v>
      </c>
      <c r="H397" s="229">
        <f>'Расчет ЦП - общая форма'!AF397</f>
        <v>0</v>
      </c>
      <c r="I397" s="249">
        <f>'Расчет ЦП - общая форма'!AP397</f>
        <v>-0.61875000000000002</v>
      </c>
      <c r="J397" s="249" t="str">
        <f>'Расчет ЦП - общая форма'!AQ397</f>
        <v>закрыт</v>
      </c>
      <c r="K397" s="924" t="str">
        <f>'Расчет ЦП - общая форма'!AR397</f>
        <v>закрыт</v>
      </c>
      <c r="L397" s="924">
        <f>'Расчет ЦП - общая форма'!AS397</f>
        <v>36.830357142857139</v>
      </c>
      <c r="M397" s="924"/>
      <c r="N397" s="924"/>
    </row>
    <row r="398" spans="1:14" x14ac:dyDescent="0.25">
      <c r="A398" s="213">
        <f>'Расчет ЦП - общая форма'!Y398</f>
        <v>293</v>
      </c>
      <c r="B398" s="1255">
        <f>COUNTIFS($C$8:C398,"*ПС*",$J$8:J398,"*закрыт*")</f>
        <v>78</v>
      </c>
      <c r="C398" s="244" t="str">
        <f>'Расчет ЦП - общая форма'!AA398</f>
        <v xml:space="preserve">ПС 35/10 кВ Мошки </v>
      </c>
      <c r="D398" s="230">
        <f>'Расчет ЦП - общая форма'!AB398</f>
        <v>2.5</v>
      </c>
      <c r="E398" s="229" t="str">
        <f>'Расчет ЦП - общая форма'!AC398</f>
        <v>+</v>
      </c>
      <c r="F398" s="229">
        <f>'Расчет ЦП - общая форма'!AD398</f>
        <v>1.6</v>
      </c>
      <c r="G398" s="229">
        <f>'Расчет ЦП - общая форма'!AE398</f>
        <v>0</v>
      </c>
      <c r="H398" s="229">
        <f>'Расчет ЦП - общая форма'!AF398</f>
        <v>0</v>
      </c>
      <c r="I398" s="249">
        <f>'Расчет ЦП - общая форма'!AP398</f>
        <v>-0.18999999999999972</v>
      </c>
      <c r="J398" s="249" t="str">
        <f>'Расчет ЦП - общая форма'!AQ398</f>
        <v>закрыт</v>
      </c>
      <c r="K398" s="924" t="str">
        <f>'Расчет ЦП - общая форма'!AR398</f>
        <v>закрыт</v>
      </c>
      <c r="L398" s="924">
        <f>'Расчет ЦП - общая форма'!AS398</f>
        <v>111.3095238095238</v>
      </c>
      <c r="M398" s="924"/>
      <c r="N398" s="924"/>
    </row>
    <row r="399" spans="1:14" hidden="1" x14ac:dyDescent="0.25">
      <c r="A399" s="213">
        <f>'Расчет ЦП - общая форма'!Y399</f>
        <v>294</v>
      </c>
      <c r="B399" s="1152">
        <f>COUNTIFS($C$8:C399,"*ПС*",$J$8:J399,"*закрыт*")</f>
        <v>78</v>
      </c>
      <c r="C399" s="244" t="str">
        <f>'Расчет ЦП - общая форма'!AA399</f>
        <v xml:space="preserve">ПС 35/10 кВ Высокое  </v>
      </c>
      <c r="D399" s="230">
        <f>'Расчет ЦП - общая форма'!AB399</f>
        <v>4</v>
      </c>
      <c r="E399" s="229" t="str">
        <f>'Расчет ЦП - общая форма'!AC399</f>
        <v>+</v>
      </c>
      <c r="F399" s="229">
        <f>'Расчет ЦП - общая форма'!AD399</f>
        <v>2.5</v>
      </c>
      <c r="G399" s="229">
        <f>'Расчет ЦП - общая форма'!AE399</f>
        <v>0</v>
      </c>
      <c r="H399" s="229">
        <f>'Расчет ЦП - общая форма'!AF399</f>
        <v>0</v>
      </c>
      <c r="I399" s="249">
        <f>'Расчет ЦП - общая форма'!AP399</f>
        <v>1.2449999999999999</v>
      </c>
      <c r="J399" s="249" t="str">
        <f>'Расчет ЦП - общая форма'!AQ399</f>
        <v/>
      </c>
      <c r="K399" s="924" t="str">
        <f>'Расчет ЦП - общая форма'!AR399</f>
        <v/>
      </c>
      <c r="L399" s="924">
        <f>'Расчет ЦП - общая форма'!AS399</f>
        <v>52.571428571428569</v>
      </c>
      <c r="M399" s="924"/>
      <c r="N399" s="924"/>
    </row>
    <row r="400" spans="1:14" hidden="1" x14ac:dyDescent="0.25">
      <c r="A400" s="213">
        <f>'Расчет ЦП - общая форма'!Y400</f>
        <v>295</v>
      </c>
      <c r="B400" s="1152">
        <f>COUNTIFS($C$8:C400,"*ПС*",$J$8:J400,"*закрыт*")</f>
        <v>78</v>
      </c>
      <c r="C400" s="244" t="str">
        <f>'Расчет ЦП - общая форма'!AA400</f>
        <v xml:space="preserve">ПС 35/10 кВ Бубеньево  </v>
      </c>
      <c r="D400" s="230">
        <f>'Расчет ЦП - общая форма'!AB400</f>
        <v>4</v>
      </c>
      <c r="E400" s="229" t="str">
        <f>'Расчет ЦП - общая форма'!AC400</f>
        <v>+</v>
      </c>
      <c r="F400" s="229">
        <f>'Расчет ЦП - общая форма'!AD400</f>
        <v>4</v>
      </c>
      <c r="G400" s="229">
        <f>'Расчет ЦП - общая форма'!AE400</f>
        <v>0</v>
      </c>
      <c r="H400" s="229">
        <f>'Расчет ЦП - общая форма'!AF400</f>
        <v>0</v>
      </c>
      <c r="I400" s="249">
        <f>'Расчет ЦП - общая форма'!AP400</f>
        <v>0.55437500000000028</v>
      </c>
      <c r="J400" s="249" t="str">
        <f>'Расчет ЦП - общая форма'!AQ400</f>
        <v/>
      </c>
      <c r="K400" s="924" t="str">
        <f>'Расчет ЦП - общая форма'!AR400</f>
        <v/>
      </c>
      <c r="L400" s="924">
        <f>'Расчет ЦП - общая форма'!AS400</f>
        <v>86.800595238095241</v>
      </c>
      <c r="M400" s="924"/>
      <c r="N400" s="924"/>
    </row>
    <row r="401" spans="1:14" hidden="1" x14ac:dyDescent="0.25">
      <c r="A401" s="213">
        <f>'Расчет ЦП - общая форма'!Y401</f>
        <v>296</v>
      </c>
      <c r="B401" s="1152">
        <f>COUNTIFS($C$8:C401,"*ПС*",$J$8:J401,"*закрыт*")</f>
        <v>78</v>
      </c>
      <c r="C401" s="244" t="str">
        <f>'Расчет ЦП - общая форма'!AA401</f>
        <v xml:space="preserve">ПС 35/10 кВ Б.Вишенье </v>
      </c>
      <c r="D401" s="230">
        <f>'Расчет ЦП - общая форма'!AB401</f>
        <v>2.5</v>
      </c>
      <c r="E401" s="229" t="str">
        <f>'Расчет ЦП - общая форма'!AC401</f>
        <v>+</v>
      </c>
      <c r="F401" s="229">
        <f>'Расчет ЦП - общая форма'!AD401</f>
        <v>2.5</v>
      </c>
      <c r="G401" s="229">
        <f>'Расчет ЦП - общая форма'!AE401</f>
        <v>0</v>
      </c>
      <c r="H401" s="229">
        <f>'Расчет ЦП - общая форма'!AF401</f>
        <v>0</v>
      </c>
      <c r="I401" s="249">
        <f>'Расчет ЦП - общая форма'!AP401</f>
        <v>2.2981249999999998</v>
      </c>
      <c r="J401" s="249" t="str">
        <f>'Расчет ЦП - общая форма'!AQ401</f>
        <v/>
      </c>
      <c r="K401" s="924" t="str">
        <f>'Расчет ЦП - общая форма'!AR401</f>
        <v/>
      </c>
      <c r="L401" s="924">
        <f>'Расчет ЦП - общая форма'!AS401</f>
        <v>12.452380952380953</v>
      </c>
      <c r="M401" s="924"/>
      <c r="N401" s="924"/>
    </row>
    <row r="402" spans="1:14" x14ac:dyDescent="0.25">
      <c r="A402" s="213">
        <f>'Расчет ЦП - общая форма'!Y402</f>
        <v>297</v>
      </c>
      <c r="B402" s="1255">
        <f>COUNTIFS($C$8:C402,"*ПС*",$J$8:J402,"*закрыт*")</f>
        <v>79</v>
      </c>
      <c r="C402" s="244" t="str">
        <f>'Расчет ЦП - общая форма'!AA402</f>
        <v xml:space="preserve">ПС 35/10 кВ Будово </v>
      </c>
      <c r="D402" s="230">
        <f>'Расчет ЦП - общая форма'!AB402</f>
        <v>2.5</v>
      </c>
      <c r="E402" s="229" t="str">
        <f>'Расчет ЦП - общая форма'!AC402</f>
        <v>+</v>
      </c>
      <c r="F402" s="229">
        <f>'Расчет ЦП - общая форма'!AD402</f>
        <v>2.5</v>
      </c>
      <c r="G402" s="229">
        <f>'Расчет ЦП - общая форма'!AE402</f>
        <v>0</v>
      </c>
      <c r="H402" s="229">
        <f>'Расчет ЦП - общая форма'!AF402</f>
        <v>0</v>
      </c>
      <c r="I402" s="249">
        <f>'Расчет ЦП - общая форма'!AP402</f>
        <v>-1.7249999999999996</v>
      </c>
      <c r="J402" s="249" t="str">
        <f>'Расчет ЦП - общая форма'!AQ402</f>
        <v>закрыт</v>
      </c>
      <c r="K402" s="924" t="str">
        <f>'Расчет ЦП - общая форма'!AR402</f>
        <v>закрыт</v>
      </c>
      <c r="L402" s="924">
        <f>'Расчет ЦП - общая форма'!AS402</f>
        <v>165.71428571428569</v>
      </c>
      <c r="M402" s="924"/>
      <c r="N402" s="924"/>
    </row>
    <row r="403" spans="1:14" hidden="1" x14ac:dyDescent="0.25">
      <c r="A403" s="213">
        <f>'Расчет ЦП - общая форма'!Y403</f>
        <v>298</v>
      </c>
      <c r="B403" s="1152">
        <f>COUNTIFS($C$8:C403,"*ПС*",$J$8:J403,"*закрыт*")</f>
        <v>79</v>
      </c>
      <c r="C403" s="244" t="str">
        <f>'Расчет ЦП - общая форма'!AA403</f>
        <v xml:space="preserve">ПС 35/10 кВ Ельцы  </v>
      </c>
      <c r="D403" s="230">
        <f>'Расчет ЦП - общая форма'!AB403</f>
        <v>4</v>
      </c>
      <c r="E403" s="229" t="str">
        <f>'Расчет ЦП - общая форма'!AC403</f>
        <v>+</v>
      </c>
      <c r="F403" s="229">
        <f>'Расчет ЦП - общая форма'!AD403</f>
        <v>4</v>
      </c>
      <c r="G403" s="229">
        <f>'Расчет ЦП - общая форма'!AE403</f>
        <v>0</v>
      </c>
      <c r="H403" s="229">
        <f>'Расчет ЦП - общая форма'!AF403</f>
        <v>0</v>
      </c>
      <c r="I403" s="249">
        <f>'Расчет ЦП - общая форма'!AP403</f>
        <v>3.43</v>
      </c>
      <c r="J403" s="249" t="str">
        <f>'Расчет ЦП - общая форма'!AQ403</f>
        <v/>
      </c>
      <c r="K403" s="924" t="str">
        <f>'Расчет ЦП - общая форма'!AR403</f>
        <v/>
      </c>
      <c r="L403" s="924">
        <f>'Расчет ЦП - общая форма'!AS403</f>
        <v>18.333333333333332</v>
      </c>
      <c r="M403" s="924"/>
      <c r="N403" s="924"/>
    </row>
    <row r="404" spans="1:14" hidden="1" x14ac:dyDescent="0.25">
      <c r="A404" s="213">
        <f>'Расчет ЦП - общая форма'!Y404</f>
        <v>299</v>
      </c>
      <c r="B404" s="1152">
        <f>COUNTIFS($C$8:C404,"*ПС*",$J$8:J404,"*закрыт*")</f>
        <v>79</v>
      </c>
      <c r="C404" s="244" t="str">
        <f>'Расчет ЦП - общая форма'!AA404</f>
        <v xml:space="preserve">ПС 35/10 кВ Селище </v>
      </c>
      <c r="D404" s="230">
        <f>'Расчет ЦП - общая форма'!AB404</f>
        <v>4</v>
      </c>
      <c r="E404" s="229" t="str">
        <f>'Расчет ЦП - общая форма'!AC404</f>
        <v>+</v>
      </c>
      <c r="F404" s="229">
        <f>'Расчет ЦП - общая форма'!AD404</f>
        <v>4</v>
      </c>
      <c r="G404" s="229">
        <f>'Расчет ЦП - общая форма'!AE404</f>
        <v>0</v>
      </c>
      <c r="H404" s="229">
        <f>'Расчет ЦП - общая форма'!AF404</f>
        <v>0</v>
      </c>
      <c r="I404" s="249">
        <f>'Расчет ЦП - общая форма'!AP404</f>
        <v>2.3000000000000003</v>
      </c>
      <c r="J404" s="249" t="str">
        <f>'Расчет ЦП - общая форма'!AQ404</f>
        <v/>
      </c>
      <c r="K404" s="924" t="str">
        <f>'Расчет ЦП - общая форма'!AR404</f>
        <v/>
      </c>
      <c r="L404" s="924">
        <f>'Расчет ЦП - общая форма'!AS404</f>
        <v>45.238095238095234</v>
      </c>
      <c r="M404" s="924"/>
      <c r="N404" s="924"/>
    </row>
    <row r="405" spans="1:14" hidden="1" x14ac:dyDescent="0.25">
      <c r="A405" s="213">
        <f>'Расчет ЦП - общая форма'!Y405</f>
        <v>300</v>
      </c>
      <c r="B405" s="1152">
        <f>COUNTIFS($C$8:C405,"*ПС*",$J$8:J405,"*закрыт*")</f>
        <v>79</v>
      </c>
      <c r="C405" s="244" t="str">
        <f>'Расчет ЦП - общая форма'!AA405</f>
        <v xml:space="preserve">ПС 35/10 кВ Святое </v>
      </c>
      <c r="D405" s="230">
        <f>'Расчет ЦП - общая форма'!AB405</f>
        <v>2.5</v>
      </c>
      <c r="E405" s="229" t="str">
        <f>'Расчет ЦП - общая форма'!AC405</f>
        <v>+</v>
      </c>
      <c r="F405" s="229">
        <f>'Расчет ЦП - общая форма'!AD405</f>
        <v>1.6</v>
      </c>
      <c r="G405" s="229">
        <f>'Расчет ЦП - общая форма'!AE405</f>
        <v>0</v>
      </c>
      <c r="H405" s="229">
        <f>'Расчет ЦП - общая форма'!AF405</f>
        <v>0</v>
      </c>
      <c r="I405" s="249">
        <f>'Расчет ЦП - общая форма'!AP405</f>
        <v>0.47625000000000028</v>
      </c>
      <c r="J405" s="249" t="str">
        <f>'Расчет ЦП - общая форма'!AQ405</f>
        <v/>
      </c>
      <c r="K405" s="924" t="str">
        <f>'Расчет ЦП - общая форма'!AR405</f>
        <v/>
      </c>
      <c r="L405" s="924">
        <f>'Расчет ЦП - общая форма'!AS405</f>
        <v>71.651785714285694</v>
      </c>
      <c r="M405" s="924"/>
      <c r="N405" s="924"/>
    </row>
    <row r="406" spans="1:14" hidden="1" x14ac:dyDescent="0.25">
      <c r="A406" s="213">
        <f>'Расчет ЦП - общая форма'!Y406</f>
        <v>301</v>
      </c>
      <c r="B406" s="1152">
        <f>COUNTIFS($C$8:C406,"*ПС*",$J$8:J406,"*закрыт*")</f>
        <v>79</v>
      </c>
      <c r="C406" s="244" t="str">
        <f>'Расчет ЦП - общая форма'!AA406</f>
        <v xml:space="preserve">ПС 35/10 кВ Крапивня  </v>
      </c>
      <c r="D406" s="230">
        <f>'Расчет ЦП - общая форма'!AB406</f>
        <v>2.5</v>
      </c>
      <c r="E406" s="229" t="str">
        <f>'Расчет ЦП - общая форма'!AC406</f>
        <v>+</v>
      </c>
      <c r="F406" s="229">
        <f>'Расчет ЦП - общая форма'!AD406</f>
        <v>2.5</v>
      </c>
      <c r="G406" s="229">
        <f>'Расчет ЦП - общая форма'!AE406</f>
        <v>0</v>
      </c>
      <c r="H406" s="229">
        <f>'Расчет ЦП - общая форма'!AF406</f>
        <v>0</v>
      </c>
      <c r="I406" s="249">
        <f>'Расчет ЦП - общая форма'!AP406</f>
        <v>1.9375</v>
      </c>
      <c r="J406" s="249" t="str">
        <f>'Расчет ЦП - общая форма'!AQ406</f>
        <v/>
      </c>
      <c r="K406" s="924" t="str">
        <f>'Расчет ЦП - общая форма'!AR406</f>
        <v/>
      </c>
      <c r="L406" s="924">
        <f>'Расчет ЦП - общая форма'!AS406</f>
        <v>26.19047619047619</v>
      </c>
      <c r="M406" s="924"/>
      <c r="N406" s="924"/>
    </row>
    <row r="407" spans="1:14" hidden="1" x14ac:dyDescent="0.25">
      <c r="A407" s="213">
        <f>'Расчет ЦП - общая форма'!Y407</f>
        <v>302</v>
      </c>
      <c r="B407" s="1152">
        <f>COUNTIFS($C$8:C407,"*ПС*",$J$8:J407,"*закрыт*")</f>
        <v>79</v>
      </c>
      <c r="C407" s="244" t="str">
        <f>'Расчет ЦП - общая форма'!AA407</f>
        <v xml:space="preserve">ПС 35/10 кВ Светлица  </v>
      </c>
      <c r="D407" s="230">
        <f>'Расчет ЦП - общая форма'!AB407</f>
        <v>2.5</v>
      </c>
      <c r="E407" s="229" t="str">
        <f>'Расчет ЦП - общая форма'!AC407</f>
        <v>+</v>
      </c>
      <c r="F407" s="229">
        <f>'Расчет ЦП - общая форма'!AD407</f>
        <v>2.5</v>
      </c>
      <c r="G407" s="229">
        <f>'Расчет ЦП - общая форма'!AE407</f>
        <v>0</v>
      </c>
      <c r="H407" s="229">
        <f>'Расчет ЦП - общая форма'!AF407</f>
        <v>0</v>
      </c>
      <c r="I407" s="249">
        <f>'Расчет ЦП - общая форма'!AP407</f>
        <v>1.1687500000000002</v>
      </c>
      <c r="J407" s="249" t="str">
        <f>'Расчет ЦП - общая форма'!AQ407</f>
        <v/>
      </c>
      <c r="K407" s="924" t="str">
        <f>'Расчет ЦП - общая форма'!AR407</f>
        <v/>
      </c>
      <c r="L407" s="924">
        <f>'Расчет ЦП - общая форма'!AS407</f>
        <v>55.476190476190467</v>
      </c>
      <c r="M407" s="924"/>
      <c r="N407" s="924"/>
    </row>
    <row r="408" spans="1:14" hidden="1" x14ac:dyDescent="0.25">
      <c r="A408" s="213">
        <f>'Расчет ЦП - общая форма'!Y408</f>
        <v>303</v>
      </c>
      <c r="B408" s="1152">
        <f>COUNTIFS($C$8:C408,"*ПС*",$J$8:J408,"*закрыт*")</f>
        <v>79</v>
      </c>
      <c r="C408" s="244" t="str">
        <f>'Расчет ЦП - общая форма'!AA408</f>
        <v xml:space="preserve">ПС  110/6 кВ КС-20  </v>
      </c>
      <c r="D408" s="230">
        <f>'Расчет ЦП - общая форма'!AB408</f>
        <v>63</v>
      </c>
      <c r="E408" s="229" t="str">
        <f>'Расчет ЦП - общая форма'!AC408</f>
        <v>+</v>
      </c>
      <c r="F408" s="229">
        <f>'Расчет ЦП - общая форма'!AD408</f>
        <v>63</v>
      </c>
      <c r="G408" s="229">
        <f>'Расчет ЦП - общая форма'!AE408</f>
        <v>0</v>
      </c>
      <c r="H408" s="229">
        <f>'Расчет ЦП - общая форма'!AF408</f>
        <v>0</v>
      </c>
      <c r="I408" s="249">
        <f>'Расчет ЦП - общая форма'!AP408</f>
        <v>61.050000000000004</v>
      </c>
      <c r="J408" s="249" t="str">
        <f>'Расчет ЦП - общая форма'!AQ408</f>
        <v/>
      </c>
      <c r="K408" s="924" t="str">
        <f>'Расчет ЦП - общая форма'!AR408</f>
        <v/>
      </c>
      <c r="L408" s="924">
        <f>'Расчет ЦП - общая форма'!AS408</f>
        <v>7.7097505668934225</v>
      </c>
      <c r="M408" s="924"/>
      <c r="N408" s="924"/>
    </row>
    <row r="409" spans="1:14" ht="30" hidden="1" customHeight="1" x14ac:dyDescent="0.25">
      <c r="A409" s="213">
        <f>'Расчет ЦП - общая форма'!Y409</f>
        <v>304</v>
      </c>
      <c r="B409" s="1152">
        <f>COUNTIFS($C$8:C409,"*ПС*",$J$8:J409,"*закрыт*")</f>
        <v>79</v>
      </c>
      <c r="C409" s="250" t="str">
        <f>'Расчет ЦП - общая форма'!AA409</f>
        <v xml:space="preserve">ПС 110/10 кВ  Полиграфкраски </v>
      </c>
      <c r="D409" s="230">
        <f>'Расчет ЦП - общая форма'!AB409</f>
        <v>10</v>
      </c>
      <c r="E409" s="229" t="str">
        <f>'Расчет ЦП - общая форма'!AC409</f>
        <v>+</v>
      </c>
      <c r="F409" s="229">
        <f>'Расчет ЦП - общая форма'!AD409</f>
        <v>10</v>
      </c>
      <c r="G409" s="229">
        <f>'Расчет ЦП - общая форма'!AE409</f>
        <v>0</v>
      </c>
      <c r="H409" s="229">
        <f>'Расчет ЦП - общая форма'!AF409</f>
        <v>0</v>
      </c>
      <c r="I409" s="249">
        <f>'Расчет ЦП - общая форма'!AP409</f>
        <v>3.3487499999999999</v>
      </c>
      <c r="J409" s="249" t="str">
        <f>'Расчет ЦП - общая форма'!AQ409</f>
        <v/>
      </c>
      <c r="K409" s="924" t="str">
        <f>'Расчет ЦП - общая форма'!AR409</f>
        <v/>
      </c>
      <c r="L409" s="924">
        <f>'Расчет ЦП - общая форма'!AS409</f>
        <v>68.107142857142861</v>
      </c>
      <c r="M409" s="924"/>
      <c r="N409" s="924"/>
    </row>
    <row r="410" spans="1:14" hidden="1" x14ac:dyDescent="0.25">
      <c r="A410" s="213">
        <f>'Расчет ЦП - общая форма'!Y410</f>
        <v>305</v>
      </c>
      <c r="B410" s="1152">
        <f>COUNTIFS($C$8:C410,"*ПС*",$J$8:J410,"*закрыт*")</f>
        <v>79</v>
      </c>
      <c r="C410" s="244" t="str">
        <f>'Расчет ЦП - общая форма'!AA410</f>
        <v xml:space="preserve">ПС 110/10 кВ НПС Торжок </v>
      </c>
      <c r="D410" s="230">
        <f>'Расчет ЦП - общая форма'!AB410</f>
        <v>25</v>
      </c>
      <c r="E410" s="229" t="str">
        <f>'Расчет ЦП - общая форма'!AC410</f>
        <v>+</v>
      </c>
      <c r="F410" s="229">
        <f>'Расчет ЦП - общая форма'!AD410</f>
        <v>25</v>
      </c>
      <c r="G410" s="229">
        <f>'Расчет ЦП - общая форма'!AE410</f>
        <v>0</v>
      </c>
      <c r="H410" s="229">
        <f>'Расчет ЦП - общая форма'!AF410</f>
        <v>0</v>
      </c>
      <c r="I410" s="249">
        <f>'Расчет ЦП - общая форма'!AP410</f>
        <v>26.05</v>
      </c>
      <c r="J410" s="249" t="str">
        <f>'Расчет ЦП - общая форма'!AQ410</f>
        <v/>
      </c>
      <c r="K410" s="924" t="str">
        <f>'Расчет ЦП - общая форма'!AR410</f>
        <v/>
      </c>
      <c r="L410" s="924">
        <f>'Расчет ЦП - общая форма'!AS410</f>
        <v>0.76190476190476186</v>
      </c>
      <c r="M410" s="924"/>
      <c r="N410" s="924"/>
    </row>
    <row r="411" spans="1:14" hidden="1" x14ac:dyDescent="0.25">
      <c r="A411" s="213">
        <f>'Расчет ЦП - общая форма'!Y411</f>
        <v>306</v>
      </c>
      <c r="B411" s="1152">
        <f>COUNTIFS($C$8:C411,"*ПС*",$J$8:J411,"*закрыт*")</f>
        <v>79</v>
      </c>
      <c r="C411" s="244" t="str">
        <f>'Расчет ЦП - общая форма'!AA411</f>
        <v xml:space="preserve">ПС 110/10 кВ Селихово </v>
      </c>
      <c r="D411" s="230">
        <f>'Расчет ЦП - общая форма'!AB411</f>
        <v>2.5</v>
      </c>
      <c r="E411" s="229" t="str">
        <f>'Расчет ЦП - общая форма'!AC411</f>
        <v>+</v>
      </c>
      <c r="F411" s="229">
        <f>'Расчет ЦП - общая форма'!AD411</f>
        <v>2.5</v>
      </c>
      <c r="G411" s="229">
        <f>'Расчет ЦП - общая форма'!AE411</f>
        <v>0</v>
      </c>
      <c r="H411" s="229">
        <f>'Расчет ЦП - общая форма'!AF411</f>
        <v>0</v>
      </c>
      <c r="I411" s="249">
        <f>'Расчет ЦП - общая форма'!AP411</f>
        <v>1.7725</v>
      </c>
      <c r="J411" s="249" t="str">
        <f>'Расчет ЦП - общая форма'!AQ411</f>
        <v/>
      </c>
      <c r="K411" s="924" t="str">
        <f>'Расчет ЦП - общая форма'!AR411</f>
        <v/>
      </c>
      <c r="L411" s="924">
        <f>'Расчет ЦП - общая форма'!AS411</f>
        <v>32.476190476190467</v>
      </c>
      <c r="M411" s="924"/>
      <c r="N411" s="924"/>
    </row>
    <row r="412" spans="1:14" hidden="1" x14ac:dyDescent="0.25">
      <c r="A412" s="213">
        <f>'Расчет ЦП - общая форма'!Y412</f>
        <v>307</v>
      </c>
      <c r="B412" s="1152">
        <f>COUNTIFS($C$8:C412,"*ПС*",$J$8:J412,"*закрыт*")</f>
        <v>79</v>
      </c>
      <c r="C412" s="244" t="str">
        <f>'Расчет ЦП - общая форма'!AA412</f>
        <v xml:space="preserve">ПС 110/10 кВ Пено </v>
      </c>
      <c r="D412" s="230">
        <f>'Расчет ЦП - общая форма'!AB412</f>
        <v>6.3</v>
      </c>
      <c r="E412" s="229" t="str">
        <f>'Расчет ЦП - общая форма'!AC412</f>
        <v>+</v>
      </c>
      <c r="F412" s="229">
        <f>'Расчет ЦП - общая форма'!AD412</f>
        <v>6.3</v>
      </c>
      <c r="G412" s="229">
        <f>'Расчет ЦП - общая форма'!AE412</f>
        <v>0</v>
      </c>
      <c r="H412" s="229">
        <f>'Расчет ЦП - общая форма'!AF412</f>
        <v>0</v>
      </c>
      <c r="I412" s="249">
        <f>'Расчет ЦП - общая форма'!AP412</f>
        <v>1.4932500000000006</v>
      </c>
      <c r="J412" s="249" t="str">
        <f>'Расчет ЦП - общая форма'!AQ412</f>
        <v/>
      </c>
      <c r="K412" s="924" t="str">
        <f>'Расчет ЦП - общая форма'!AR412</f>
        <v/>
      </c>
      <c r="L412" s="924">
        <f>'Расчет ЦП - общая форма'!AS412</f>
        <v>77.426303854875272</v>
      </c>
      <c r="M412" s="924"/>
      <c r="N412" s="924"/>
    </row>
    <row r="413" spans="1:14" hidden="1" x14ac:dyDescent="0.25">
      <c r="A413" s="1371">
        <f>'Расчет ЦП - общая форма'!Y413</f>
        <v>308</v>
      </c>
      <c r="B413" s="1376">
        <f>COUNTIFS($C$8:C413,"*ПС*",$J$8:J413,"*закрыт*")</f>
        <v>79</v>
      </c>
      <c r="C413" s="244" t="str">
        <f>'Расчет ЦП - общая форма'!AA413</f>
        <v xml:space="preserve">ПС 110/35/10 кВ Торжок  </v>
      </c>
      <c r="D413" s="230">
        <f>'Расчет ЦП - общая форма'!AB413</f>
        <v>40</v>
      </c>
      <c r="E413" s="229" t="str">
        <f>'Расчет ЦП - общая форма'!AC413</f>
        <v>+</v>
      </c>
      <c r="F413" s="229">
        <f>'Расчет ЦП - общая форма'!AD413</f>
        <v>40</v>
      </c>
      <c r="G413" s="229">
        <f>'Расчет ЦП - общая форма'!AE413</f>
        <v>0</v>
      </c>
      <c r="H413" s="229">
        <f>'Расчет ЦП - общая форма'!AF413</f>
        <v>0</v>
      </c>
      <c r="I413" s="1367">
        <f>'Расчет ЦП - общая форма'!AP413</f>
        <v>22.225937500000001</v>
      </c>
      <c r="J413" s="1367" t="str">
        <f>'Расчет ЦП - общая форма'!AQ413</f>
        <v/>
      </c>
      <c r="K413" s="924" t="str">
        <f>'Расчет ЦП - общая форма'!AR413</f>
        <v/>
      </c>
      <c r="L413" s="924">
        <f>'Расчет ЦП - общая форма'!AS413</f>
        <v>63.985863095238095</v>
      </c>
      <c r="M413" s="924"/>
      <c r="N413" s="924"/>
    </row>
    <row r="414" spans="1:14" hidden="1" x14ac:dyDescent="0.25">
      <c r="A414" s="1371">
        <f>'Расчет ЦП - общая форма'!Y414</f>
        <v>0</v>
      </c>
      <c r="B414" s="1393"/>
      <c r="C414" s="244" t="str">
        <f>'Расчет ЦП - общая форма'!AA414</f>
        <v xml:space="preserve">Ном. Мощность СН, МВА </v>
      </c>
      <c r="D414" s="230">
        <f>'Расчет ЦП - общая форма'!AB414</f>
        <v>40</v>
      </c>
      <c r="E414" s="229" t="str">
        <f>'Расчет ЦП - общая форма'!AC414</f>
        <v>+</v>
      </c>
      <c r="F414" s="229">
        <f>'Расчет ЦП - общая форма'!AD414</f>
        <v>40</v>
      </c>
      <c r="G414" s="229">
        <f>'Расчет ЦП - общая форма'!AE414</f>
        <v>0</v>
      </c>
      <c r="H414" s="229">
        <f>'Расчет ЦП - общая форма'!AF414</f>
        <v>0</v>
      </c>
      <c r="I414" s="1368">
        <f>'Расчет ЦП - общая форма'!AP414</f>
        <v>0</v>
      </c>
      <c r="J414" s="1368" t="str">
        <f>'Расчет ЦП - общая форма'!AQ414</f>
        <v/>
      </c>
      <c r="K414" s="924" t="str">
        <f>'Расчет ЦП - общая форма'!AR414</f>
        <v/>
      </c>
      <c r="L414" s="924">
        <f>'Расчет ЦП - общая форма'!AS414</f>
        <v>0</v>
      </c>
      <c r="M414" s="924"/>
      <c r="N414" s="924"/>
    </row>
    <row r="415" spans="1:14" hidden="1" x14ac:dyDescent="0.25">
      <c r="A415" s="1371">
        <f>'Расчет ЦП - общая форма'!Y415</f>
        <v>0</v>
      </c>
      <c r="B415" s="1394"/>
      <c r="C415" s="244" t="str">
        <f>'Расчет ЦП - общая форма'!AA415</f>
        <v>Ном. мощность НН, МВА</v>
      </c>
      <c r="D415" s="230">
        <f>'Расчет ЦП - общая форма'!AB415</f>
        <v>40</v>
      </c>
      <c r="E415" s="229" t="str">
        <f>'Расчет ЦП - общая форма'!AC415</f>
        <v>+</v>
      </c>
      <c r="F415" s="229">
        <f>'Расчет ЦП - общая форма'!AD415</f>
        <v>40</v>
      </c>
      <c r="G415" s="229">
        <f>'Расчет ЦП - общая форма'!AE415</f>
        <v>0</v>
      </c>
      <c r="H415" s="229">
        <f>'Расчет ЦП - общая форма'!AF415</f>
        <v>0</v>
      </c>
      <c r="I415" s="1369">
        <f>'Расчет ЦП - общая форма'!AP415</f>
        <v>0</v>
      </c>
      <c r="J415" s="1369" t="str">
        <f>'Расчет ЦП - общая форма'!AQ415</f>
        <v/>
      </c>
      <c r="K415" s="924" t="str">
        <f>'Расчет ЦП - общая форма'!AR415</f>
        <v/>
      </c>
      <c r="L415" s="924">
        <f>'Расчет ЦП - общая форма'!AS415</f>
        <v>0</v>
      </c>
      <c r="M415" s="924"/>
      <c r="N415" s="924"/>
    </row>
    <row r="416" spans="1:14" hidden="1" x14ac:dyDescent="0.25">
      <c r="A416" s="1371">
        <f>'Расчет ЦП - общая форма'!Y416</f>
        <v>309</v>
      </c>
      <c r="B416" s="1376">
        <f>COUNTIFS($C$8:C416,"*ПС*",$J$8:J416,"*закрыт*")</f>
        <v>79</v>
      </c>
      <c r="C416" s="244" t="str">
        <f>'Расчет ЦП - общая форма'!AA416</f>
        <v xml:space="preserve">ПС 110/35/10 кВ Стройиндустрия </v>
      </c>
      <c r="D416" s="230">
        <f>'Расчет ЦП - общая форма'!AB416</f>
        <v>25</v>
      </c>
      <c r="E416" s="229" t="str">
        <f>'Расчет ЦП - общая форма'!AC416</f>
        <v>+</v>
      </c>
      <c r="F416" s="229">
        <f>'Расчет ЦП - общая форма'!AD416</f>
        <v>25</v>
      </c>
      <c r="G416" s="229">
        <f>'Расчет ЦП - общая форма'!AE416</f>
        <v>0</v>
      </c>
      <c r="H416" s="229">
        <f>'Расчет ЦП - общая форма'!AF416</f>
        <v>0</v>
      </c>
      <c r="I416" s="1367">
        <f>'Расчет ЦП - общая форма'!AP416</f>
        <v>20.403100000000002</v>
      </c>
      <c r="J416" s="1367" t="str">
        <f>'Расчет ЦП - общая форма'!AQ416</f>
        <v/>
      </c>
      <c r="K416" s="924" t="str">
        <f>'Расчет ЦП - общая форма'!AR416</f>
        <v/>
      </c>
      <c r="L416" s="924">
        <f>'Расчет ЦП - общая форма'!AS416</f>
        <v>23.035809523809522</v>
      </c>
      <c r="M416" s="924"/>
      <c r="N416" s="924"/>
    </row>
    <row r="417" spans="1:14" hidden="1" x14ac:dyDescent="0.25">
      <c r="A417" s="1371">
        <f>'Расчет ЦП - общая форма'!Y417</f>
        <v>0</v>
      </c>
      <c r="B417" s="1393"/>
      <c r="C417" s="244" t="str">
        <f>'Расчет ЦП - общая форма'!AA417</f>
        <v xml:space="preserve">Ном. Мощность СН, МВА </v>
      </c>
      <c r="D417" s="230">
        <f>'Расчет ЦП - общая форма'!AB417</f>
        <v>25</v>
      </c>
      <c r="E417" s="229" t="str">
        <f>'Расчет ЦП - общая форма'!AC417</f>
        <v>+</v>
      </c>
      <c r="F417" s="229">
        <f>'Расчет ЦП - общая форма'!AD417</f>
        <v>25</v>
      </c>
      <c r="G417" s="229">
        <f>'Расчет ЦП - общая форма'!AE417</f>
        <v>0</v>
      </c>
      <c r="H417" s="229">
        <f>'Расчет ЦП - общая форма'!AF417</f>
        <v>0</v>
      </c>
      <c r="I417" s="1368">
        <f>'Расчет ЦП - общая форма'!AP417</f>
        <v>0</v>
      </c>
      <c r="J417" s="1368" t="str">
        <f>'Расчет ЦП - общая форма'!AQ417</f>
        <v/>
      </c>
      <c r="K417" s="924" t="str">
        <f>'Расчет ЦП - общая форма'!AR417</f>
        <v/>
      </c>
      <c r="L417" s="924">
        <f>'Расчет ЦП - общая форма'!AS417</f>
        <v>0</v>
      </c>
      <c r="M417" s="924"/>
      <c r="N417" s="924"/>
    </row>
    <row r="418" spans="1:14" hidden="1" x14ac:dyDescent="0.25">
      <c r="A418" s="1371">
        <f>'Расчет ЦП - общая форма'!Y418</f>
        <v>0</v>
      </c>
      <c r="B418" s="1394"/>
      <c r="C418" s="244" t="str">
        <f>'Расчет ЦП - общая форма'!AA418</f>
        <v>Ном. мощность НН, МВА</v>
      </c>
      <c r="D418" s="230">
        <f>'Расчет ЦП - общая форма'!AB418</f>
        <v>25</v>
      </c>
      <c r="E418" s="229" t="str">
        <f>'Расчет ЦП - общая форма'!AC418</f>
        <v>+</v>
      </c>
      <c r="F418" s="229">
        <f>'Расчет ЦП - общая форма'!AD418</f>
        <v>25</v>
      </c>
      <c r="G418" s="229">
        <f>'Расчет ЦП - общая форма'!AE418</f>
        <v>0</v>
      </c>
      <c r="H418" s="229">
        <f>'Расчет ЦП - общая форма'!AF418</f>
        <v>0</v>
      </c>
      <c r="I418" s="1369">
        <f>'Расчет ЦП - общая форма'!AP418</f>
        <v>0</v>
      </c>
      <c r="J418" s="1369" t="str">
        <f>'Расчет ЦП - общая форма'!AQ418</f>
        <v/>
      </c>
      <c r="K418" s="924" t="str">
        <f>'Расчет ЦП - общая форма'!AR418</f>
        <v/>
      </c>
      <c r="L418" s="924">
        <f>'Расчет ЦП - общая форма'!AS418</f>
        <v>0</v>
      </c>
      <c r="M418" s="924"/>
      <c r="N418" s="924"/>
    </row>
    <row r="419" spans="1:14" x14ac:dyDescent="0.25">
      <c r="A419" s="1371">
        <f>'Расчет ЦП - общая форма'!Y419</f>
        <v>310</v>
      </c>
      <c r="B419" s="1376">
        <f>COUNTIFS($C$8:C419,"*ПС*",$J$8:J419,"*закрыт*")</f>
        <v>80</v>
      </c>
      <c r="C419" s="244" t="str">
        <f>'Расчет ЦП - общая форма'!AA419</f>
        <v xml:space="preserve">ПС 110/35/10 кВ Кувшиново  </v>
      </c>
      <c r="D419" s="230">
        <f>'Расчет ЦП - общая форма'!AB419</f>
        <v>40</v>
      </c>
      <c r="E419" s="229" t="str">
        <f>'Расчет ЦП - общая форма'!AC419</f>
        <v>+</v>
      </c>
      <c r="F419" s="229">
        <f>'Расчет ЦП - общая форма'!AD419</f>
        <v>25</v>
      </c>
      <c r="G419" s="229">
        <f>'Расчет ЦП - общая форма'!AE419</f>
        <v>0</v>
      </c>
      <c r="H419" s="229">
        <f>'Расчет ЦП - общая форма'!AF419</f>
        <v>0</v>
      </c>
      <c r="I419" s="1367">
        <f>'Расчет ЦП - общая форма'!AP419</f>
        <v>-7.1499999999999986</v>
      </c>
      <c r="J419" s="1367" t="str">
        <f>'Расчет ЦП - общая форма'!AQ419</f>
        <v>закрыт</v>
      </c>
      <c r="K419" s="924" t="str">
        <f>'Расчет ЦП - общая форма'!AR419</f>
        <v>закрыт</v>
      </c>
      <c r="L419" s="924">
        <f>'Расчет ЦП - общая форма'!AS419</f>
        <v>139.04761904761904</v>
      </c>
      <c r="M419" s="924"/>
      <c r="N419" s="924"/>
    </row>
    <row r="420" spans="1:14" x14ac:dyDescent="0.25">
      <c r="A420" s="1371">
        <f>'Расчет ЦП - общая форма'!Y420</f>
        <v>0</v>
      </c>
      <c r="B420" s="1393"/>
      <c r="C420" s="244" t="str">
        <f>'Расчет ЦП - общая форма'!AA420</f>
        <v xml:space="preserve">Ном. Мощность СН, МВА </v>
      </c>
      <c r="D420" s="230">
        <f>'Расчет ЦП - общая форма'!AB420</f>
        <v>40</v>
      </c>
      <c r="E420" s="229" t="str">
        <f>'Расчет ЦП - общая форма'!AC420</f>
        <v>+</v>
      </c>
      <c r="F420" s="229">
        <f>'Расчет ЦП - общая форма'!AD420</f>
        <v>25</v>
      </c>
      <c r="G420" s="229">
        <f>'Расчет ЦП - общая форма'!AE420</f>
        <v>0</v>
      </c>
      <c r="H420" s="229">
        <f>'Расчет ЦП - общая форма'!AF420</f>
        <v>0</v>
      </c>
      <c r="I420" s="1368">
        <f>'Расчет ЦП - общая форма'!AP420</f>
        <v>0</v>
      </c>
      <c r="J420" s="1368">
        <f>'Расчет ЦП - общая форма'!AQ420</f>
        <v>0</v>
      </c>
      <c r="K420" s="924" t="str">
        <f>'Расчет ЦП - общая форма'!AR420</f>
        <v>закрыт</v>
      </c>
      <c r="L420" s="924">
        <f>'Расчет ЦП - общая форма'!AS420</f>
        <v>0</v>
      </c>
      <c r="M420" s="924"/>
      <c r="N420" s="924"/>
    </row>
    <row r="421" spans="1:14" x14ac:dyDescent="0.25">
      <c r="A421" s="1371">
        <f>'Расчет ЦП - общая форма'!Y421</f>
        <v>0</v>
      </c>
      <c r="B421" s="1394"/>
      <c r="C421" s="244" t="str">
        <f>'Расчет ЦП - общая форма'!AA421</f>
        <v>Ном. мощность НН, МВА</v>
      </c>
      <c r="D421" s="230">
        <f>'Расчет ЦП - общая форма'!AB421</f>
        <v>40</v>
      </c>
      <c r="E421" s="229" t="str">
        <f>'Расчет ЦП - общая форма'!AC421</f>
        <v>+</v>
      </c>
      <c r="F421" s="229">
        <f>'Расчет ЦП - общая форма'!AD421</f>
        <v>25</v>
      </c>
      <c r="G421" s="229">
        <f>'Расчет ЦП - общая форма'!AE421</f>
        <v>0</v>
      </c>
      <c r="H421" s="229">
        <f>'Расчет ЦП - общая форма'!AF421</f>
        <v>0</v>
      </c>
      <c r="I421" s="1369">
        <f>'Расчет ЦП - общая форма'!AP421</f>
        <v>0</v>
      </c>
      <c r="J421" s="1369">
        <f>'Расчет ЦП - общая форма'!AQ421</f>
        <v>0</v>
      </c>
      <c r="K421" s="924" t="str">
        <f>'Расчет ЦП - общая форма'!AR421</f>
        <v>закрыт</v>
      </c>
      <c r="L421" s="924">
        <f>'Расчет ЦП - общая форма'!AS421</f>
        <v>0</v>
      </c>
      <c r="M421" s="924"/>
      <c r="N421" s="924"/>
    </row>
    <row r="422" spans="1:14" hidden="1" x14ac:dyDescent="0.25">
      <c r="A422" s="1371">
        <f>'Расчет ЦП - общая форма'!Y422</f>
        <v>311</v>
      </c>
      <c r="B422" s="1376">
        <f>COUNTIFS($C$8:C422,"*ПС*",$J$8:J422,"*закрыт*")</f>
        <v>80</v>
      </c>
      <c r="C422" s="244" t="str">
        <f>'Расчет ЦП - общая форма'!AA422</f>
        <v xml:space="preserve">ПС 110/35/10 кВ Селижарово  </v>
      </c>
      <c r="D422" s="230">
        <f>'Расчет ЦП - общая форма'!AB422</f>
        <v>16</v>
      </c>
      <c r="E422" s="229" t="str">
        <f>'Расчет ЦП - общая форма'!AC422</f>
        <v>+</v>
      </c>
      <c r="F422" s="229">
        <f>'Расчет ЦП - общая форма'!AD422</f>
        <v>10</v>
      </c>
      <c r="G422" s="229">
        <f>'Расчет ЦП - общая форма'!AE422</f>
        <v>0</v>
      </c>
      <c r="H422" s="229">
        <f>'Расчет ЦП - общая форма'!AF422</f>
        <v>0</v>
      </c>
      <c r="I422" s="1367">
        <f>'Расчет ЦП - общая форма'!AP422</f>
        <v>1.2350000000000012</v>
      </c>
      <c r="J422" s="1367" t="str">
        <f>'Расчет ЦП - общая форма'!AQ422</f>
        <v/>
      </c>
      <c r="K422" s="924" t="str">
        <f>'Расчет ЦП - общая форма'!AR422</f>
        <v/>
      </c>
      <c r="L422" s="924">
        <f>'Расчет ЦП - общая форма'!AS422</f>
        <v>88.238095238095227</v>
      </c>
      <c r="M422" s="924"/>
      <c r="N422" s="924"/>
    </row>
    <row r="423" spans="1:14" hidden="1" x14ac:dyDescent="0.25">
      <c r="A423" s="1371">
        <f>'Расчет ЦП - общая форма'!Y423</f>
        <v>0</v>
      </c>
      <c r="B423" s="1393"/>
      <c r="C423" s="244" t="str">
        <f>'Расчет ЦП - общая форма'!AA423</f>
        <v xml:space="preserve">Ном. Мощность СН, МВА </v>
      </c>
      <c r="D423" s="230">
        <f>'Расчет ЦП - общая форма'!AB423</f>
        <v>16</v>
      </c>
      <c r="E423" s="229" t="str">
        <f>'Расчет ЦП - общая форма'!AC423</f>
        <v>+</v>
      </c>
      <c r="F423" s="229">
        <f>'Расчет ЦП - общая форма'!AD423</f>
        <v>10</v>
      </c>
      <c r="G423" s="229">
        <f>'Расчет ЦП - общая форма'!AE423</f>
        <v>0</v>
      </c>
      <c r="H423" s="229">
        <f>'Расчет ЦП - общая форма'!AF423</f>
        <v>0</v>
      </c>
      <c r="I423" s="1368">
        <f>'Расчет ЦП - общая форма'!AP423</f>
        <v>0</v>
      </c>
      <c r="J423" s="1368" t="str">
        <f>'Расчет ЦП - общая форма'!AQ423</f>
        <v/>
      </c>
      <c r="K423" s="924" t="str">
        <f>'Расчет ЦП - общая форма'!AR423</f>
        <v/>
      </c>
      <c r="L423" s="924">
        <f>'Расчет ЦП - общая форма'!AS423</f>
        <v>0</v>
      </c>
      <c r="M423" s="924"/>
      <c r="N423" s="924"/>
    </row>
    <row r="424" spans="1:14" hidden="1" x14ac:dyDescent="0.25">
      <c r="A424" s="1371">
        <f>'Расчет ЦП - общая форма'!Y424</f>
        <v>0</v>
      </c>
      <c r="B424" s="1394"/>
      <c r="C424" s="244" t="str">
        <f>'Расчет ЦП - общая форма'!AA424</f>
        <v>Ном. мощность НН, МВА</v>
      </c>
      <c r="D424" s="230">
        <f>'Расчет ЦП - общая форма'!AB424</f>
        <v>16</v>
      </c>
      <c r="E424" s="229" t="str">
        <f>'Расчет ЦП - общая форма'!AC424</f>
        <v>+</v>
      </c>
      <c r="F424" s="229">
        <f>'Расчет ЦП - общая форма'!AD424</f>
        <v>10</v>
      </c>
      <c r="G424" s="229">
        <f>'Расчет ЦП - общая форма'!AE424</f>
        <v>0</v>
      </c>
      <c r="H424" s="229">
        <f>'Расчет ЦП - общая форма'!AF424</f>
        <v>0</v>
      </c>
      <c r="I424" s="1369">
        <f>'Расчет ЦП - общая форма'!AP424</f>
        <v>0</v>
      </c>
      <c r="J424" s="1369" t="str">
        <f>'Расчет ЦП - общая форма'!AQ424</f>
        <v/>
      </c>
      <c r="K424" s="924" t="str">
        <f>'Расчет ЦП - общая форма'!AR424</f>
        <v/>
      </c>
      <c r="L424" s="924">
        <f>'Расчет ЦП - общая форма'!AS424</f>
        <v>0</v>
      </c>
      <c r="M424" s="924"/>
      <c r="N424" s="924"/>
    </row>
    <row r="425" spans="1:14" hidden="1" x14ac:dyDescent="0.25">
      <c r="A425" s="1371">
        <f>'Расчет ЦП - общая форма'!Y425</f>
        <v>312</v>
      </c>
      <c r="B425" s="1376">
        <f>COUNTIFS($C$8:C425,"*ПС*",$J$8:J425,"*закрыт*")</f>
        <v>80</v>
      </c>
      <c r="C425" s="244" t="str">
        <f>'Расчет ЦП - общая форма'!AA425</f>
        <v xml:space="preserve">ПС 110/35/10 кВ НПС Борисово </v>
      </c>
      <c r="D425" s="230">
        <f>'Расчет ЦП - общая форма'!AB425</f>
        <v>25</v>
      </c>
      <c r="E425" s="229" t="str">
        <f>'Расчет ЦП - общая форма'!AC425</f>
        <v>+</v>
      </c>
      <c r="F425" s="229">
        <f>'Расчет ЦП - общая форма'!AD425</f>
        <v>25</v>
      </c>
      <c r="G425" s="229">
        <f>'Расчет ЦП - общая форма'!AE425</f>
        <v>0</v>
      </c>
      <c r="H425" s="229">
        <f>'Расчет ЦП - общая форма'!AF425</f>
        <v>0</v>
      </c>
      <c r="I425" s="1367">
        <f>'Расчет ЦП - общая форма'!AP425</f>
        <v>25.08</v>
      </c>
      <c r="J425" s="1367" t="str">
        <f>'Расчет ЦП - общая форма'!AQ425</f>
        <v/>
      </c>
      <c r="K425" s="924" t="str">
        <f>'Расчет ЦП - общая форма'!AR425</f>
        <v/>
      </c>
      <c r="L425" s="924">
        <f>'Расчет ЦП - общая форма'!AS425</f>
        <v>7.1238095238095234</v>
      </c>
      <c r="M425" s="924"/>
      <c r="N425" s="924"/>
    </row>
    <row r="426" spans="1:14" hidden="1" x14ac:dyDescent="0.25">
      <c r="A426" s="1371">
        <f>'Расчет ЦП - общая форма'!Y426</f>
        <v>0</v>
      </c>
      <c r="B426" s="1393"/>
      <c r="C426" s="244" t="str">
        <f>'Расчет ЦП - общая форма'!AA426</f>
        <v xml:space="preserve">Ном. Мощность СН, МВА </v>
      </c>
      <c r="D426" s="230">
        <f>'Расчет ЦП - общая форма'!AB426</f>
        <v>25</v>
      </c>
      <c r="E426" s="229" t="str">
        <f>'Расчет ЦП - общая форма'!AC426</f>
        <v>+</v>
      </c>
      <c r="F426" s="229">
        <f>'Расчет ЦП - общая форма'!AD426</f>
        <v>25</v>
      </c>
      <c r="G426" s="229">
        <f>'Расчет ЦП - общая форма'!AE426</f>
        <v>0</v>
      </c>
      <c r="H426" s="229">
        <f>'Расчет ЦП - общая форма'!AF426</f>
        <v>0</v>
      </c>
      <c r="I426" s="1368">
        <f>'Расчет ЦП - общая форма'!AP426</f>
        <v>0</v>
      </c>
      <c r="J426" s="1368" t="str">
        <f>'Расчет ЦП - общая форма'!AQ426</f>
        <v/>
      </c>
      <c r="K426" s="924" t="str">
        <f>'Расчет ЦП - общая форма'!AR426</f>
        <v/>
      </c>
      <c r="L426" s="924">
        <f>'Расчет ЦП - общая форма'!AS426</f>
        <v>0</v>
      </c>
      <c r="M426" s="924"/>
      <c r="N426" s="924"/>
    </row>
    <row r="427" spans="1:14" hidden="1" x14ac:dyDescent="0.25">
      <c r="A427" s="1371">
        <f>'Расчет ЦП - общая форма'!Y427</f>
        <v>0</v>
      </c>
      <c r="B427" s="1394"/>
      <c r="C427" s="244" t="str">
        <f>'Расчет ЦП - общая форма'!AA427</f>
        <v>Ном. мощность НН, МВА</v>
      </c>
      <c r="D427" s="230">
        <f>'Расчет ЦП - общая форма'!AB427</f>
        <v>25</v>
      </c>
      <c r="E427" s="229" t="str">
        <f>'Расчет ЦП - общая форма'!AC427</f>
        <v>+</v>
      </c>
      <c r="F427" s="229">
        <f>'Расчет ЦП - общая форма'!AD427</f>
        <v>25</v>
      </c>
      <c r="G427" s="229">
        <f>'Расчет ЦП - общая форма'!AE427</f>
        <v>0</v>
      </c>
      <c r="H427" s="229">
        <f>'Расчет ЦП - общая форма'!AF427</f>
        <v>0</v>
      </c>
      <c r="I427" s="1369">
        <f>'Расчет ЦП - общая форма'!AP427</f>
        <v>0</v>
      </c>
      <c r="J427" s="1369" t="str">
        <f>'Расчет ЦП - общая форма'!AQ427</f>
        <v/>
      </c>
      <c r="K427" s="924" t="str">
        <f>'Расчет ЦП - общая форма'!AR427</f>
        <v/>
      </c>
      <c r="L427" s="924">
        <f>'Расчет ЦП - общая форма'!AS427</f>
        <v>0</v>
      </c>
      <c r="M427" s="924"/>
      <c r="N427" s="924"/>
    </row>
    <row r="428" spans="1:14" ht="20.100000000000001" hidden="1" customHeight="1" x14ac:dyDescent="0.25">
      <c r="A428" s="1371">
        <f>'Расчет ЦП - общая форма'!Y428</f>
        <v>313</v>
      </c>
      <c r="B428" s="1376">
        <f>COUNTIFS($C$8:C428,"*ПС*",$J$8:J428,"*закрыт*")</f>
        <v>80</v>
      </c>
      <c r="C428" s="244" t="str">
        <f>'Расчет ЦП - общая форма'!AA428</f>
        <v xml:space="preserve">ПС 110/35/10 кВ Осташков  </v>
      </c>
      <c r="D428" s="230">
        <f>'Расчет ЦП - общая форма'!AB428</f>
        <v>25</v>
      </c>
      <c r="E428" s="229" t="str">
        <f>'Расчет ЦП - общая форма'!AC428</f>
        <v>+</v>
      </c>
      <c r="F428" s="229">
        <f>'Расчет ЦП - общая форма'!AD428</f>
        <v>25</v>
      </c>
      <c r="G428" s="229">
        <f>'Расчет ЦП - общая форма'!AE428</f>
        <v>0</v>
      </c>
      <c r="H428" s="229">
        <f>'Расчет ЦП - общая форма'!AF428</f>
        <v>0</v>
      </c>
      <c r="I428" s="1367">
        <f>'Расчет ЦП - общая форма'!AP428</f>
        <v>7.6149999999999984</v>
      </c>
      <c r="J428" s="1367" t="str">
        <f>'Расчет ЦП - общая форма'!AQ428</f>
        <v/>
      </c>
      <c r="K428" s="924" t="str">
        <f>'Расчет ЦП - общая форма'!AR428</f>
        <v/>
      </c>
      <c r="L428" s="924">
        <f>'Расчет ЦП - общая форма'!AS428</f>
        <v>70.990476190476201</v>
      </c>
      <c r="M428" s="924"/>
      <c r="N428" s="924"/>
    </row>
    <row r="429" spans="1:14" ht="20.100000000000001" hidden="1" customHeight="1" x14ac:dyDescent="0.25">
      <c r="A429" s="1371">
        <f>'Расчет ЦП - общая форма'!Y429</f>
        <v>0</v>
      </c>
      <c r="B429" s="1393"/>
      <c r="C429" s="244" t="str">
        <f>'Расчет ЦП - общая форма'!AA429</f>
        <v xml:space="preserve">Ном. Мощность СН, МВА </v>
      </c>
      <c r="D429" s="230">
        <f>'Расчет ЦП - общая форма'!AB429</f>
        <v>25</v>
      </c>
      <c r="E429" s="229" t="str">
        <f>'Расчет ЦП - общая форма'!AC429</f>
        <v>+</v>
      </c>
      <c r="F429" s="229">
        <f>'Расчет ЦП - общая форма'!AD429</f>
        <v>25</v>
      </c>
      <c r="G429" s="229">
        <f>'Расчет ЦП - общая форма'!AE429</f>
        <v>0</v>
      </c>
      <c r="H429" s="229">
        <f>'Расчет ЦП - общая форма'!AF429</f>
        <v>0</v>
      </c>
      <c r="I429" s="1368">
        <f>'Расчет ЦП - общая форма'!AP429</f>
        <v>0</v>
      </c>
      <c r="J429" s="1368" t="str">
        <f>'Расчет ЦП - общая форма'!AQ429</f>
        <v/>
      </c>
      <c r="K429" s="924" t="str">
        <f>'Расчет ЦП - общая форма'!AR429</f>
        <v/>
      </c>
      <c r="L429" s="924">
        <f>'Расчет ЦП - общая форма'!AS429</f>
        <v>0</v>
      </c>
      <c r="M429" s="924"/>
      <c r="N429" s="924"/>
    </row>
    <row r="430" spans="1:14" ht="20.100000000000001" hidden="1" customHeight="1" x14ac:dyDescent="0.25">
      <c r="A430" s="1371">
        <f>'Расчет ЦП - общая форма'!Y430</f>
        <v>0</v>
      </c>
      <c r="B430" s="1394"/>
      <c r="C430" s="244" t="str">
        <f>'Расчет ЦП - общая форма'!AA430</f>
        <v>Ном. мощность НН, МВА</v>
      </c>
      <c r="D430" s="230">
        <f>'Расчет ЦП - общая форма'!AB430</f>
        <v>25</v>
      </c>
      <c r="E430" s="229" t="str">
        <f>'Расчет ЦП - общая форма'!AC430</f>
        <v>+</v>
      </c>
      <c r="F430" s="229">
        <f>'Расчет ЦП - общая форма'!AD430</f>
        <v>25</v>
      </c>
      <c r="G430" s="229">
        <f>'Расчет ЦП - общая форма'!AE430</f>
        <v>0</v>
      </c>
      <c r="H430" s="229">
        <f>'Расчет ЦП - общая форма'!AF430</f>
        <v>0</v>
      </c>
      <c r="I430" s="1369">
        <f>'Расчет ЦП - общая форма'!AP430</f>
        <v>0</v>
      </c>
      <c r="J430" s="1369" t="str">
        <f>'Расчет ЦП - общая форма'!AQ430</f>
        <v/>
      </c>
      <c r="K430" s="924" t="str">
        <f>'Расчет ЦП - общая форма'!AR430</f>
        <v/>
      </c>
      <c r="L430" s="924">
        <f>'Расчет ЦП - общая форма'!AS430</f>
        <v>0</v>
      </c>
      <c r="M430" s="924"/>
      <c r="N430" s="924"/>
    </row>
    <row r="431" spans="1:14" hidden="1" x14ac:dyDescent="0.25">
      <c r="A431" s="1371">
        <f>'Расчет ЦП - общая форма'!Y431</f>
        <v>314</v>
      </c>
      <c r="B431" s="1376">
        <f>COUNTIFS($C$8:C431,"*ПС*",$J$8:J431,"*закрыт*")</f>
        <v>80</v>
      </c>
      <c r="C431" s="244" t="str">
        <f>'Расчет ЦП - общая форма'!AA431</f>
        <v xml:space="preserve">ПС  110/35/10 кВ Н. Рожок </v>
      </c>
      <c r="D431" s="230">
        <f>'Расчет ЦП - общая форма'!AB431</f>
        <v>10</v>
      </c>
      <c r="E431" s="229" t="str">
        <f>'Расчет ЦП - общая форма'!AC431</f>
        <v>+</v>
      </c>
      <c r="F431" s="229">
        <f>'Расчет ЦП - общая форма'!AD431</f>
        <v>10</v>
      </c>
      <c r="G431" s="229">
        <f>'Расчет ЦП - общая форма'!AE431</f>
        <v>0</v>
      </c>
      <c r="H431" s="228">
        <f>'Расчет ЦП - общая форма'!AF431</f>
        <v>0</v>
      </c>
      <c r="I431" s="1367">
        <f>'Расчет ЦП - общая форма'!AP431</f>
        <v>0.13000000000000078</v>
      </c>
      <c r="J431" s="1367" t="str">
        <f>'Расчет ЦП - общая форма'!AQ431</f>
        <v/>
      </c>
      <c r="K431" s="924" t="str">
        <f>'Расчет ЦП - общая форма'!AR431</f>
        <v/>
      </c>
      <c r="L431" s="924">
        <f>'Расчет ЦП - общая форма'!AS431</f>
        <v>98.761904761904759</v>
      </c>
      <c r="M431" s="924"/>
      <c r="N431" s="924"/>
    </row>
    <row r="432" spans="1:14" hidden="1" x14ac:dyDescent="0.25">
      <c r="A432" s="1371">
        <f>'Расчет ЦП - общая форма'!Y432</f>
        <v>0</v>
      </c>
      <c r="B432" s="1393"/>
      <c r="C432" s="244" t="str">
        <f>'Расчет ЦП - общая форма'!AA432</f>
        <v xml:space="preserve">Ном. Мощность СН, МВА </v>
      </c>
      <c r="D432" s="230">
        <f>'Расчет ЦП - общая форма'!AB432</f>
        <v>10</v>
      </c>
      <c r="E432" s="229" t="str">
        <f>'Расчет ЦП - общая форма'!AC432</f>
        <v>+</v>
      </c>
      <c r="F432" s="229">
        <f>'Расчет ЦП - общая форма'!AD432</f>
        <v>10</v>
      </c>
      <c r="G432" s="229">
        <f>'Расчет ЦП - общая форма'!AE432</f>
        <v>0</v>
      </c>
      <c r="H432" s="228">
        <f>'Расчет ЦП - общая форма'!AF432</f>
        <v>0</v>
      </c>
      <c r="I432" s="1368">
        <f>'Расчет ЦП - общая форма'!AP432</f>
        <v>0</v>
      </c>
      <c r="J432" s="1368">
        <f>'Расчет ЦП - общая форма'!AQ432</f>
        <v>0</v>
      </c>
      <c r="K432" s="924" t="str">
        <f>'Расчет ЦП - общая форма'!AR432</f>
        <v/>
      </c>
      <c r="L432" s="924">
        <f>'Расчет ЦП - общая форма'!AS432</f>
        <v>0</v>
      </c>
      <c r="M432" s="924"/>
      <c r="N432" s="924"/>
    </row>
    <row r="433" spans="1:14" hidden="1" x14ac:dyDescent="0.25">
      <c r="A433" s="1371">
        <f>'Расчет ЦП - общая форма'!Y433</f>
        <v>0</v>
      </c>
      <c r="B433" s="1394"/>
      <c r="C433" s="244" t="str">
        <f>'Расчет ЦП - общая форма'!AA433</f>
        <v>Ном. мощность НН, МВА</v>
      </c>
      <c r="D433" s="230">
        <f>'Расчет ЦП - общая форма'!AB433</f>
        <v>10</v>
      </c>
      <c r="E433" s="229" t="str">
        <f>'Расчет ЦП - общая форма'!AC433</f>
        <v>+</v>
      </c>
      <c r="F433" s="229">
        <f>'Расчет ЦП - общая форма'!AD433</f>
        <v>10</v>
      </c>
      <c r="G433" s="229">
        <f>'Расчет ЦП - общая форма'!AE433</f>
        <v>0</v>
      </c>
      <c r="H433" s="228">
        <f>'Расчет ЦП - общая форма'!AF433</f>
        <v>0</v>
      </c>
      <c r="I433" s="1369">
        <f>'Расчет ЦП - общая форма'!AP433</f>
        <v>0</v>
      </c>
      <c r="J433" s="1369">
        <f>'Расчет ЦП - общая форма'!AQ433</f>
        <v>0</v>
      </c>
      <c r="K433" s="924" t="str">
        <f>'Расчет ЦП - общая форма'!AR433</f>
        <v/>
      </c>
      <c r="L433" s="924">
        <f>'Расчет ЦП - общая форма'!AS433</f>
        <v>0</v>
      </c>
      <c r="M433" s="924"/>
      <c r="N433" s="924"/>
    </row>
    <row r="434" spans="1:14" ht="15.75" x14ac:dyDescent="0.25">
      <c r="A434" s="925"/>
      <c r="B434" s="1464" t="s">
        <v>784</v>
      </c>
      <c r="C434" s="1465"/>
      <c r="D434" s="1465"/>
      <c r="E434" s="1465"/>
      <c r="F434" s="1465"/>
      <c r="G434" s="1465"/>
      <c r="H434" s="1435"/>
      <c r="I434" s="927">
        <f>SUMIFS(I8:I433,C8:C433,"*ПС*",K8:K433,"*закрыт*")</f>
        <v>-182.78579945022844</v>
      </c>
      <c r="J434" s="925"/>
      <c r="K434" s="926" t="s">
        <v>3409</v>
      </c>
      <c r="L434" s="925"/>
      <c r="M434" s="925"/>
      <c r="N434" s="925"/>
    </row>
    <row r="435" spans="1:14" x14ac:dyDescent="0.25">
      <c r="A435" s="925"/>
      <c r="B435" s="1182"/>
      <c r="C435" s="925"/>
      <c r="D435" s="925"/>
      <c r="E435" s="925"/>
      <c r="F435" s="925"/>
      <c r="G435" s="925"/>
      <c r="H435" s="925"/>
      <c r="I435" s="925"/>
      <c r="J435" s="925"/>
      <c r="K435" s="925"/>
      <c r="L435" s="925"/>
      <c r="M435" s="925"/>
      <c r="N435" s="925"/>
    </row>
    <row r="436" spans="1:14" x14ac:dyDescent="0.25">
      <c r="A436" s="925"/>
      <c r="B436" s="1182"/>
      <c r="C436" s="925"/>
      <c r="D436" s="925"/>
      <c r="E436" s="925"/>
      <c r="F436" s="925"/>
      <c r="G436" s="925"/>
      <c r="H436" s="925"/>
      <c r="I436" s="925"/>
      <c r="J436" s="925"/>
      <c r="K436" s="925"/>
      <c r="L436" s="925"/>
      <c r="M436" s="925"/>
      <c r="N436" s="925"/>
    </row>
    <row r="437" spans="1:14" x14ac:dyDescent="0.25">
      <c r="A437" s="925"/>
      <c r="B437" s="1182"/>
      <c r="C437" s="925"/>
      <c r="D437" s="925"/>
      <c r="E437" s="925"/>
      <c r="F437" s="925"/>
      <c r="G437" s="925"/>
      <c r="H437" s="925"/>
      <c r="I437" s="925"/>
      <c r="J437" s="925"/>
      <c r="K437" s="925"/>
      <c r="L437" s="925"/>
    </row>
    <row r="438" spans="1:14" x14ac:dyDescent="0.25">
      <c r="A438" s="925"/>
      <c r="B438" s="1182"/>
      <c r="C438" s="925"/>
      <c r="D438" s="925"/>
      <c r="E438" s="925"/>
      <c r="F438" s="925"/>
      <c r="G438" s="925"/>
      <c r="H438" s="925"/>
      <c r="I438" s="925"/>
      <c r="J438" s="925"/>
      <c r="K438" s="925"/>
      <c r="L438" s="925"/>
      <c r="M438" s="925"/>
      <c r="N438" s="925"/>
    </row>
    <row r="439" spans="1:14" x14ac:dyDescent="0.25">
      <c r="A439" s="925"/>
      <c r="B439" s="1182"/>
      <c r="C439" s="925"/>
      <c r="D439" s="925"/>
      <c r="E439" s="925"/>
      <c r="F439" s="925"/>
      <c r="G439" s="925"/>
      <c r="H439" s="925"/>
      <c r="I439" s="925"/>
      <c r="J439" s="925"/>
      <c r="K439" s="925"/>
      <c r="L439" s="925"/>
      <c r="M439" s="925"/>
      <c r="N439" s="925"/>
    </row>
    <row r="440" spans="1:14" x14ac:dyDescent="0.25">
      <c r="A440" s="925"/>
      <c r="B440" s="1182"/>
      <c r="C440" s="925"/>
      <c r="D440" s="925"/>
      <c r="E440" s="925"/>
      <c r="F440" s="925"/>
      <c r="G440" s="925"/>
      <c r="H440" s="925"/>
      <c r="I440" s="925"/>
      <c r="J440" s="925"/>
      <c r="K440" s="925"/>
      <c r="L440" s="925"/>
      <c r="M440" s="925"/>
      <c r="N440" s="925"/>
    </row>
    <row r="441" spans="1:14" x14ac:dyDescent="0.25">
      <c r="A441" s="925"/>
      <c r="B441" s="1182"/>
      <c r="C441" s="925"/>
      <c r="D441" s="925"/>
      <c r="E441" s="925"/>
      <c r="F441" s="925"/>
      <c r="G441" s="925"/>
      <c r="H441" s="925"/>
      <c r="I441" s="925"/>
      <c r="J441" s="925"/>
      <c r="K441" s="925"/>
      <c r="L441" s="925"/>
      <c r="M441" s="925"/>
      <c r="N441" s="925"/>
    </row>
    <row r="442" spans="1:14" x14ac:dyDescent="0.25">
      <c r="A442" s="925"/>
      <c r="B442" s="1182"/>
      <c r="C442" s="925"/>
      <c r="D442" s="925"/>
      <c r="E442" s="925"/>
      <c r="F442" s="925"/>
      <c r="G442" s="925"/>
      <c r="H442" s="925"/>
      <c r="I442" s="925"/>
      <c r="J442" s="925"/>
      <c r="K442" s="925"/>
      <c r="L442" s="925"/>
      <c r="M442" s="925"/>
      <c r="N442" s="925"/>
    </row>
    <row r="443" spans="1:14" x14ac:dyDescent="0.25">
      <c r="A443" s="925"/>
      <c r="B443" s="1182"/>
      <c r="C443" s="925"/>
      <c r="D443" s="925"/>
      <c r="E443" s="925"/>
      <c r="F443" s="925"/>
      <c r="G443" s="925"/>
      <c r="H443" s="925"/>
      <c r="I443" s="925"/>
      <c r="J443" s="925"/>
      <c r="K443" s="925"/>
      <c r="L443" s="925"/>
      <c r="M443" s="925"/>
      <c r="N443" s="925"/>
    </row>
    <row r="444" spans="1:14" x14ac:dyDescent="0.25">
      <c r="A444" s="925"/>
      <c r="B444" s="1182"/>
      <c r="C444" s="925"/>
      <c r="D444" s="925"/>
      <c r="E444" s="925"/>
      <c r="F444" s="925"/>
      <c r="G444" s="925"/>
      <c r="H444" s="925"/>
      <c r="I444" s="925"/>
      <c r="J444" s="925"/>
      <c r="K444" s="925"/>
      <c r="L444" s="925"/>
      <c r="M444" s="925"/>
      <c r="N444" s="925"/>
    </row>
    <row r="445" spans="1:14" x14ac:dyDescent="0.25">
      <c r="A445" s="925"/>
      <c r="B445" s="1182"/>
      <c r="C445" s="925"/>
      <c r="D445" s="925"/>
      <c r="E445" s="925"/>
      <c r="F445" s="925"/>
      <c r="G445" s="925"/>
      <c r="H445" s="925"/>
      <c r="I445" s="925"/>
      <c r="J445" s="925"/>
      <c r="K445" s="925"/>
      <c r="L445" s="925"/>
      <c r="M445" s="925"/>
      <c r="N445" s="925"/>
    </row>
    <row r="446" spans="1:14" x14ac:dyDescent="0.25">
      <c r="A446" s="925"/>
      <c r="B446" s="1182"/>
      <c r="C446" s="925"/>
      <c r="D446" s="925"/>
      <c r="E446" s="925"/>
      <c r="F446" s="925"/>
      <c r="G446" s="925"/>
      <c r="H446" s="925"/>
      <c r="I446" s="925"/>
      <c r="J446" s="925"/>
      <c r="K446" s="925"/>
      <c r="L446" s="925"/>
      <c r="M446" s="925"/>
      <c r="N446" s="925"/>
    </row>
    <row r="447" spans="1:14" x14ac:dyDescent="0.25">
      <c r="A447" s="925"/>
      <c r="B447" s="1182"/>
      <c r="C447" s="925"/>
      <c r="D447" s="925"/>
      <c r="E447" s="925"/>
      <c r="F447" s="925"/>
      <c r="G447" s="925"/>
      <c r="H447" s="925"/>
      <c r="I447" s="925"/>
      <c r="J447" s="925"/>
      <c r="K447" s="925"/>
      <c r="L447" s="925"/>
      <c r="M447" s="925"/>
      <c r="N447" s="925"/>
    </row>
    <row r="448" spans="1:14" x14ac:dyDescent="0.25">
      <c r="A448" s="925"/>
      <c r="B448" s="1182"/>
      <c r="C448" s="925"/>
      <c r="D448" s="925"/>
      <c r="E448" s="925"/>
      <c r="F448" s="925"/>
      <c r="G448" s="925"/>
      <c r="H448" s="925"/>
      <c r="I448" s="925"/>
      <c r="J448" s="925"/>
      <c r="K448" s="925"/>
      <c r="L448" s="925"/>
      <c r="M448" s="925"/>
      <c r="N448" s="925"/>
    </row>
    <row r="449" spans="1:14" x14ac:dyDescent="0.25">
      <c r="A449" s="925"/>
      <c r="B449" s="1182"/>
      <c r="C449" s="925"/>
      <c r="D449" s="925"/>
      <c r="E449" s="925"/>
      <c r="F449" s="925"/>
      <c r="G449" s="925"/>
      <c r="H449" s="925"/>
      <c r="I449" s="925"/>
      <c r="J449" s="925"/>
      <c r="K449" s="925"/>
      <c r="L449" s="925"/>
      <c r="M449" s="925"/>
      <c r="N449" s="925"/>
    </row>
    <row r="450" spans="1:14" x14ac:dyDescent="0.25">
      <c r="A450" s="925"/>
      <c r="B450" s="1182"/>
      <c r="C450" s="925"/>
      <c r="D450" s="925"/>
      <c r="E450" s="925"/>
      <c r="F450" s="925"/>
      <c r="G450" s="925"/>
      <c r="H450" s="925"/>
      <c r="I450" s="925"/>
      <c r="J450" s="925"/>
      <c r="K450" s="925"/>
      <c r="L450" s="925"/>
      <c r="M450" s="925"/>
      <c r="N450" s="925"/>
    </row>
  </sheetData>
  <autoFilter ref="A7:L434">
    <filterColumn colId="3" showButton="0"/>
    <filterColumn colId="4" showButton="0"/>
    <filterColumn colId="5" showButton="0"/>
    <filterColumn colId="6" showButton="0"/>
    <filterColumn colId="10">
      <filters>
        <filter val="закрыт"/>
      </filters>
    </filterColumn>
  </autoFilter>
  <mergeCells count="232">
    <mergeCell ref="D7:H7"/>
    <mergeCell ref="B45:B47"/>
    <mergeCell ref="I39:I41"/>
    <mergeCell ref="B39:B41"/>
    <mergeCell ref="B42:B44"/>
    <mergeCell ref="L4:L6"/>
    <mergeCell ref="A4:A6"/>
    <mergeCell ref="C4:C6"/>
    <mergeCell ref="J4:J6"/>
    <mergeCell ref="D5:H6"/>
    <mergeCell ref="I5:I6"/>
    <mergeCell ref="D4:I4"/>
    <mergeCell ref="K4:K6"/>
    <mergeCell ref="B4:B6"/>
    <mergeCell ref="A66:A68"/>
    <mergeCell ref="A63:A65"/>
    <mergeCell ref="I63:I65"/>
    <mergeCell ref="J66:J68"/>
    <mergeCell ref="A60:A62"/>
    <mergeCell ref="I60:I62"/>
    <mergeCell ref="A42:A44"/>
    <mergeCell ref="I42:I44"/>
    <mergeCell ref="A39:A41"/>
    <mergeCell ref="B48:B50"/>
    <mergeCell ref="B60:B62"/>
    <mergeCell ref="B63:B65"/>
    <mergeCell ref="B66:B68"/>
    <mergeCell ref="J63:J65"/>
    <mergeCell ref="A75:A77"/>
    <mergeCell ref="I75:I77"/>
    <mergeCell ref="J72:J74"/>
    <mergeCell ref="J75:J77"/>
    <mergeCell ref="A72:A74"/>
    <mergeCell ref="I72:I74"/>
    <mergeCell ref="B72:B74"/>
    <mergeCell ref="A69:A71"/>
    <mergeCell ref="I69:I71"/>
    <mergeCell ref="B69:B71"/>
    <mergeCell ref="J69:J71"/>
    <mergeCell ref="B75:B77"/>
    <mergeCell ref="A138:A140"/>
    <mergeCell ref="I138:I140"/>
    <mergeCell ref="J135:J137"/>
    <mergeCell ref="J138:J140"/>
    <mergeCell ref="I129:I131"/>
    <mergeCell ref="A135:A137"/>
    <mergeCell ref="I135:I137"/>
    <mergeCell ref="J129:J131"/>
    <mergeCell ref="J132:J134"/>
    <mergeCell ref="A132:A134"/>
    <mergeCell ref="I132:I134"/>
    <mergeCell ref="A129:A131"/>
    <mergeCell ref="B129:B131"/>
    <mergeCell ref="B132:B134"/>
    <mergeCell ref="B135:B137"/>
    <mergeCell ref="B138:B140"/>
    <mergeCell ref="A150:A152"/>
    <mergeCell ref="I150:I152"/>
    <mergeCell ref="J147:J149"/>
    <mergeCell ref="J150:J152"/>
    <mergeCell ref="I141:I143"/>
    <mergeCell ref="A147:A149"/>
    <mergeCell ref="I147:I149"/>
    <mergeCell ref="J141:J143"/>
    <mergeCell ref="J144:J146"/>
    <mergeCell ref="A144:A146"/>
    <mergeCell ref="A141:A143"/>
    <mergeCell ref="B141:B143"/>
    <mergeCell ref="B144:B146"/>
    <mergeCell ref="B147:B149"/>
    <mergeCell ref="B150:B152"/>
    <mergeCell ref="A188:A190"/>
    <mergeCell ref="I188:I190"/>
    <mergeCell ref="I191:I193"/>
    <mergeCell ref="J185:J187"/>
    <mergeCell ref="J188:J190"/>
    <mergeCell ref="I153:I155"/>
    <mergeCell ref="A185:A187"/>
    <mergeCell ref="I185:I187"/>
    <mergeCell ref="J153:J155"/>
    <mergeCell ref="J182:J184"/>
    <mergeCell ref="A182:A184"/>
    <mergeCell ref="I182:I184"/>
    <mergeCell ref="A153:A155"/>
    <mergeCell ref="B153:B155"/>
    <mergeCell ref="B182:B184"/>
    <mergeCell ref="B185:B187"/>
    <mergeCell ref="B188:B190"/>
    <mergeCell ref="B191:B193"/>
    <mergeCell ref="J197:J199"/>
    <mergeCell ref="J200:J202"/>
    <mergeCell ref="A197:A199"/>
    <mergeCell ref="I197:I199"/>
    <mergeCell ref="I267:I269"/>
    <mergeCell ref="J191:J193"/>
    <mergeCell ref="J194:J196"/>
    <mergeCell ref="A194:A196"/>
    <mergeCell ref="I194:I196"/>
    <mergeCell ref="A191:A193"/>
    <mergeCell ref="B231:B233"/>
    <mergeCell ref="B234:B236"/>
    <mergeCell ref="B237:B239"/>
    <mergeCell ref="B240:B242"/>
    <mergeCell ref="B197:B199"/>
    <mergeCell ref="B203:B205"/>
    <mergeCell ref="B258:B260"/>
    <mergeCell ref="B267:B269"/>
    <mergeCell ref="A258:A260"/>
    <mergeCell ref="A231:A233"/>
    <mergeCell ref="A234:A236"/>
    <mergeCell ref="I240:I242"/>
    <mergeCell ref="I258:I260"/>
    <mergeCell ref="J203:J205"/>
    <mergeCell ref="J231:J233"/>
    <mergeCell ref="B270:B272"/>
    <mergeCell ref="A200:A202"/>
    <mergeCell ref="I200:I202"/>
    <mergeCell ref="B434:H434"/>
    <mergeCell ref="A413:A415"/>
    <mergeCell ref="A422:A424"/>
    <mergeCell ref="I422:I424"/>
    <mergeCell ref="A431:A433"/>
    <mergeCell ref="I416:I418"/>
    <mergeCell ref="B419:B421"/>
    <mergeCell ref="I361:I363"/>
    <mergeCell ref="A364:A366"/>
    <mergeCell ref="B361:B363"/>
    <mergeCell ref="A367:A369"/>
    <mergeCell ref="I367:I369"/>
    <mergeCell ref="I364:I366"/>
    <mergeCell ref="A361:A363"/>
    <mergeCell ref="B425:B427"/>
    <mergeCell ref="B428:B430"/>
    <mergeCell ref="B431:B433"/>
    <mergeCell ref="B376:B378"/>
    <mergeCell ref="B379:B381"/>
    <mergeCell ref="B273:B275"/>
    <mergeCell ref="B422:B424"/>
    <mergeCell ref="A428:A430"/>
    <mergeCell ref="A425:A427"/>
    <mergeCell ref="I203:I205"/>
    <mergeCell ref="A237:A239"/>
    <mergeCell ref="A240:A242"/>
    <mergeCell ref="A273:A275"/>
    <mergeCell ref="A203:A205"/>
    <mergeCell ref="I270:I272"/>
    <mergeCell ref="A267:A269"/>
    <mergeCell ref="B276:B278"/>
    <mergeCell ref="B279:B281"/>
    <mergeCell ref="B352:B354"/>
    <mergeCell ref="B358:B360"/>
    <mergeCell ref="B364:B366"/>
    <mergeCell ref="B367:B369"/>
    <mergeCell ref="B370:B372"/>
    <mergeCell ref="B373:B375"/>
    <mergeCell ref="A416:A418"/>
    <mergeCell ref="A279:A281"/>
    <mergeCell ref="A382:A384"/>
    <mergeCell ref="A349:A351"/>
    <mergeCell ref="A1:L3"/>
    <mergeCell ref="A419:A421"/>
    <mergeCell ref="I419:I421"/>
    <mergeCell ref="B194:B196"/>
    <mergeCell ref="B200:B202"/>
    <mergeCell ref="A379:A381"/>
    <mergeCell ref="I379:I381"/>
    <mergeCell ref="A376:A378"/>
    <mergeCell ref="A373:A375"/>
    <mergeCell ref="I373:I375"/>
    <mergeCell ref="A358:A360"/>
    <mergeCell ref="A276:A278"/>
    <mergeCell ref="I358:I360"/>
    <mergeCell ref="B349:B351"/>
    <mergeCell ref="A270:A272"/>
    <mergeCell ref="I273:I275"/>
    <mergeCell ref="J364:J366"/>
    <mergeCell ref="I352:I354"/>
    <mergeCell ref="A355:A357"/>
    <mergeCell ref="J39:J41"/>
    <mergeCell ref="J42:J44"/>
    <mergeCell ref="J45:J47"/>
    <mergeCell ref="J60:J62"/>
    <mergeCell ref="B382:B384"/>
    <mergeCell ref="J361:J363"/>
    <mergeCell ref="J382:J384"/>
    <mergeCell ref="I382:I384"/>
    <mergeCell ref="B355:B357"/>
    <mergeCell ref="J416:J418"/>
    <mergeCell ref="A370:A372"/>
    <mergeCell ref="I370:I372"/>
    <mergeCell ref="A352:A354"/>
    <mergeCell ref="I355:I357"/>
    <mergeCell ref="B413:B415"/>
    <mergeCell ref="B416:B418"/>
    <mergeCell ref="J431:J433"/>
    <mergeCell ref="J367:J369"/>
    <mergeCell ref="J370:J372"/>
    <mergeCell ref="J373:J375"/>
    <mergeCell ref="J376:J378"/>
    <mergeCell ref="J379:J381"/>
    <mergeCell ref="J234:J236"/>
    <mergeCell ref="J237:J239"/>
    <mergeCell ref="J240:J242"/>
    <mergeCell ref="J258:J260"/>
    <mergeCell ref="J267:J269"/>
    <mergeCell ref="J270:J272"/>
    <mergeCell ref="J419:J421"/>
    <mergeCell ref="J422:J424"/>
    <mergeCell ref="J279:J281"/>
    <mergeCell ref="J349:J351"/>
    <mergeCell ref="J352:J354"/>
    <mergeCell ref="J355:J357"/>
    <mergeCell ref="J273:J275"/>
    <mergeCell ref="J276:J278"/>
    <mergeCell ref="J425:J427"/>
    <mergeCell ref="J413:J415"/>
    <mergeCell ref="J428:J430"/>
    <mergeCell ref="J358:J360"/>
    <mergeCell ref="I431:I433"/>
    <mergeCell ref="I425:I427"/>
    <mergeCell ref="I413:I415"/>
    <mergeCell ref="I144:I146"/>
    <mergeCell ref="I66:I68"/>
    <mergeCell ref="I45:I47"/>
    <mergeCell ref="I276:I278"/>
    <mergeCell ref="I279:I281"/>
    <mergeCell ref="I349:I351"/>
    <mergeCell ref="I231:I233"/>
    <mergeCell ref="I234:I236"/>
    <mergeCell ref="I237:I239"/>
    <mergeCell ref="I428:I430"/>
    <mergeCell ref="I376:I378"/>
  </mergeCells>
  <phoneticPr fontId="4" type="noConversion"/>
  <conditionalFormatting sqref="A8:A433">
    <cfRule type="expression" dxfId="10" priority="10" stopIfTrue="1">
      <formula>$AO8="ЦП Закрыт"</formula>
    </cfRule>
  </conditionalFormatting>
  <conditionalFormatting sqref="C8:C433">
    <cfRule type="expression" dxfId="9" priority="9" stopIfTrue="1">
      <formula>$AO8="ЦП Закрыт"</formula>
    </cfRule>
  </conditionalFormatting>
  <conditionalFormatting sqref="J9:J15">
    <cfRule type="expression" dxfId="8" priority="8" stopIfTrue="1">
      <formula>$AO9="ЦП Закрыт"</formula>
    </cfRule>
  </conditionalFormatting>
  <conditionalFormatting sqref="J8:J433">
    <cfRule type="expression" dxfId="7" priority="7" stopIfTrue="1">
      <formula>$AO8="ЦП Закрыт"</formula>
    </cfRule>
  </conditionalFormatting>
  <conditionalFormatting sqref="I9:I15">
    <cfRule type="expression" dxfId="6" priority="6" stopIfTrue="1">
      <formula>$AO9="ЦП Закрыт"</formula>
    </cfRule>
  </conditionalFormatting>
  <conditionalFormatting sqref="I8:I433">
    <cfRule type="expression" dxfId="5" priority="5" stopIfTrue="1">
      <formula>$AO8="ЦП Закрыт"</formula>
    </cfRule>
  </conditionalFormatting>
  <conditionalFormatting sqref="B8:B39 B42 B45 B48:B60 B63 B66:B129 B132:B182 B185:B194 B197:B200 B203:B231 B234:B258 B261:B267 B270 B273 B276 B279 B282:B349 B352 B355 B358 B361 B364 B367 B370 B373 B376 B379 B382 B385:B413 B416 B419 B422 B425 B428 B431">
    <cfRule type="expression" dxfId="4" priority="4" stopIfTrue="1">
      <formula>$AO8="ЦП Закрыт"</formula>
    </cfRule>
  </conditionalFormatting>
  <conditionalFormatting sqref="B8:B39 B42 B45 B48:B60 B63 B66:B129 B132:B182 B185:B194 B197:B200 B203:B231 B234:B258 B261:B267 B270 B273 B276 B279 B282:B349 B352 B355 B358 B361 B364 B367 B370 B373 B376 B379 B382 B385:B413 B416 B419 B422 B425 B428 B431">
    <cfRule type="expression" dxfId="3" priority="3" stopIfTrue="1">
      <formula>$AO8="ЦП Закрыт"</formula>
    </cfRule>
  </conditionalFormatting>
  <conditionalFormatting sqref="D8:H433">
    <cfRule type="expression" dxfId="2" priority="2" stopIfTrue="1">
      <formula>D8=0</formula>
    </cfRule>
  </conditionalFormatting>
  <conditionalFormatting sqref="B8:B39 B42 B45 B48:B60 B63 B66:B129 B132:B182 B185:B194 B197:B200 B203:B231 B234:B258 B261:B267 B270 B273 B276 B279 B282:B349 B352 B355 B358 B361 B364 B367 B370 B373 B376 B379 B382 B385:B413 B416 B419 B422 B425 B428 B431">
    <cfRule type="expression" dxfId="1" priority="1" stopIfTrue="1">
      <formula>$AO8="ЦП Закрыт"</formula>
    </cfRule>
  </conditionalFormatting>
  <pageMargins left="0.7" right="0.7" top="0.75" bottom="0.75" header="0.3" footer="0.3"/>
  <pageSetup paperSize="9" orientation="portrait" r:id="rId1"/>
  <ignoredErrors>
    <ignoredError sqref="C8:J433" unlockedFormula="1"/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354"/>
  <sheetViews>
    <sheetView zoomScale="55" zoomScaleNormal="55" workbookViewId="0">
      <pane ySplit="5" topLeftCell="A120" activePane="bottomLeft" state="frozen"/>
      <selection pane="bottomLeft" activeCell="H137" sqref="H137"/>
    </sheetView>
  </sheetViews>
  <sheetFormatPr defaultRowHeight="15" x14ac:dyDescent="0.25"/>
  <cols>
    <col min="1" max="1" width="26.7109375" style="135" customWidth="1"/>
    <col min="2" max="2" width="6.7109375" style="3" customWidth="1"/>
    <col min="3" max="3" width="3.28515625" style="3" customWidth="1"/>
    <col min="4" max="4" width="7.85546875" style="3" customWidth="1"/>
    <col min="5" max="5" width="3.42578125" style="3" customWidth="1"/>
    <col min="6" max="6" width="8" style="3" customWidth="1"/>
    <col min="7" max="7" width="22.5703125" style="3" customWidth="1"/>
    <col min="8" max="8" width="17.7109375" style="3" customWidth="1"/>
    <col min="9" max="10" width="15.7109375" style="3" customWidth="1"/>
    <col min="11" max="11" width="12.42578125" style="3" customWidth="1"/>
    <col min="12" max="12" width="13.28515625" style="67" customWidth="1"/>
    <col min="13" max="13" width="34" style="3" customWidth="1"/>
    <col min="14" max="14" width="25.7109375" style="3" customWidth="1"/>
    <col min="15" max="17" width="15.7109375" style="3" customWidth="1"/>
    <col min="18" max="18" width="11.85546875" style="3" customWidth="1"/>
    <col min="19" max="19" width="14.7109375" style="3" customWidth="1"/>
    <col min="20" max="20" width="21" style="3" customWidth="1"/>
    <col min="21" max="21" width="17.28515625" style="3" customWidth="1"/>
    <col min="22" max="22" width="19" style="3" customWidth="1"/>
    <col min="23" max="16384" width="9.140625" style="3"/>
  </cols>
  <sheetData>
    <row r="1" spans="1:24" ht="15.75" customHeight="1" x14ac:dyDescent="0.25">
      <c r="A1" s="1481" t="s">
        <v>2232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</row>
    <row r="2" spans="1:24" ht="15.75" customHeight="1" x14ac:dyDescent="0.25">
      <c r="A2" s="1526" t="s">
        <v>331</v>
      </c>
      <c r="B2" s="1529" t="s">
        <v>1786</v>
      </c>
      <c r="C2" s="1530"/>
      <c r="D2" s="1530"/>
      <c r="E2" s="1530"/>
      <c r="F2" s="1531"/>
      <c r="G2" s="1489" t="s">
        <v>1841</v>
      </c>
      <c r="H2" s="1489"/>
      <c r="I2" s="1489"/>
      <c r="J2" s="1489"/>
      <c r="K2" s="1489"/>
      <c r="L2" s="1489"/>
      <c r="M2" s="1489" t="s">
        <v>1842</v>
      </c>
      <c r="N2" s="1489"/>
      <c r="O2" s="1489"/>
      <c r="P2" s="1489"/>
      <c r="Q2" s="1489"/>
      <c r="R2" s="1489" t="s">
        <v>2535</v>
      </c>
      <c r="S2" s="1489"/>
      <c r="T2" s="1489"/>
      <c r="U2" s="1489"/>
      <c r="V2" s="1489"/>
      <c r="W2" s="1489"/>
    </row>
    <row r="3" spans="1:24" ht="15" customHeight="1" x14ac:dyDescent="0.25">
      <c r="A3" s="1527"/>
      <c r="B3" s="1532"/>
      <c r="C3" s="1492"/>
      <c r="D3" s="1492"/>
      <c r="E3" s="1492"/>
      <c r="F3" s="1533"/>
      <c r="G3" s="1490" t="s">
        <v>1845</v>
      </c>
      <c r="H3" s="1489"/>
      <c r="I3" s="1489"/>
      <c r="J3" s="1489"/>
      <c r="K3" s="1489"/>
      <c r="L3" s="1489"/>
      <c r="M3" s="1490" t="s">
        <v>1846</v>
      </c>
      <c r="N3" s="1489"/>
      <c r="O3" s="1489"/>
      <c r="P3" s="1489"/>
      <c r="Q3" s="1489"/>
      <c r="R3" s="1490" t="s">
        <v>2536</v>
      </c>
      <c r="S3" s="1489"/>
      <c r="T3" s="1489"/>
      <c r="U3" s="1489"/>
      <c r="V3" s="1489"/>
      <c r="W3" s="1489"/>
    </row>
    <row r="4" spans="1:24" x14ac:dyDescent="0.25">
      <c r="A4" s="1527"/>
      <c r="B4" s="1532"/>
      <c r="C4" s="1492"/>
      <c r="D4" s="1492"/>
      <c r="E4" s="1492"/>
      <c r="F4" s="1533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</row>
    <row r="5" spans="1:24" ht="60" x14ac:dyDescent="0.25">
      <c r="A5" s="1528"/>
      <c r="B5" s="1534"/>
      <c r="C5" s="1535"/>
      <c r="D5" s="1535"/>
      <c r="E5" s="1535"/>
      <c r="F5" s="1536"/>
      <c r="G5" s="1" t="s">
        <v>1849</v>
      </c>
      <c r="H5" s="1" t="s">
        <v>1850</v>
      </c>
      <c r="I5" s="1" t="s">
        <v>1851</v>
      </c>
      <c r="J5" s="1" t="s">
        <v>1852</v>
      </c>
      <c r="K5" s="1" t="s">
        <v>1853</v>
      </c>
      <c r="L5" s="22" t="s">
        <v>1854</v>
      </c>
      <c r="M5" s="1" t="s">
        <v>1849</v>
      </c>
      <c r="N5" s="1" t="s">
        <v>1855</v>
      </c>
      <c r="O5" s="1" t="s">
        <v>1852</v>
      </c>
      <c r="P5" s="1" t="s">
        <v>1853</v>
      </c>
      <c r="Q5" s="1" t="s">
        <v>1854</v>
      </c>
      <c r="R5" s="1" t="s">
        <v>1849</v>
      </c>
      <c r="S5" s="1" t="s">
        <v>1850</v>
      </c>
      <c r="T5" s="1" t="s">
        <v>1851</v>
      </c>
      <c r="U5" s="1" t="s">
        <v>1852</v>
      </c>
      <c r="V5" s="1" t="s">
        <v>1853</v>
      </c>
      <c r="W5" s="22" t="s">
        <v>1854</v>
      </c>
      <c r="X5" s="311"/>
    </row>
    <row r="6" spans="1:24" x14ac:dyDescent="0.25">
      <c r="A6" s="143">
        <v>1</v>
      </c>
      <c r="B6" s="1537">
        <v>2</v>
      </c>
      <c r="C6" s="1538"/>
      <c r="D6" s="1538"/>
      <c r="E6" s="1538"/>
      <c r="F6" s="1539"/>
      <c r="G6" s="1">
        <v>3</v>
      </c>
      <c r="H6" s="1">
        <v>4</v>
      </c>
      <c r="I6" s="1">
        <v>5</v>
      </c>
      <c r="J6" s="1">
        <v>6</v>
      </c>
      <c r="K6" s="1">
        <v>7</v>
      </c>
      <c r="L6" s="22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311"/>
    </row>
    <row r="7" spans="1:24" ht="23.25" customHeight="1" x14ac:dyDescent="0.25">
      <c r="A7" s="389" t="str">
        <f>'Расчет ЦП - общая форма'!C8</f>
        <v>ПС  35/10 кВ Алексейково</v>
      </c>
      <c r="B7" s="390">
        <f>'Расчет ЦП - общая форма'!D8</f>
        <v>1.6</v>
      </c>
      <c r="C7" s="391"/>
      <c r="D7" s="391"/>
      <c r="E7" s="391"/>
      <c r="F7" s="392"/>
      <c r="G7" s="152"/>
      <c r="H7" s="1"/>
      <c r="I7" s="1"/>
      <c r="J7" s="24"/>
      <c r="K7" s="24"/>
      <c r="L7" s="51"/>
      <c r="M7" s="9"/>
      <c r="N7" s="9"/>
      <c r="O7" s="9"/>
      <c r="P7" s="9"/>
      <c r="Q7" s="9"/>
      <c r="R7" s="1"/>
      <c r="S7" s="1"/>
      <c r="T7" s="1"/>
      <c r="U7" s="24"/>
      <c r="V7" s="24"/>
      <c r="W7" s="51"/>
      <c r="X7" s="311"/>
    </row>
    <row r="8" spans="1:24" ht="15.75" customHeight="1" thickBot="1" x14ac:dyDescent="0.3">
      <c r="A8" s="393"/>
      <c r="B8" s="394"/>
      <c r="C8" s="395"/>
      <c r="D8" s="395"/>
      <c r="E8" s="395"/>
      <c r="F8" s="396"/>
      <c r="G8" s="1483" t="s">
        <v>1860</v>
      </c>
      <c r="H8" s="1483"/>
      <c r="I8" s="1484"/>
      <c r="J8" s="13">
        <f>SUM(J7:J7)</f>
        <v>0</v>
      </c>
      <c r="K8" s="14">
        <v>0.8</v>
      </c>
      <c r="L8" s="13">
        <f>J8/K8</f>
        <v>0</v>
      </c>
      <c r="M8" s="1482" t="s">
        <v>1861</v>
      </c>
      <c r="N8" s="1484"/>
      <c r="O8" s="13">
        <f>SUM(O7:O7)</f>
        <v>0</v>
      </c>
      <c r="P8" s="14">
        <v>0.8</v>
      </c>
      <c r="Q8" s="13">
        <f>O8/P8</f>
        <v>0</v>
      </c>
      <c r="R8" s="1482" t="s">
        <v>1860</v>
      </c>
      <c r="S8" s="1483"/>
      <c r="T8" s="1484"/>
      <c r="U8" s="13">
        <f>SUM(U7:U7)</f>
        <v>0</v>
      </c>
      <c r="V8" s="14">
        <v>0.8</v>
      </c>
      <c r="W8" s="13">
        <f>U8/V8</f>
        <v>0</v>
      </c>
      <c r="X8" s="311"/>
    </row>
    <row r="9" spans="1:24" ht="41.25" customHeight="1" x14ac:dyDescent="0.25">
      <c r="A9" s="389" t="str">
        <f>'Расчет ЦП - общая форма'!C9</f>
        <v xml:space="preserve">ПС 35/10 кВ Беляницы </v>
      </c>
      <c r="B9" s="390">
        <f>'Расчет ЦП - общая форма'!D9</f>
        <v>1.6</v>
      </c>
      <c r="C9" s="391"/>
      <c r="D9" s="391"/>
      <c r="E9" s="391"/>
      <c r="F9" s="392"/>
      <c r="G9" s="9"/>
      <c r="H9" s="9"/>
      <c r="I9" s="9"/>
      <c r="J9" s="79"/>
      <c r="K9" s="9"/>
      <c r="L9" s="51"/>
      <c r="M9" s="51"/>
      <c r="N9" s="104"/>
      <c r="O9" s="51"/>
      <c r="P9" s="9"/>
      <c r="Q9" s="51"/>
      <c r="R9" s="9"/>
      <c r="S9" s="9"/>
      <c r="T9" s="9"/>
      <c r="U9" s="79"/>
      <c r="V9" s="9"/>
      <c r="W9" s="51"/>
      <c r="X9" s="311"/>
    </row>
    <row r="10" spans="1:24" ht="15.75" customHeight="1" thickBot="1" x14ac:dyDescent="0.3">
      <c r="A10" s="393"/>
      <c r="B10" s="394"/>
      <c r="C10" s="395"/>
      <c r="D10" s="395"/>
      <c r="E10" s="395"/>
      <c r="F10" s="396"/>
      <c r="G10" s="1482" t="s">
        <v>1860</v>
      </c>
      <c r="H10" s="1483"/>
      <c r="I10" s="1484"/>
      <c r="J10" s="13">
        <f>SUM(J9:J9)</f>
        <v>0</v>
      </c>
      <c r="K10" s="14">
        <v>0.8</v>
      </c>
      <c r="L10" s="13">
        <f>J10/K10</f>
        <v>0</v>
      </c>
      <c r="M10" s="1482" t="s">
        <v>1861</v>
      </c>
      <c r="N10" s="1484"/>
      <c r="O10" s="13">
        <f>SUM(O9:O9)</f>
        <v>0</v>
      </c>
      <c r="P10" s="14">
        <v>0.8</v>
      </c>
      <c r="Q10" s="13">
        <f>O10/P10</f>
        <v>0</v>
      </c>
      <c r="R10" s="1482" t="s">
        <v>1860</v>
      </c>
      <c r="S10" s="1483"/>
      <c r="T10" s="1484"/>
      <c r="U10" s="13">
        <f>SUM(U9:U9)</f>
        <v>0</v>
      </c>
      <c r="V10" s="14">
        <v>0.8</v>
      </c>
      <c r="W10" s="13">
        <f>U10/V10</f>
        <v>0</v>
      </c>
      <c r="X10" s="311"/>
    </row>
    <row r="11" spans="1:24" ht="50.25" customHeight="1" x14ac:dyDescent="0.25">
      <c r="A11" s="389" t="str">
        <f>'Расчет ЦП - общая форма'!C10</f>
        <v xml:space="preserve">ПС 35/10 кВ Борисовское </v>
      </c>
      <c r="B11" s="390">
        <f>'Расчет ЦП - общая форма'!D10</f>
        <v>1</v>
      </c>
      <c r="C11" s="391"/>
      <c r="D11" s="391"/>
      <c r="E11" s="391"/>
      <c r="F11" s="392"/>
      <c r="G11" s="1"/>
      <c r="H11" s="1"/>
      <c r="I11" s="1"/>
      <c r="J11" s="1"/>
      <c r="K11" s="1"/>
      <c r="L11" s="22"/>
      <c r="M11" s="51"/>
      <c r="N11" s="51"/>
      <c r="O11" s="51"/>
      <c r="P11" s="51"/>
      <c r="Q11" s="51"/>
      <c r="R11" s="1"/>
      <c r="S11" s="1"/>
      <c r="T11" s="1"/>
      <c r="U11" s="1"/>
      <c r="V11" s="1"/>
      <c r="W11" s="22"/>
      <c r="X11" s="311"/>
    </row>
    <row r="12" spans="1:24" ht="15.75" customHeight="1" thickBot="1" x14ac:dyDescent="0.3">
      <c r="A12" s="393"/>
      <c r="B12" s="394"/>
      <c r="C12" s="395"/>
      <c r="D12" s="395"/>
      <c r="E12" s="395"/>
      <c r="F12" s="396"/>
      <c r="G12" s="1482" t="s">
        <v>1860</v>
      </c>
      <c r="H12" s="1483"/>
      <c r="I12" s="1484"/>
      <c r="J12" s="13">
        <f>SUM(J11:J11)</f>
        <v>0</v>
      </c>
      <c r="K12" s="14">
        <v>0.8</v>
      </c>
      <c r="L12" s="13">
        <f>J12/K12</f>
        <v>0</v>
      </c>
      <c r="M12" s="1482" t="s">
        <v>1861</v>
      </c>
      <c r="N12" s="1484"/>
      <c r="O12" s="13">
        <f>SUM(O11:O11)</f>
        <v>0</v>
      </c>
      <c r="P12" s="14">
        <v>0.8</v>
      </c>
      <c r="Q12" s="13">
        <f>O12/P12</f>
        <v>0</v>
      </c>
      <c r="R12" s="1482" t="s">
        <v>1860</v>
      </c>
      <c r="S12" s="1483"/>
      <c r="T12" s="1484"/>
      <c r="U12" s="13">
        <f>SUM(U11:U11)</f>
        <v>0</v>
      </c>
      <c r="V12" s="14">
        <v>0.8</v>
      </c>
      <c r="W12" s="13">
        <f>U12/V12</f>
        <v>0</v>
      </c>
      <c r="X12" s="311"/>
    </row>
    <row r="13" spans="1:24" ht="47.25" customHeight="1" x14ac:dyDescent="0.25">
      <c r="A13" s="389" t="str">
        <f>'Расчет ЦП - общая форма'!C11</f>
        <v xml:space="preserve">ПС 35/10 кВ Высокуша  </v>
      </c>
      <c r="B13" s="390">
        <f>'Расчет ЦП - общая форма'!D11</f>
        <v>1.6</v>
      </c>
      <c r="C13" s="391"/>
      <c r="D13" s="391"/>
      <c r="E13" s="391"/>
      <c r="F13" s="392"/>
      <c r="G13" s="1"/>
      <c r="H13" s="1"/>
      <c r="I13" s="1"/>
      <c r="J13" s="1"/>
      <c r="K13" s="1"/>
      <c r="L13" s="22"/>
      <c r="M13" s="51"/>
      <c r="N13" s="51"/>
      <c r="O13" s="51"/>
      <c r="P13" s="51"/>
      <c r="Q13" s="51"/>
      <c r="R13" s="1"/>
      <c r="S13" s="1"/>
      <c r="T13" s="1"/>
      <c r="U13" s="1"/>
      <c r="V13" s="1"/>
      <c r="W13" s="22"/>
      <c r="X13" s="311"/>
    </row>
    <row r="14" spans="1:24" ht="15.75" customHeight="1" thickBot="1" x14ac:dyDescent="0.3">
      <c r="A14" s="393"/>
      <c r="B14" s="394"/>
      <c r="C14" s="395"/>
      <c r="D14" s="395"/>
      <c r="E14" s="395"/>
      <c r="F14" s="396"/>
      <c r="G14" s="1482" t="s">
        <v>1860</v>
      </c>
      <c r="H14" s="1483"/>
      <c r="I14" s="1484"/>
      <c r="J14" s="13">
        <f>SUM(J13:J13)</f>
        <v>0</v>
      </c>
      <c r="K14" s="14">
        <v>0.8</v>
      </c>
      <c r="L14" s="13">
        <f>J14/K14</f>
        <v>0</v>
      </c>
      <c r="M14" s="1482" t="s">
        <v>1861</v>
      </c>
      <c r="N14" s="1484"/>
      <c r="O14" s="13">
        <f>SUM(O13:O13)</f>
        <v>0</v>
      </c>
      <c r="P14" s="14">
        <v>0.8</v>
      </c>
      <c r="Q14" s="13">
        <f>O14/P14</f>
        <v>0</v>
      </c>
      <c r="R14" s="1482" t="s">
        <v>1860</v>
      </c>
      <c r="S14" s="1483"/>
      <c r="T14" s="1484"/>
      <c r="U14" s="13">
        <f>SUM(U13:U13)</f>
        <v>0</v>
      </c>
      <c r="V14" s="14">
        <v>0.8</v>
      </c>
      <c r="W14" s="13">
        <f>U14/V14</f>
        <v>0</v>
      </c>
      <c r="X14" s="311"/>
    </row>
    <row r="15" spans="1:24" ht="34.5" customHeight="1" x14ac:dyDescent="0.25">
      <c r="A15" s="389" t="str">
        <f>'Расчет ЦП - общая форма'!C12</f>
        <v xml:space="preserve">ПС 35/10 кВ Гостиница </v>
      </c>
      <c r="B15" s="390">
        <f>'Расчет ЦП - общая форма'!D12</f>
        <v>1.6</v>
      </c>
      <c r="C15" s="391"/>
      <c r="D15" s="391"/>
      <c r="E15" s="391"/>
      <c r="F15" s="392"/>
      <c r="G15" s="1"/>
      <c r="H15" s="1"/>
      <c r="I15" s="1"/>
      <c r="J15" s="1"/>
      <c r="K15" s="1"/>
      <c r="L15" s="22"/>
      <c r="M15" s="51"/>
      <c r="N15" s="51"/>
      <c r="O15" s="51"/>
      <c r="P15" s="51"/>
      <c r="Q15" s="51"/>
      <c r="R15" s="1"/>
      <c r="S15" s="1"/>
      <c r="T15" s="1"/>
      <c r="U15" s="1"/>
      <c r="V15" s="1"/>
      <c r="W15" s="22"/>
      <c r="X15" s="311"/>
    </row>
    <row r="16" spans="1:24" ht="15.75" customHeight="1" thickBot="1" x14ac:dyDescent="0.3">
      <c r="A16" s="393"/>
      <c r="B16" s="394"/>
      <c r="C16" s="395"/>
      <c r="D16" s="395"/>
      <c r="E16" s="395"/>
      <c r="F16" s="396"/>
      <c r="G16" s="1482" t="s">
        <v>1860</v>
      </c>
      <c r="H16" s="1483"/>
      <c r="I16" s="1484"/>
      <c r="J16" s="13">
        <f>SUM(J15:J15)</f>
        <v>0</v>
      </c>
      <c r="K16" s="14">
        <v>0.8</v>
      </c>
      <c r="L16" s="13">
        <f>J16/K16</f>
        <v>0</v>
      </c>
      <c r="M16" s="1482" t="s">
        <v>1861</v>
      </c>
      <c r="N16" s="1484"/>
      <c r="O16" s="13">
        <f>SUM(O15:O15)</f>
        <v>0</v>
      </c>
      <c r="P16" s="14">
        <v>0.8</v>
      </c>
      <c r="Q16" s="13">
        <f>O16/P16</f>
        <v>0</v>
      </c>
      <c r="R16" s="1482" t="s">
        <v>1860</v>
      </c>
      <c r="S16" s="1483"/>
      <c r="T16" s="1484"/>
      <c r="U16" s="13">
        <f>SUM(U15:U15)</f>
        <v>0</v>
      </c>
      <c r="V16" s="14">
        <v>0.8</v>
      </c>
      <c r="W16" s="13">
        <f>U16/V16</f>
        <v>0</v>
      </c>
      <c r="X16" s="311"/>
    </row>
    <row r="17" spans="1:24" ht="21" customHeight="1" x14ac:dyDescent="0.25">
      <c r="A17" s="389" t="str">
        <f>'Расчет ЦП - общая форма'!C13</f>
        <v xml:space="preserve">ПС  35/10 кВ Григорово </v>
      </c>
      <c r="B17" s="390">
        <f>'Расчет ЦП - общая форма'!D13</f>
        <v>2.5</v>
      </c>
      <c r="C17" s="391"/>
      <c r="D17" s="391"/>
      <c r="E17" s="391"/>
      <c r="F17" s="392"/>
      <c r="G17" s="1499" t="s">
        <v>3069</v>
      </c>
      <c r="H17" s="1499"/>
      <c r="I17" s="1499"/>
      <c r="J17" s="1499"/>
      <c r="K17" s="1499"/>
      <c r="L17" s="1500"/>
      <c r="M17" s="1"/>
      <c r="N17" s="1"/>
      <c r="O17" s="1"/>
      <c r="P17" s="1"/>
      <c r="Q17" s="1"/>
      <c r="R17" s="1"/>
      <c r="S17" s="1"/>
      <c r="T17" s="1"/>
      <c r="U17" s="1"/>
      <c r="V17" s="1"/>
      <c r="W17" s="8"/>
      <c r="X17" s="311"/>
    </row>
    <row r="18" spans="1:24" ht="39" customHeight="1" x14ac:dyDescent="0.25">
      <c r="A18" s="1199"/>
      <c r="B18" s="1201"/>
      <c r="C18" s="1203"/>
      <c r="D18" s="1203"/>
      <c r="E18" s="1203"/>
      <c r="F18" s="1202"/>
      <c r="G18" s="1518" t="s">
        <v>3481</v>
      </c>
      <c r="H18" s="1519"/>
      <c r="I18" s="1520"/>
      <c r="J18" s="1225">
        <v>1.452</v>
      </c>
      <c r="K18" s="1225"/>
      <c r="L18" s="1232"/>
      <c r="M18" s="19"/>
      <c r="N18" s="20"/>
      <c r="O18" s="24"/>
      <c r="P18" s="24"/>
      <c r="Q18" s="24"/>
      <c r="R18" s="19"/>
      <c r="S18" s="263"/>
      <c r="T18" s="20"/>
      <c r="U18" s="24"/>
      <c r="V18" s="24"/>
      <c r="W18" s="92"/>
      <c r="X18" s="311"/>
    </row>
    <row r="19" spans="1:24" ht="15.75" customHeight="1" thickBot="1" x14ac:dyDescent="0.3">
      <c r="A19" s="393"/>
      <c r="B19" s="394"/>
      <c r="C19" s="395"/>
      <c r="D19" s="395"/>
      <c r="E19" s="395"/>
      <c r="F19" s="396"/>
      <c r="G19" s="1482" t="s">
        <v>1860</v>
      </c>
      <c r="H19" s="1483"/>
      <c r="I19" s="1484"/>
      <c r="J19" s="13">
        <f>SUM(J18)</f>
        <v>1.452</v>
      </c>
      <c r="K19" s="14">
        <v>0.8</v>
      </c>
      <c r="L19" s="13">
        <f>J19/K19</f>
        <v>1.8149999999999999</v>
      </c>
      <c r="M19" s="1482" t="s">
        <v>1861</v>
      </c>
      <c r="N19" s="1484"/>
      <c r="O19" s="13">
        <f>SUM(O17:O17)</f>
        <v>0</v>
      </c>
      <c r="P19" s="14">
        <v>0.8</v>
      </c>
      <c r="Q19" s="13">
        <f>O19/P19</f>
        <v>0</v>
      </c>
      <c r="R19" s="1482" t="s">
        <v>1860</v>
      </c>
      <c r="S19" s="1483"/>
      <c r="T19" s="1484"/>
      <c r="U19" s="13">
        <f>SUM(U17:U17)</f>
        <v>0</v>
      </c>
      <c r="V19" s="14">
        <v>0.8</v>
      </c>
      <c r="W19" s="13">
        <f>U19/V19</f>
        <v>0</v>
      </c>
      <c r="X19" s="311"/>
    </row>
    <row r="20" spans="1:24" x14ac:dyDescent="0.25">
      <c r="A20" s="389" t="str">
        <f>'Расчет ЦП - общая форма'!C14</f>
        <v xml:space="preserve">ПС 35/10 кВ Деледино </v>
      </c>
      <c r="B20" s="390">
        <f>'Расчет ЦП - общая форма'!D14</f>
        <v>4</v>
      </c>
      <c r="C20" s="391"/>
      <c r="D20" s="391"/>
      <c r="E20" s="391"/>
      <c r="F20" s="392"/>
      <c r="G20" s="9"/>
      <c r="H20" s="9"/>
      <c r="I20" s="9"/>
      <c r="J20" s="9"/>
      <c r="K20" s="9"/>
      <c r="L20" s="51"/>
      <c r="M20" s="9"/>
      <c r="N20" s="9"/>
      <c r="O20" s="9"/>
      <c r="P20" s="9"/>
      <c r="Q20" s="9"/>
      <c r="R20" s="9"/>
      <c r="S20" s="9"/>
      <c r="T20" s="9"/>
      <c r="U20" s="9"/>
      <c r="V20" s="9"/>
      <c r="W20" s="51"/>
      <c r="X20" s="311"/>
    </row>
    <row r="21" spans="1:24" ht="15.75" customHeight="1" thickBot="1" x14ac:dyDescent="0.3">
      <c r="A21" s="393"/>
      <c r="B21" s="394"/>
      <c r="C21" s="395"/>
      <c r="D21" s="395"/>
      <c r="E21" s="395"/>
      <c r="F21" s="396"/>
      <c r="G21" s="1482" t="s">
        <v>1860</v>
      </c>
      <c r="H21" s="1483"/>
      <c r="I21" s="1484"/>
      <c r="J21" s="13">
        <f>SUM(J20:J20)</f>
        <v>0</v>
      </c>
      <c r="K21" s="14">
        <v>0.8</v>
      </c>
      <c r="L21" s="13">
        <f>J21/K21</f>
        <v>0</v>
      </c>
      <c r="M21" s="1482" t="s">
        <v>1861</v>
      </c>
      <c r="N21" s="1484"/>
      <c r="O21" s="13">
        <f>SUM(O20:O20)</f>
        <v>0</v>
      </c>
      <c r="P21" s="14">
        <v>0.8</v>
      </c>
      <c r="Q21" s="13">
        <f>O21/P21</f>
        <v>0</v>
      </c>
      <c r="R21" s="1482" t="s">
        <v>1860</v>
      </c>
      <c r="S21" s="1483"/>
      <c r="T21" s="1484"/>
      <c r="U21" s="13">
        <f>SUM(U20:U20)</f>
        <v>0</v>
      </c>
      <c r="V21" s="14">
        <v>0.8</v>
      </c>
      <c r="W21" s="13">
        <f>U21/V21</f>
        <v>0</v>
      </c>
      <c r="X21" s="311"/>
    </row>
    <row r="22" spans="1:24" x14ac:dyDescent="0.25">
      <c r="A22" s="397" t="str">
        <f>'Расчет ЦП - общая форма'!C15</f>
        <v xml:space="preserve">ПС 35/10 кВ Зараменье </v>
      </c>
      <c r="B22" s="398">
        <f>'Расчет ЦП - общая форма'!D15</f>
        <v>1.6</v>
      </c>
      <c r="C22" s="399"/>
      <c r="D22" s="399"/>
      <c r="E22" s="399"/>
      <c r="F22" s="400"/>
      <c r="G22" s="1"/>
      <c r="H22" s="1"/>
      <c r="I22" s="1"/>
      <c r="J22" s="1"/>
      <c r="K22" s="1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22"/>
      <c r="X22" s="311"/>
    </row>
    <row r="23" spans="1:24" ht="15.75" customHeight="1" thickBot="1" x14ac:dyDescent="0.3">
      <c r="A23" s="393"/>
      <c r="B23" s="394"/>
      <c r="C23" s="395"/>
      <c r="D23" s="395"/>
      <c r="E23" s="395"/>
      <c r="F23" s="396"/>
      <c r="G23" s="1482" t="s">
        <v>1860</v>
      </c>
      <c r="H23" s="1483"/>
      <c r="I23" s="1484"/>
      <c r="J23" s="13">
        <f>SUM(J22:J22)</f>
        <v>0</v>
      </c>
      <c r="K23" s="14">
        <v>0.8</v>
      </c>
      <c r="L23" s="13">
        <f>J23/K23</f>
        <v>0</v>
      </c>
      <c r="M23" s="1482" t="s">
        <v>1861</v>
      </c>
      <c r="N23" s="1484"/>
      <c r="O23" s="13">
        <f>SUM(O22:O22)</f>
        <v>0</v>
      </c>
      <c r="P23" s="14">
        <v>0.8</v>
      </c>
      <c r="Q23" s="13">
        <f>O23/P23</f>
        <v>0</v>
      </c>
      <c r="R23" s="1482" t="s">
        <v>1860</v>
      </c>
      <c r="S23" s="1483"/>
      <c r="T23" s="1484"/>
      <c r="U23" s="13">
        <f>SUM(U22:U22)</f>
        <v>0</v>
      </c>
      <c r="V23" s="14">
        <v>0.8</v>
      </c>
      <c r="W23" s="13">
        <f>U23/V23</f>
        <v>0</v>
      </c>
      <c r="X23" s="311"/>
    </row>
    <row r="24" spans="1:24" x14ac:dyDescent="0.25">
      <c r="A24" s="401" t="str">
        <f>'Расчет ЦП - общая форма'!C16</f>
        <v xml:space="preserve">ПС 35/10 кВ Зобы </v>
      </c>
      <c r="B24" s="402">
        <f>'Расчет ЦП - общая форма'!D16</f>
        <v>4</v>
      </c>
      <c r="C24" s="403"/>
      <c r="D24" s="403"/>
      <c r="E24" s="403"/>
      <c r="F24" s="404"/>
      <c r="G24" s="104"/>
      <c r="H24" s="9"/>
      <c r="I24" s="9"/>
      <c r="J24" s="9"/>
      <c r="K24" s="9"/>
      <c r="L24" s="51"/>
      <c r="M24" s="9"/>
      <c r="N24" s="9"/>
      <c r="O24" s="9"/>
      <c r="P24" s="9"/>
      <c r="Q24" s="9"/>
      <c r="R24" s="9"/>
      <c r="S24" s="9"/>
      <c r="T24" s="9"/>
      <c r="U24" s="9"/>
      <c r="V24" s="9"/>
      <c r="W24" s="51"/>
      <c r="X24" s="311"/>
    </row>
    <row r="25" spans="1:24" x14ac:dyDescent="0.25">
      <c r="A25" s="401"/>
      <c r="B25" s="402"/>
      <c r="C25" s="403"/>
      <c r="D25" s="403"/>
      <c r="E25" s="403"/>
      <c r="F25" s="404"/>
      <c r="G25" s="152"/>
      <c r="H25" s="1"/>
      <c r="I25" s="1"/>
      <c r="J25" s="1"/>
      <c r="K25" s="1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22"/>
      <c r="X25" s="311"/>
    </row>
    <row r="26" spans="1:24" ht="15.75" customHeight="1" thickBot="1" x14ac:dyDescent="0.3">
      <c r="A26" s="405"/>
      <c r="B26" s="394"/>
      <c r="C26" s="395"/>
      <c r="D26" s="395"/>
      <c r="E26" s="395"/>
      <c r="F26" s="396"/>
      <c r="G26" s="1483" t="s">
        <v>1860</v>
      </c>
      <c r="H26" s="1483"/>
      <c r="I26" s="1484"/>
      <c r="J26" s="13">
        <f>SUM(J24:J25)</f>
        <v>0</v>
      </c>
      <c r="K26" s="14">
        <v>0.8</v>
      </c>
      <c r="L26" s="13">
        <f>J26/K26</f>
        <v>0</v>
      </c>
      <c r="M26" s="1482" t="s">
        <v>1861</v>
      </c>
      <c r="N26" s="1484"/>
      <c r="O26" s="13">
        <f>SUM(O24:O25)</f>
        <v>0</v>
      </c>
      <c r="P26" s="14">
        <v>0.8</v>
      </c>
      <c r="Q26" s="13">
        <f>O26/P26</f>
        <v>0</v>
      </c>
      <c r="R26" s="1482" t="s">
        <v>1860</v>
      </c>
      <c r="S26" s="1483"/>
      <c r="T26" s="1484"/>
      <c r="U26" s="13">
        <f>SUM(U24:U25)</f>
        <v>0</v>
      </c>
      <c r="V26" s="14">
        <v>0.8</v>
      </c>
      <c r="W26" s="13">
        <f>U26/V26</f>
        <v>0</v>
      </c>
      <c r="X26" s="311"/>
    </row>
    <row r="27" spans="1:24" x14ac:dyDescent="0.25">
      <c r="A27" s="397" t="str">
        <f>'Расчет ЦП - общая форма'!C17</f>
        <v xml:space="preserve">ПС 35/10 кВ Кой  </v>
      </c>
      <c r="B27" s="398">
        <f>'Расчет ЦП - общая форма'!D17</f>
        <v>1.8</v>
      </c>
      <c r="C27" s="399"/>
      <c r="D27" s="399"/>
      <c r="E27" s="399"/>
      <c r="F27" s="400"/>
      <c r="G27" s="1"/>
      <c r="H27" s="1"/>
      <c r="I27" s="1"/>
      <c r="J27" s="1"/>
      <c r="K27" s="1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22"/>
      <c r="X27" s="311"/>
    </row>
    <row r="28" spans="1:24" ht="15.75" customHeight="1" thickBot="1" x14ac:dyDescent="0.3">
      <c r="A28" s="393"/>
      <c r="B28" s="394"/>
      <c r="C28" s="395"/>
      <c r="D28" s="395"/>
      <c r="E28" s="395"/>
      <c r="F28" s="396"/>
      <c r="G28" s="1482" t="s">
        <v>1860</v>
      </c>
      <c r="H28" s="1483"/>
      <c r="I28" s="1484"/>
      <c r="J28" s="13">
        <f>SUM(J27:J27)</f>
        <v>0</v>
      </c>
      <c r="K28" s="14">
        <v>0.8</v>
      </c>
      <c r="L28" s="13">
        <f>J28/K28</f>
        <v>0</v>
      </c>
      <c r="M28" s="1482" t="s">
        <v>1861</v>
      </c>
      <c r="N28" s="1484"/>
      <c r="O28" s="13">
        <f>SUM(O27:O27)</f>
        <v>0</v>
      </c>
      <c r="P28" s="14">
        <v>0.8</v>
      </c>
      <c r="Q28" s="13">
        <f>O28/P28</f>
        <v>0</v>
      </c>
      <c r="R28" s="1485" t="s">
        <v>1860</v>
      </c>
      <c r="S28" s="1486"/>
      <c r="T28" s="1487"/>
      <c r="U28" s="21">
        <f>SUM(U27:U27)</f>
        <v>0</v>
      </c>
      <c r="V28" s="24">
        <v>0.8</v>
      </c>
      <c r="W28" s="21">
        <f>U28/V28</f>
        <v>0</v>
      </c>
      <c r="X28" s="311"/>
    </row>
    <row r="29" spans="1:24" s="67" customFormat="1" x14ac:dyDescent="0.25">
      <c r="A29" s="401"/>
      <c r="B29" s="402"/>
      <c r="C29" s="403"/>
      <c r="D29" s="403"/>
      <c r="E29" s="403"/>
      <c r="F29" s="404"/>
      <c r="G29" s="1499" t="s">
        <v>1988</v>
      </c>
      <c r="H29" s="1499"/>
      <c r="I29" s="1499"/>
      <c r="J29" s="1499"/>
      <c r="K29" s="1499"/>
      <c r="L29" s="1500"/>
      <c r="M29" s="129"/>
      <c r="N29" s="130"/>
      <c r="O29" s="62"/>
      <c r="P29" s="62"/>
      <c r="Q29" s="62"/>
      <c r="R29" s="313"/>
      <c r="S29" s="313"/>
      <c r="T29" s="313"/>
      <c r="U29" s="313"/>
      <c r="V29" s="313"/>
      <c r="W29" s="313"/>
      <c r="X29" s="311"/>
    </row>
    <row r="30" spans="1:24" ht="53.25" customHeight="1" x14ac:dyDescent="0.25">
      <c r="A30" s="401" t="str">
        <f>'Расчет ЦП - общая форма'!C18</f>
        <v xml:space="preserve">ПС 35/10 кВ Ладожское  </v>
      </c>
      <c r="B30" s="402">
        <f>'Расчет ЦП - общая форма'!D18</f>
        <v>1.6</v>
      </c>
      <c r="C30" s="403"/>
      <c r="D30" s="403"/>
      <c r="E30" s="403"/>
      <c r="F30" s="404"/>
      <c r="G30" s="104" t="s">
        <v>1888</v>
      </c>
      <c r="H30" s="9" t="s">
        <v>1889</v>
      </c>
      <c r="I30" s="18" t="s">
        <v>1890</v>
      </c>
      <c r="J30" s="9">
        <v>0.1</v>
      </c>
      <c r="K30" s="9"/>
      <c r="L30" s="51"/>
      <c r="M30" s="1"/>
      <c r="N30" s="1"/>
      <c r="O30" s="1"/>
      <c r="P30" s="1"/>
      <c r="Q30" s="1"/>
      <c r="R30" s="313"/>
      <c r="S30" s="313"/>
      <c r="T30" s="313"/>
      <c r="U30" s="313"/>
      <c r="V30" s="313"/>
      <c r="W30" s="313"/>
      <c r="X30" s="311"/>
    </row>
    <row r="31" spans="1:24" ht="15.75" customHeight="1" thickBot="1" x14ac:dyDescent="0.3">
      <c r="A31" s="405"/>
      <c r="B31" s="394"/>
      <c r="C31" s="395"/>
      <c r="D31" s="395"/>
      <c r="E31" s="395"/>
      <c r="F31" s="396"/>
      <c r="G31" s="1483" t="s">
        <v>1860</v>
      </c>
      <c r="H31" s="1483"/>
      <c r="I31" s="1484"/>
      <c r="J31" s="13">
        <f>SUM(0)</f>
        <v>0</v>
      </c>
      <c r="K31" s="14">
        <v>0.8</v>
      </c>
      <c r="L31" s="13">
        <f>J31/K31</f>
        <v>0</v>
      </c>
      <c r="M31" s="1482" t="s">
        <v>1861</v>
      </c>
      <c r="N31" s="1484"/>
      <c r="O31" s="13">
        <f>SUM(O30:O30)</f>
        <v>0</v>
      </c>
      <c r="P31" s="14">
        <v>0.8</v>
      </c>
      <c r="Q31" s="13">
        <f>O31/P31</f>
        <v>0</v>
      </c>
      <c r="R31" s="1482" t="s">
        <v>1860</v>
      </c>
      <c r="S31" s="1483"/>
      <c r="T31" s="1484"/>
      <c r="U31" s="13">
        <f>SUM(0)</f>
        <v>0</v>
      </c>
      <c r="V31" s="14">
        <v>0.8</v>
      </c>
      <c r="W31" s="13">
        <f>U31/V31</f>
        <v>0</v>
      </c>
      <c r="X31" s="311"/>
    </row>
    <row r="32" spans="1:24" x14ac:dyDescent="0.25">
      <c r="A32" s="397" t="str">
        <f>'Расчет ЦП - общая форма'!C19</f>
        <v xml:space="preserve">ПС 35/10 кВ Литвиново </v>
      </c>
      <c r="B32" s="398">
        <f>'Расчет ЦП - общая форма'!D19</f>
        <v>4</v>
      </c>
      <c r="C32" s="399"/>
      <c r="D32" s="399"/>
      <c r="E32" s="399"/>
      <c r="F32" s="400"/>
      <c r="G32" s="9"/>
      <c r="H32" s="9"/>
      <c r="I32" s="9"/>
      <c r="J32" s="9"/>
      <c r="K32" s="9"/>
      <c r="L32" s="51"/>
      <c r="M32" s="9"/>
      <c r="N32" s="9"/>
      <c r="O32" s="9"/>
      <c r="P32" s="9"/>
      <c r="Q32" s="9"/>
      <c r="R32" s="9"/>
      <c r="S32" s="9"/>
      <c r="T32" s="9"/>
      <c r="U32" s="9"/>
      <c r="V32" s="9"/>
      <c r="W32" s="51"/>
      <c r="X32" s="311"/>
    </row>
    <row r="33" spans="1:24" ht="15.75" customHeight="1" thickBot="1" x14ac:dyDescent="0.3">
      <c r="A33" s="393"/>
      <c r="B33" s="394"/>
      <c r="C33" s="395"/>
      <c r="D33" s="395"/>
      <c r="E33" s="395"/>
      <c r="F33" s="396"/>
      <c r="G33" s="1482" t="s">
        <v>1860</v>
      </c>
      <c r="H33" s="1483"/>
      <c r="I33" s="1484"/>
      <c r="J33" s="13">
        <f>SUM(J32:J32)</f>
        <v>0</v>
      </c>
      <c r="K33" s="14">
        <v>0.8</v>
      </c>
      <c r="L33" s="13">
        <f>J33/K33</f>
        <v>0</v>
      </c>
      <c r="M33" s="1482" t="s">
        <v>1861</v>
      </c>
      <c r="N33" s="1484"/>
      <c r="O33" s="13">
        <f>SUM(O32:O32)</f>
        <v>0</v>
      </c>
      <c r="P33" s="14">
        <v>0.8</v>
      </c>
      <c r="Q33" s="13">
        <f>O33/P33</f>
        <v>0</v>
      </c>
      <c r="R33" s="1482" t="s">
        <v>1860</v>
      </c>
      <c r="S33" s="1483"/>
      <c r="T33" s="1484"/>
      <c r="U33" s="13">
        <f>SUM(U32:U32)</f>
        <v>0</v>
      </c>
      <c r="V33" s="14">
        <v>0.8</v>
      </c>
      <c r="W33" s="13">
        <f>U33/V33</f>
        <v>0</v>
      </c>
      <c r="X33" s="311"/>
    </row>
    <row r="34" spans="1:24" x14ac:dyDescent="0.25">
      <c r="A34" s="397" t="str">
        <f>'Расчет ЦП - общая форма'!C20</f>
        <v xml:space="preserve">ПС 35/10 кВ Лощемля  </v>
      </c>
      <c r="B34" s="398">
        <f>'Расчет ЦП - общая форма'!D20</f>
        <v>2.5</v>
      </c>
      <c r="C34" s="399"/>
      <c r="D34" s="399"/>
      <c r="E34" s="399"/>
      <c r="F34" s="400"/>
      <c r="G34" s="1"/>
      <c r="H34" s="1"/>
      <c r="I34" s="1"/>
      <c r="J34" s="1"/>
      <c r="K34" s="1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22"/>
      <c r="X34" s="311"/>
    </row>
    <row r="35" spans="1:24" ht="15.75" customHeight="1" thickBot="1" x14ac:dyDescent="0.3">
      <c r="A35" s="393"/>
      <c r="B35" s="394"/>
      <c r="C35" s="395"/>
      <c r="D35" s="395"/>
      <c r="E35" s="395"/>
      <c r="F35" s="396"/>
      <c r="G35" s="1482" t="s">
        <v>1860</v>
      </c>
      <c r="H35" s="1483"/>
      <c r="I35" s="1484"/>
      <c r="J35" s="13">
        <f>SUM(J34:J34)</f>
        <v>0</v>
      </c>
      <c r="K35" s="14">
        <v>0.8</v>
      </c>
      <c r="L35" s="13">
        <f>J35/K35</f>
        <v>0</v>
      </c>
      <c r="M35" s="1482" t="s">
        <v>1861</v>
      </c>
      <c r="N35" s="1484"/>
      <c r="O35" s="13">
        <f>SUM(O34:O34)</f>
        <v>0</v>
      </c>
      <c r="P35" s="14">
        <v>0.8</v>
      </c>
      <c r="Q35" s="13">
        <f>O35/P35</f>
        <v>0</v>
      </c>
      <c r="R35" s="1482" t="s">
        <v>1860</v>
      </c>
      <c r="S35" s="1483"/>
      <c r="T35" s="1484"/>
      <c r="U35" s="13">
        <f>SUM(U34:U34)</f>
        <v>0</v>
      </c>
      <c r="V35" s="14">
        <v>0.8</v>
      </c>
      <c r="W35" s="13">
        <f>U35/V35</f>
        <v>0</v>
      </c>
      <c r="X35" s="311"/>
    </row>
    <row r="36" spans="1:24" ht="109.5" customHeight="1" x14ac:dyDescent="0.25">
      <c r="A36" s="397" t="str">
        <f>'Расчет ЦП - общая форма'!C21</f>
        <v xml:space="preserve">ПС 35/10 кВ Любегощи </v>
      </c>
      <c r="B36" s="398">
        <f>'Расчет ЦП - общая форма'!D21</f>
        <v>1.8</v>
      </c>
      <c r="C36" s="399"/>
      <c r="D36" s="399"/>
      <c r="E36" s="399"/>
      <c r="F36" s="400"/>
      <c r="G36" s="152"/>
      <c r="H36" s="1"/>
      <c r="I36" s="1"/>
      <c r="J36" s="1"/>
      <c r="K36" s="1"/>
      <c r="L36" s="22"/>
      <c r="M36" s="1249" t="s">
        <v>2479</v>
      </c>
      <c r="N36" s="1249" t="s">
        <v>2480</v>
      </c>
      <c r="O36" s="1">
        <v>1.6E-2</v>
      </c>
      <c r="P36" s="1"/>
      <c r="Q36" s="1"/>
      <c r="R36" s="1"/>
      <c r="S36" s="1"/>
      <c r="T36" s="1"/>
      <c r="U36" s="1"/>
      <c r="V36" s="1"/>
      <c r="W36" s="22"/>
      <c r="X36" s="311"/>
    </row>
    <row r="37" spans="1:24" ht="15.75" customHeight="1" thickBot="1" x14ac:dyDescent="0.3">
      <c r="A37" s="393"/>
      <c r="B37" s="394"/>
      <c r="C37" s="395"/>
      <c r="D37" s="395"/>
      <c r="E37" s="395"/>
      <c r="F37" s="396"/>
      <c r="G37" s="1483" t="s">
        <v>1860</v>
      </c>
      <c r="H37" s="1483"/>
      <c r="I37" s="1484"/>
      <c r="J37" s="13">
        <f>SUM(J36:J36)</f>
        <v>0</v>
      </c>
      <c r="K37" s="14">
        <v>0.8</v>
      </c>
      <c r="L37" s="13">
        <f>J37/K37</f>
        <v>0</v>
      </c>
      <c r="M37" s="1482" t="s">
        <v>1861</v>
      </c>
      <c r="N37" s="1484"/>
      <c r="O37" s="13">
        <f>SUM(O36:O36)</f>
        <v>1.6E-2</v>
      </c>
      <c r="P37" s="14">
        <v>0.8</v>
      </c>
      <c r="Q37" s="13">
        <f>O37/P37</f>
        <v>0.02</v>
      </c>
      <c r="R37" s="1482" t="s">
        <v>1860</v>
      </c>
      <c r="S37" s="1483"/>
      <c r="T37" s="1484"/>
      <c r="U37" s="13">
        <f>SUM(U36:U36)</f>
        <v>0</v>
      </c>
      <c r="V37" s="14">
        <v>0.8</v>
      </c>
      <c r="W37" s="13">
        <f>U37/V37</f>
        <v>0</v>
      </c>
      <c r="X37" s="311"/>
    </row>
    <row r="38" spans="1:24" x14ac:dyDescent="0.25">
      <c r="A38" s="397" t="str">
        <f>'Расчет ЦП - общая форма'!C22</f>
        <v xml:space="preserve">ПС 35/10 кВ Мартыново </v>
      </c>
      <c r="B38" s="398">
        <f>'Расчет ЦП - общая форма'!D22</f>
        <v>1.6</v>
      </c>
      <c r="C38" s="399"/>
      <c r="D38" s="399"/>
      <c r="E38" s="399"/>
      <c r="F38" s="400"/>
      <c r="G38" s="1"/>
      <c r="H38" s="1"/>
      <c r="I38" s="1"/>
      <c r="J38" s="1"/>
      <c r="K38" s="1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22"/>
      <c r="X38" s="311"/>
    </row>
    <row r="39" spans="1:24" ht="15.75" customHeight="1" thickBot="1" x14ac:dyDescent="0.3">
      <c r="A39" s="393"/>
      <c r="B39" s="394"/>
      <c r="C39" s="395"/>
      <c r="D39" s="395"/>
      <c r="E39" s="395"/>
      <c r="F39" s="396"/>
      <c r="G39" s="1482" t="s">
        <v>1860</v>
      </c>
      <c r="H39" s="1483"/>
      <c r="I39" s="1484"/>
      <c r="J39" s="13">
        <f>SUM(J38:J38)</f>
        <v>0</v>
      </c>
      <c r="K39" s="14">
        <v>0.8</v>
      </c>
      <c r="L39" s="13">
        <f>J39/K39</f>
        <v>0</v>
      </c>
      <c r="M39" s="1482" t="s">
        <v>1861</v>
      </c>
      <c r="N39" s="1484"/>
      <c r="O39" s="13">
        <f>SUM(O38:O38)</f>
        <v>0</v>
      </c>
      <c r="P39" s="14">
        <v>0.8</v>
      </c>
      <c r="Q39" s="13">
        <f>O39/P39</f>
        <v>0</v>
      </c>
      <c r="R39" s="1482" t="s">
        <v>1860</v>
      </c>
      <c r="S39" s="1483"/>
      <c r="T39" s="1484"/>
      <c r="U39" s="13">
        <f>SUM(U38:U38)</f>
        <v>0</v>
      </c>
      <c r="V39" s="14">
        <v>0.8</v>
      </c>
      <c r="W39" s="13">
        <f>U39/V39</f>
        <v>0</v>
      </c>
      <c r="X39" s="311"/>
    </row>
    <row r="40" spans="1:24" ht="33.75" customHeight="1" x14ac:dyDescent="0.25">
      <c r="A40" s="406" t="str">
        <f>'Расчет ЦП - общая форма'!C23</f>
        <v xml:space="preserve">ПС 35/10 кВ Михайловское  </v>
      </c>
      <c r="B40" s="398">
        <f>'Расчет ЦП - общая форма'!D23</f>
        <v>2.5</v>
      </c>
      <c r="C40" s="399"/>
      <c r="D40" s="399"/>
      <c r="E40" s="399"/>
      <c r="F40" s="400"/>
      <c r="G40" s="152"/>
      <c r="H40" s="1"/>
      <c r="I40" s="1"/>
      <c r="J40" s="1"/>
      <c r="K40" s="1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22"/>
      <c r="X40" s="311"/>
    </row>
    <row r="41" spans="1:24" ht="15.75" customHeight="1" thickBot="1" x14ac:dyDescent="0.3">
      <c r="A41" s="405"/>
      <c r="B41" s="394"/>
      <c r="C41" s="395"/>
      <c r="D41" s="395"/>
      <c r="E41" s="395"/>
      <c r="F41" s="396"/>
      <c r="G41" s="1483" t="s">
        <v>1860</v>
      </c>
      <c r="H41" s="1483"/>
      <c r="I41" s="1484"/>
      <c r="J41" s="13">
        <f>SUM(J40:J40)</f>
        <v>0</v>
      </c>
      <c r="K41" s="14">
        <v>0.8</v>
      </c>
      <c r="L41" s="13">
        <f>J41/K41</f>
        <v>0</v>
      </c>
      <c r="M41" s="1482" t="s">
        <v>1861</v>
      </c>
      <c r="N41" s="1484"/>
      <c r="O41" s="13">
        <f>SUM(O40:O40)</f>
        <v>0</v>
      </c>
      <c r="P41" s="14">
        <v>0.8</v>
      </c>
      <c r="Q41" s="13">
        <f>O41/P41</f>
        <v>0</v>
      </c>
      <c r="R41" s="1482" t="s">
        <v>1860</v>
      </c>
      <c r="S41" s="1483"/>
      <c r="T41" s="1484"/>
      <c r="U41" s="13">
        <f>SUM(U40:U40)</f>
        <v>0</v>
      </c>
      <c r="V41" s="14">
        <v>0.8</v>
      </c>
      <c r="W41" s="13">
        <f>U41/V41</f>
        <v>0</v>
      </c>
      <c r="X41" s="311"/>
    </row>
    <row r="42" spans="1:24" x14ac:dyDescent="0.25">
      <c r="A42" s="407" t="str">
        <f>'Расчет ЦП - общая форма'!C24</f>
        <v xml:space="preserve">ПС 35/10 кВ Морозово  </v>
      </c>
      <c r="B42" s="402">
        <f>'Расчет ЦП - общая форма'!D24</f>
        <v>2.5</v>
      </c>
      <c r="C42" s="403"/>
      <c r="D42" s="403"/>
      <c r="E42" s="403"/>
      <c r="F42" s="404"/>
      <c r="G42" s="1"/>
      <c r="H42" s="1"/>
      <c r="I42" s="1"/>
      <c r="J42" s="1"/>
      <c r="K42" s="1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22"/>
      <c r="X42" s="311"/>
    </row>
    <row r="43" spans="1:24" ht="15.75" customHeight="1" thickBot="1" x14ac:dyDescent="0.3">
      <c r="A43" s="393"/>
      <c r="B43" s="394"/>
      <c r="C43" s="395"/>
      <c r="D43" s="395"/>
      <c r="E43" s="395"/>
      <c r="F43" s="396"/>
      <c r="G43" s="1482" t="s">
        <v>1860</v>
      </c>
      <c r="H43" s="1483"/>
      <c r="I43" s="1484"/>
      <c r="J43" s="13">
        <f>SUM(J42:J42)</f>
        <v>0</v>
      </c>
      <c r="K43" s="14">
        <v>0.8</v>
      </c>
      <c r="L43" s="13">
        <f>J43/K43</f>
        <v>0</v>
      </c>
      <c r="M43" s="1482" t="s">
        <v>1861</v>
      </c>
      <c r="N43" s="1484"/>
      <c r="O43" s="13">
        <f>SUM(O42:O42)</f>
        <v>0</v>
      </c>
      <c r="P43" s="14">
        <v>0.8</v>
      </c>
      <c r="Q43" s="13">
        <f>O43/P43</f>
        <v>0</v>
      </c>
      <c r="R43" s="1482" t="s">
        <v>1860</v>
      </c>
      <c r="S43" s="1483"/>
      <c r="T43" s="1484"/>
      <c r="U43" s="13">
        <f>SUM(U42:U42)</f>
        <v>0</v>
      </c>
      <c r="V43" s="14">
        <v>0.8</v>
      </c>
      <c r="W43" s="13">
        <f>U43/V43</f>
        <v>0</v>
      </c>
      <c r="X43" s="311"/>
    </row>
    <row r="44" spans="1:24" x14ac:dyDescent="0.25">
      <c r="A44" s="397" t="str">
        <f>'Расчет ЦП - общая форма'!C25</f>
        <v xml:space="preserve">ПС 35/10 кВ Поповка </v>
      </c>
      <c r="B44" s="398">
        <f>'Расчет ЦП - общая форма'!D25</f>
        <v>1.6</v>
      </c>
      <c r="C44" s="399"/>
      <c r="D44" s="399"/>
      <c r="E44" s="399"/>
      <c r="F44" s="400"/>
      <c r="G44" s="17"/>
      <c r="H44" s="17"/>
      <c r="I44" s="17"/>
      <c r="J44" s="17"/>
      <c r="K44" s="17"/>
      <c r="L44" s="7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73"/>
      <c r="X44" s="311"/>
    </row>
    <row r="45" spans="1:24" ht="15.75" customHeight="1" thickBot="1" x14ac:dyDescent="0.3">
      <c r="A45" s="393"/>
      <c r="B45" s="394"/>
      <c r="C45" s="395"/>
      <c r="D45" s="395"/>
      <c r="E45" s="395"/>
      <c r="F45" s="396"/>
      <c r="G45" s="1482" t="s">
        <v>1860</v>
      </c>
      <c r="H45" s="1483"/>
      <c r="I45" s="1484"/>
      <c r="J45" s="13">
        <f>SUM(J44:J44)</f>
        <v>0</v>
      </c>
      <c r="K45" s="14">
        <v>0.8</v>
      </c>
      <c r="L45" s="13">
        <f>J45/K45</f>
        <v>0</v>
      </c>
      <c r="M45" s="1482" t="s">
        <v>1861</v>
      </c>
      <c r="N45" s="1484"/>
      <c r="O45" s="13">
        <f>SUM(O44:O44)</f>
        <v>0</v>
      </c>
      <c r="P45" s="14">
        <v>0.8</v>
      </c>
      <c r="Q45" s="13">
        <f>O45/P45</f>
        <v>0</v>
      </c>
      <c r="R45" s="1485" t="s">
        <v>1860</v>
      </c>
      <c r="S45" s="1486"/>
      <c r="T45" s="1487"/>
      <c r="U45" s="21">
        <f>SUM(U44:U44)</f>
        <v>0</v>
      </c>
      <c r="V45" s="24">
        <v>0.8</v>
      </c>
      <c r="W45" s="21">
        <f>U45/V45</f>
        <v>0</v>
      </c>
      <c r="X45" s="311"/>
    </row>
    <row r="46" spans="1:24" x14ac:dyDescent="0.25">
      <c r="A46" s="407"/>
      <c r="B46" s="398"/>
      <c r="C46" s="399"/>
      <c r="D46" s="399"/>
      <c r="E46" s="399"/>
      <c r="F46" s="399"/>
      <c r="G46" s="1541" t="s">
        <v>1987</v>
      </c>
      <c r="H46" s="1511"/>
      <c r="I46" s="1511"/>
      <c r="J46" s="1511"/>
      <c r="K46" s="1511"/>
      <c r="L46" s="1542"/>
      <c r="M46" s="9"/>
      <c r="N46" s="9"/>
      <c r="O46" s="9"/>
      <c r="P46" s="9"/>
      <c r="Q46" s="9"/>
      <c r="R46" s="293"/>
      <c r="S46" s="293"/>
      <c r="T46" s="293"/>
      <c r="U46" s="293"/>
      <c r="V46" s="293"/>
      <c r="W46" s="293"/>
      <c r="X46" s="311"/>
    </row>
    <row r="47" spans="1:24" ht="123" customHeight="1" x14ac:dyDescent="0.25">
      <c r="A47" s="407" t="s">
        <v>1804</v>
      </c>
      <c r="B47" s="402">
        <f>'Расчет ЦП - общая форма'!D26</f>
        <v>1.6</v>
      </c>
      <c r="C47" s="403"/>
      <c r="D47" s="403"/>
      <c r="E47" s="403"/>
      <c r="F47" s="404"/>
      <c r="G47" s="42" t="s">
        <v>1866</v>
      </c>
      <c r="H47" s="42" t="s">
        <v>1867</v>
      </c>
      <c r="I47" s="42" t="s">
        <v>1868</v>
      </c>
      <c r="J47" s="321">
        <v>2.1499999999999998E-2</v>
      </c>
      <c r="K47" s="321"/>
      <c r="L47" s="322"/>
      <c r="M47" s="9"/>
      <c r="N47" s="9"/>
      <c r="O47" s="9"/>
      <c r="P47" s="9"/>
      <c r="Q47" s="9"/>
      <c r="R47" s="293"/>
      <c r="S47" s="293"/>
      <c r="T47" s="293"/>
      <c r="U47" s="293"/>
      <c r="V47" s="293"/>
      <c r="W47" s="293"/>
      <c r="X47" s="311"/>
    </row>
    <row r="48" spans="1:24" ht="15.75" customHeight="1" thickBot="1" x14ac:dyDescent="0.3">
      <c r="A48" s="393"/>
      <c r="B48" s="394"/>
      <c r="C48" s="395"/>
      <c r="D48" s="395"/>
      <c r="E48" s="395"/>
      <c r="F48" s="396"/>
      <c r="G48" s="1482" t="s">
        <v>1860</v>
      </c>
      <c r="H48" s="1483"/>
      <c r="I48" s="1484"/>
      <c r="J48" s="323">
        <f>SUM(0)</f>
        <v>0</v>
      </c>
      <c r="K48" s="324">
        <v>0.8</v>
      </c>
      <c r="L48" s="323">
        <f>J48/K48</f>
        <v>0</v>
      </c>
      <c r="M48" s="1482" t="s">
        <v>1861</v>
      </c>
      <c r="N48" s="1484"/>
      <c r="O48" s="13">
        <f>SUM(O46:O47)</f>
        <v>0</v>
      </c>
      <c r="P48" s="14">
        <v>0.8</v>
      </c>
      <c r="Q48" s="13">
        <f>O48/P48</f>
        <v>0</v>
      </c>
      <c r="R48" s="1482" t="s">
        <v>1860</v>
      </c>
      <c r="S48" s="1483"/>
      <c r="T48" s="1484"/>
      <c r="U48" s="13">
        <f>SUM(U46:U47)</f>
        <v>0</v>
      </c>
      <c r="V48" s="14">
        <v>0.8</v>
      </c>
      <c r="W48" s="13">
        <f>U48/V48</f>
        <v>0</v>
      </c>
      <c r="X48" s="311"/>
    </row>
    <row r="49" spans="1:24" ht="19.5" customHeight="1" x14ac:dyDescent="0.25">
      <c r="A49" s="407" t="str">
        <f>'Расчет ЦП - общая форма'!C27</f>
        <v xml:space="preserve">ПС 35/10 кВ Старое Сандово </v>
      </c>
      <c r="B49" s="402">
        <f>'Расчет ЦП - общая форма'!D27</f>
        <v>2.5</v>
      </c>
      <c r="C49" s="403"/>
      <c r="D49" s="403"/>
      <c r="E49" s="403"/>
      <c r="F49" s="404"/>
      <c r="G49" s="1541" t="s">
        <v>3069</v>
      </c>
      <c r="H49" s="1511"/>
      <c r="I49" s="1511"/>
      <c r="J49" s="1511"/>
      <c r="K49" s="1511"/>
      <c r="L49" s="1542"/>
      <c r="M49" s="1"/>
      <c r="N49" s="1"/>
      <c r="O49" s="325"/>
      <c r="P49" s="325"/>
      <c r="Q49" s="325"/>
      <c r="R49" s="1"/>
      <c r="S49" s="1"/>
      <c r="T49" s="1"/>
      <c r="U49" s="1"/>
      <c r="V49" s="1"/>
      <c r="W49" s="22"/>
      <c r="X49" s="311"/>
    </row>
    <row r="50" spans="1:24" ht="117.75" customHeight="1" x14ac:dyDescent="0.25">
      <c r="A50" s="1162"/>
      <c r="B50" s="1164"/>
      <c r="C50" s="1166"/>
      <c r="D50" s="1166"/>
      <c r="E50" s="1166"/>
      <c r="F50" s="1165"/>
      <c r="G50" s="1" t="s">
        <v>3390</v>
      </c>
      <c r="H50" s="1" t="s">
        <v>3391</v>
      </c>
      <c r="I50" s="20" t="s">
        <v>3441</v>
      </c>
      <c r="J50" s="24">
        <v>0.03</v>
      </c>
      <c r="K50" s="24"/>
      <c r="L50" s="62"/>
      <c r="M50" s="1" t="s">
        <v>2424</v>
      </c>
      <c r="N50" s="1" t="s">
        <v>2477</v>
      </c>
      <c r="O50" s="325">
        <v>1.6E-2</v>
      </c>
      <c r="P50" s="325"/>
      <c r="Q50" s="325"/>
      <c r="R50" s="1"/>
      <c r="S50" s="1"/>
      <c r="T50" s="1"/>
      <c r="U50" s="1"/>
      <c r="V50" s="1"/>
      <c r="W50" s="22"/>
      <c r="X50" s="311"/>
    </row>
    <row r="51" spans="1:24" ht="15.75" customHeight="1" thickBot="1" x14ac:dyDescent="0.3">
      <c r="A51" s="393"/>
      <c r="B51" s="394"/>
      <c r="C51" s="395"/>
      <c r="D51" s="395"/>
      <c r="E51" s="395"/>
      <c r="F51" s="396"/>
      <c r="G51" s="1483" t="s">
        <v>1860</v>
      </c>
      <c r="H51" s="1483"/>
      <c r="I51" s="1484"/>
      <c r="J51" s="13">
        <f>SUM(J50)</f>
        <v>0.03</v>
      </c>
      <c r="K51" s="14">
        <v>0.8</v>
      </c>
      <c r="L51" s="13">
        <f>J51/K51</f>
        <v>3.7499999999999999E-2</v>
      </c>
      <c r="M51" s="1482" t="s">
        <v>1861</v>
      </c>
      <c r="N51" s="1484"/>
      <c r="O51" s="323">
        <f>SUM(O50)</f>
        <v>1.6E-2</v>
      </c>
      <c r="P51" s="324">
        <v>0.8</v>
      </c>
      <c r="Q51" s="323">
        <f>O51/P51</f>
        <v>0.02</v>
      </c>
      <c r="R51" s="1482" t="s">
        <v>1860</v>
      </c>
      <c r="S51" s="1483"/>
      <c r="T51" s="1484"/>
      <c r="U51" s="13">
        <f>SUM(U49:U49)</f>
        <v>0</v>
      </c>
      <c r="V51" s="14">
        <v>0.8</v>
      </c>
      <c r="W51" s="13">
        <f>U51/V51</f>
        <v>0</v>
      </c>
      <c r="X51" s="311"/>
    </row>
    <row r="52" spans="1:24" x14ac:dyDescent="0.25">
      <c r="A52" s="397" t="str">
        <f>'Расчет ЦП - общая форма'!C28</f>
        <v xml:space="preserve">ПС 35/10 кВ Сукромны </v>
      </c>
      <c r="B52" s="402">
        <f>'Расчет ЦП - общая форма'!D28</f>
        <v>1.6</v>
      </c>
      <c r="C52" s="403"/>
      <c r="D52" s="403"/>
      <c r="E52" s="403"/>
      <c r="F52" s="404"/>
      <c r="G52" s="9"/>
      <c r="H52" s="9"/>
      <c r="I52" s="9"/>
      <c r="J52" s="9"/>
      <c r="K52" s="9"/>
      <c r="L52" s="51"/>
      <c r="M52" s="9"/>
      <c r="N52" s="9"/>
      <c r="O52" s="9"/>
      <c r="P52" s="9"/>
      <c r="Q52" s="9"/>
      <c r="R52" s="9"/>
      <c r="S52" s="9"/>
      <c r="T52" s="9"/>
      <c r="U52" s="9"/>
      <c r="V52" s="9"/>
      <c r="W52" s="51"/>
      <c r="X52" s="311"/>
    </row>
    <row r="53" spans="1:24" ht="15.75" customHeight="1" thickBot="1" x14ac:dyDescent="0.3">
      <c r="A53" s="393"/>
      <c r="B53" s="394"/>
      <c r="C53" s="395"/>
      <c r="D53" s="395"/>
      <c r="E53" s="395"/>
      <c r="F53" s="396"/>
      <c r="G53" s="1482" t="s">
        <v>1860</v>
      </c>
      <c r="H53" s="1483"/>
      <c r="I53" s="1484"/>
      <c r="J53" s="13">
        <f>SUM(J52:J52)</f>
        <v>0</v>
      </c>
      <c r="K53" s="14">
        <v>0.8</v>
      </c>
      <c r="L53" s="13">
        <f>J53/K53</f>
        <v>0</v>
      </c>
      <c r="M53" s="1482" t="s">
        <v>1861</v>
      </c>
      <c r="N53" s="1484"/>
      <c r="O53" s="13">
        <f>SUM(O52:O52)</f>
        <v>0</v>
      </c>
      <c r="P53" s="14">
        <v>0.8</v>
      </c>
      <c r="Q53" s="13">
        <f>O53/P53</f>
        <v>0</v>
      </c>
      <c r="R53" s="1482" t="s">
        <v>1860</v>
      </c>
      <c r="S53" s="1483"/>
      <c r="T53" s="1484"/>
      <c r="U53" s="13">
        <f>SUM(U52:U52)</f>
        <v>0</v>
      </c>
      <c r="V53" s="14">
        <v>0.8</v>
      </c>
      <c r="W53" s="13">
        <f>U53/V53</f>
        <v>0</v>
      </c>
      <c r="X53" s="311"/>
    </row>
    <row r="54" spans="1:24" ht="49.5" customHeight="1" x14ac:dyDescent="0.25">
      <c r="A54" s="397" t="str">
        <f>'Расчет ЦП - общая форма'!C29</f>
        <v xml:space="preserve">ПС 35/10 кВ Теблеши </v>
      </c>
      <c r="B54" s="398">
        <f>'Расчет ЦП - общая форма'!D29</f>
        <v>2.5</v>
      </c>
      <c r="C54" s="399"/>
      <c r="D54" s="399"/>
      <c r="E54" s="399"/>
      <c r="F54" s="400"/>
      <c r="G54" s="17"/>
      <c r="H54" s="17"/>
      <c r="I54" s="17"/>
      <c r="J54" s="17"/>
      <c r="K54" s="17"/>
      <c r="L54" s="73"/>
      <c r="M54" s="1" t="s">
        <v>2563</v>
      </c>
      <c r="N54" s="1" t="s">
        <v>2665</v>
      </c>
      <c r="O54" s="17">
        <v>2.3E-2</v>
      </c>
      <c r="P54" s="17"/>
      <c r="Q54" s="17"/>
      <c r="R54" s="17"/>
      <c r="S54" s="17"/>
      <c r="T54" s="17"/>
      <c r="U54" s="17"/>
      <c r="V54" s="17"/>
      <c r="W54" s="73"/>
      <c r="X54" s="311"/>
    </row>
    <row r="55" spans="1:24" ht="15.75" customHeight="1" thickBot="1" x14ac:dyDescent="0.3">
      <c r="A55" s="393"/>
      <c r="B55" s="394"/>
      <c r="C55" s="395"/>
      <c r="D55" s="395"/>
      <c r="E55" s="395"/>
      <c r="F55" s="396"/>
      <c r="G55" s="1482" t="s">
        <v>1860</v>
      </c>
      <c r="H55" s="1483"/>
      <c r="I55" s="1484"/>
      <c r="J55" s="13">
        <f>SUM(J54:J54)</f>
        <v>0</v>
      </c>
      <c r="K55" s="14">
        <v>0.8</v>
      </c>
      <c r="L55" s="13">
        <f>J55/K55</f>
        <v>0</v>
      </c>
      <c r="M55" s="1482" t="s">
        <v>1861</v>
      </c>
      <c r="N55" s="1484"/>
      <c r="O55" s="13">
        <f>SUM(O54:O54)</f>
        <v>2.3E-2</v>
      </c>
      <c r="P55" s="14">
        <v>0.8</v>
      </c>
      <c r="Q55" s="13">
        <f>O55/P55</f>
        <v>2.8749999999999998E-2</v>
      </c>
      <c r="R55" s="1482" t="s">
        <v>1860</v>
      </c>
      <c r="S55" s="1483"/>
      <c r="T55" s="1484"/>
      <c r="U55" s="13">
        <f>SUM(U54:U54)</f>
        <v>0</v>
      </c>
      <c r="V55" s="14">
        <v>0.8</v>
      </c>
      <c r="W55" s="13">
        <f>U55/V55</f>
        <v>0</v>
      </c>
      <c r="X55" s="311"/>
    </row>
    <row r="56" spans="1:24" x14ac:dyDescent="0.25">
      <c r="A56" s="397" t="str">
        <f>'Расчет ЦП - общая форма'!C30</f>
        <v xml:space="preserve">ПС 35/10 кВ Трестна </v>
      </c>
      <c r="B56" s="398">
        <f>'Расчет ЦП - общая форма'!D30</f>
        <v>2.5</v>
      </c>
      <c r="C56" s="399"/>
      <c r="D56" s="399"/>
      <c r="E56" s="399"/>
      <c r="F56" s="400"/>
      <c r="G56" s="1"/>
      <c r="H56" s="1"/>
      <c r="I56" s="1"/>
      <c r="J56" s="1"/>
      <c r="K56" s="1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22"/>
      <c r="X56" s="311"/>
    </row>
    <row r="57" spans="1:24" ht="15.75" customHeight="1" thickBot="1" x14ac:dyDescent="0.3">
      <c r="A57" s="393"/>
      <c r="B57" s="394"/>
      <c r="C57" s="395"/>
      <c r="D57" s="395"/>
      <c r="E57" s="395"/>
      <c r="F57" s="396"/>
      <c r="G57" s="1482" t="s">
        <v>1860</v>
      </c>
      <c r="H57" s="1483"/>
      <c r="I57" s="1484"/>
      <c r="J57" s="13">
        <f>SUM(J56:J56)</f>
        <v>0</v>
      </c>
      <c r="K57" s="14">
        <v>0.8</v>
      </c>
      <c r="L57" s="13">
        <f>J57/K57</f>
        <v>0</v>
      </c>
      <c r="M57" s="1482" t="s">
        <v>1861</v>
      </c>
      <c r="N57" s="1484"/>
      <c r="O57" s="13">
        <f>SUM(O56:O56)</f>
        <v>0</v>
      </c>
      <c r="P57" s="14">
        <v>0.8</v>
      </c>
      <c r="Q57" s="13">
        <f>O57/P57</f>
        <v>0</v>
      </c>
      <c r="R57" s="1482" t="s">
        <v>1860</v>
      </c>
      <c r="S57" s="1483"/>
      <c r="T57" s="1484"/>
      <c r="U57" s="13">
        <f>SUM(U56:U56)</f>
        <v>0</v>
      </c>
      <c r="V57" s="14">
        <v>0.8</v>
      </c>
      <c r="W57" s="13">
        <f>U57/V57</f>
        <v>0</v>
      </c>
      <c r="X57" s="311"/>
    </row>
    <row r="58" spans="1:24" x14ac:dyDescent="0.25">
      <c r="A58" s="397" t="str">
        <f>'Расчет ЦП - общая форма'!C31</f>
        <v xml:space="preserve">ПС  35/10 кВ Фралёво </v>
      </c>
      <c r="B58" s="398">
        <f>'Расчет ЦП - общая форма'!D31</f>
        <v>4</v>
      </c>
      <c r="C58" s="399"/>
      <c r="D58" s="399"/>
      <c r="E58" s="399"/>
      <c r="F58" s="400"/>
      <c r="G58" s="1"/>
      <c r="H58" s="1"/>
      <c r="I58" s="1"/>
      <c r="J58" s="1"/>
      <c r="K58" s="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22"/>
      <c r="X58" s="311"/>
    </row>
    <row r="59" spans="1:24" ht="15.75" customHeight="1" thickBot="1" x14ac:dyDescent="0.3">
      <c r="A59" s="393"/>
      <c r="B59" s="394"/>
      <c r="C59" s="395"/>
      <c r="D59" s="395"/>
      <c r="E59" s="395"/>
      <c r="F59" s="396"/>
      <c r="G59" s="1482" t="s">
        <v>1860</v>
      </c>
      <c r="H59" s="1483"/>
      <c r="I59" s="1484"/>
      <c r="J59" s="13">
        <f>SUM(J58:J58)</f>
        <v>0</v>
      </c>
      <c r="K59" s="14">
        <v>0.8</v>
      </c>
      <c r="L59" s="13">
        <f>J59/K59</f>
        <v>0</v>
      </c>
      <c r="M59" s="1482" t="s">
        <v>1861</v>
      </c>
      <c r="N59" s="1484"/>
      <c r="O59" s="13">
        <f>SUM(O58:O58)</f>
        <v>0</v>
      </c>
      <c r="P59" s="14">
        <v>0.8</v>
      </c>
      <c r="Q59" s="13">
        <f>O59/P59</f>
        <v>0</v>
      </c>
      <c r="R59" s="1485" t="s">
        <v>1860</v>
      </c>
      <c r="S59" s="1486"/>
      <c r="T59" s="1487"/>
      <c r="U59" s="21">
        <f>SUM(U58:U58)</f>
        <v>0</v>
      </c>
      <c r="V59" s="24">
        <v>0.8</v>
      </c>
      <c r="W59" s="21">
        <f>U59/V59</f>
        <v>0</v>
      </c>
      <c r="X59" s="311"/>
    </row>
    <row r="60" spans="1:24" s="67" customFormat="1" x14ac:dyDescent="0.25">
      <c r="A60" s="406"/>
      <c r="B60" s="398"/>
      <c r="C60" s="399"/>
      <c r="D60" s="399"/>
      <c r="E60" s="399"/>
      <c r="F60" s="400"/>
      <c r="G60" s="1499" t="s">
        <v>1989</v>
      </c>
      <c r="H60" s="1499"/>
      <c r="I60" s="1499"/>
      <c r="J60" s="1499"/>
      <c r="K60" s="1499"/>
      <c r="L60" s="1500"/>
      <c r="M60" s="129"/>
      <c r="N60" s="130"/>
      <c r="O60" s="62"/>
      <c r="P60" s="62"/>
      <c r="Q60" s="62"/>
      <c r="R60" s="313"/>
      <c r="S60" s="313"/>
      <c r="T60" s="313"/>
      <c r="U60" s="313"/>
      <c r="V60" s="313"/>
      <c r="W60" s="313"/>
      <c r="X60" s="311"/>
    </row>
    <row r="61" spans="1:24" ht="135" x14ac:dyDescent="0.25">
      <c r="A61" s="1540" t="str">
        <f>'Расчет ЦП - общая форма'!C32</f>
        <v xml:space="preserve">ПС 35/10 кВ Чамерово </v>
      </c>
      <c r="B61" s="402">
        <f>'Расчет ЦП - общая форма'!D32</f>
        <v>1.8</v>
      </c>
      <c r="C61" s="403"/>
      <c r="D61" s="403"/>
      <c r="E61" s="403"/>
      <c r="F61" s="404"/>
      <c r="G61" s="152" t="s">
        <v>1870</v>
      </c>
      <c r="H61" s="1" t="s">
        <v>1871</v>
      </c>
      <c r="I61" s="1" t="s">
        <v>1872</v>
      </c>
      <c r="J61" s="1">
        <v>4.4999999999999998E-2</v>
      </c>
      <c r="K61" s="1"/>
      <c r="L61" s="22"/>
      <c r="M61" s="1" t="s">
        <v>2426</v>
      </c>
      <c r="N61" s="1" t="s">
        <v>2478</v>
      </c>
      <c r="O61" s="1">
        <v>1.6E-2</v>
      </c>
      <c r="P61" s="1"/>
      <c r="Q61" s="1"/>
      <c r="R61" s="313"/>
      <c r="S61" s="313"/>
      <c r="T61" s="313"/>
      <c r="U61" s="313"/>
      <c r="V61" s="313"/>
      <c r="W61" s="313"/>
      <c r="X61" s="311"/>
    </row>
    <row r="62" spans="1:24" x14ac:dyDescent="0.25">
      <c r="A62" s="1540"/>
      <c r="B62" s="402"/>
      <c r="C62" s="403"/>
      <c r="D62" s="403"/>
      <c r="E62" s="403"/>
      <c r="F62" s="404"/>
      <c r="G62" s="1544" t="s">
        <v>1988</v>
      </c>
      <c r="H62" s="1544"/>
      <c r="I62" s="1544"/>
      <c r="J62" s="1544"/>
      <c r="K62" s="1544"/>
      <c r="L62" s="1545"/>
      <c r="M62" s="24"/>
      <c r="N62" s="24"/>
      <c r="O62" s="40"/>
      <c r="P62" s="24"/>
      <c r="Q62" s="1"/>
      <c r="R62" s="313"/>
      <c r="S62" s="313"/>
      <c r="T62" s="313"/>
      <c r="U62" s="313"/>
      <c r="V62" s="313"/>
      <c r="W62" s="313"/>
      <c r="X62" s="311"/>
    </row>
    <row r="63" spans="1:24" ht="30" x14ac:dyDescent="0.25">
      <c r="A63" s="1540"/>
      <c r="B63" s="402"/>
      <c r="C63" s="403"/>
      <c r="D63" s="403"/>
      <c r="E63" s="403"/>
      <c r="F63" s="404"/>
      <c r="G63" s="104" t="s">
        <v>1873</v>
      </c>
      <c r="H63" s="9" t="s">
        <v>1874</v>
      </c>
      <c r="I63" s="18" t="s">
        <v>1875</v>
      </c>
      <c r="J63" s="9">
        <v>0.2</v>
      </c>
      <c r="K63" s="9"/>
      <c r="L63" s="51"/>
      <c r="M63" s="1"/>
      <c r="N63" s="1"/>
      <c r="O63" s="325"/>
      <c r="P63" s="325"/>
      <c r="Q63" s="325"/>
      <c r="R63" s="313"/>
      <c r="S63" s="313"/>
      <c r="T63" s="313"/>
      <c r="U63" s="313"/>
      <c r="V63" s="313"/>
      <c r="W63" s="313"/>
      <c r="X63" s="311"/>
    </row>
    <row r="64" spans="1:24" ht="15.75" customHeight="1" thickBot="1" x14ac:dyDescent="0.3">
      <c r="A64" s="405"/>
      <c r="B64" s="394"/>
      <c r="C64" s="395"/>
      <c r="D64" s="395"/>
      <c r="E64" s="395"/>
      <c r="F64" s="396"/>
      <c r="G64" s="1483" t="s">
        <v>1860</v>
      </c>
      <c r="H64" s="1483"/>
      <c r="I64" s="1484"/>
      <c r="J64" s="13">
        <f>SUM(0)</f>
        <v>0</v>
      </c>
      <c r="K64" s="14">
        <v>0.8</v>
      </c>
      <c r="L64" s="13">
        <f>J64/K64</f>
        <v>0</v>
      </c>
      <c r="M64" s="1482" t="s">
        <v>1861</v>
      </c>
      <c r="N64" s="1484"/>
      <c r="O64" s="323">
        <f>SUM(O61:O63)</f>
        <v>1.6E-2</v>
      </c>
      <c r="P64" s="324">
        <v>0.8</v>
      </c>
      <c r="Q64" s="323">
        <f>O64/P64</f>
        <v>0.02</v>
      </c>
      <c r="R64" s="1482" t="s">
        <v>1860</v>
      </c>
      <c r="S64" s="1483"/>
      <c r="T64" s="1484"/>
      <c r="U64" s="13">
        <f>SUM(0)</f>
        <v>0</v>
      </c>
      <c r="V64" s="14">
        <v>0.8</v>
      </c>
      <c r="W64" s="13">
        <f>U64/V64</f>
        <v>0</v>
      </c>
      <c r="X64" s="311"/>
    </row>
    <row r="65" spans="1:24" x14ac:dyDescent="0.25">
      <c r="A65" s="407" t="str">
        <f>'Расчет ЦП - общая форма'!C33</f>
        <v xml:space="preserve">ПС 110/10 кВ Ахматово </v>
      </c>
      <c r="B65" s="398">
        <f>'Расчет ЦП - общая форма'!D33</f>
        <v>2.5</v>
      </c>
      <c r="C65" s="399"/>
      <c r="D65" s="399"/>
      <c r="E65" s="399"/>
      <c r="F65" s="400"/>
      <c r="G65" s="1"/>
      <c r="H65" s="1"/>
      <c r="I65" s="1"/>
      <c r="J65" s="1"/>
      <c r="K65" s="1"/>
      <c r="L65" s="22"/>
      <c r="M65" s="1"/>
      <c r="N65" s="1"/>
      <c r="O65" s="1"/>
      <c r="P65" s="1"/>
      <c r="Q65" s="1"/>
      <c r="R65" s="1"/>
      <c r="S65" s="1"/>
      <c r="T65" s="1"/>
      <c r="U65" s="1"/>
      <c r="V65" s="1"/>
      <c r="W65" s="22"/>
      <c r="X65" s="311"/>
    </row>
    <row r="66" spans="1:24" ht="15.75" customHeight="1" thickBot="1" x14ac:dyDescent="0.3">
      <c r="A66" s="393"/>
      <c r="B66" s="394"/>
      <c r="C66" s="395"/>
      <c r="D66" s="395"/>
      <c r="E66" s="395"/>
      <c r="F66" s="396"/>
      <c r="G66" s="1482" t="s">
        <v>1860</v>
      </c>
      <c r="H66" s="1483"/>
      <c r="I66" s="1484"/>
      <c r="J66" s="13">
        <f>SUM(J65:J65)</f>
        <v>0</v>
      </c>
      <c r="K66" s="14">
        <v>0.8</v>
      </c>
      <c r="L66" s="13">
        <f>J66/K66</f>
        <v>0</v>
      </c>
      <c r="M66" s="1482" t="s">
        <v>1861</v>
      </c>
      <c r="N66" s="1484"/>
      <c r="O66" s="13">
        <f>SUM(O65:O65)</f>
        <v>0</v>
      </c>
      <c r="P66" s="14">
        <v>0.8</v>
      </c>
      <c r="Q66" s="13">
        <f>O66/P66</f>
        <v>0</v>
      </c>
      <c r="R66" s="1482" t="s">
        <v>1860</v>
      </c>
      <c r="S66" s="1483"/>
      <c r="T66" s="1484"/>
      <c r="U66" s="13">
        <f>SUM(U65:U65)</f>
        <v>0</v>
      </c>
      <c r="V66" s="14">
        <v>0.8</v>
      </c>
      <c r="W66" s="13">
        <f>U66/V66</f>
        <v>0</v>
      </c>
      <c r="X66" s="311"/>
    </row>
    <row r="67" spans="1:24" ht="39.75" customHeight="1" x14ac:dyDescent="0.25">
      <c r="A67" s="407" t="str">
        <f>'Расчет ЦП - общая форма'!C34</f>
        <v xml:space="preserve">ПС 110/10 кВ Кладово </v>
      </c>
      <c r="B67" s="402">
        <f>'Расчет ЦП - общая форма'!D34</f>
        <v>6.3</v>
      </c>
      <c r="C67" s="403"/>
      <c r="D67" s="403"/>
      <c r="E67" s="403"/>
      <c r="F67" s="404"/>
      <c r="G67" s="104"/>
      <c r="H67" s="9"/>
      <c r="I67" s="9"/>
      <c r="J67" s="51"/>
      <c r="K67" s="9"/>
      <c r="L67" s="51"/>
      <c r="M67" s="9"/>
      <c r="N67" s="9"/>
      <c r="O67" s="9"/>
      <c r="P67" s="9"/>
      <c r="Q67" s="9"/>
      <c r="R67" s="9"/>
      <c r="S67" s="9"/>
      <c r="T67" s="9"/>
      <c r="U67" s="51"/>
      <c r="V67" s="9"/>
      <c r="W67" s="51"/>
      <c r="X67" s="311"/>
    </row>
    <row r="68" spans="1:24" ht="15.75" customHeight="1" thickBot="1" x14ac:dyDescent="0.3">
      <c r="A68" s="393"/>
      <c r="B68" s="394"/>
      <c r="C68" s="395"/>
      <c r="D68" s="395"/>
      <c r="E68" s="395"/>
      <c r="F68" s="396"/>
      <c r="G68" s="1483" t="s">
        <v>1860</v>
      </c>
      <c r="H68" s="1483"/>
      <c r="I68" s="1484"/>
      <c r="J68" s="13">
        <f>SUM(J67:J67)</f>
        <v>0</v>
      </c>
      <c r="K68" s="14">
        <v>0.8</v>
      </c>
      <c r="L68" s="13">
        <f>J68/K68</f>
        <v>0</v>
      </c>
      <c r="M68" s="1482" t="s">
        <v>1861</v>
      </c>
      <c r="N68" s="1484"/>
      <c r="O68" s="13">
        <f>SUM(O67:O67)</f>
        <v>0</v>
      </c>
      <c r="P68" s="14">
        <v>0.8</v>
      </c>
      <c r="Q68" s="13">
        <f>O68/P68</f>
        <v>0</v>
      </c>
      <c r="R68" s="1482" t="s">
        <v>1860</v>
      </c>
      <c r="S68" s="1483"/>
      <c r="T68" s="1484"/>
      <c r="U68" s="13">
        <f>SUM(U67:U67)</f>
        <v>0</v>
      </c>
      <c r="V68" s="14">
        <v>0.8</v>
      </c>
      <c r="W68" s="13">
        <f>U68/V68</f>
        <v>0</v>
      </c>
      <c r="X68" s="311"/>
    </row>
    <row r="69" spans="1:24" x14ac:dyDescent="0.25">
      <c r="A69" s="397" t="str">
        <f>'Расчет ЦП - общая форма'!C35</f>
        <v xml:space="preserve">ПС 110/10 кВ Лаптиха </v>
      </c>
      <c r="B69" s="398">
        <f>'Расчет ЦП - общая форма'!D35</f>
        <v>2.5</v>
      </c>
      <c r="C69" s="399"/>
      <c r="D69" s="399"/>
      <c r="E69" s="399"/>
      <c r="F69" s="400"/>
      <c r="G69" s="9"/>
      <c r="H69" s="9"/>
      <c r="I69" s="9"/>
      <c r="J69" s="9"/>
      <c r="K69" s="9"/>
      <c r="L69" s="51"/>
      <c r="M69" s="9"/>
      <c r="N69" s="9"/>
      <c r="O69" s="9"/>
      <c r="P69" s="9"/>
      <c r="Q69" s="9"/>
      <c r="R69" s="9"/>
      <c r="S69" s="9"/>
      <c r="T69" s="9"/>
      <c r="U69" s="9"/>
      <c r="V69" s="9"/>
      <c r="W69" s="51"/>
      <c r="X69" s="311"/>
    </row>
    <row r="70" spans="1:24" ht="15.75" customHeight="1" thickBot="1" x14ac:dyDescent="0.3">
      <c r="A70" s="393"/>
      <c r="B70" s="394"/>
      <c r="C70" s="395"/>
      <c r="D70" s="395"/>
      <c r="E70" s="395"/>
      <c r="F70" s="396"/>
      <c r="G70" s="1482" t="s">
        <v>1860</v>
      </c>
      <c r="H70" s="1483"/>
      <c r="I70" s="1484"/>
      <c r="J70" s="13">
        <f>SUM(J69:J69)</f>
        <v>0</v>
      </c>
      <c r="K70" s="14">
        <v>0.8</v>
      </c>
      <c r="L70" s="13">
        <f>J70/K70</f>
        <v>0</v>
      </c>
      <c r="M70" s="1482" t="s">
        <v>1861</v>
      </c>
      <c r="N70" s="1484"/>
      <c r="O70" s="13">
        <f>SUM(O69:O69)</f>
        <v>0</v>
      </c>
      <c r="P70" s="14">
        <v>0.8</v>
      </c>
      <c r="Q70" s="13">
        <f>O70/P70</f>
        <v>0</v>
      </c>
      <c r="R70" s="1485" t="s">
        <v>1860</v>
      </c>
      <c r="S70" s="1486"/>
      <c r="T70" s="1487"/>
      <c r="U70" s="21">
        <f>SUM(U69:U69)</f>
        <v>0</v>
      </c>
      <c r="V70" s="24">
        <v>0.8</v>
      </c>
      <c r="W70" s="21">
        <f>U70/V70</f>
        <v>0</v>
      </c>
      <c r="X70" s="311"/>
    </row>
    <row r="71" spans="1:24" s="67" customFormat="1" ht="15.75" customHeight="1" x14ac:dyDescent="0.25">
      <c r="A71" s="397"/>
      <c r="B71" s="402"/>
      <c r="C71" s="403"/>
      <c r="D71" s="403"/>
      <c r="E71" s="403"/>
      <c r="F71" s="404"/>
      <c r="G71" s="1499" t="s">
        <v>1988</v>
      </c>
      <c r="H71" s="1499"/>
      <c r="I71" s="1499"/>
      <c r="J71" s="1499"/>
      <c r="K71" s="1499"/>
      <c r="L71" s="1500"/>
      <c r="M71" s="131"/>
      <c r="N71" s="132"/>
      <c r="O71" s="73"/>
      <c r="P71" s="73"/>
      <c r="Q71" s="73"/>
      <c r="R71" s="313"/>
      <c r="S71" s="313"/>
      <c r="T71" s="313"/>
      <c r="U71" s="313"/>
      <c r="V71" s="313"/>
      <c r="W71" s="313"/>
      <c r="X71" s="311"/>
    </row>
    <row r="72" spans="1:24" ht="51" customHeight="1" x14ac:dyDescent="0.25">
      <c r="A72" s="407" t="s">
        <v>1805</v>
      </c>
      <c r="B72" s="402">
        <f>'Расчет ЦП - общая форма'!D36</f>
        <v>2.5</v>
      </c>
      <c r="C72" s="403"/>
      <c r="D72" s="403"/>
      <c r="E72" s="403"/>
      <c r="F72" s="404"/>
      <c r="G72" s="104" t="s">
        <v>1895</v>
      </c>
      <c r="H72" s="9" t="s">
        <v>1896</v>
      </c>
      <c r="I72" s="9" t="s">
        <v>1897</v>
      </c>
      <c r="J72" s="317">
        <v>2.5000000000000001E-2</v>
      </c>
      <c r="K72" s="317"/>
      <c r="L72" s="318"/>
      <c r="M72" s="79" t="s">
        <v>71</v>
      </c>
      <c r="N72" s="79" t="s">
        <v>72</v>
      </c>
      <c r="O72" s="9">
        <v>0.04</v>
      </c>
      <c r="P72" s="9"/>
      <c r="Q72" s="9"/>
      <c r="R72" s="313"/>
      <c r="S72" s="313"/>
      <c r="T72" s="313"/>
      <c r="U72" s="313"/>
      <c r="V72" s="313"/>
      <c r="W72" s="313"/>
      <c r="X72" s="311"/>
    </row>
    <row r="73" spans="1:24" ht="15.75" customHeight="1" thickBot="1" x14ac:dyDescent="0.3">
      <c r="A73" s="407"/>
      <c r="B73" s="394"/>
      <c r="C73" s="395"/>
      <c r="D73" s="395"/>
      <c r="E73" s="395"/>
      <c r="F73" s="396"/>
      <c r="G73" s="1486" t="s">
        <v>1860</v>
      </c>
      <c r="H73" s="1486"/>
      <c r="I73" s="1487"/>
      <c r="J73" s="327">
        <f>SUM(0)</f>
        <v>0</v>
      </c>
      <c r="K73" s="328">
        <v>0.8</v>
      </c>
      <c r="L73" s="327">
        <f>J73/K73</f>
        <v>0</v>
      </c>
      <c r="M73" s="1485" t="s">
        <v>1861</v>
      </c>
      <c r="N73" s="1487"/>
      <c r="O73" s="21">
        <f>SUM(O72:O72)</f>
        <v>0.04</v>
      </c>
      <c r="P73" s="24">
        <v>0.8</v>
      </c>
      <c r="Q73" s="21">
        <f>O73/P73</f>
        <v>4.9999999999999996E-2</v>
      </c>
      <c r="R73" s="1485" t="s">
        <v>1860</v>
      </c>
      <c r="S73" s="1486"/>
      <c r="T73" s="1487"/>
      <c r="U73" s="21">
        <f>SUM(0)</f>
        <v>0</v>
      </c>
      <c r="V73" s="24">
        <v>0.8</v>
      </c>
      <c r="W73" s="21">
        <f>U73/V73</f>
        <v>0</v>
      </c>
      <c r="X73" s="311"/>
    </row>
    <row r="74" spans="1:24" ht="15.75" customHeight="1" x14ac:dyDescent="0.25">
      <c r="A74" s="397"/>
      <c r="B74" s="398"/>
      <c r="C74" s="399"/>
      <c r="D74" s="399"/>
      <c r="E74" s="399"/>
      <c r="F74" s="400"/>
      <c r="G74" s="1499" t="s">
        <v>1987</v>
      </c>
      <c r="H74" s="1499"/>
      <c r="I74" s="1499"/>
      <c r="J74" s="1499"/>
      <c r="K74" s="1499"/>
      <c r="L74" s="1500"/>
      <c r="M74" s="131"/>
      <c r="N74" s="132"/>
      <c r="O74" s="73"/>
      <c r="P74" s="73"/>
      <c r="Q74" s="73"/>
      <c r="R74" s="313"/>
      <c r="S74" s="313"/>
      <c r="T74" s="313"/>
      <c r="U74" s="313"/>
      <c r="V74" s="313"/>
      <c r="W74" s="313"/>
      <c r="X74" s="311"/>
    </row>
    <row r="75" spans="1:24" ht="120" x14ac:dyDescent="0.25">
      <c r="A75" s="407" t="s">
        <v>1803</v>
      </c>
      <c r="B75" s="402">
        <f>'Расчет ЦП - общая форма'!D37</f>
        <v>16</v>
      </c>
      <c r="C75" s="403"/>
      <c r="D75" s="403"/>
      <c r="E75" s="403"/>
      <c r="F75" s="404"/>
      <c r="G75" s="41" t="s">
        <v>1857</v>
      </c>
      <c r="H75" s="41" t="s">
        <v>1858</v>
      </c>
      <c r="I75" s="41" t="s">
        <v>1859</v>
      </c>
      <c r="J75" s="329">
        <v>0.03</v>
      </c>
      <c r="K75" s="321"/>
      <c r="L75" s="322"/>
      <c r="M75" s="9" t="s">
        <v>3514</v>
      </c>
      <c r="N75" s="9" t="s">
        <v>3515</v>
      </c>
      <c r="O75" s="9">
        <f>0.1-0.015</f>
        <v>8.5000000000000006E-2</v>
      </c>
      <c r="P75" s="9"/>
      <c r="Q75" s="9"/>
      <c r="R75" s="22"/>
      <c r="S75" s="22"/>
      <c r="T75" s="22"/>
      <c r="U75" s="22"/>
      <c r="V75" s="22"/>
      <c r="W75" s="22"/>
      <c r="X75" s="311"/>
    </row>
    <row r="76" spans="1:24" ht="15.75" customHeight="1" thickBot="1" x14ac:dyDescent="0.3">
      <c r="A76" s="393"/>
      <c r="B76" s="394"/>
      <c r="C76" s="395"/>
      <c r="D76" s="395"/>
      <c r="E76" s="395"/>
      <c r="F76" s="396"/>
      <c r="G76" s="1483" t="s">
        <v>1860</v>
      </c>
      <c r="H76" s="1483"/>
      <c r="I76" s="1484"/>
      <c r="J76" s="323">
        <f>SUM(0)</f>
        <v>0</v>
      </c>
      <c r="K76" s="324">
        <v>0.8</v>
      </c>
      <c r="L76" s="323">
        <f>J76/K76</f>
        <v>0</v>
      </c>
      <c r="M76" s="1482" t="s">
        <v>1861</v>
      </c>
      <c r="N76" s="1484"/>
      <c r="O76" s="13">
        <f>SUM(O75:O75)</f>
        <v>8.5000000000000006E-2</v>
      </c>
      <c r="P76" s="14">
        <v>0.8</v>
      </c>
      <c r="Q76" s="13">
        <f>O76/P76</f>
        <v>0.10625</v>
      </c>
      <c r="R76" s="1482" t="s">
        <v>1860</v>
      </c>
      <c r="S76" s="1483"/>
      <c r="T76" s="1484"/>
      <c r="U76" s="13">
        <f>SUM(U75:U75)</f>
        <v>0</v>
      </c>
      <c r="V76" s="14">
        <v>0.8</v>
      </c>
      <c r="W76" s="13">
        <f>U76/V76</f>
        <v>0</v>
      </c>
      <c r="X76" s="311"/>
    </row>
    <row r="77" spans="1:24" x14ac:dyDescent="0.25">
      <c r="A77" s="397" t="str">
        <f>'Расчет ЦП - общая форма'!C38</f>
        <v xml:space="preserve">ПС 110/35 кВ Рассвет </v>
      </c>
      <c r="B77" s="402">
        <f>'Расчет ЦП - общая форма'!D38</f>
        <v>10</v>
      </c>
      <c r="C77" s="403"/>
      <c r="D77" s="403"/>
      <c r="E77" s="403"/>
      <c r="F77" s="404"/>
      <c r="G77" s="17"/>
      <c r="H77" s="17"/>
      <c r="I77" s="17"/>
      <c r="J77" s="17"/>
      <c r="K77" s="17"/>
      <c r="L77" s="73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73"/>
      <c r="X77" s="311"/>
    </row>
    <row r="78" spans="1:24" ht="15.75" customHeight="1" thickBot="1" x14ac:dyDescent="0.3">
      <c r="A78" s="393"/>
      <c r="B78" s="394"/>
      <c r="C78" s="395"/>
      <c r="D78" s="395"/>
      <c r="E78" s="395"/>
      <c r="F78" s="396"/>
      <c r="G78" s="1482" t="s">
        <v>1860</v>
      </c>
      <c r="H78" s="1483"/>
      <c r="I78" s="1484"/>
      <c r="J78" s="13">
        <f>SUM(J77:J77)</f>
        <v>0</v>
      </c>
      <c r="K78" s="14">
        <v>0.8</v>
      </c>
      <c r="L78" s="13">
        <f>J78/K78</f>
        <v>0</v>
      </c>
      <c r="M78" s="1482" t="s">
        <v>1861</v>
      </c>
      <c r="N78" s="1484"/>
      <c r="O78" s="13">
        <f>SUM(O77:O77)</f>
        <v>0</v>
      </c>
      <c r="P78" s="14">
        <v>0.8</v>
      </c>
      <c r="Q78" s="13">
        <f>O78/P78</f>
        <v>0</v>
      </c>
      <c r="R78" s="1482" t="s">
        <v>1860</v>
      </c>
      <c r="S78" s="1483"/>
      <c r="T78" s="1484"/>
      <c r="U78" s="13">
        <f>SUM(U77:U77)</f>
        <v>0</v>
      </c>
      <c r="V78" s="14">
        <v>0.8</v>
      </c>
      <c r="W78" s="13">
        <f>U78/V78</f>
        <v>0</v>
      </c>
      <c r="X78" s="311"/>
    </row>
    <row r="79" spans="1:24" x14ac:dyDescent="0.25">
      <c r="A79" s="397" t="str">
        <f>'Расчет ЦП - общая форма'!C39</f>
        <v xml:space="preserve">ПС 110/35/10 кВ Иваново </v>
      </c>
      <c r="B79" s="398">
        <f>'Расчет ЦП - общая форма'!D39</f>
        <v>6.3</v>
      </c>
      <c r="C79" s="399"/>
      <c r="D79" s="399"/>
      <c r="E79" s="399"/>
      <c r="F79" s="400"/>
      <c r="G79" s="1"/>
      <c r="H79" s="1"/>
      <c r="I79" s="1"/>
      <c r="J79" s="1"/>
      <c r="K79" s="1"/>
      <c r="L79" s="22"/>
      <c r="M79" s="1"/>
      <c r="N79" s="1"/>
      <c r="O79" s="1"/>
      <c r="P79" s="1"/>
      <c r="Q79" s="1"/>
      <c r="R79" s="1"/>
      <c r="S79" s="1"/>
      <c r="T79" s="1"/>
      <c r="U79" s="1"/>
      <c r="V79" s="1"/>
      <c r="W79" s="22"/>
      <c r="X79" s="311"/>
    </row>
    <row r="80" spans="1:24" ht="15.75" customHeight="1" thickBot="1" x14ac:dyDescent="0.3">
      <c r="A80" s="393"/>
      <c r="B80" s="394"/>
      <c r="C80" s="395"/>
      <c r="D80" s="395"/>
      <c r="E80" s="395"/>
      <c r="F80" s="396"/>
      <c r="G80" s="1482" t="s">
        <v>1860</v>
      </c>
      <c r="H80" s="1483"/>
      <c r="I80" s="1484"/>
      <c r="J80" s="13">
        <f>SUM(J79:J79)</f>
        <v>0</v>
      </c>
      <c r="K80" s="14">
        <v>0.8</v>
      </c>
      <c r="L80" s="13">
        <f>J80/K80</f>
        <v>0</v>
      </c>
      <c r="M80" s="1482" t="s">
        <v>1861</v>
      </c>
      <c r="N80" s="1484"/>
      <c r="O80" s="13">
        <f>SUM(O79:O79)</f>
        <v>0</v>
      </c>
      <c r="P80" s="14">
        <v>0.8</v>
      </c>
      <c r="Q80" s="13">
        <f>O80/P80</f>
        <v>0</v>
      </c>
      <c r="R80" s="1482" t="s">
        <v>1860</v>
      </c>
      <c r="S80" s="1483"/>
      <c r="T80" s="1484"/>
      <c r="U80" s="13">
        <f>SUM(U79:U79)</f>
        <v>0</v>
      </c>
      <c r="V80" s="14">
        <v>0.8</v>
      </c>
      <c r="W80" s="13">
        <f>U80/V80</f>
        <v>0</v>
      </c>
      <c r="X80" s="311"/>
    </row>
    <row r="81" spans="1:24" ht="39" customHeight="1" x14ac:dyDescent="0.25">
      <c r="A81" s="408" t="str">
        <f>'Расчет ЦП - общая форма'!C42</f>
        <v xml:space="preserve">ПС 110/35/10 кВ Кесьма </v>
      </c>
      <c r="B81" s="398">
        <f>'Расчет ЦП - общая форма'!D42</f>
        <v>6.3</v>
      </c>
      <c r="C81" s="399"/>
      <c r="D81" s="399"/>
      <c r="E81" s="399"/>
      <c r="F81" s="400"/>
      <c r="G81" s="9"/>
      <c r="H81" s="9"/>
      <c r="I81" s="9"/>
      <c r="J81" s="9"/>
      <c r="K81" s="9"/>
      <c r="L81" s="51"/>
      <c r="M81" s="9" t="s">
        <v>2424</v>
      </c>
      <c r="N81" s="9" t="s">
        <v>2425</v>
      </c>
      <c r="O81" s="9">
        <v>1.6E-2</v>
      </c>
      <c r="P81" s="9"/>
      <c r="Q81" s="9"/>
      <c r="R81" s="9"/>
      <c r="S81" s="9"/>
      <c r="T81" s="9"/>
      <c r="U81" s="9"/>
      <c r="V81" s="9"/>
      <c r="W81" s="51"/>
      <c r="X81" s="311"/>
    </row>
    <row r="82" spans="1:24" ht="15.75" customHeight="1" thickBot="1" x14ac:dyDescent="0.3">
      <c r="A82" s="409"/>
      <c r="B82" s="394"/>
      <c r="C82" s="395"/>
      <c r="D82" s="395"/>
      <c r="E82" s="395"/>
      <c r="F82" s="396"/>
      <c r="G82" s="1482" t="s">
        <v>1860</v>
      </c>
      <c r="H82" s="1483"/>
      <c r="I82" s="1484"/>
      <c r="J82" s="13">
        <f>SUM(J81:J81)</f>
        <v>0</v>
      </c>
      <c r="K82" s="14">
        <v>0.8</v>
      </c>
      <c r="L82" s="13">
        <f>J82/K82</f>
        <v>0</v>
      </c>
      <c r="M82" s="1482" t="s">
        <v>1861</v>
      </c>
      <c r="N82" s="1484"/>
      <c r="O82" s="13">
        <f>SUM(O81:O81)</f>
        <v>1.6E-2</v>
      </c>
      <c r="P82" s="14">
        <v>0.8</v>
      </c>
      <c r="Q82" s="13">
        <f>O82/P82</f>
        <v>0.02</v>
      </c>
      <c r="R82" s="1482" t="s">
        <v>1860</v>
      </c>
      <c r="S82" s="1483"/>
      <c r="T82" s="1484"/>
      <c r="U82" s="13">
        <f>SUM(U81:U81)</f>
        <v>0</v>
      </c>
      <c r="V82" s="14">
        <v>0.8</v>
      </c>
      <c r="W82" s="13">
        <f>U82/V82</f>
        <v>0</v>
      </c>
      <c r="X82" s="311"/>
    </row>
    <row r="83" spans="1:24" ht="30" x14ac:dyDescent="0.25">
      <c r="A83" s="408" t="str">
        <f>'Расчет ЦП - общая форма'!C45</f>
        <v xml:space="preserve">ПС 110/35/10 кВ Моркины Горы </v>
      </c>
      <c r="B83" s="398">
        <f>'Расчет ЦП - общая форма'!D45</f>
        <v>5.6</v>
      </c>
      <c r="C83" s="399"/>
      <c r="D83" s="399"/>
      <c r="E83" s="399"/>
      <c r="F83" s="400"/>
      <c r="G83" s="1"/>
      <c r="H83" s="1"/>
      <c r="I83" s="1"/>
      <c r="J83" s="9"/>
      <c r="K83" s="9"/>
      <c r="L83" s="51"/>
      <c r="M83" s="9" t="s">
        <v>1864</v>
      </c>
      <c r="N83" s="9" t="s">
        <v>1865</v>
      </c>
      <c r="O83" s="9">
        <v>2.04</v>
      </c>
      <c r="P83" s="9"/>
      <c r="Q83" s="9"/>
      <c r="R83" s="1"/>
      <c r="S83" s="1"/>
      <c r="T83" s="1"/>
      <c r="U83" s="9"/>
      <c r="V83" s="9"/>
      <c r="W83" s="51"/>
      <c r="X83" s="311"/>
    </row>
    <row r="84" spans="1:24" ht="15.75" customHeight="1" thickBot="1" x14ac:dyDescent="0.3">
      <c r="A84" s="409"/>
      <c r="B84" s="394"/>
      <c r="C84" s="395"/>
      <c r="D84" s="395"/>
      <c r="E84" s="395"/>
      <c r="F84" s="396"/>
      <c r="G84" s="1482" t="s">
        <v>1860</v>
      </c>
      <c r="H84" s="1483"/>
      <c r="I84" s="1484"/>
      <c r="J84" s="13">
        <f>SUM(J83:J83)</f>
        <v>0</v>
      </c>
      <c r="K84" s="14">
        <v>0.8</v>
      </c>
      <c r="L84" s="13">
        <f>J84/K84</f>
        <v>0</v>
      </c>
      <c r="M84" s="1482" t="s">
        <v>1861</v>
      </c>
      <c r="N84" s="1484"/>
      <c r="O84" s="13">
        <f>SUM(O83:O83)</f>
        <v>2.04</v>
      </c>
      <c r="P84" s="14">
        <v>0.8</v>
      </c>
      <c r="Q84" s="13">
        <f>O84/P84</f>
        <v>2.5499999999999998</v>
      </c>
      <c r="R84" s="1482" t="s">
        <v>1860</v>
      </c>
      <c r="S84" s="1483"/>
      <c r="T84" s="1484"/>
      <c r="U84" s="13">
        <f>SUM(U83:U83)</f>
        <v>0</v>
      </c>
      <c r="V84" s="14">
        <v>0.8</v>
      </c>
      <c r="W84" s="13">
        <f>U84/V84</f>
        <v>0</v>
      </c>
      <c r="X84" s="311"/>
    </row>
    <row r="85" spans="1:24" x14ac:dyDescent="0.25">
      <c r="A85" s="397" t="str">
        <f>'Расчет ЦП - общая форма'!C48</f>
        <v xml:space="preserve">ПС 110/35/10 кВ Топалки  </v>
      </c>
      <c r="B85" s="398">
        <f>'Расчет ЦП - общая форма'!D48</f>
        <v>6.3</v>
      </c>
      <c r="C85" s="399"/>
      <c r="D85" s="399"/>
      <c r="E85" s="399"/>
      <c r="F85" s="400"/>
      <c r="G85" s="17"/>
      <c r="H85" s="17"/>
      <c r="I85" s="17"/>
      <c r="J85" s="17"/>
      <c r="K85" s="17"/>
      <c r="L85" s="73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73"/>
      <c r="X85" s="311"/>
    </row>
    <row r="86" spans="1:24" ht="15.75" customHeight="1" thickBot="1" x14ac:dyDescent="0.3">
      <c r="A86" s="393"/>
      <c r="B86" s="402"/>
      <c r="C86" s="403"/>
      <c r="D86" s="403"/>
      <c r="E86" s="403"/>
      <c r="F86" s="404"/>
      <c r="G86" s="1482" t="s">
        <v>1860</v>
      </c>
      <c r="H86" s="1483"/>
      <c r="I86" s="1484"/>
      <c r="J86" s="13">
        <f>SUM(J85:J85)</f>
        <v>0</v>
      </c>
      <c r="K86" s="14">
        <v>0.8</v>
      </c>
      <c r="L86" s="13">
        <f>J86/K86</f>
        <v>0</v>
      </c>
      <c r="M86" s="1482" t="s">
        <v>1861</v>
      </c>
      <c r="N86" s="1484"/>
      <c r="O86" s="13">
        <f>SUM(O85:O85)</f>
        <v>0</v>
      </c>
      <c r="P86" s="14">
        <v>0.8</v>
      </c>
      <c r="Q86" s="13">
        <f>O86/P86</f>
        <v>0</v>
      </c>
      <c r="R86" s="1482" t="s">
        <v>1860</v>
      </c>
      <c r="S86" s="1483"/>
      <c r="T86" s="1484"/>
      <c r="U86" s="13">
        <f>SUM(U85:U85)</f>
        <v>0</v>
      </c>
      <c r="V86" s="14">
        <v>0.8</v>
      </c>
      <c r="W86" s="13">
        <f>U86/V86</f>
        <v>0</v>
      </c>
      <c r="X86" s="311"/>
    </row>
    <row r="87" spans="1:24" x14ac:dyDescent="0.25">
      <c r="A87" s="397" t="str">
        <f>'Расчет ЦП - общая форма'!C51</f>
        <v xml:space="preserve">ПС 35/10 кВ Березьё  </v>
      </c>
      <c r="B87" s="398">
        <f>'Расчет ЦП - общая форма'!D51</f>
        <v>1</v>
      </c>
      <c r="C87" s="399" t="str">
        <f>'Расчет ЦП - общая форма'!E51</f>
        <v>+</v>
      </c>
      <c r="D87" s="399">
        <f>'Расчет ЦП - общая форма'!F51</f>
        <v>1</v>
      </c>
      <c r="E87" s="399"/>
      <c r="F87" s="400"/>
      <c r="G87" s="152"/>
      <c r="H87" s="1"/>
      <c r="I87" s="1"/>
      <c r="J87" s="1"/>
      <c r="K87" s="1"/>
      <c r="L87" s="22"/>
      <c r="M87" s="1"/>
      <c r="N87" s="1"/>
      <c r="O87" s="1"/>
      <c r="P87" s="1"/>
      <c r="Q87" s="1"/>
      <c r="R87" s="1"/>
      <c r="S87" s="1"/>
      <c r="T87" s="1"/>
      <c r="U87" s="1"/>
      <c r="V87" s="1"/>
      <c r="W87" s="22"/>
      <c r="X87" s="311"/>
    </row>
    <row r="88" spans="1:24" ht="15.75" customHeight="1" thickBot="1" x14ac:dyDescent="0.3">
      <c r="A88" s="393"/>
      <c r="B88" s="394"/>
      <c r="C88" s="395"/>
      <c r="D88" s="395"/>
      <c r="E88" s="395"/>
      <c r="F88" s="396"/>
      <c r="G88" s="1482" t="s">
        <v>1860</v>
      </c>
      <c r="H88" s="1483"/>
      <c r="I88" s="1484"/>
      <c r="J88" s="13">
        <f>SUM(J87:J87)</f>
        <v>0</v>
      </c>
      <c r="K88" s="14">
        <v>0.8</v>
      </c>
      <c r="L88" s="13">
        <f>J88/K88</f>
        <v>0</v>
      </c>
      <c r="M88" s="1482" t="s">
        <v>1861</v>
      </c>
      <c r="N88" s="1484"/>
      <c r="O88" s="13">
        <f>SUM(O87:O87)</f>
        <v>0</v>
      </c>
      <c r="P88" s="14">
        <v>0.8</v>
      </c>
      <c r="Q88" s="13">
        <f>O88/P88</f>
        <v>0</v>
      </c>
      <c r="R88" s="1482" t="s">
        <v>1860</v>
      </c>
      <c r="S88" s="1483"/>
      <c r="T88" s="1484"/>
      <c r="U88" s="13">
        <f>SUM(U87:U87)</f>
        <v>0</v>
      </c>
      <c r="V88" s="14">
        <v>0.8</v>
      </c>
      <c r="W88" s="13">
        <f>U88/V88</f>
        <v>0</v>
      </c>
      <c r="X88" s="311"/>
    </row>
    <row r="89" spans="1:24" ht="19.5" customHeight="1" x14ac:dyDescent="0.25">
      <c r="A89" s="397"/>
      <c r="B89" s="398"/>
      <c r="C89" s="399"/>
      <c r="D89" s="399"/>
      <c r="E89" s="399"/>
      <c r="F89" s="400"/>
      <c r="G89" s="1511" t="s">
        <v>1987</v>
      </c>
      <c r="H89" s="1511"/>
      <c r="I89" s="1511"/>
      <c r="J89" s="1511"/>
      <c r="K89" s="1511"/>
      <c r="L89" s="1542"/>
      <c r="M89" s="143"/>
      <c r="N89" s="143"/>
      <c r="O89" s="143"/>
      <c r="P89" s="9"/>
      <c r="Q89" s="9"/>
      <c r="R89" s="293"/>
      <c r="S89" s="293"/>
      <c r="T89" s="293"/>
      <c r="U89" s="293"/>
      <c r="V89" s="293"/>
      <c r="W89" s="293"/>
      <c r="X89" s="311"/>
    </row>
    <row r="90" spans="1:24" ht="33" customHeight="1" x14ac:dyDescent="0.25">
      <c r="A90" s="1543" t="str">
        <f>'Расчет ЦП - общая форма'!C52</f>
        <v xml:space="preserve">ПС 35/10 кВ Лесное </v>
      </c>
      <c r="B90" s="402">
        <f>'Расчет ЦП - общая форма'!D52</f>
        <v>2.5</v>
      </c>
      <c r="C90" s="403" t="str">
        <f>'Расчет ЦП - общая форма'!E52</f>
        <v>+</v>
      </c>
      <c r="D90" s="403">
        <f>'Расчет ЦП - общая форма'!F52</f>
        <v>4</v>
      </c>
      <c r="E90" s="403"/>
      <c r="F90" s="404"/>
      <c r="G90" s="382" t="s">
        <v>1883</v>
      </c>
      <c r="H90" s="1" t="s">
        <v>1884</v>
      </c>
      <c r="I90" s="1" t="s">
        <v>1885</v>
      </c>
      <c r="J90" s="1">
        <v>0.06</v>
      </c>
      <c r="K90" s="1"/>
      <c r="L90" s="22"/>
      <c r="M90" s="143" t="s">
        <v>1777</v>
      </c>
      <c r="N90" s="1250" t="s">
        <v>1992</v>
      </c>
      <c r="O90" s="6">
        <v>1.1000000000000001</v>
      </c>
      <c r="P90" s="321"/>
      <c r="Q90" s="321"/>
      <c r="R90" s="22"/>
      <c r="S90" s="22"/>
      <c r="T90" s="22"/>
      <c r="U90" s="22"/>
      <c r="V90" s="22"/>
      <c r="W90" s="22"/>
      <c r="X90" s="311"/>
    </row>
    <row r="91" spans="1:24" ht="19.5" customHeight="1" x14ac:dyDescent="0.25">
      <c r="A91" s="1543"/>
      <c r="B91" s="402"/>
      <c r="C91" s="403"/>
      <c r="D91" s="403"/>
      <c r="E91" s="403"/>
      <c r="F91" s="404"/>
      <c r="G91" s="1504" t="s">
        <v>3381</v>
      </c>
      <c r="H91" s="1505"/>
      <c r="I91" s="1505"/>
      <c r="J91" s="1505"/>
      <c r="K91" s="1505"/>
      <c r="L91" s="1505"/>
      <c r="M91" s="1" t="s">
        <v>1886</v>
      </c>
      <c r="N91" s="1249" t="s">
        <v>1887</v>
      </c>
      <c r="O91" s="321">
        <v>6.0499999999999998E-2</v>
      </c>
      <c r="P91" s="321"/>
      <c r="Q91" s="321"/>
      <c r="R91" s="145"/>
      <c r="S91" s="145"/>
      <c r="T91" s="145"/>
      <c r="U91" s="145"/>
      <c r="V91" s="145"/>
      <c r="W91" s="145"/>
      <c r="X91" s="311"/>
    </row>
    <row r="92" spans="1:24" ht="16.5" customHeight="1" x14ac:dyDescent="0.25">
      <c r="A92" s="1543"/>
      <c r="B92" s="402"/>
      <c r="C92" s="403"/>
      <c r="D92" s="403"/>
      <c r="E92" s="403"/>
      <c r="F92" s="404"/>
      <c r="G92" s="1518" t="s">
        <v>3481</v>
      </c>
      <c r="H92" s="1524"/>
      <c r="I92" s="1525"/>
      <c r="J92" s="1225">
        <v>0.2893</v>
      </c>
      <c r="K92" s="92"/>
      <c r="L92" s="92"/>
      <c r="M92" s="24" t="s">
        <v>2011</v>
      </c>
      <c r="N92" s="1251" t="s">
        <v>2012</v>
      </c>
      <c r="O92" s="326">
        <v>0.03</v>
      </c>
      <c r="P92" s="329"/>
      <c r="Q92" s="329"/>
      <c r="R92" s="75"/>
      <c r="S92" s="75"/>
      <c r="T92" s="75"/>
      <c r="U92" s="75"/>
      <c r="V92" s="75"/>
      <c r="W92" s="75"/>
      <c r="X92" s="311"/>
    </row>
    <row r="93" spans="1:24" ht="47.25" customHeight="1" x14ac:dyDescent="0.25">
      <c r="A93" s="691"/>
      <c r="B93" s="690"/>
      <c r="C93" s="692"/>
      <c r="D93" s="692"/>
      <c r="E93" s="692"/>
      <c r="F93" s="688"/>
      <c r="G93" s="8"/>
      <c r="H93" s="8"/>
      <c r="I93" s="8"/>
      <c r="J93" s="8"/>
      <c r="K93" s="8"/>
      <c r="L93" s="8"/>
      <c r="M93" s="1" t="s">
        <v>2702</v>
      </c>
      <c r="N93" s="1249" t="s">
        <v>2703</v>
      </c>
      <c r="O93" s="325">
        <v>0.02</v>
      </c>
      <c r="P93" s="325"/>
      <c r="Q93" s="325"/>
      <c r="R93" s="145"/>
      <c r="S93" s="145"/>
      <c r="T93" s="145"/>
      <c r="U93" s="145"/>
      <c r="V93" s="145"/>
      <c r="W93" s="145"/>
      <c r="X93" s="311"/>
    </row>
    <row r="94" spans="1:24" ht="47.25" customHeight="1" x14ac:dyDescent="0.25">
      <c r="A94" s="1187"/>
      <c r="B94" s="1184"/>
      <c r="C94" s="1188"/>
      <c r="D94" s="1188"/>
      <c r="E94" s="1188"/>
      <c r="F94" s="1185"/>
      <c r="G94" s="8"/>
      <c r="H94" s="8"/>
      <c r="I94" s="8"/>
      <c r="J94" s="8"/>
      <c r="K94" s="8"/>
      <c r="L94" s="8"/>
      <c r="M94" s="1" t="s">
        <v>3446</v>
      </c>
      <c r="N94" s="1249" t="s">
        <v>3447</v>
      </c>
      <c r="O94" s="325">
        <v>0.04</v>
      </c>
      <c r="P94" s="325"/>
      <c r="Q94" s="325"/>
      <c r="R94" s="145"/>
      <c r="S94" s="145"/>
      <c r="T94" s="145"/>
      <c r="U94" s="145"/>
      <c r="V94" s="145"/>
      <c r="W94" s="145"/>
      <c r="X94" s="311"/>
    </row>
    <row r="95" spans="1:24" ht="15.75" customHeight="1" thickBot="1" x14ac:dyDescent="0.3">
      <c r="A95" s="393"/>
      <c r="B95" s="394"/>
      <c r="C95" s="395"/>
      <c r="D95" s="395"/>
      <c r="E95" s="395"/>
      <c r="F95" s="396"/>
      <c r="G95" s="1509" t="s">
        <v>1860</v>
      </c>
      <c r="H95" s="1510"/>
      <c r="I95" s="1510"/>
      <c r="J95" s="140">
        <f>SUM(J92)</f>
        <v>0.2893</v>
      </c>
      <c r="K95" s="141">
        <v>0.8</v>
      </c>
      <c r="L95" s="140">
        <f>J95/K95</f>
        <v>0.36162499999999997</v>
      </c>
      <c r="M95" s="1546" t="s">
        <v>1861</v>
      </c>
      <c r="N95" s="1509"/>
      <c r="O95" s="330">
        <f>SUM(O90:O94)</f>
        <v>1.2505000000000002</v>
      </c>
      <c r="P95" s="706">
        <v>0.8</v>
      </c>
      <c r="Q95" s="330">
        <f>O95/P95</f>
        <v>1.5631250000000001</v>
      </c>
      <c r="R95" s="1488" t="s">
        <v>1860</v>
      </c>
      <c r="S95" s="1488"/>
      <c r="T95" s="1488"/>
      <c r="U95" s="160">
        <f>SUM(U90)</f>
        <v>0</v>
      </c>
      <c r="V95" s="128">
        <v>0.8</v>
      </c>
      <c r="W95" s="160">
        <f>U95/V95</f>
        <v>0</v>
      </c>
      <c r="X95" s="311"/>
    </row>
    <row r="96" spans="1:24" x14ac:dyDescent="0.25">
      <c r="A96" s="401"/>
      <c r="B96" s="402"/>
      <c r="C96" s="403"/>
      <c r="D96" s="403"/>
      <c r="E96" s="403"/>
      <c r="F96" s="404"/>
      <c r="G96" s="1506" t="s">
        <v>1988</v>
      </c>
      <c r="H96" s="1507"/>
      <c r="I96" s="1507"/>
      <c r="J96" s="1507"/>
      <c r="K96" s="1507"/>
      <c r="L96" s="1508"/>
      <c r="M96" s="131"/>
      <c r="N96" s="132"/>
      <c r="O96" s="73"/>
      <c r="P96" s="73"/>
      <c r="Q96" s="73"/>
      <c r="R96" s="293"/>
      <c r="S96" s="293"/>
      <c r="T96" s="293"/>
      <c r="U96" s="293"/>
      <c r="V96" s="293"/>
      <c r="W96" s="293"/>
      <c r="X96" s="311"/>
    </row>
    <row r="97" spans="1:24" ht="57" customHeight="1" x14ac:dyDescent="0.25">
      <c r="A97" s="410" t="str">
        <f>'Расчет ЦП - общая форма'!C53</f>
        <v xml:space="preserve">ПС 35/10 кВ Максатиха   </v>
      </c>
      <c r="B97" s="402">
        <f>'Расчет ЦП - общая форма'!D53</f>
        <v>6.3</v>
      </c>
      <c r="C97" s="403" t="str">
        <f>'Расчет ЦП - общая форма'!E53</f>
        <v>+</v>
      </c>
      <c r="D97" s="403">
        <f>'Расчет ЦП - общая форма'!F53</f>
        <v>4</v>
      </c>
      <c r="E97" s="403"/>
      <c r="F97" s="404"/>
      <c r="G97" s="333" t="s">
        <v>119</v>
      </c>
      <c r="H97" s="329" t="s">
        <v>120</v>
      </c>
      <c r="I97" s="329" t="s">
        <v>121</v>
      </c>
      <c r="J97" s="329">
        <f>50/1000</f>
        <v>0.05</v>
      </c>
      <c r="K97" s="329"/>
      <c r="L97" s="334"/>
      <c r="M97" s="9"/>
      <c r="N97" s="9"/>
      <c r="O97" s="321"/>
      <c r="P97" s="321"/>
      <c r="Q97" s="321"/>
      <c r="R97" s="293"/>
      <c r="S97" s="293"/>
      <c r="T97" s="293"/>
      <c r="U97" s="293"/>
      <c r="V97" s="293"/>
      <c r="W97" s="293"/>
      <c r="X97" s="311"/>
    </row>
    <row r="98" spans="1:24" ht="18" customHeight="1" x14ac:dyDescent="0.25">
      <c r="A98" s="410"/>
      <c r="B98" s="402"/>
      <c r="C98" s="403"/>
      <c r="D98" s="403"/>
      <c r="E98" s="403"/>
      <c r="F98" s="404"/>
      <c r="G98" s="1504" t="s">
        <v>2318</v>
      </c>
      <c r="H98" s="1505"/>
      <c r="I98" s="1505"/>
      <c r="J98" s="1505"/>
      <c r="K98" s="1505"/>
      <c r="L98" s="1505"/>
      <c r="M98" s="1" t="s">
        <v>1901</v>
      </c>
      <c r="N98" s="1" t="s">
        <v>1902</v>
      </c>
      <c r="O98" s="325">
        <v>4.4999999999999998E-2</v>
      </c>
      <c r="P98" s="321"/>
      <c r="Q98" s="321"/>
      <c r="R98" s="293"/>
      <c r="S98" s="293"/>
      <c r="T98" s="293"/>
      <c r="U98" s="293"/>
      <c r="V98" s="293"/>
      <c r="W98" s="293"/>
      <c r="X98" s="311"/>
    </row>
    <row r="99" spans="1:24" ht="75" x14ac:dyDescent="0.25">
      <c r="A99" s="410"/>
      <c r="B99" s="402"/>
      <c r="C99" s="403"/>
      <c r="D99" s="403"/>
      <c r="E99" s="403"/>
      <c r="F99" s="404"/>
      <c r="G99" s="388" t="s">
        <v>2244</v>
      </c>
      <c r="H99" s="325" t="s">
        <v>2243</v>
      </c>
      <c r="I99" s="321" t="s">
        <v>2245</v>
      </c>
      <c r="J99" s="321">
        <v>0.04</v>
      </c>
      <c r="K99" s="321"/>
      <c r="L99" s="322"/>
      <c r="M99" s="9" t="s">
        <v>1900</v>
      </c>
      <c r="N99" s="9" t="s">
        <v>68</v>
      </c>
      <c r="O99" s="321">
        <v>0.98</v>
      </c>
      <c r="P99" s="321"/>
      <c r="Q99" s="321"/>
      <c r="R99" s="293"/>
      <c r="S99" s="293"/>
      <c r="T99" s="293"/>
      <c r="U99" s="293"/>
      <c r="V99" s="293"/>
      <c r="W99" s="293"/>
      <c r="X99" s="311"/>
    </row>
    <row r="100" spans="1:24" ht="60" x14ac:dyDescent="0.25">
      <c r="A100" s="410"/>
      <c r="B100" s="402"/>
      <c r="C100" s="403"/>
      <c r="D100" s="403"/>
      <c r="E100" s="403"/>
      <c r="F100" s="404"/>
      <c r="G100" s="387" t="s">
        <v>1898</v>
      </c>
      <c r="H100" s="321" t="s">
        <v>1899</v>
      </c>
      <c r="I100" s="321" t="s">
        <v>2285</v>
      </c>
      <c r="J100" s="321">
        <v>0.113</v>
      </c>
      <c r="K100" s="321"/>
      <c r="L100" s="322"/>
      <c r="M100" s="8" t="s">
        <v>69</v>
      </c>
      <c r="N100" s="1" t="s">
        <v>70</v>
      </c>
      <c r="O100" s="321">
        <v>3.5000000000000003E-2</v>
      </c>
      <c r="P100" s="321"/>
      <c r="Q100" s="321"/>
      <c r="R100" s="293"/>
      <c r="S100" s="293"/>
      <c r="T100" s="293"/>
      <c r="U100" s="293"/>
      <c r="V100" s="293"/>
      <c r="W100" s="293"/>
      <c r="X100" s="311"/>
    </row>
    <row r="101" spans="1:24" ht="150" x14ac:dyDescent="0.25">
      <c r="A101" s="401"/>
      <c r="B101" s="402"/>
      <c r="C101" s="403"/>
      <c r="D101" s="403"/>
      <c r="E101" s="403"/>
      <c r="F101" s="404"/>
      <c r="G101" s="728" t="s">
        <v>2451</v>
      </c>
      <c r="H101" s="326" t="s">
        <v>2452</v>
      </c>
      <c r="I101" s="333" t="s">
        <v>2509</v>
      </c>
      <c r="J101" s="329">
        <v>4.4999999999999998E-2</v>
      </c>
      <c r="K101" s="329"/>
      <c r="L101" s="334"/>
      <c r="M101" s="24" t="s">
        <v>2750</v>
      </c>
      <c r="N101" s="24" t="s">
        <v>2753</v>
      </c>
      <c r="O101" s="326">
        <v>0.124</v>
      </c>
      <c r="P101" s="329"/>
      <c r="Q101" s="329"/>
      <c r="R101" s="606"/>
      <c r="S101" s="606"/>
      <c r="T101" s="606"/>
      <c r="U101" s="606"/>
      <c r="V101" s="606"/>
      <c r="W101" s="606"/>
      <c r="X101" s="311"/>
    </row>
    <row r="102" spans="1:24" ht="23.25" customHeight="1" x14ac:dyDescent="0.25">
      <c r="A102" s="721"/>
      <c r="B102" s="722"/>
      <c r="C102" s="723"/>
      <c r="D102" s="723"/>
      <c r="E102" s="723"/>
      <c r="F102" s="720"/>
      <c r="G102" s="1504" t="s">
        <v>3381</v>
      </c>
      <c r="H102" s="1505"/>
      <c r="I102" s="1505"/>
      <c r="J102" s="1505"/>
      <c r="K102" s="1505"/>
      <c r="L102" s="1505"/>
      <c r="M102" s="24" t="s">
        <v>2750</v>
      </c>
      <c r="N102" s="1" t="s">
        <v>2764</v>
      </c>
      <c r="O102" s="325">
        <v>0.05</v>
      </c>
      <c r="P102" s="325"/>
      <c r="Q102" s="325"/>
      <c r="R102" s="293"/>
      <c r="S102" s="293"/>
      <c r="T102" s="293"/>
      <c r="U102" s="293"/>
      <c r="V102" s="293"/>
      <c r="W102" s="293"/>
      <c r="X102" s="311"/>
    </row>
    <row r="103" spans="1:24" ht="56.25" customHeight="1" x14ac:dyDescent="0.25">
      <c r="A103" s="815"/>
      <c r="B103" s="817"/>
      <c r="C103" s="818"/>
      <c r="D103" s="818"/>
      <c r="E103" s="818"/>
      <c r="F103" s="814"/>
      <c r="G103" s="9" t="s">
        <v>1891</v>
      </c>
      <c r="H103" s="9" t="s">
        <v>3190</v>
      </c>
      <c r="I103" s="728" t="s">
        <v>3382</v>
      </c>
      <c r="J103" s="321">
        <v>0.05</v>
      </c>
      <c r="K103" s="326"/>
      <c r="L103" s="740"/>
      <c r="M103" s="1" t="s">
        <v>2937</v>
      </c>
      <c r="N103" s="1" t="s">
        <v>2938</v>
      </c>
      <c r="O103" s="325">
        <v>0.25</v>
      </c>
      <c r="P103" s="325"/>
      <c r="Q103" s="326"/>
      <c r="R103" s="603"/>
      <c r="S103" s="604"/>
      <c r="T103" s="605"/>
      <c r="U103" s="606"/>
      <c r="V103" s="606"/>
      <c r="W103" s="606"/>
      <c r="X103" s="311"/>
    </row>
    <row r="104" spans="1:24" ht="56.25" customHeight="1" x14ac:dyDescent="0.25">
      <c r="A104" s="1034"/>
      <c r="B104" s="1032"/>
      <c r="C104" s="1036"/>
      <c r="D104" s="1036"/>
      <c r="E104" s="1036"/>
      <c r="F104" s="1033"/>
      <c r="G104" s="1521" t="s">
        <v>3481</v>
      </c>
      <c r="H104" s="1522"/>
      <c r="I104" s="1523"/>
      <c r="J104" s="1234">
        <v>0.185</v>
      </c>
      <c r="K104" s="326"/>
      <c r="L104" s="740"/>
      <c r="M104" s="1" t="s">
        <v>3176</v>
      </c>
      <c r="N104" s="1" t="s">
        <v>3177</v>
      </c>
      <c r="O104" s="325">
        <f>0.02-0.005</f>
        <v>1.4999999999999999E-2</v>
      </c>
      <c r="P104" s="326"/>
      <c r="Q104" s="326"/>
      <c r="R104" s="603"/>
      <c r="S104" s="604"/>
      <c r="T104" s="605"/>
      <c r="U104" s="606"/>
      <c r="V104" s="606"/>
      <c r="W104" s="606"/>
      <c r="X104" s="311"/>
    </row>
    <row r="105" spans="1:24" ht="15.75" customHeight="1" thickBot="1" x14ac:dyDescent="0.3">
      <c r="A105" s="405"/>
      <c r="B105" s="394"/>
      <c r="C105" s="395"/>
      <c r="D105" s="395"/>
      <c r="E105" s="395"/>
      <c r="F105" s="396"/>
      <c r="G105" s="1493" t="s">
        <v>1860</v>
      </c>
      <c r="H105" s="1493"/>
      <c r="I105" s="1494"/>
      <c r="J105" s="323">
        <f>SUM(J103:J104)</f>
        <v>0.23499999999999999</v>
      </c>
      <c r="K105" s="324">
        <v>0.8</v>
      </c>
      <c r="L105" s="323">
        <f>J105/K105</f>
        <v>0.29374999999999996</v>
      </c>
      <c r="M105" s="1485" t="s">
        <v>1861</v>
      </c>
      <c r="N105" s="1487"/>
      <c r="O105" s="220">
        <f>SUM(O97:O104)</f>
        <v>1.4989999999999997</v>
      </c>
      <c r="P105" s="326">
        <v>0.8</v>
      </c>
      <c r="Q105" s="220">
        <f>O105/P105</f>
        <v>1.8737499999999996</v>
      </c>
      <c r="R105" s="1485" t="s">
        <v>1860</v>
      </c>
      <c r="S105" s="1486"/>
      <c r="T105" s="1487"/>
      <c r="U105" s="21">
        <f>SUM(U99:U101)</f>
        <v>0</v>
      </c>
      <c r="V105" s="24">
        <v>0.8</v>
      </c>
      <c r="W105" s="21">
        <f>U105/V105</f>
        <v>0</v>
      </c>
      <c r="X105" s="311"/>
    </row>
    <row r="106" spans="1:24" ht="15.75" customHeight="1" x14ac:dyDescent="0.25">
      <c r="A106" s="402"/>
      <c r="B106" s="402"/>
      <c r="C106" s="403"/>
      <c r="D106" s="403"/>
      <c r="E106" s="403"/>
      <c r="F106" s="404"/>
      <c r="G106" s="1511" t="s">
        <v>2062</v>
      </c>
      <c r="H106" s="1512"/>
      <c r="I106" s="1512"/>
      <c r="J106" s="1512"/>
      <c r="K106" s="1512"/>
      <c r="L106" s="1513"/>
      <c r="M106" s="22"/>
      <c r="N106" s="22"/>
      <c r="O106" s="22"/>
      <c r="P106" s="22"/>
      <c r="Q106" s="22"/>
      <c r="R106" s="293"/>
      <c r="S106" s="314"/>
      <c r="T106" s="314"/>
      <c r="U106" s="314"/>
      <c r="V106" s="314"/>
      <c r="W106" s="314"/>
      <c r="X106" s="311"/>
    </row>
    <row r="107" spans="1:24" ht="46.5" customHeight="1" x14ac:dyDescent="0.25">
      <c r="A107" s="1501" t="str">
        <f>'Расчет ЦП - общая форма'!C54</f>
        <v xml:space="preserve">ПС 35/10 кВ Молоково </v>
      </c>
      <c r="B107" s="402">
        <f>'Расчет ЦП - общая форма'!D54</f>
        <v>2.5</v>
      </c>
      <c r="C107" s="403" t="str">
        <f>'Расчет ЦП - общая форма'!E54</f>
        <v>+</v>
      </c>
      <c r="D107" s="403">
        <f>'Расчет ЦП - общая форма'!F54</f>
        <v>4</v>
      </c>
      <c r="E107" s="403"/>
      <c r="F107" s="404"/>
      <c r="G107" s="152" t="s">
        <v>2293</v>
      </c>
      <c r="H107" s="1" t="s">
        <v>19</v>
      </c>
      <c r="I107" s="1" t="s">
        <v>2294</v>
      </c>
      <c r="J107" s="325">
        <v>2.9000000000000001E-2</v>
      </c>
      <c r="K107" s="325"/>
      <c r="L107" s="335"/>
      <c r="M107" s="22"/>
      <c r="N107" s="1"/>
      <c r="O107" s="145"/>
      <c r="P107" s="22"/>
      <c r="Q107" s="22"/>
      <c r="R107" s="22" t="s">
        <v>2765</v>
      </c>
      <c r="S107" s="1" t="s">
        <v>2766</v>
      </c>
      <c r="T107" s="20" t="s">
        <v>3331</v>
      </c>
      <c r="U107" s="145">
        <v>4.2000000000000003E-2</v>
      </c>
      <c r="V107" s="22"/>
      <c r="W107" s="22"/>
      <c r="X107" s="311"/>
    </row>
    <row r="108" spans="1:24" ht="18.75" customHeight="1" x14ac:dyDescent="0.25">
      <c r="A108" s="1501"/>
      <c r="B108" s="697"/>
      <c r="C108" s="698"/>
      <c r="D108" s="698"/>
      <c r="E108" s="698"/>
      <c r="F108" s="694"/>
      <c r="G108" s="1504" t="s">
        <v>2512</v>
      </c>
      <c r="H108" s="1505"/>
      <c r="I108" s="1505"/>
      <c r="J108" s="1505"/>
      <c r="K108" s="1505"/>
      <c r="L108" s="1505"/>
      <c r="M108" s="22"/>
      <c r="N108" s="22"/>
      <c r="O108" s="145"/>
      <c r="P108" s="22"/>
      <c r="Q108" s="22"/>
      <c r="R108" s="22"/>
      <c r="S108" s="22"/>
      <c r="T108" s="22"/>
      <c r="U108" s="22"/>
      <c r="V108" s="22"/>
      <c r="W108" s="22"/>
      <c r="X108" s="311"/>
    </row>
    <row r="109" spans="1:24" ht="58.5" customHeight="1" x14ac:dyDescent="0.25">
      <c r="A109" s="1501"/>
      <c r="B109" s="411"/>
      <c r="C109" s="412"/>
      <c r="D109" s="412"/>
      <c r="E109" s="412"/>
      <c r="F109" s="413"/>
      <c r="G109" s="22" t="s">
        <v>2607</v>
      </c>
      <c r="H109" s="22" t="s">
        <v>2720</v>
      </c>
      <c r="I109" s="1" t="s">
        <v>2721</v>
      </c>
      <c r="J109" s="145">
        <f>0.05-0.03</f>
        <v>2.0000000000000004E-2</v>
      </c>
      <c r="K109" s="325"/>
      <c r="L109" s="335"/>
      <c r="M109" s="1"/>
      <c r="N109" s="1"/>
      <c r="O109" s="1"/>
      <c r="P109" s="1"/>
      <c r="Q109" s="1"/>
      <c r="R109" s="22"/>
      <c r="S109" s="22"/>
      <c r="T109" s="22"/>
      <c r="U109" s="22"/>
      <c r="V109" s="22"/>
      <c r="W109" s="22"/>
      <c r="X109" s="311"/>
    </row>
    <row r="110" spans="1:24" ht="58.5" customHeight="1" x14ac:dyDescent="0.25">
      <c r="A110" s="731"/>
      <c r="B110" s="411"/>
      <c r="C110" s="412"/>
      <c r="D110" s="412"/>
      <c r="E110" s="412"/>
      <c r="F110" s="413"/>
      <c r="G110" s="22"/>
      <c r="H110" s="1"/>
      <c r="I110" s="20"/>
      <c r="J110" s="145"/>
      <c r="K110" s="326"/>
      <c r="L110" s="740"/>
      <c r="M110" s="1"/>
      <c r="N110" s="1"/>
      <c r="O110" s="1"/>
      <c r="P110" s="1"/>
      <c r="Q110" s="1"/>
      <c r="R110" s="22"/>
      <c r="S110" s="22"/>
      <c r="T110" s="22"/>
      <c r="U110" s="62"/>
      <c r="V110" s="62"/>
      <c r="W110" s="62"/>
      <c r="X110" s="311"/>
    </row>
    <row r="111" spans="1:24" ht="15.75" customHeight="1" thickBot="1" x14ac:dyDescent="0.3">
      <c r="A111" s="394"/>
      <c r="B111" s="394"/>
      <c r="C111" s="395"/>
      <c r="D111" s="395"/>
      <c r="E111" s="395"/>
      <c r="F111" s="396"/>
      <c r="G111" s="1483" t="s">
        <v>1860</v>
      </c>
      <c r="H111" s="1483"/>
      <c r="I111" s="1484"/>
      <c r="J111" s="323">
        <f>SUM(J109:J110)</f>
        <v>2.0000000000000004E-2</v>
      </c>
      <c r="K111" s="324">
        <v>0.8</v>
      </c>
      <c r="L111" s="323">
        <f>J111/K111</f>
        <v>2.5000000000000005E-2</v>
      </c>
      <c r="M111" s="1482" t="s">
        <v>1861</v>
      </c>
      <c r="N111" s="1484"/>
      <c r="O111" s="13">
        <f>SUM(O107:O109)</f>
        <v>0</v>
      </c>
      <c r="P111" s="14">
        <v>0.8</v>
      </c>
      <c r="Q111" s="13">
        <f>O111/P111</f>
        <v>0</v>
      </c>
      <c r="R111" s="1482" t="s">
        <v>1860</v>
      </c>
      <c r="S111" s="1483"/>
      <c r="T111" s="1484"/>
      <c r="U111" s="13">
        <f>SUM(U107:U109)</f>
        <v>4.2000000000000003E-2</v>
      </c>
      <c r="V111" s="14">
        <v>0.8</v>
      </c>
      <c r="W111" s="13">
        <f>U111/V111</f>
        <v>5.2499999999999998E-2</v>
      </c>
      <c r="X111" s="311"/>
    </row>
    <row r="112" spans="1:24" ht="69.75" customHeight="1" x14ac:dyDescent="0.25">
      <c r="A112" s="397" t="str">
        <f>'Расчет ЦП - общая форма'!C55</f>
        <v>ПС 35/10 кВ Новокотово</v>
      </c>
      <c r="B112" s="398">
        <f>'Расчет ЦП - общая форма'!D55</f>
        <v>2.5</v>
      </c>
      <c r="C112" s="399" t="str">
        <f>'Расчет ЦП - общая форма'!E55</f>
        <v>+</v>
      </c>
      <c r="D112" s="399">
        <f>'Расчет ЦП - общая форма'!F55</f>
        <v>2.5</v>
      </c>
      <c r="E112" s="399"/>
      <c r="F112" s="400"/>
      <c r="G112" s="1"/>
      <c r="H112" s="1"/>
      <c r="I112" s="1"/>
      <c r="J112" s="1"/>
      <c r="K112" s="9"/>
      <c r="L112" s="51"/>
      <c r="M112" s="9"/>
      <c r="N112" s="9"/>
      <c r="O112" s="9"/>
      <c r="P112" s="9"/>
      <c r="Q112" s="9"/>
      <c r="R112" s="1"/>
      <c r="S112" s="1"/>
      <c r="T112" s="1"/>
      <c r="U112" s="1"/>
      <c r="V112" s="9"/>
      <c r="W112" s="51"/>
      <c r="X112" s="311"/>
    </row>
    <row r="113" spans="1:24" ht="15.75" customHeight="1" thickBot="1" x14ac:dyDescent="0.3">
      <c r="A113" s="393"/>
      <c r="B113" s="394"/>
      <c r="C113" s="395"/>
      <c r="D113" s="395"/>
      <c r="E113" s="395"/>
      <c r="F113" s="396"/>
      <c r="G113" s="1482" t="s">
        <v>1860</v>
      </c>
      <c r="H113" s="1483"/>
      <c r="I113" s="1484"/>
      <c r="J113" s="13">
        <f>SUM(J112:J112)</f>
        <v>0</v>
      </c>
      <c r="K113" s="14">
        <v>0.8</v>
      </c>
      <c r="L113" s="13">
        <f>J113/K113</f>
        <v>0</v>
      </c>
      <c r="M113" s="1482" t="s">
        <v>1861</v>
      </c>
      <c r="N113" s="1484"/>
      <c r="O113" s="13">
        <f>SUM(O112:O112)</f>
        <v>0</v>
      </c>
      <c r="P113" s="14">
        <v>0.8</v>
      </c>
      <c r="Q113" s="13">
        <f>O113/P113</f>
        <v>0</v>
      </c>
      <c r="R113" s="1482" t="s">
        <v>1860</v>
      </c>
      <c r="S113" s="1483"/>
      <c r="T113" s="1484"/>
      <c r="U113" s="13">
        <f>SUM(U112:U112)</f>
        <v>0</v>
      </c>
      <c r="V113" s="14">
        <v>0.8</v>
      </c>
      <c r="W113" s="13">
        <f>U113/V113</f>
        <v>0</v>
      </c>
      <c r="X113" s="311"/>
    </row>
    <row r="114" spans="1:24" x14ac:dyDescent="0.25">
      <c r="A114" s="397" t="str">
        <f>'Расчет ЦП - общая форма'!C56</f>
        <v xml:space="preserve">ПС 35/10 кВ Ривзавод  </v>
      </c>
      <c r="B114" s="398">
        <f>'Расчет ЦП - общая форма'!D56</f>
        <v>1.6</v>
      </c>
      <c r="C114" s="399" t="str">
        <f>'Расчет ЦП - общая форма'!E56</f>
        <v>+</v>
      </c>
      <c r="D114" s="399">
        <f>'Расчет ЦП - общая форма'!F56</f>
        <v>2.5</v>
      </c>
      <c r="E114" s="399"/>
      <c r="F114" s="400"/>
      <c r="G114" s="9"/>
      <c r="H114" s="9"/>
      <c r="I114" s="9"/>
      <c r="J114" s="9"/>
      <c r="K114" s="9"/>
      <c r="L114" s="51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51"/>
      <c r="X114" s="311"/>
    </row>
    <row r="115" spans="1:24" ht="15.75" customHeight="1" thickBot="1" x14ac:dyDescent="0.3">
      <c r="A115" s="407"/>
      <c r="B115" s="402"/>
      <c r="C115" s="403"/>
      <c r="D115" s="403"/>
      <c r="E115" s="403"/>
      <c r="F115" s="404"/>
      <c r="G115" s="1517" t="s">
        <v>1860</v>
      </c>
      <c r="H115" s="1517"/>
      <c r="I115" s="1517"/>
      <c r="J115" s="13">
        <f>SUM(J114:J114)</f>
        <v>0</v>
      </c>
      <c r="K115" s="14">
        <v>0.8</v>
      </c>
      <c r="L115" s="13">
        <f>J115/K115</f>
        <v>0</v>
      </c>
      <c r="M115" s="1517" t="s">
        <v>1861</v>
      </c>
      <c r="N115" s="1517"/>
      <c r="O115" s="13">
        <f>SUM(O114:O114)</f>
        <v>0</v>
      </c>
      <c r="P115" s="14">
        <v>0.8</v>
      </c>
      <c r="Q115" s="13">
        <f>O115/P115</f>
        <v>0</v>
      </c>
      <c r="R115" s="1491" t="s">
        <v>1860</v>
      </c>
      <c r="S115" s="1491"/>
      <c r="T115" s="1491"/>
      <c r="U115" s="21">
        <f>SUM(U114:U114)</f>
        <v>0</v>
      </c>
      <c r="V115" s="24">
        <v>0.8</v>
      </c>
      <c r="W115" s="21">
        <f>U115/V115</f>
        <v>0</v>
      </c>
      <c r="X115" s="311"/>
    </row>
    <row r="116" spans="1:24" s="67" customFormat="1" ht="15.75" customHeight="1" x14ac:dyDescent="0.25">
      <c r="A116" s="398"/>
      <c r="B116" s="398"/>
      <c r="C116" s="399"/>
      <c r="D116" s="399"/>
      <c r="E116" s="399"/>
      <c r="F116" s="400"/>
      <c r="G116" s="1514" t="s">
        <v>1991</v>
      </c>
      <c r="H116" s="1515"/>
      <c r="I116" s="1515"/>
      <c r="J116" s="1515"/>
      <c r="K116" s="1515"/>
      <c r="L116" s="1516"/>
      <c r="M116" s="126"/>
      <c r="N116" s="127"/>
      <c r="O116" s="51"/>
      <c r="P116" s="51"/>
      <c r="Q116" s="51"/>
      <c r="R116" s="313"/>
      <c r="S116" s="313"/>
      <c r="T116" s="313"/>
      <c r="U116" s="313"/>
      <c r="V116" s="313"/>
      <c r="W116" s="313"/>
      <c r="X116" s="311"/>
    </row>
    <row r="117" spans="1:24" ht="61.5" customHeight="1" x14ac:dyDescent="0.25">
      <c r="A117" s="402" t="str">
        <f>'Расчет ЦП - общая форма'!C57</f>
        <v xml:space="preserve">ПС 35/10 кВ Сонково </v>
      </c>
      <c r="B117" s="402">
        <f>'Расчет ЦП - общая форма'!D57</f>
        <v>4</v>
      </c>
      <c r="C117" s="403" t="str">
        <f>'Расчет ЦП - общая форма'!E57</f>
        <v>+</v>
      </c>
      <c r="D117" s="403">
        <f>'Расчет ЦП - общая форма'!F57</f>
        <v>3.2</v>
      </c>
      <c r="E117" s="403"/>
      <c r="F117" s="404"/>
      <c r="G117" s="1" t="s">
        <v>1893</v>
      </c>
      <c r="H117" s="1" t="s">
        <v>1894</v>
      </c>
      <c r="I117" s="1" t="s">
        <v>2587</v>
      </c>
      <c r="J117" s="325">
        <v>0.38</v>
      </c>
      <c r="K117" s="325"/>
      <c r="L117" s="335"/>
      <c r="M117" s="1" t="s">
        <v>2013</v>
      </c>
      <c r="N117" s="1" t="s">
        <v>2014</v>
      </c>
      <c r="O117" s="325">
        <v>0.04</v>
      </c>
      <c r="P117" s="325"/>
      <c r="Q117" s="325"/>
      <c r="R117" s="313"/>
      <c r="S117" s="313"/>
      <c r="T117" s="313"/>
      <c r="U117" s="313"/>
      <c r="V117" s="313"/>
      <c r="W117" s="313"/>
      <c r="X117" s="311"/>
    </row>
    <row r="118" spans="1:24" ht="18.75" customHeight="1" x14ac:dyDescent="0.25">
      <c r="A118" s="402"/>
      <c r="B118" s="402"/>
      <c r="C118" s="403"/>
      <c r="D118" s="403"/>
      <c r="E118" s="403"/>
      <c r="F118" s="404"/>
      <c r="G118" s="1514" t="s">
        <v>2512</v>
      </c>
      <c r="H118" s="1515"/>
      <c r="I118" s="1515"/>
      <c r="J118" s="1515"/>
      <c r="K118" s="1515"/>
      <c r="L118" s="1516"/>
      <c r="M118" s="1" t="s">
        <v>2188</v>
      </c>
      <c r="N118" s="1" t="s">
        <v>2189</v>
      </c>
      <c r="O118" s="325">
        <v>0.64200000000000002</v>
      </c>
      <c r="P118" s="325"/>
      <c r="Q118" s="325"/>
      <c r="R118" s="313"/>
      <c r="S118" s="313"/>
      <c r="T118" s="313"/>
      <c r="U118" s="313"/>
      <c r="V118" s="313"/>
      <c r="W118" s="313"/>
      <c r="X118" s="311"/>
    </row>
    <row r="119" spans="1:24" ht="31.5" customHeight="1" x14ac:dyDescent="0.25">
      <c r="A119" s="751"/>
      <c r="B119" s="751"/>
      <c r="C119" s="752"/>
      <c r="D119" s="752"/>
      <c r="E119" s="752"/>
      <c r="F119" s="749"/>
      <c r="G119" s="1" t="s">
        <v>2808</v>
      </c>
      <c r="H119" s="1" t="s">
        <v>2809</v>
      </c>
      <c r="I119" s="1" t="s">
        <v>2860</v>
      </c>
      <c r="J119" s="325">
        <v>0.05</v>
      </c>
      <c r="K119" s="325"/>
      <c r="L119" s="335"/>
      <c r="M119" s="1"/>
      <c r="N119" s="1"/>
      <c r="O119" s="325"/>
      <c r="P119" s="325"/>
      <c r="Q119" s="325"/>
      <c r="R119" s="313"/>
      <c r="S119" s="313"/>
      <c r="T119" s="313"/>
      <c r="U119" s="313"/>
      <c r="V119" s="313"/>
      <c r="W119" s="313"/>
      <c r="X119" s="311"/>
    </row>
    <row r="120" spans="1:24" ht="15.75" customHeight="1" thickBot="1" x14ac:dyDescent="0.3">
      <c r="A120" s="394"/>
      <c r="B120" s="394"/>
      <c r="C120" s="395"/>
      <c r="D120" s="395"/>
      <c r="E120" s="395"/>
      <c r="F120" s="396"/>
      <c r="G120" s="1482" t="s">
        <v>1860</v>
      </c>
      <c r="H120" s="1483"/>
      <c r="I120" s="1484"/>
      <c r="J120" s="323">
        <f>SUM(J119)</f>
        <v>0.05</v>
      </c>
      <c r="K120" s="324">
        <v>0.8</v>
      </c>
      <c r="L120" s="323">
        <f>J120/K120</f>
        <v>6.25E-2</v>
      </c>
      <c r="M120" s="1482" t="s">
        <v>1861</v>
      </c>
      <c r="N120" s="1484"/>
      <c r="O120" s="323">
        <f>SUM(O117:O119)</f>
        <v>0.68200000000000005</v>
      </c>
      <c r="P120" s="324">
        <v>0.8</v>
      </c>
      <c r="Q120" s="323">
        <f>O120/P120</f>
        <v>0.85250000000000004</v>
      </c>
      <c r="R120" s="1482" t="s">
        <v>1860</v>
      </c>
      <c r="S120" s="1483"/>
      <c r="T120" s="1484"/>
      <c r="U120" s="13">
        <f>SUM(U117:U117)</f>
        <v>0</v>
      </c>
      <c r="V120" s="14">
        <v>0.8</v>
      </c>
      <c r="W120" s="13">
        <f>U120/V120</f>
        <v>0</v>
      </c>
      <c r="X120" s="311"/>
    </row>
    <row r="121" spans="1:24" ht="30" x14ac:dyDescent="0.25">
      <c r="A121" s="407" t="str">
        <f>'Расчет ЦП - общая форма'!C58</f>
        <v xml:space="preserve">ПС 35/10 кВ Сулежский Борок </v>
      </c>
      <c r="B121" s="402">
        <f>'Расчет ЦП - общая форма'!D58</f>
        <v>1.6</v>
      </c>
      <c r="C121" s="403" t="str">
        <f>'Расчет ЦП - общая форма'!E58</f>
        <v>+</v>
      </c>
      <c r="D121" s="403">
        <f>'Расчет ЦП - общая форма'!F58</f>
        <v>2.5</v>
      </c>
      <c r="E121" s="403"/>
      <c r="F121" s="404"/>
      <c r="G121" s="1"/>
      <c r="H121" s="1"/>
      <c r="I121" s="1"/>
      <c r="J121" s="1"/>
      <c r="K121" s="1"/>
      <c r="L121" s="2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2"/>
      <c r="X121" s="311"/>
    </row>
    <row r="122" spans="1:24" ht="15.75" customHeight="1" thickBot="1" x14ac:dyDescent="0.3">
      <c r="A122" s="393"/>
      <c r="B122" s="394"/>
      <c r="C122" s="395"/>
      <c r="D122" s="395"/>
      <c r="E122" s="395"/>
      <c r="F122" s="396"/>
      <c r="G122" s="1482" t="s">
        <v>1860</v>
      </c>
      <c r="H122" s="1483"/>
      <c r="I122" s="1484"/>
      <c r="J122" s="13">
        <f>SUM(J121:J121)</f>
        <v>0</v>
      </c>
      <c r="K122" s="14">
        <v>0.8</v>
      </c>
      <c r="L122" s="13">
        <f>J122/K122</f>
        <v>0</v>
      </c>
      <c r="M122" s="1482" t="s">
        <v>1861</v>
      </c>
      <c r="N122" s="1484"/>
      <c r="O122" s="13">
        <f>SUM(O121:O121)</f>
        <v>0</v>
      </c>
      <c r="P122" s="14">
        <v>0.8</v>
      </c>
      <c r="Q122" s="13">
        <f>O122/P122</f>
        <v>0</v>
      </c>
      <c r="R122" s="1482" t="s">
        <v>1860</v>
      </c>
      <c r="S122" s="1483"/>
      <c r="T122" s="1484"/>
      <c r="U122" s="13">
        <f>SUM(U121:U121)</f>
        <v>0</v>
      </c>
      <c r="V122" s="14">
        <v>0.8</v>
      </c>
      <c r="W122" s="13">
        <f>U122/V122</f>
        <v>0</v>
      </c>
      <c r="X122" s="311"/>
    </row>
    <row r="123" spans="1:24" ht="14.25" customHeight="1" x14ac:dyDescent="0.25">
      <c r="A123" s="397" t="str">
        <f>'Расчет ЦП - общая форма'!C59</f>
        <v xml:space="preserve">ПС 110/10 кВ Шишково Дуброво </v>
      </c>
      <c r="B123" s="398">
        <f>'Расчет ЦП - общая форма'!D59</f>
        <v>6.3</v>
      </c>
      <c r="C123" s="399" t="str">
        <f>'Расчет ЦП - общая форма'!E59</f>
        <v>+</v>
      </c>
      <c r="D123" s="399">
        <f>'Расчет ЦП - общая форма'!F59</f>
        <v>6.3</v>
      </c>
      <c r="E123" s="399"/>
      <c r="F123" s="400"/>
      <c r="G123" s="1514" t="s">
        <v>2512</v>
      </c>
      <c r="H123" s="1515"/>
      <c r="I123" s="1515"/>
      <c r="J123" s="1515"/>
      <c r="K123" s="1515"/>
      <c r="L123" s="15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2"/>
      <c r="X123" s="311"/>
    </row>
    <row r="124" spans="1:24" ht="84" customHeight="1" x14ac:dyDescent="0.25">
      <c r="A124" s="856"/>
      <c r="B124" s="857"/>
      <c r="C124" s="858"/>
      <c r="D124" s="858"/>
      <c r="E124" s="858"/>
      <c r="F124" s="854"/>
      <c r="G124" s="1" t="s">
        <v>2923</v>
      </c>
      <c r="H124" s="1" t="s">
        <v>2924</v>
      </c>
      <c r="I124" s="20" t="s">
        <v>3028</v>
      </c>
      <c r="J124" s="24">
        <v>2.9049999999999998</v>
      </c>
      <c r="K124" s="24"/>
      <c r="L124" s="62"/>
      <c r="M124" s="1"/>
      <c r="N124" s="1"/>
      <c r="O124" s="1"/>
      <c r="P124" s="24"/>
      <c r="Q124" s="24"/>
      <c r="R124" s="19"/>
      <c r="S124" s="263"/>
      <c r="T124" s="20"/>
      <c r="U124" s="24"/>
      <c r="V124" s="24"/>
      <c r="W124" s="62"/>
      <c r="X124" s="311"/>
    </row>
    <row r="125" spans="1:24" ht="15.75" customHeight="1" thickBot="1" x14ac:dyDescent="0.3">
      <c r="A125" s="393"/>
      <c r="B125" s="394"/>
      <c r="C125" s="395"/>
      <c r="D125" s="395"/>
      <c r="E125" s="395"/>
      <c r="F125" s="396"/>
      <c r="G125" s="1485" t="s">
        <v>1860</v>
      </c>
      <c r="H125" s="1486"/>
      <c r="I125" s="1487"/>
      <c r="J125" s="21">
        <f>SUM(J124)</f>
        <v>2.9049999999999998</v>
      </c>
      <c r="K125" s="24">
        <v>0.8</v>
      </c>
      <c r="L125" s="21">
        <f>J125/K125</f>
        <v>3.6312499999999996</v>
      </c>
      <c r="M125" s="1485" t="s">
        <v>1861</v>
      </c>
      <c r="N125" s="1487"/>
      <c r="O125" s="21">
        <f>SUM(O123:O123)</f>
        <v>0</v>
      </c>
      <c r="P125" s="24">
        <v>0.8</v>
      </c>
      <c r="Q125" s="21">
        <f>O125/P125</f>
        <v>0</v>
      </c>
      <c r="R125" s="1485" t="s">
        <v>1860</v>
      </c>
      <c r="S125" s="1486"/>
      <c r="T125" s="1487"/>
      <c r="U125" s="21">
        <f>SUM(U123:U123)</f>
        <v>0</v>
      </c>
      <c r="V125" s="24">
        <v>0.8</v>
      </c>
      <c r="W125" s="21">
        <f>U125/V125</f>
        <v>0</v>
      </c>
      <c r="X125" s="311"/>
    </row>
    <row r="126" spans="1:24" ht="15.75" customHeight="1" x14ac:dyDescent="0.25">
      <c r="A126" s="414"/>
      <c r="B126" s="398"/>
      <c r="C126" s="399"/>
      <c r="D126" s="399"/>
      <c r="E126" s="399"/>
      <c r="F126" s="400"/>
      <c r="G126" s="1498" t="s">
        <v>1989</v>
      </c>
      <c r="H126" s="1499"/>
      <c r="I126" s="1499"/>
      <c r="J126" s="1499"/>
      <c r="K126" s="1499"/>
      <c r="L126" s="1500"/>
      <c r="M126" s="131"/>
      <c r="N126" s="132"/>
      <c r="O126" s="73"/>
      <c r="P126" s="73"/>
      <c r="Q126" s="73"/>
      <c r="R126" s="313"/>
      <c r="S126" s="313"/>
      <c r="T126" s="313"/>
      <c r="U126" s="313"/>
      <c r="V126" s="313"/>
      <c r="W126" s="313"/>
      <c r="X126" s="311"/>
    </row>
    <row r="127" spans="1:24" ht="30" x14ac:dyDescent="0.25">
      <c r="A127" s="408" t="str">
        <f>'Расчет ЦП - общая форма'!C60</f>
        <v xml:space="preserve">ПС 110/35/10 кВ Весьегонск </v>
      </c>
      <c r="B127" s="402">
        <f>'Расчет ЦП - общая форма'!D60</f>
        <v>6.3</v>
      </c>
      <c r="C127" s="403" t="str">
        <f>'Расчет ЦП - общая форма'!E60</f>
        <v>+</v>
      </c>
      <c r="D127" s="403">
        <f>'Расчет ЦП - общая форма'!F60</f>
        <v>6.3</v>
      </c>
      <c r="E127" s="403"/>
      <c r="F127" s="404"/>
      <c r="G127" s="1" t="s">
        <v>1876</v>
      </c>
      <c r="H127" s="1" t="s">
        <v>1877</v>
      </c>
      <c r="I127" s="1" t="s">
        <v>1878</v>
      </c>
      <c r="J127" s="1">
        <v>0.02</v>
      </c>
      <c r="K127" s="1"/>
      <c r="L127" s="22"/>
      <c r="M127" s="9" t="s">
        <v>1879</v>
      </c>
      <c r="N127" s="9" t="s">
        <v>1880</v>
      </c>
      <c r="O127" s="321">
        <v>0.107</v>
      </c>
      <c r="P127" s="321"/>
      <c r="Q127" s="321"/>
      <c r="R127" s="22"/>
      <c r="S127" s="22"/>
      <c r="T127" s="22"/>
      <c r="U127" s="22"/>
      <c r="V127" s="22"/>
      <c r="W127" s="22"/>
      <c r="X127" s="311"/>
    </row>
    <row r="128" spans="1:24" ht="30" x14ac:dyDescent="0.25">
      <c r="A128" s="408"/>
      <c r="B128" s="402"/>
      <c r="C128" s="403"/>
      <c r="D128" s="403"/>
      <c r="E128" s="403"/>
      <c r="F128" s="404"/>
      <c r="G128" s="1514" t="s">
        <v>3069</v>
      </c>
      <c r="H128" s="1515"/>
      <c r="I128" s="1515"/>
      <c r="J128" s="1515"/>
      <c r="K128" s="1515"/>
      <c r="L128" s="1516"/>
      <c r="M128" s="1" t="s">
        <v>2006</v>
      </c>
      <c r="N128" s="1" t="s">
        <v>2005</v>
      </c>
      <c r="O128" s="325">
        <v>0.05</v>
      </c>
      <c r="P128" s="329"/>
      <c r="Q128" s="329"/>
      <c r="R128" s="22"/>
      <c r="S128" s="22"/>
      <c r="T128" s="22"/>
      <c r="U128" s="22"/>
      <c r="V128" s="22"/>
      <c r="W128" s="22"/>
      <c r="X128" s="311"/>
    </row>
    <row r="129" spans="1:24" ht="45" x14ac:dyDescent="0.25">
      <c r="A129" s="408"/>
      <c r="B129" s="402"/>
      <c r="C129" s="403"/>
      <c r="D129" s="403"/>
      <c r="E129" s="403"/>
      <c r="F129" s="404"/>
      <c r="G129" s="1518" t="s">
        <v>3481</v>
      </c>
      <c r="H129" s="1519"/>
      <c r="I129" s="1520"/>
      <c r="J129" s="1233">
        <v>0.16200000000000001</v>
      </c>
      <c r="K129" s="1233"/>
      <c r="L129" s="1233"/>
      <c r="M129" s="1" t="s">
        <v>2007</v>
      </c>
      <c r="N129" s="1" t="s">
        <v>2008</v>
      </c>
      <c r="O129" s="325">
        <v>0.18</v>
      </c>
      <c r="P129" s="329"/>
      <c r="Q129" s="329"/>
      <c r="R129" s="22"/>
      <c r="S129" s="22"/>
      <c r="T129" s="22"/>
      <c r="U129" s="22"/>
      <c r="V129" s="22"/>
      <c r="W129" s="22"/>
      <c r="X129" s="311"/>
    </row>
    <row r="130" spans="1:24" ht="15.75" customHeight="1" thickBot="1" x14ac:dyDescent="0.3">
      <c r="A130" s="409"/>
      <c r="B130" s="394"/>
      <c r="C130" s="395"/>
      <c r="D130" s="395"/>
      <c r="E130" s="395"/>
      <c r="F130" s="396"/>
      <c r="G130" s="1482" t="s">
        <v>1860</v>
      </c>
      <c r="H130" s="1483"/>
      <c r="I130" s="1484"/>
      <c r="J130" s="13">
        <f>SUM(J129)</f>
        <v>0.16200000000000001</v>
      </c>
      <c r="K130" s="14">
        <v>0.8</v>
      </c>
      <c r="L130" s="13">
        <f>J130/K130</f>
        <v>0.20249999999999999</v>
      </c>
      <c r="M130" s="1482" t="s">
        <v>1861</v>
      </c>
      <c r="N130" s="1484"/>
      <c r="O130" s="323">
        <f>SUM(O127:O129)</f>
        <v>0.33699999999999997</v>
      </c>
      <c r="P130" s="324">
        <v>0.8</v>
      </c>
      <c r="Q130" s="323">
        <f>O130/P130</f>
        <v>0.42124999999999996</v>
      </c>
      <c r="R130" s="1482" t="s">
        <v>1860</v>
      </c>
      <c r="S130" s="1483"/>
      <c r="T130" s="1484"/>
      <c r="U130" s="13">
        <v>0</v>
      </c>
      <c r="V130" s="14">
        <v>0.8</v>
      </c>
      <c r="W130" s="13">
        <f>U130/V130</f>
        <v>0</v>
      </c>
      <c r="X130" s="311"/>
    </row>
    <row r="131" spans="1:24" x14ac:dyDescent="0.25">
      <c r="A131" s="397" t="str">
        <f>'Расчет ЦП - общая форма'!C63</f>
        <v xml:space="preserve">ПС 110/35/10 кВ ДВП  </v>
      </c>
      <c r="B131" s="398">
        <f>'Расчет ЦП - общая форма'!D63</f>
        <v>25</v>
      </c>
      <c r="C131" s="399" t="str">
        <f>'Расчет ЦП - общая форма'!E63</f>
        <v>+</v>
      </c>
      <c r="D131" s="399">
        <f>'Расчет ЦП - общая форма'!F63</f>
        <v>25</v>
      </c>
      <c r="E131" s="399"/>
      <c r="F131" s="400"/>
      <c r="G131" s="9"/>
      <c r="H131" s="9"/>
      <c r="I131" s="9"/>
      <c r="J131" s="9"/>
      <c r="K131" s="9"/>
      <c r="L131" s="51"/>
      <c r="M131" s="9" t="s">
        <v>1891</v>
      </c>
      <c r="N131" s="9" t="s">
        <v>1903</v>
      </c>
      <c r="O131" s="321">
        <v>0.05</v>
      </c>
      <c r="P131" s="321"/>
      <c r="Q131" s="321"/>
      <c r="R131" s="9"/>
      <c r="S131" s="9"/>
      <c r="T131" s="9"/>
      <c r="U131" s="9"/>
      <c r="V131" s="9"/>
      <c r="W131" s="51"/>
      <c r="X131" s="311"/>
    </row>
    <row r="132" spans="1:24" ht="60.75" customHeight="1" x14ac:dyDescent="0.25">
      <c r="A132" s="630"/>
      <c r="B132" s="631"/>
      <c r="C132" s="632"/>
      <c r="D132" s="632"/>
      <c r="E132" s="632"/>
      <c r="F132" s="628"/>
      <c r="G132" s="1"/>
      <c r="H132" s="1"/>
      <c r="I132" s="1"/>
      <c r="J132" s="1"/>
      <c r="K132" s="1"/>
      <c r="L132" s="22"/>
      <c r="M132" s="1" t="s">
        <v>2563</v>
      </c>
      <c r="N132" s="1" t="s">
        <v>2598</v>
      </c>
      <c r="O132" s="325">
        <f>0.15-0.092</f>
        <v>5.7999999999999996E-2</v>
      </c>
      <c r="P132" s="325"/>
      <c r="Q132" s="325"/>
      <c r="R132" s="1"/>
      <c r="S132" s="1"/>
      <c r="T132" s="1"/>
      <c r="U132" s="1"/>
      <c r="V132" s="1"/>
      <c r="W132" s="22"/>
      <c r="X132" s="311"/>
    </row>
    <row r="133" spans="1:24" x14ac:dyDescent="0.25">
      <c r="A133" s="816"/>
      <c r="B133" s="817"/>
      <c r="C133" s="818"/>
      <c r="D133" s="818"/>
      <c r="E133" s="818"/>
      <c r="F133" s="814"/>
      <c r="G133" s="19"/>
      <c r="H133" s="263"/>
      <c r="I133" s="20"/>
      <c r="J133" s="24"/>
      <c r="K133" s="24"/>
      <c r="L133" s="62"/>
      <c r="M133" s="1"/>
      <c r="N133" s="1"/>
      <c r="O133" s="325"/>
      <c r="P133" s="326"/>
      <c r="Q133" s="326"/>
      <c r="R133" s="19"/>
      <c r="S133" s="263"/>
      <c r="T133" s="20"/>
      <c r="U133" s="24"/>
      <c r="V133" s="24"/>
      <c r="W133" s="62"/>
      <c r="X133" s="311"/>
    </row>
    <row r="134" spans="1:24" ht="15.75" customHeight="1" thickBot="1" x14ac:dyDescent="0.3">
      <c r="A134" s="393"/>
      <c r="B134" s="394"/>
      <c r="C134" s="395"/>
      <c r="D134" s="395"/>
      <c r="E134" s="395"/>
      <c r="F134" s="396"/>
      <c r="G134" s="1482" t="s">
        <v>1860</v>
      </c>
      <c r="H134" s="1483"/>
      <c r="I134" s="1484"/>
      <c r="J134" s="13">
        <f>SUM(J131:J131)</f>
        <v>0</v>
      </c>
      <c r="K134" s="14">
        <v>0.8</v>
      </c>
      <c r="L134" s="13">
        <f>J134/K134</f>
        <v>0</v>
      </c>
      <c r="M134" s="1485" t="s">
        <v>1861</v>
      </c>
      <c r="N134" s="1487"/>
      <c r="O134" s="220">
        <f>SUM(O131:O132)</f>
        <v>0.108</v>
      </c>
      <c r="P134" s="326">
        <v>0.8</v>
      </c>
      <c r="Q134" s="220">
        <f>O134/P134</f>
        <v>0.13499999999999998</v>
      </c>
      <c r="R134" s="1485" t="s">
        <v>1860</v>
      </c>
      <c r="S134" s="1486"/>
      <c r="T134" s="1487"/>
      <c r="U134" s="21">
        <f>SUM(U131:U131)</f>
        <v>0</v>
      </c>
      <c r="V134" s="24">
        <v>0.8</v>
      </c>
      <c r="W134" s="21">
        <f>U134/V134</f>
        <v>0</v>
      </c>
      <c r="X134" s="311"/>
    </row>
    <row r="135" spans="1:24" ht="15.75" customHeight="1" x14ac:dyDescent="0.25">
      <c r="A135" s="1502" t="str">
        <f>'Расчет ЦП - общая форма'!C66</f>
        <v xml:space="preserve">ПС 110/35/10 кВ Красный Холм </v>
      </c>
      <c r="B135" s="398"/>
      <c r="C135" s="399"/>
      <c r="D135" s="399"/>
      <c r="E135" s="399"/>
      <c r="F135" s="400"/>
      <c r="G135" s="1498" t="s">
        <v>2062</v>
      </c>
      <c r="H135" s="1499"/>
      <c r="I135" s="1499"/>
      <c r="J135" s="1499"/>
      <c r="K135" s="1499"/>
      <c r="L135" s="1500"/>
      <c r="M135" s="8"/>
      <c r="N135" s="8"/>
      <c r="O135" s="8"/>
      <c r="P135" s="1"/>
      <c r="Q135" s="1"/>
      <c r="R135" s="313"/>
      <c r="S135" s="313"/>
      <c r="T135" s="313"/>
      <c r="U135" s="313"/>
      <c r="V135" s="313"/>
      <c r="W135" s="313"/>
      <c r="X135" s="311"/>
    </row>
    <row r="136" spans="1:24" ht="86.25" customHeight="1" x14ac:dyDescent="0.25">
      <c r="A136" s="1503"/>
      <c r="B136" s="402">
        <f>'Расчет ЦП - общая форма'!D66</f>
        <v>10</v>
      </c>
      <c r="C136" s="403" t="str">
        <f>'Расчет ЦП - общая форма'!E66</f>
        <v>+</v>
      </c>
      <c r="D136" s="403">
        <f>'Расчет ЦП - общая форма'!F66</f>
        <v>10</v>
      </c>
      <c r="E136" s="403"/>
      <c r="F136" s="404"/>
      <c r="G136" s="1"/>
      <c r="H136" s="1"/>
      <c r="I136" s="1"/>
      <c r="J136" s="321"/>
      <c r="K136" s="321"/>
      <c r="L136" s="322"/>
      <c r="M136" s="1" t="s">
        <v>803</v>
      </c>
      <c r="N136" s="1" t="s">
        <v>2812</v>
      </c>
      <c r="O136" s="1">
        <f>0.065-0.02</f>
        <v>4.4999999999999998E-2</v>
      </c>
      <c r="P136" s="1"/>
      <c r="Q136" s="1"/>
      <c r="R136" s="1" t="s">
        <v>1881</v>
      </c>
      <c r="S136" s="1" t="s">
        <v>1882</v>
      </c>
      <c r="T136" s="1" t="s">
        <v>3326</v>
      </c>
      <c r="U136" s="321">
        <v>0.24</v>
      </c>
      <c r="V136" s="22"/>
      <c r="W136" s="22"/>
      <c r="X136" s="311"/>
    </row>
    <row r="137" spans="1:24" ht="165" x14ac:dyDescent="0.25">
      <c r="A137" s="1503"/>
      <c r="B137" s="402"/>
      <c r="C137" s="403"/>
      <c r="D137" s="403"/>
      <c r="E137" s="403"/>
      <c r="F137" s="404"/>
      <c r="G137" s="1" t="s">
        <v>811</v>
      </c>
      <c r="H137" s="1" t="s">
        <v>812</v>
      </c>
      <c r="I137" s="1" t="s">
        <v>2277</v>
      </c>
      <c r="J137" s="325">
        <v>1.2E-2</v>
      </c>
      <c r="K137" s="325"/>
      <c r="L137" s="335"/>
      <c r="M137" s="1" t="s">
        <v>2563</v>
      </c>
      <c r="N137" s="1" t="s">
        <v>2635</v>
      </c>
      <c r="O137" s="8">
        <v>3.5000000000000003E-2</v>
      </c>
      <c r="P137" s="1"/>
      <c r="Q137" s="1"/>
      <c r="R137" s="22"/>
      <c r="S137" s="22"/>
      <c r="T137" s="22"/>
      <c r="U137" s="22"/>
      <c r="V137" s="22"/>
      <c r="W137" s="22"/>
      <c r="X137" s="311"/>
    </row>
    <row r="138" spans="1:24" ht="84" customHeight="1" thickBot="1" x14ac:dyDescent="0.3">
      <c r="A138" s="1503"/>
      <c r="B138" s="402"/>
      <c r="C138" s="403"/>
      <c r="D138" s="403"/>
      <c r="E138" s="403"/>
      <c r="F138" s="404"/>
      <c r="G138" s="24" t="s">
        <v>2009</v>
      </c>
      <c r="H138" s="24" t="s">
        <v>2010</v>
      </c>
      <c r="I138" s="1" t="s">
        <v>2302</v>
      </c>
      <c r="J138" s="326">
        <v>2.3599999999999999E-2</v>
      </c>
      <c r="K138" s="325"/>
      <c r="L138" s="335"/>
      <c r="M138" s="1" t="s">
        <v>2751</v>
      </c>
      <c r="N138" s="1" t="s">
        <v>2752</v>
      </c>
      <c r="O138" s="1">
        <v>3.4000000000000002E-2</v>
      </c>
      <c r="P138" s="1"/>
      <c r="Q138" s="1"/>
      <c r="R138" s="22"/>
      <c r="S138" s="22"/>
      <c r="T138" s="22"/>
      <c r="U138" s="22"/>
      <c r="V138" s="22"/>
      <c r="W138" s="22"/>
      <c r="X138" s="311"/>
    </row>
    <row r="139" spans="1:24" ht="15.75" customHeight="1" x14ac:dyDescent="0.25">
      <c r="A139" s="773"/>
      <c r="B139" s="775"/>
      <c r="C139" s="777"/>
      <c r="D139" s="777"/>
      <c r="E139" s="777"/>
      <c r="F139" s="773"/>
      <c r="G139" s="1498" t="s">
        <v>2675</v>
      </c>
      <c r="H139" s="1499"/>
      <c r="I139" s="1499"/>
      <c r="J139" s="1499"/>
      <c r="K139" s="1499"/>
      <c r="L139" s="1500"/>
      <c r="M139" s="1" t="s">
        <v>3205</v>
      </c>
      <c r="N139" s="1" t="s">
        <v>3206</v>
      </c>
      <c r="O139" s="1">
        <f>0.065-0.02</f>
        <v>4.4999999999999998E-2</v>
      </c>
      <c r="P139" s="1"/>
      <c r="Q139" s="1"/>
      <c r="R139" s="22"/>
      <c r="S139" s="22"/>
      <c r="T139" s="22"/>
      <c r="U139" s="22"/>
      <c r="V139" s="22"/>
      <c r="W139" s="22"/>
      <c r="X139" s="311"/>
    </row>
    <row r="140" spans="1:24" ht="84" customHeight="1" thickBot="1" x14ac:dyDescent="0.3">
      <c r="A140" s="749"/>
      <c r="B140" s="751"/>
      <c r="C140" s="752"/>
      <c r="D140" s="752"/>
      <c r="E140" s="752"/>
      <c r="F140" s="749"/>
      <c r="G140" s="1" t="s">
        <v>2563</v>
      </c>
      <c r="H140" s="1" t="s">
        <v>2820</v>
      </c>
      <c r="I140" s="1" t="s">
        <v>2900</v>
      </c>
      <c r="J140" s="325">
        <v>2.3E-2</v>
      </c>
      <c r="K140" s="325"/>
      <c r="L140" s="335"/>
      <c r="M140" s="1"/>
      <c r="N140" s="1"/>
      <c r="O140" s="8"/>
      <c r="P140" s="1"/>
      <c r="Q140" s="1"/>
      <c r="R140" s="22"/>
      <c r="S140" s="22"/>
      <c r="T140" s="22"/>
      <c r="U140" s="22"/>
      <c r="V140" s="22"/>
      <c r="W140" s="22"/>
      <c r="X140" s="311"/>
    </row>
    <row r="141" spans="1:24" ht="21" customHeight="1" x14ac:dyDescent="0.25">
      <c r="A141" s="1211"/>
      <c r="B141" s="1210"/>
      <c r="C141" s="1214"/>
      <c r="D141" s="1214"/>
      <c r="E141" s="1214"/>
      <c r="F141" s="1211"/>
      <c r="G141" s="1498" t="s">
        <v>3068</v>
      </c>
      <c r="H141" s="1499"/>
      <c r="I141" s="1499"/>
      <c r="J141" s="1499"/>
      <c r="K141" s="1499"/>
      <c r="L141" s="1500"/>
      <c r="M141" s="19"/>
      <c r="N141" s="20"/>
      <c r="O141" s="92"/>
      <c r="P141" s="24"/>
      <c r="Q141" s="24"/>
      <c r="R141" s="129"/>
      <c r="S141" s="660"/>
      <c r="T141" s="130"/>
      <c r="U141" s="62"/>
      <c r="V141" s="62"/>
      <c r="W141" s="62"/>
      <c r="X141" s="311"/>
    </row>
    <row r="142" spans="1:24" ht="45.75" customHeight="1" x14ac:dyDescent="0.25">
      <c r="A142" s="1211"/>
      <c r="B142" s="1210"/>
      <c r="C142" s="1214"/>
      <c r="D142" s="1214"/>
      <c r="E142" s="1214"/>
      <c r="F142" s="1211"/>
      <c r="G142" s="1518" t="s">
        <v>3486</v>
      </c>
      <c r="H142" s="1519"/>
      <c r="I142" s="1520"/>
      <c r="J142" s="1233">
        <v>0.14000000000000001</v>
      </c>
      <c r="K142" s="1233"/>
      <c r="L142" s="1233"/>
      <c r="M142" s="19"/>
      <c r="N142" s="20"/>
      <c r="O142" s="92"/>
      <c r="P142" s="24"/>
      <c r="Q142" s="24"/>
      <c r="R142" s="129"/>
      <c r="S142" s="660"/>
      <c r="T142" s="130"/>
      <c r="U142" s="62"/>
      <c r="V142" s="62"/>
      <c r="W142" s="62"/>
      <c r="X142" s="311"/>
    </row>
    <row r="143" spans="1:24" ht="15.75" customHeight="1" thickBot="1" x14ac:dyDescent="0.3">
      <c r="A143" s="409"/>
      <c r="B143" s="394"/>
      <c r="C143" s="395"/>
      <c r="D143" s="395"/>
      <c r="E143" s="395"/>
      <c r="F143" s="396"/>
      <c r="G143" s="1482" t="s">
        <v>1860</v>
      </c>
      <c r="H143" s="1483"/>
      <c r="I143" s="1484"/>
      <c r="J143" s="323">
        <f>SUM(J140:J142)</f>
        <v>0.16300000000000001</v>
      </c>
      <c r="K143" s="324">
        <v>0.8</v>
      </c>
      <c r="L143" s="323">
        <f>J143/K143</f>
        <v>0.20374999999999999</v>
      </c>
      <c r="M143" s="1482" t="s">
        <v>1861</v>
      </c>
      <c r="N143" s="1484"/>
      <c r="O143" s="13">
        <f>SUM(O136:O140)</f>
        <v>0.159</v>
      </c>
      <c r="P143" s="14">
        <v>0.8</v>
      </c>
      <c r="Q143" s="13">
        <f>O143/P143</f>
        <v>0.19874999999999998</v>
      </c>
      <c r="R143" s="1482" t="s">
        <v>1860</v>
      </c>
      <c r="S143" s="1483"/>
      <c r="T143" s="1484"/>
      <c r="U143" s="323">
        <f>SUM(U136:U140)</f>
        <v>0.24</v>
      </c>
      <c r="V143" s="14">
        <v>0.8</v>
      </c>
      <c r="W143" s="13">
        <f>U143/V143</f>
        <v>0.3</v>
      </c>
      <c r="X143" s="311"/>
    </row>
    <row r="144" spans="1:24" x14ac:dyDescent="0.25">
      <c r="A144" s="397" t="str">
        <f>'Расчет ЦП - общая форма'!C69</f>
        <v xml:space="preserve">ПС 110/35/10 кВ Поречье </v>
      </c>
      <c r="B144" s="398">
        <f>'Расчет ЦП - общая форма'!D69</f>
        <v>6.3</v>
      </c>
      <c r="C144" s="399" t="str">
        <f>'Расчет ЦП - общая форма'!E69</f>
        <v>+</v>
      </c>
      <c r="D144" s="399">
        <f>'Расчет ЦП - общая форма'!F69</f>
        <v>6.3</v>
      </c>
      <c r="E144" s="399"/>
      <c r="F144" s="400"/>
      <c r="G144" s="1"/>
      <c r="H144" s="1"/>
      <c r="I144" s="1"/>
      <c r="J144" s="1"/>
      <c r="K144" s="1"/>
      <c r="L144" s="2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2"/>
      <c r="X144" s="311"/>
    </row>
    <row r="145" spans="1:24" ht="15.75" customHeight="1" thickBot="1" x14ac:dyDescent="0.3">
      <c r="A145" s="393"/>
      <c r="B145" s="394"/>
      <c r="C145" s="395"/>
      <c r="D145" s="395"/>
      <c r="E145" s="395"/>
      <c r="F145" s="396"/>
      <c r="G145" s="1482" t="s">
        <v>1860</v>
      </c>
      <c r="H145" s="1483"/>
      <c r="I145" s="1484"/>
      <c r="J145" s="13">
        <f>SUM(J144:J144)</f>
        <v>0</v>
      </c>
      <c r="K145" s="14">
        <v>0.8</v>
      </c>
      <c r="L145" s="13">
        <f>J145/K145</f>
        <v>0</v>
      </c>
      <c r="M145" s="1482" t="s">
        <v>1861</v>
      </c>
      <c r="N145" s="1484"/>
      <c r="O145" s="13">
        <f>SUM(O144:O144)</f>
        <v>0</v>
      </c>
      <c r="P145" s="14">
        <v>0.8</v>
      </c>
      <c r="Q145" s="13">
        <f>O145/P145</f>
        <v>0</v>
      </c>
      <c r="R145" s="1482" t="s">
        <v>1860</v>
      </c>
      <c r="S145" s="1483"/>
      <c r="T145" s="1484"/>
      <c r="U145" s="13">
        <f>SUM(U144:U144)</f>
        <v>0</v>
      </c>
      <c r="V145" s="14">
        <v>0.8</v>
      </c>
      <c r="W145" s="13">
        <f>U145/V145</f>
        <v>0</v>
      </c>
      <c r="X145" s="311"/>
    </row>
    <row r="146" spans="1:24" ht="30" x14ac:dyDescent="0.25">
      <c r="A146" s="397" t="str">
        <f>'Расчет ЦП - общая форма'!C72</f>
        <v xml:space="preserve">ПС 110/35/10 кВ Сандово </v>
      </c>
      <c r="B146" s="398">
        <f>'Расчет ЦП - общая форма'!D72</f>
        <v>10</v>
      </c>
      <c r="C146" s="399" t="str">
        <f>'Расчет ЦП - общая форма'!E72</f>
        <v>+</v>
      </c>
      <c r="D146" s="399">
        <f>'Расчет ЦП - общая форма'!F72</f>
        <v>10</v>
      </c>
      <c r="E146" s="399"/>
      <c r="F146" s="400"/>
      <c r="G146" s="9"/>
      <c r="H146" s="9"/>
      <c r="I146" s="9"/>
      <c r="J146" s="9"/>
      <c r="K146" s="9"/>
      <c r="L146" s="51"/>
      <c r="M146" s="9" t="s">
        <v>1891</v>
      </c>
      <c r="N146" s="9" t="s">
        <v>1892</v>
      </c>
      <c r="O146" s="321">
        <v>4.2000000000000003E-2</v>
      </c>
      <c r="P146" s="321"/>
      <c r="Q146" s="321"/>
      <c r="R146" s="9"/>
      <c r="S146" s="9"/>
      <c r="T146" s="9"/>
      <c r="U146" s="9"/>
      <c r="V146" s="9"/>
      <c r="W146" s="51"/>
      <c r="X146" s="311"/>
    </row>
    <row r="147" spans="1:24" ht="15.75" customHeight="1" thickBot="1" x14ac:dyDescent="0.3">
      <c r="A147" s="393"/>
      <c r="B147" s="394"/>
      <c r="C147" s="395"/>
      <c r="D147" s="395"/>
      <c r="E147" s="395"/>
      <c r="F147" s="396"/>
      <c r="G147" s="1482" t="s">
        <v>1860</v>
      </c>
      <c r="H147" s="1483"/>
      <c r="I147" s="1484"/>
      <c r="J147" s="13">
        <f>SUM(J146:J146)</f>
        <v>0</v>
      </c>
      <c r="K147" s="14">
        <v>0.8</v>
      </c>
      <c r="L147" s="13">
        <f>J147/K147</f>
        <v>0</v>
      </c>
      <c r="M147" s="1482" t="s">
        <v>1861</v>
      </c>
      <c r="N147" s="1484"/>
      <c r="O147" s="323">
        <f>SUM(O146:O146)</f>
        <v>4.2000000000000003E-2</v>
      </c>
      <c r="P147" s="324">
        <v>0.8</v>
      </c>
      <c r="Q147" s="323">
        <f>O147/P147</f>
        <v>5.2499999999999998E-2</v>
      </c>
      <c r="R147" s="1485" t="s">
        <v>1860</v>
      </c>
      <c r="S147" s="1486"/>
      <c r="T147" s="1487"/>
      <c r="U147" s="21">
        <f>SUM(U146:U146)</f>
        <v>0</v>
      </c>
      <c r="V147" s="24">
        <v>0.8</v>
      </c>
      <c r="W147" s="21">
        <f>U147/V147</f>
        <v>0</v>
      </c>
      <c r="X147" s="311"/>
    </row>
    <row r="148" spans="1:24" ht="15.75" customHeight="1" x14ac:dyDescent="0.25">
      <c r="A148" s="397" t="str">
        <f>'Расчет ЦП - общая форма'!C75</f>
        <v xml:space="preserve">ПС 110/35/10 кВ Шолмино </v>
      </c>
      <c r="B148" s="398">
        <f>'Расчет ЦП - общая форма'!D75</f>
        <v>25</v>
      </c>
      <c r="C148" s="399" t="str">
        <f>'Расчет ЦП - общая форма'!E75</f>
        <v>+</v>
      </c>
      <c r="D148" s="399">
        <f>'Расчет ЦП - общая форма'!F75</f>
        <v>25</v>
      </c>
      <c r="E148" s="399"/>
      <c r="F148" s="400"/>
      <c r="G148" s="1498" t="s">
        <v>2354</v>
      </c>
      <c r="H148" s="1499"/>
      <c r="I148" s="1499"/>
      <c r="J148" s="1499"/>
      <c r="K148" s="1499"/>
      <c r="L148" s="1500"/>
      <c r="M148" s="9" t="s">
        <v>2172</v>
      </c>
      <c r="N148" s="9" t="s">
        <v>2398</v>
      </c>
      <c r="O148" s="321">
        <v>3.3000000000000002E-2</v>
      </c>
      <c r="P148" s="321"/>
      <c r="Q148" s="321"/>
      <c r="R148" s="293"/>
      <c r="S148" s="293"/>
      <c r="T148" s="293"/>
      <c r="U148" s="293"/>
      <c r="V148" s="293"/>
      <c r="W148" s="293"/>
      <c r="X148" s="311"/>
    </row>
    <row r="149" spans="1:24" ht="45" x14ac:dyDescent="0.25">
      <c r="A149" s="583"/>
      <c r="B149" s="582"/>
      <c r="C149" s="584"/>
      <c r="D149" s="584"/>
      <c r="E149" s="584"/>
      <c r="F149" s="580"/>
      <c r="G149" s="9" t="s">
        <v>1857</v>
      </c>
      <c r="H149" s="104" t="s">
        <v>1858</v>
      </c>
      <c r="I149" s="104" t="s">
        <v>1859</v>
      </c>
      <c r="J149" s="321">
        <v>0.03</v>
      </c>
      <c r="K149" s="321"/>
      <c r="L149" s="322"/>
      <c r="M149" s="585"/>
      <c r="N149" s="41"/>
      <c r="O149" s="329"/>
      <c r="P149" s="329"/>
      <c r="Q149" s="329"/>
      <c r="R149" s="603"/>
      <c r="S149" s="604"/>
      <c r="T149" s="605"/>
      <c r="U149" s="606"/>
      <c r="V149" s="606"/>
      <c r="W149" s="606"/>
      <c r="X149" s="311"/>
    </row>
    <row r="150" spans="1:24" ht="15.75" customHeight="1" thickBot="1" x14ac:dyDescent="0.3">
      <c r="A150" s="393"/>
      <c r="B150" s="394"/>
      <c r="C150" s="395"/>
      <c r="D150" s="395"/>
      <c r="E150" s="395"/>
      <c r="F150" s="396"/>
      <c r="G150" s="1482" t="s">
        <v>1860</v>
      </c>
      <c r="H150" s="1483"/>
      <c r="I150" s="1484"/>
      <c r="J150" s="323">
        <f>SUM(0)</f>
        <v>0</v>
      </c>
      <c r="K150" s="324">
        <v>0.8</v>
      </c>
      <c r="L150" s="323">
        <f>J150/K150</f>
        <v>0</v>
      </c>
      <c r="M150" s="1482" t="s">
        <v>1861</v>
      </c>
      <c r="N150" s="1484"/>
      <c r="O150" s="323">
        <f>SUM(O148:O148)</f>
        <v>3.3000000000000002E-2</v>
      </c>
      <c r="P150" s="324">
        <v>0.8</v>
      </c>
      <c r="Q150" s="323">
        <f>O150/P150</f>
        <v>4.1250000000000002E-2</v>
      </c>
      <c r="R150" s="1482" t="s">
        <v>1860</v>
      </c>
      <c r="S150" s="1483"/>
      <c r="T150" s="1484"/>
      <c r="U150" s="13">
        <f>SUM(U148:U148)</f>
        <v>0</v>
      </c>
      <c r="V150" s="14">
        <v>0.8</v>
      </c>
      <c r="W150" s="13">
        <f>U150/V150</f>
        <v>0</v>
      </c>
      <c r="X150" s="311"/>
    </row>
    <row r="151" spans="1:24" s="134" customFormat="1" ht="19.5" thickBot="1" x14ac:dyDescent="0.3">
      <c r="A151" s="1496" t="s">
        <v>1990</v>
      </c>
      <c r="B151" s="1497"/>
      <c r="C151" s="150"/>
      <c r="D151" s="150"/>
      <c r="E151" s="150"/>
      <c r="F151" s="150"/>
      <c r="G151" s="150"/>
      <c r="H151" s="150"/>
      <c r="I151" s="150"/>
      <c r="J151" s="336">
        <f>J150+J147+J145+J143+J134+J130+J125+J122+J120+J115+J113+J111+J105+J95+J86+J88+J84+J82+J80+J78+J76+J73+J70+J68+J66+J64+J59+J57+J55+J53+J51+J48+J45+J43+J41+J39+J37+J35+J33+J31+J28+J26+J23+J21+J19+J16+J14+J12+J10+J8</f>
        <v>5.3062999999999994</v>
      </c>
      <c r="K151" s="336"/>
      <c r="L151" s="336">
        <f>L150+L147+L145+L143+L134+L130+L125+L122+L120+L115+L113+L111+L105+L95+L86+L88+L84+L82+L80+L78+L76+L73+L70+L68+L66+L64+L59+L57+L55+L53+L51+L48+L45+L43+L41+L39+L37+L35+L33+L31+L28+L26+L23+L21+L19+L16+L14+L12+L10+L8</f>
        <v>6.6328750000000003</v>
      </c>
      <c r="M151" s="150"/>
      <c r="N151" s="150"/>
      <c r="O151" s="150"/>
      <c r="P151" s="150"/>
      <c r="Q151" s="150"/>
      <c r="R151" s="315"/>
      <c r="S151" s="315"/>
      <c r="T151" s="315"/>
      <c r="U151" s="315"/>
      <c r="V151" s="315"/>
      <c r="W151" s="316"/>
      <c r="X151" s="311"/>
    </row>
    <row r="152" spans="1:24" x14ac:dyDescent="0.25">
      <c r="A152" s="153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71"/>
      <c r="M152" s="40"/>
      <c r="N152" s="40"/>
      <c r="O152" s="40"/>
      <c r="P152" s="40"/>
      <c r="Q152" s="40"/>
      <c r="R152" s="311"/>
      <c r="S152" s="311"/>
      <c r="T152" s="311"/>
      <c r="U152" s="311"/>
      <c r="V152" s="311"/>
      <c r="W152" s="311"/>
      <c r="X152" s="311"/>
    </row>
    <row r="153" spans="1:24" x14ac:dyDescent="0.25">
      <c r="A153" s="153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71"/>
      <c r="M153" s="40"/>
      <c r="N153" s="40"/>
      <c r="O153" s="40"/>
      <c r="P153" s="40"/>
      <c r="Q153" s="40"/>
      <c r="R153" s="311"/>
      <c r="S153" s="311"/>
      <c r="T153" s="311"/>
      <c r="U153" s="311"/>
      <c r="V153" s="311"/>
      <c r="W153" s="311"/>
      <c r="X153" s="311"/>
    </row>
    <row r="154" spans="1:24" x14ac:dyDescent="0.25">
      <c r="A154" s="153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71"/>
      <c r="M154" s="40"/>
      <c r="N154" s="40"/>
      <c r="O154" s="40"/>
      <c r="P154" s="40"/>
      <c r="Q154" s="40"/>
      <c r="R154" s="311"/>
      <c r="S154" s="311"/>
      <c r="T154" s="311"/>
      <c r="U154" s="311"/>
      <c r="V154" s="311"/>
      <c r="W154" s="311"/>
      <c r="X154" s="311"/>
    </row>
    <row r="155" spans="1:24" x14ac:dyDescent="0.25">
      <c r="A155" s="153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71"/>
      <c r="M155" s="40"/>
      <c r="N155" s="40"/>
      <c r="O155" s="40"/>
      <c r="P155" s="40"/>
      <c r="Q155" s="40"/>
      <c r="R155" s="311"/>
      <c r="S155" s="311"/>
      <c r="T155" s="311"/>
      <c r="U155" s="311"/>
      <c r="V155" s="311"/>
      <c r="W155" s="311"/>
      <c r="X155" s="311"/>
    </row>
    <row r="156" spans="1:24" x14ac:dyDescent="0.25">
      <c r="A156" s="153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71"/>
      <c r="M156" s="40"/>
      <c r="N156" s="40"/>
      <c r="O156" s="40"/>
      <c r="P156" s="40"/>
      <c r="Q156" s="40"/>
      <c r="R156" s="311"/>
      <c r="S156" s="311"/>
      <c r="T156" s="311"/>
      <c r="U156" s="311"/>
      <c r="V156" s="311"/>
      <c r="W156" s="311"/>
      <c r="X156" s="311"/>
    </row>
    <row r="157" spans="1:24" x14ac:dyDescent="0.25">
      <c r="A157" s="153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71"/>
      <c r="M157" s="40"/>
      <c r="N157" s="40"/>
      <c r="O157" s="40"/>
      <c r="P157" s="40"/>
      <c r="Q157" s="40"/>
      <c r="R157" s="311"/>
      <c r="S157" s="311"/>
      <c r="T157" s="311"/>
      <c r="U157" s="311"/>
      <c r="V157" s="311"/>
      <c r="W157" s="311"/>
      <c r="X157" s="311"/>
    </row>
    <row r="158" spans="1:24" x14ac:dyDescent="0.25">
      <c r="A158" s="153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71"/>
      <c r="M158" s="40"/>
      <c r="N158" s="40"/>
      <c r="O158" s="40"/>
      <c r="P158" s="40"/>
      <c r="Q158" s="40"/>
      <c r="R158" s="311"/>
      <c r="S158" s="311"/>
      <c r="T158" s="311"/>
      <c r="U158" s="311"/>
      <c r="V158" s="311"/>
      <c r="W158" s="311"/>
      <c r="X158" s="311"/>
    </row>
    <row r="159" spans="1:24" x14ac:dyDescent="0.25">
      <c r="A159" s="153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71"/>
      <c r="M159" s="40"/>
      <c r="N159" s="40"/>
      <c r="O159" s="40"/>
      <c r="P159" s="40"/>
      <c r="Q159" s="40"/>
      <c r="R159" s="311"/>
      <c r="S159" s="311"/>
      <c r="T159" s="311"/>
      <c r="U159" s="311"/>
      <c r="V159" s="311"/>
      <c r="W159" s="311"/>
      <c r="X159" s="311"/>
    </row>
    <row r="160" spans="1:24" x14ac:dyDescent="0.25">
      <c r="A160" s="153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71"/>
      <c r="M160" s="40"/>
      <c r="N160" s="40"/>
      <c r="O160" s="40"/>
      <c r="P160" s="40"/>
      <c r="Q160" s="40"/>
      <c r="R160" s="311"/>
      <c r="S160" s="311"/>
      <c r="T160" s="311"/>
      <c r="U160" s="311"/>
      <c r="V160" s="311"/>
      <c r="W160" s="311"/>
      <c r="X160" s="311"/>
    </row>
    <row r="161" spans="1:24" x14ac:dyDescent="0.25">
      <c r="A161" s="153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71"/>
      <c r="M161" s="40"/>
      <c r="N161" s="40"/>
      <c r="O161" s="40"/>
      <c r="P161" s="40"/>
      <c r="Q161" s="40"/>
      <c r="R161" s="311"/>
      <c r="S161" s="311"/>
      <c r="T161" s="311"/>
      <c r="U161" s="311"/>
      <c r="V161" s="311"/>
      <c r="W161" s="311"/>
      <c r="X161" s="311"/>
    </row>
    <row r="162" spans="1:24" x14ac:dyDescent="0.25">
      <c r="A162" s="153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71"/>
      <c r="M162" s="40"/>
      <c r="N162" s="40"/>
      <c r="O162" s="40"/>
      <c r="P162" s="40"/>
      <c r="Q162" s="40"/>
      <c r="R162" s="311"/>
      <c r="S162" s="311"/>
      <c r="T162" s="311"/>
      <c r="U162" s="311"/>
      <c r="V162" s="311"/>
      <c r="W162" s="311"/>
      <c r="X162" s="311"/>
    </row>
    <row r="163" spans="1:24" x14ac:dyDescent="0.25">
      <c r="A163" s="153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71"/>
      <c r="M163" s="40"/>
      <c r="N163" s="40"/>
      <c r="O163" s="40"/>
      <c r="P163" s="40"/>
      <c r="Q163" s="40"/>
      <c r="R163" s="311"/>
      <c r="S163" s="311"/>
      <c r="T163" s="311"/>
      <c r="U163" s="311"/>
      <c r="V163" s="311"/>
      <c r="W163" s="311"/>
      <c r="X163" s="311"/>
    </row>
    <row r="164" spans="1:24" x14ac:dyDescent="0.25">
      <c r="A164" s="153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71"/>
      <c r="M164" s="40"/>
      <c r="N164" s="40"/>
      <c r="O164" s="40"/>
      <c r="P164" s="40"/>
      <c r="Q164" s="40"/>
      <c r="R164" s="311"/>
      <c r="S164" s="311"/>
      <c r="T164" s="311"/>
      <c r="U164" s="311"/>
      <c r="V164" s="311"/>
      <c r="W164" s="311"/>
      <c r="X164" s="311"/>
    </row>
    <row r="165" spans="1:24" x14ac:dyDescent="0.25">
      <c r="A165" s="153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71"/>
      <c r="M165" s="40"/>
      <c r="N165" s="40"/>
      <c r="O165" s="40"/>
      <c r="P165" s="40"/>
      <c r="Q165" s="40"/>
      <c r="R165" s="311"/>
      <c r="S165" s="311"/>
      <c r="T165" s="311"/>
      <c r="U165" s="311"/>
      <c r="V165" s="311"/>
      <c r="W165" s="311"/>
      <c r="X165" s="311"/>
    </row>
    <row r="166" spans="1:24" x14ac:dyDescent="0.25">
      <c r="A166" s="153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71"/>
      <c r="M166" s="40"/>
      <c r="N166" s="40"/>
      <c r="O166" s="40"/>
      <c r="P166" s="40"/>
      <c r="Q166" s="40"/>
      <c r="R166" s="311"/>
      <c r="S166" s="311"/>
      <c r="T166" s="311"/>
      <c r="U166" s="311"/>
      <c r="V166" s="311"/>
      <c r="W166" s="311"/>
      <c r="X166" s="311"/>
    </row>
    <row r="167" spans="1:24" x14ac:dyDescent="0.25">
      <c r="A167" s="153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71"/>
      <c r="M167" s="40"/>
      <c r="N167" s="40"/>
      <c r="O167" s="40"/>
      <c r="P167" s="40"/>
      <c r="Q167" s="40"/>
      <c r="R167" s="311"/>
      <c r="S167" s="311"/>
      <c r="T167" s="311"/>
      <c r="U167" s="311"/>
      <c r="V167" s="311"/>
      <c r="W167" s="311"/>
      <c r="X167" s="311"/>
    </row>
    <row r="168" spans="1:24" x14ac:dyDescent="0.25">
      <c r="A168" s="153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71"/>
      <c r="M168" s="40"/>
      <c r="N168" s="40"/>
      <c r="O168" s="40"/>
      <c r="P168" s="40"/>
      <c r="Q168" s="40"/>
      <c r="R168" s="311"/>
      <c r="S168" s="311"/>
      <c r="T168" s="311"/>
      <c r="U168" s="311"/>
      <c r="V168" s="311"/>
      <c r="W168" s="311"/>
      <c r="X168" s="311"/>
    </row>
    <row r="169" spans="1:24" x14ac:dyDescent="0.25">
      <c r="A169" s="153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71"/>
      <c r="M169" s="40"/>
      <c r="N169" s="40"/>
      <c r="O169" s="40"/>
      <c r="P169" s="40"/>
      <c r="Q169" s="40"/>
      <c r="R169" s="109"/>
    </row>
    <row r="170" spans="1:24" x14ac:dyDescent="0.25">
      <c r="A170" s="153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71"/>
      <c r="M170" s="40"/>
      <c r="N170" s="40"/>
      <c r="O170" s="40"/>
      <c r="P170" s="40"/>
      <c r="Q170" s="40"/>
      <c r="R170" s="109"/>
    </row>
    <row r="171" spans="1:24" x14ac:dyDescent="0.25">
      <c r="A171" s="153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71"/>
      <c r="M171" s="40"/>
      <c r="N171" s="40"/>
      <c r="O171" s="40"/>
      <c r="P171" s="40"/>
      <c r="Q171" s="40"/>
      <c r="R171" s="109"/>
    </row>
    <row r="172" spans="1:24" x14ac:dyDescent="0.25">
      <c r="A172" s="153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71"/>
      <c r="M172" s="40"/>
      <c r="N172" s="40"/>
      <c r="O172" s="40"/>
      <c r="P172" s="40"/>
      <c r="Q172" s="40"/>
      <c r="R172" s="109"/>
    </row>
    <row r="173" spans="1:24" x14ac:dyDescent="0.25">
      <c r="A173" s="153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71"/>
      <c r="M173" s="40"/>
      <c r="N173" s="40"/>
      <c r="O173" s="40"/>
      <c r="P173" s="40"/>
      <c r="Q173" s="40"/>
      <c r="R173" s="109"/>
    </row>
    <row r="174" spans="1:24" x14ac:dyDescent="0.25">
      <c r="A174" s="153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71"/>
      <c r="M174" s="40"/>
      <c r="N174" s="40"/>
      <c r="O174" s="40"/>
      <c r="P174" s="40"/>
      <c r="Q174" s="40"/>
      <c r="R174" s="109"/>
    </row>
    <row r="175" spans="1:24" x14ac:dyDescent="0.25">
      <c r="A175" s="153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71"/>
      <c r="M175" s="40"/>
      <c r="N175" s="40"/>
      <c r="O175" s="40"/>
      <c r="P175" s="40"/>
      <c r="Q175" s="40"/>
      <c r="R175" s="109"/>
    </row>
    <row r="176" spans="1:24" x14ac:dyDescent="0.25">
      <c r="A176" s="153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67"/>
    </row>
    <row r="177" spans="1:18" x14ac:dyDescent="0.25">
      <c r="A177" s="153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67"/>
    </row>
    <row r="178" spans="1:18" x14ac:dyDescent="0.25">
      <c r="A178" s="153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67"/>
    </row>
    <row r="179" spans="1:18" x14ac:dyDescent="0.25">
      <c r="A179" s="153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67"/>
    </row>
    <row r="180" spans="1:18" x14ac:dyDescent="0.25">
      <c r="A180" s="153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67"/>
    </row>
    <row r="181" spans="1:18" x14ac:dyDescent="0.25">
      <c r="A181" s="153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67"/>
    </row>
    <row r="182" spans="1:18" x14ac:dyDescent="0.25">
      <c r="A182" s="153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67"/>
    </row>
    <row r="183" spans="1:18" x14ac:dyDescent="0.25">
      <c r="A183" s="153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67"/>
    </row>
    <row r="184" spans="1:18" x14ac:dyDescent="0.25">
      <c r="A184" s="153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67"/>
    </row>
    <row r="185" spans="1:18" x14ac:dyDescent="0.25">
      <c r="A185" s="153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67"/>
    </row>
    <row r="186" spans="1:18" x14ac:dyDescent="0.25">
      <c r="A186" s="153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67"/>
    </row>
    <row r="187" spans="1:18" x14ac:dyDescent="0.25">
      <c r="A187" s="153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67"/>
    </row>
    <row r="188" spans="1:18" x14ac:dyDescent="0.25">
      <c r="A188" s="153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67"/>
    </row>
    <row r="189" spans="1:18" x14ac:dyDescent="0.25">
      <c r="A189" s="153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67"/>
    </row>
    <row r="190" spans="1:18" x14ac:dyDescent="0.25">
      <c r="A190" s="153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67"/>
    </row>
    <row r="191" spans="1:18" x14ac:dyDescent="0.25">
      <c r="A191" s="153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67"/>
    </row>
    <row r="192" spans="1:18" x14ac:dyDescent="0.25">
      <c r="A192" s="153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67"/>
    </row>
    <row r="193" spans="1:18" x14ac:dyDescent="0.25">
      <c r="A193" s="153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67"/>
    </row>
    <row r="194" spans="1:18" x14ac:dyDescent="0.25">
      <c r="A194" s="153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67"/>
    </row>
    <row r="195" spans="1:18" x14ac:dyDescent="0.25">
      <c r="A195" s="153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67"/>
    </row>
    <row r="196" spans="1:18" x14ac:dyDescent="0.25">
      <c r="A196" s="153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67"/>
    </row>
    <row r="197" spans="1:18" x14ac:dyDescent="0.25">
      <c r="A197" s="153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67"/>
    </row>
    <row r="198" spans="1:18" x14ac:dyDescent="0.25">
      <c r="A198" s="153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67"/>
    </row>
    <row r="199" spans="1:18" x14ac:dyDescent="0.25">
      <c r="A199" s="153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67"/>
    </row>
    <row r="200" spans="1:18" x14ac:dyDescent="0.25">
      <c r="A200" s="153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67"/>
    </row>
    <row r="201" spans="1:18" x14ac:dyDescent="0.25">
      <c r="A201" s="153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67"/>
    </row>
    <row r="202" spans="1:18" x14ac:dyDescent="0.25">
      <c r="A202" s="153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67"/>
    </row>
    <row r="203" spans="1:18" x14ac:dyDescent="0.25">
      <c r="A203" s="153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67"/>
    </row>
    <row r="204" spans="1:18" x14ac:dyDescent="0.25">
      <c r="A204" s="153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67"/>
    </row>
    <row r="205" spans="1:18" x14ac:dyDescent="0.25">
      <c r="A205" s="153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67"/>
    </row>
    <row r="206" spans="1:18" x14ac:dyDescent="0.25">
      <c r="A206" s="1492"/>
      <c r="B206" s="1492"/>
      <c r="C206" s="1492"/>
      <c r="D206" s="1492"/>
      <c r="E206" s="1492"/>
      <c r="F206" s="1492"/>
      <c r="G206" s="1492"/>
      <c r="H206" s="1492"/>
      <c r="I206" s="1492"/>
      <c r="J206" s="1492"/>
      <c r="K206" s="1492"/>
      <c r="L206" s="1492"/>
      <c r="M206" s="1492"/>
      <c r="N206" s="1492"/>
      <c r="O206" s="1492"/>
      <c r="P206" s="1492"/>
      <c r="Q206" s="1492"/>
      <c r="R206" s="67"/>
    </row>
    <row r="207" spans="1:18" x14ac:dyDescent="0.25">
      <c r="A207" s="153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67"/>
    </row>
    <row r="208" spans="1:18" x14ac:dyDescent="0.25">
      <c r="A208" s="153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67"/>
    </row>
    <row r="209" spans="1:18" x14ac:dyDescent="0.25">
      <c r="A209" s="153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67"/>
    </row>
    <row r="210" spans="1:18" x14ac:dyDescent="0.25">
      <c r="A210" s="153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67"/>
    </row>
    <row r="211" spans="1:18" x14ac:dyDescent="0.25">
      <c r="A211" s="153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67"/>
    </row>
    <row r="212" spans="1:18" x14ac:dyDescent="0.25">
      <c r="A212" s="153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67"/>
    </row>
    <row r="213" spans="1:18" x14ac:dyDescent="0.25">
      <c r="A213" s="1492"/>
      <c r="B213" s="1495"/>
      <c r="C213" s="1495"/>
      <c r="D213" s="1495"/>
      <c r="E213" s="1495"/>
      <c r="F213" s="1495"/>
      <c r="G213" s="1495"/>
      <c r="H213" s="1495"/>
      <c r="I213" s="1495"/>
      <c r="J213" s="1495"/>
      <c r="K213" s="1495"/>
      <c r="L213" s="1495"/>
      <c r="M213" s="1495"/>
      <c r="N213" s="1495"/>
      <c r="O213" s="1495"/>
      <c r="P213" s="1495"/>
      <c r="Q213" s="1495"/>
      <c r="R213" s="67"/>
    </row>
    <row r="214" spans="1:18" x14ac:dyDescent="0.25">
      <c r="A214" s="1492"/>
      <c r="B214" s="1492"/>
      <c r="C214" s="1492"/>
      <c r="D214" s="1492"/>
      <c r="E214" s="1492"/>
      <c r="F214" s="1492"/>
      <c r="G214" s="1492"/>
      <c r="H214" s="1492"/>
      <c r="I214" s="1492"/>
      <c r="J214" s="1492"/>
      <c r="K214" s="1492"/>
      <c r="L214" s="1492"/>
      <c r="M214" s="1492"/>
      <c r="N214" s="1492"/>
      <c r="O214" s="1492"/>
      <c r="P214" s="1492"/>
      <c r="Q214" s="1492"/>
      <c r="R214" s="67"/>
    </row>
    <row r="215" spans="1:18" x14ac:dyDescent="0.25">
      <c r="A215" s="153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67"/>
    </row>
    <row r="216" spans="1:18" x14ac:dyDescent="0.25">
      <c r="A216" s="153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67"/>
    </row>
    <row r="217" spans="1:18" x14ac:dyDescent="0.25">
      <c r="A217" s="153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67"/>
    </row>
    <row r="218" spans="1:18" x14ac:dyDescent="0.25">
      <c r="A218" s="153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67"/>
    </row>
    <row r="219" spans="1:18" x14ac:dyDescent="0.25">
      <c r="A219" s="153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67"/>
    </row>
    <row r="220" spans="1:18" x14ac:dyDescent="0.25">
      <c r="A220" s="153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67"/>
    </row>
    <row r="221" spans="1:18" x14ac:dyDescent="0.25">
      <c r="A221" s="153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67"/>
    </row>
    <row r="222" spans="1:18" x14ac:dyDescent="0.25">
      <c r="A222" s="153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67"/>
    </row>
    <row r="223" spans="1:18" x14ac:dyDescent="0.25">
      <c r="A223" s="153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67"/>
    </row>
    <row r="224" spans="1:18" x14ac:dyDescent="0.25">
      <c r="A224" s="153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67"/>
    </row>
    <row r="225" spans="1:18" x14ac:dyDescent="0.25">
      <c r="A225" s="153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67"/>
    </row>
    <row r="226" spans="1:18" x14ac:dyDescent="0.25">
      <c r="A226" s="153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67"/>
    </row>
    <row r="227" spans="1:18" x14ac:dyDescent="0.25">
      <c r="A227" s="153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67"/>
    </row>
    <row r="228" spans="1:18" x14ac:dyDescent="0.25">
      <c r="A228" s="153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67"/>
    </row>
    <row r="229" spans="1:18" x14ac:dyDescent="0.25">
      <c r="A229" s="153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67"/>
    </row>
    <row r="230" spans="1:18" x14ac:dyDescent="0.25">
      <c r="A230" s="153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67"/>
    </row>
    <row r="231" spans="1:18" x14ac:dyDescent="0.25">
      <c r="A231" s="1492"/>
      <c r="B231" s="1492"/>
      <c r="C231" s="1492"/>
      <c r="D231" s="1492"/>
      <c r="E231" s="1492"/>
      <c r="F231" s="1492"/>
      <c r="G231" s="1492"/>
      <c r="H231" s="1492"/>
      <c r="I231" s="1492"/>
      <c r="J231" s="1492"/>
      <c r="K231" s="1492"/>
      <c r="L231" s="1492"/>
      <c r="M231" s="1492"/>
      <c r="N231" s="1492"/>
      <c r="O231" s="1492"/>
      <c r="P231" s="1492"/>
      <c r="Q231" s="1492"/>
      <c r="R231" s="67"/>
    </row>
    <row r="232" spans="1:18" x14ac:dyDescent="0.25">
      <c r="A232" s="1492"/>
      <c r="B232" s="1495"/>
      <c r="C232" s="1495"/>
      <c r="D232" s="1495"/>
      <c r="E232" s="1495"/>
      <c r="F232" s="1495"/>
      <c r="G232" s="1495"/>
      <c r="H232" s="1495"/>
      <c r="I232" s="1495"/>
      <c r="J232" s="1495"/>
      <c r="K232" s="1495"/>
      <c r="L232" s="1495"/>
      <c r="M232" s="1495"/>
      <c r="N232" s="1495"/>
      <c r="O232" s="1495"/>
      <c r="P232" s="1495"/>
      <c r="Q232" s="1495"/>
      <c r="R232" s="67"/>
    </row>
    <row r="233" spans="1:18" x14ac:dyDescent="0.25">
      <c r="A233" s="1492"/>
      <c r="B233" s="1492"/>
      <c r="C233" s="1492"/>
      <c r="D233" s="1492"/>
      <c r="E233" s="1492"/>
      <c r="F233" s="1492"/>
      <c r="G233" s="1492"/>
      <c r="H233" s="1492"/>
      <c r="I233" s="1492"/>
      <c r="J233" s="1492"/>
      <c r="K233" s="1492"/>
      <c r="L233" s="1492"/>
      <c r="M233" s="1492"/>
      <c r="N233" s="1492"/>
      <c r="O233" s="1492"/>
      <c r="P233" s="1492"/>
      <c r="Q233" s="1492"/>
      <c r="R233" s="67"/>
    </row>
    <row r="234" spans="1:18" x14ac:dyDescent="0.25">
      <c r="A234" s="153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67"/>
    </row>
    <row r="235" spans="1:18" x14ac:dyDescent="0.25">
      <c r="A235" s="153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67"/>
    </row>
    <row r="236" spans="1:18" x14ac:dyDescent="0.25">
      <c r="A236" s="153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67"/>
    </row>
    <row r="237" spans="1:18" x14ac:dyDescent="0.25">
      <c r="A237" s="153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67"/>
    </row>
    <row r="238" spans="1:18" x14ac:dyDescent="0.25">
      <c r="A238" s="153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67"/>
    </row>
    <row r="239" spans="1:18" x14ac:dyDescent="0.25">
      <c r="A239" s="153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67"/>
    </row>
    <row r="240" spans="1:18" x14ac:dyDescent="0.25">
      <c r="A240" s="153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67"/>
    </row>
    <row r="241" spans="1:18" x14ac:dyDescent="0.25">
      <c r="A241" s="153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67"/>
    </row>
    <row r="242" spans="1:18" x14ac:dyDescent="0.25">
      <c r="A242" s="153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67"/>
    </row>
    <row r="243" spans="1:18" x14ac:dyDescent="0.25">
      <c r="A243" s="1492"/>
      <c r="B243" s="1492"/>
      <c r="C243" s="1492"/>
      <c r="D243" s="1492"/>
      <c r="E243" s="1492"/>
      <c r="F243" s="1492"/>
      <c r="G243" s="1492"/>
      <c r="H243" s="1492"/>
      <c r="I243" s="1492"/>
      <c r="J243" s="1492"/>
      <c r="K243" s="1492"/>
      <c r="L243" s="1492"/>
      <c r="M243" s="1492"/>
      <c r="N243" s="1492"/>
      <c r="O243" s="1492"/>
      <c r="P243" s="1492"/>
      <c r="Q243" s="1492"/>
      <c r="R243" s="67"/>
    </row>
    <row r="244" spans="1:18" x14ac:dyDescent="0.25">
      <c r="A244" s="1492"/>
      <c r="B244" s="1495"/>
      <c r="C244" s="1495"/>
      <c r="D244" s="1495"/>
      <c r="E244" s="1495"/>
      <c r="F244" s="1495"/>
      <c r="G244" s="1495"/>
      <c r="H244" s="1495"/>
      <c r="I244" s="1495"/>
      <c r="J244" s="1495"/>
      <c r="K244" s="1495"/>
      <c r="L244" s="1495"/>
      <c r="M244" s="1495"/>
      <c r="N244" s="1495"/>
      <c r="O244" s="1495"/>
      <c r="P244" s="1495"/>
      <c r="Q244" s="1495"/>
      <c r="R244" s="67"/>
    </row>
    <row r="245" spans="1:18" x14ac:dyDescent="0.25">
      <c r="A245" s="1492"/>
      <c r="B245" s="1492"/>
      <c r="C245" s="1492"/>
      <c r="D245" s="1492"/>
      <c r="E245" s="1492"/>
      <c r="F245" s="1492"/>
      <c r="G245" s="1492"/>
      <c r="H245" s="1492"/>
      <c r="I245" s="1492"/>
      <c r="J245" s="1492"/>
      <c r="K245" s="1492"/>
      <c r="L245" s="1492"/>
      <c r="M245" s="1492"/>
      <c r="N245" s="1492"/>
      <c r="O245" s="1492"/>
      <c r="P245" s="1492"/>
      <c r="Q245" s="1492"/>
      <c r="R245" s="67"/>
    </row>
    <row r="246" spans="1:18" x14ac:dyDescent="0.25">
      <c r="A246" s="153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67"/>
    </row>
    <row r="247" spans="1:18" x14ac:dyDescent="0.25">
      <c r="A247" s="153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67"/>
    </row>
    <row r="248" spans="1:18" x14ac:dyDescent="0.25">
      <c r="A248" s="153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67"/>
    </row>
    <row r="249" spans="1:18" x14ac:dyDescent="0.25">
      <c r="A249" s="153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67"/>
    </row>
    <row r="250" spans="1:18" x14ac:dyDescent="0.25">
      <c r="A250" s="153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67"/>
    </row>
    <row r="251" spans="1:18" x14ac:dyDescent="0.25">
      <c r="A251" s="153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67"/>
    </row>
    <row r="252" spans="1:18" x14ac:dyDescent="0.25">
      <c r="A252" s="1492"/>
      <c r="B252" s="1492"/>
      <c r="C252" s="1492"/>
      <c r="D252" s="1492"/>
      <c r="E252" s="1492"/>
      <c r="F252" s="1492"/>
      <c r="G252" s="1492"/>
      <c r="H252" s="1492"/>
      <c r="I252" s="1492"/>
      <c r="J252" s="1492"/>
      <c r="K252" s="1492"/>
      <c r="L252" s="1492"/>
      <c r="M252" s="1492"/>
      <c r="N252" s="1492"/>
      <c r="O252" s="1492"/>
      <c r="P252" s="1492"/>
      <c r="Q252" s="1492"/>
      <c r="R252" s="67"/>
    </row>
    <row r="253" spans="1:18" x14ac:dyDescent="0.25">
      <c r="A253" s="153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67"/>
    </row>
    <row r="254" spans="1:18" x14ac:dyDescent="0.25">
      <c r="A254" s="153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67"/>
    </row>
    <row r="255" spans="1:18" x14ac:dyDescent="0.25">
      <c r="A255" s="153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67"/>
    </row>
    <row r="256" spans="1:18" x14ac:dyDescent="0.25">
      <c r="A256" s="153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67"/>
    </row>
    <row r="257" spans="1:18" x14ac:dyDescent="0.25">
      <c r="A257" s="153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67"/>
    </row>
    <row r="258" spans="1:18" x14ac:dyDescent="0.25">
      <c r="A258" s="153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67"/>
    </row>
    <row r="259" spans="1:18" x14ac:dyDescent="0.25">
      <c r="A259" s="153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67"/>
    </row>
    <row r="260" spans="1:18" x14ac:dyDescent="0.25">
      <c r="A260" s="1492"/>
      <c r="B260" s="1495"/>
      <c r="C260" s="1495"/>
      <c r="D260" s="1495"/>
      <c r="E260" s="1495"/>
      <c r="F260" s="1495"/>
      <c r="G260" s="1495"/>
      <c r="H260" s="1495"/>
      <c r="I260" s="1495"/>
      <c r="J260" s="1495"/>
      <c r="K260" s="1495"/>
      <c r="L260" s="1495"/>
      <c r="M260" s="1495"/>
      <c r="N260" s="1495"/>
      <c r="O260" s="1495"/>
      <c r="P260" s="1495"/>
      <c r="Q260" s="1495"/>
      <c r="R260" s="67"/>
    </row>
    <row r="261" spans="1:18" x14ac:dyDescent="0.25">
      <c r="A261" s="1492"/>
      <c r="B261" s="1492"/>
      <c r="C261" s="1492"/>
      <c r="D261" s="1492"/>
      <c r="E261" s="1492"/>
      <c r="F261" s="1492"/>
      <c r="G261" s="1492"/>
      <c r="H261" s="1492"/>
      <c r="I261" s="1492"/>
      <c r="J261" s="1492"/>
      <c r="K261" s="1492"/>
      <c r="L261" s="1492"/>
      <c r="M261" s="1492"/>
      <c r="N261" s="1492"/>
      <c r="O261" s="1492"/>
      <c r="P261" s="1492"/>
      <c r="Q261" s="1492"/>
      <c r="R261" s="67"/>
    </row>
    <row r="262" spans="1:18" x14ac:dyDescent="0.25">
      <c r="A262" s="153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67"/>
    </row>
    <row r="263" spans="1:18" x14ac:dyDescent="0.25">
      <c r="A263" s="153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67"/>
    </row>
    <row r="264" spans="1:18" x14ac:dyDescent="0.25">
      <c r="A264" s="153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67"/>
    </row>
    <row r="265" spans="1:18" x14ac:dyDescent="0.25">
      <c r="A265" s="153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67"/>
    </row>
    <row r="266" spans="1:18" x14ac:dyDescent="0.25">
      <c r="A266" s="153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67"/>
    </row>
    <row r="267" spans="1:18" x14ac:dyDescent="0.25">
      <c r="A267" s="153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67"/>
    </row>
    <row r="268" spans="1:18" x14ac:dyDescent="0.25">
      <c r="A268" s="153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67"/>
    </row>
    <row r="269" spans="1:18" x14ac:dyDescent="0.25">
      <c r="A269" s="153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67"/>
    </row>
    <row r="270" spans="1:18" x14ac:dyDescent="0.25">
      <c r="A270" s="153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67"/>
    </row>
    <row r="271" spans="1:18" x14ac:dyDescent="0.25">
      <c r="A271" s="1492"/>
      <c r="B271" s="1492"/>
      <c r="C271" s="1492"/>
      <c r="D271" s="1492"/>
      <c r="E271" s="1492"/>
      <c r="F271" s="1492"/>
      <c r="G271" s="1492"/>
      <c r="H271" s="1492"/>
      <c r="I271" s="1492"/>
      <c r="J271" s="1492"/>
      <c r="K271" s="1492"/>
      <c r="L271" s="1492"/>
      <c r="M271" s="1492"/>
      <c r="N271" s="1492"/>
      <c r="O271" s="1492"/>
      <c r="P271" s="1492"/>
      <c r="Q271" s="1492"/>
      <c r="R271" s="67"/>
    </row>
    <row r="272" spans="1:18" x14ac:dyDescent="0.25">
      <c r="A272" s="153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67"/>
    </row>
    <row r="273" spans="1:18" x14ac:dyDescent="0.25">
      <c r="A273" s="15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67"/>
    </row>
    <row r="274" spans="1:18" x14ac:dyDescent="0.25">
      <c r="A274" s="153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67"/>
    </row>
    <row r="275" spans="1:18" x14ac:dyDescent="0.25">
      <c r="A275" s="153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67"/>
    </row>
    <row r="276" spans="1:18" x14ac:dyDescent="0.25">
      <c r="A276" s="1492"/>
      <c r="B276" s="1495"/>
      <c r="C276" s="1495"/>
      <c r="D276" s="1495"/>
      <c r="E276" s="1495"/>
      <c r="F276" s="1495"/>
      <c r="G276" s="1495"/>
      <c r="H276" s="1495"/>
      <c r="I276" s="1495"/>
      <c r="J276" s="1495"/>
      <c r="K276" s="1495"/>
      <c r="L276" s="1495"/>
      <c r="M276" s="1495"/>
      <c r="N276" s="1495"/>
      <c r="O276" s="1495"/>
      <c r="P276" s="1495"/>
      <c r="Q276" s="1495"/>
      <c r="R276" s="67"/>
    </row>
    <row r="277" spans="1:18" x14ac:dyDescent="0.25">
      <c r="A277" s="1492"/>
      <c r="B277" s="1492"/>
      <c r="C277" s="1492"/>
      <c r="D277" s="1492"/>
      <c r="E277" s="1492"/>
      <c r="F277" s="1492"/>
      <c r="G277" s="1492"/>
      <c r="H277" s="1492"/>
      <c r="I277" s="1492"/>
      <c r="J277" s="1492"/>
      <c r="K277" s="1492"/>
      <c r="L277" s="1492"/>
      <c r="M277" s="1492"/>
      <c r="N277" s="1492"/>
      <c r="O277" s="1492"/>
      <c r="P277" s="1492"/>
      <c r="Q277" s="1492"/>
      <c r="R277" s="67"/>
    </row>
    <row r="278" spans="1:18" x14ac:dyDescent="0.25">
      <c r="A278" s="153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67"/>
    </row>
    <row r="279" spans="1:18" x14ac:dyDescent="0.25">
      <c r="A279" s="153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67"/>
    </row>
    <row r="280" spans="1:18" x14ac:dyDescent="0.25">
      <c r="A280" s="153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67"/>
    </row>
    <row r="281" spans="1:18" x14ac:dyDescent="0.25">
      <c r="A281" s="153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67"/>
    </row>
    <row r="282" spans="1:18" x14ac:dyDescent="0.25">
      <c r="A282" s="153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67"/>
    </row>
    <row r="283" spans="1:18" x14ac:dyDescent="0.25">
      <c r="A283" s="153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67"/>
    </row>
    <row r="284" spans="1:18" x14ac:dyDescent="0.25">
      <c r="A284" s="153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67"/>
    </row>
    <row r="285" spans="1:18" x14ac:dyDescent="0.25">
      <c r="A285" s="153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67"/>
    </row>
    <row r="286" spans="1:18" x14ac:dyDescent="0.25">
      <c r="A286" s="153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67"/>
    </row>
    <row r="287" spans="1:18" x14ac:dyDescent="0.25">
      <c r="A287" s="153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67"/>
    </row>
    <row r="288" spans="1:18" x14ac:dyDescent="0.25">
      <c r="A288" s="1492"/>
      <c r="B288" s="1492"/>
      <c r="C288" s="1492"/>
      <c r="D288" s="1492"/>
      <c r="E288" s="1492"/>
      <c r="F288" s="1492"/>
      <c r="G288" s="1492"/>
      <c r="H288" s="1492"/>
      <c r="I288" s="1492"/>
      <c r="J288" s="1492"/>
      <c r="K288" s="1492"/>
      <c r="L288" s="1492"/>
      <c r="M288" s="1492"/>
      <c r="N288" s="1492"/>
      <c r="O288" s="1492"/>
      <c r="P288" s="1492"/>
      <c r="Q288" s="1492"/>
      <c r="R288" s="67"/>
    </row>
    <row r="289" spans="1:18" x14ac:dyDescent="0.25">
      <c r="A289" s="1492"/>
      <c r="B289" s="1495"/>
      <c r="C289" s="1495"/>
      <c r="D289" s="1495"/>
      <c r="E289" s="1495"/>
      <c r="F289" s="1495"/>
      <c r="G289" s="1495"/>
      <c r="H289" s="1495"/>
      <c r="I289" s="1495"/>
      <c r="J289" s="1495"/>
      <c r="K289" s="1495"/>
      <c r="L289" s="1495"/>
      <c r="M289" s="1495"/>
      <c r="N289" s="1495"/>
      <c r="O289" s="1495"/>
      <c r="P289" s="1495"/>
      <c r="Q289" s="1495"/>
      <c r="R289" s="67"/>
    </row>
    <row r="290" spans="1:18" x14ac:dyDescent="0.25">
      <c r="A290" s="1492"/>
      <c r="B290" s="1492"/>
      <c r="C290" s="1492"/>
      <c r="D290" s="1492"/>
      <c r="E290" s="1492"/>
      <c r="F290" s="1492"/>
      <c r="G290" s="1492"/>
      <c r="H290" s="1492"/>
      <c r="I290" s="1492"/>
      <c r="J290" s="1492"/>
      <c r="K290" s="1492"/>
      <c r="L290" s="1492"/>
      <c r="M290" s="1492"/>
      <c r="N290" s="1492"/>
      <c r="O290" s="1492"/>
      <c r="P290" s="1492"/>
      <c r="Q290" s="1492"/>
      <c r="R290" s="67"/>
    </row>
    <row r="291" spans="1:18" x14ac:dyDescent="0.25">
      <c r="A291" s="153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67"/>
    </row>
    <row r="292" spans="1:18" x14ac:dyDescent="0.25">
      <c r="A292" s="153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67"/>
    </row>
    <row r="293" spans="1:18" x14ac:dyDescent="0.25">
      <c r="A293" s="153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67"/>
    </row>
    <row r="294" spans="1:18" x14ac:dyDescent="0.25">
      <c r="A294" s="153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67"/>
    </row>
    <row r="295" spans="1:18" x14ac:dyDescent="0.25">
      <c r="A295" s="153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67"/>
    </row>
    <row r="296" spans="1:18" x14ac:dyDescent="0.25">
      <c r="A296" s="153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67"/>
    </row>
    <row r="297" spans="1:18" x14ac:dyDescent="0.25">
      <c r="A297" s="153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67"/>
    </row>
    <row r="298" spans="1:18" x14ac:dyDescent="0.25">
      <c r="A298" s="153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67"/>
    </row>
    <row r="299" spans="1:18" x14ac:dyDescent="0.25">
      <c r="A299" s="153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67"/>
    </row>
    <row r="300" spans="1:18" x14ac:dyDescent="0.25">
      <c r="A300" s="1492"/>
      <c r="B300" s="1492"/>
      <c r="C300" s="1492"/>
      <c r="D300" s="1492"/>
      <c r="E300" s="1492"/>
      <c r="F300" s="1492"/>
      <c r="G300" s="1492"/>
      <c r="H300" s="1492"/>
      <c r="I300" s="1492"/>
      <c r="J300" s="1492"/>
      <c r="K300" s="1492"/>
      <c r="L300" s="1492"/>
      <c r="M300" s="1492"/>
      <c r="N300" s="1492"/>
      <c r="O300" s="1492"/>
      <c r="P300" s="1492"/>
      <c r="Q300" s="1492"/>
      <c r="R300" s="67"/>
    </row>
    <row r="301" spans="1:18" x14ac:dyDescent="0.25">
      <c r="A301" s="153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67"/>
    </row>
    <row r="302" spans="1:18" x14ac:dyDescent="0.25">
      <c r="A302" s="153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67"/>
    </row>
    <row r="303" spans="1:18" x14ac:dyDescent="0.25">
      <c r="A303" s="153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67"/>
    </row>
    <row r="304" spans="1:18" x14ac:dyDescent="0.25">
      <c r="A304" s="153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67"/>
    </row>
    <row r="305" spans="1:18" x14ac:dyDescent="0.25">
      <c r="A305" s="1492"/>
      <c r="B305" s="1495"/>
      <c r="C305" s="1495"/>
      <c r="D305" s="1495"/>
      <c r="E305" s="1495"/>
      <c r="F305" s="1495"/>
      <c r="G305" s="1495"/>
      <c r="H305" s="1495"/>
      <c r="I305" s="1495"/>
      <c r="J305" s="1495"/>
      <c r="K305" s="1495"/>
      <c r="L305" s="1495"/>
      <c r="M305" s="1495"/>
      <c r="N305" s="1495"/>
      <c r="O305" s="1495"/>
      <c r="P305" s="1495"/>
      <c r="Q305" s="1495"/>
      <c r="R305" s="67"/>
    </row>
    <row r="306" spans="1:18" x14ac:dyDescent="0.25">
      <c r="A306" s="1492"/>
      <c r="B306" s="1492"/>
      <c r="C306" s="1492"/>
      <c r="D306" s="1492"/>
      <c r="E306" s="1492"/>
      <c r="F306" s="1492"/>
      <c r="G306" s="1492"/>
      <c r="H306" s="1492"/>
      <c r="I306" s="1492"/>
      <c r="J306" s="1492"/>
      <c r="K306" s="1492"/>
      <c r="L306" s="1492"/>
      <c r="M306" s="1492"/>
      <c r="N306" s="1492"/>
      <c r="O306" s="1492"/>
      <c r="P306" s="1492"/>
      <c r="Q306" s="1492"/>
      <c r="R306" s="67"/>
    </row>
    <row r="307" spans="1:18" x14ac:dyDescent="0.25">
      <c r="A307" s="153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67"/>
    </row>
    <row r="308" spans="1:18" x14ac:dyDescent="0.25">
      <c r="A308" s="153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67"/>
    </row>
    <row r="309" spans="1:18" x14ac:dyDescent="0.25">
      <c r="A309" s="153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67"/>
    </row>
    <row r="310" spans="1:18" x14ac:dyDescent="0.25">
      <c r="A310" s="153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67"/>
    </row>
    <row r="311" spans="1:18" x14ac:dyDescent="0.25">
      <c r="A311" s="153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67"/>
    </row>
    <row r="312" spans="1:18" x14ac:dyDescent="0.25">
      <c r="A312" s="153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67"/>
    </row>
    <row r="313" spans="1:18" x14ac:dyDescent="0.25">
      <c r="A313" s="153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67"/>
    </row>
    <row r="314" spans="1:18" x14ac:dyDescent="0.25">
      <c r="A314" s="153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67"/>
    </row>
    <row r="315" spans="1:18" x14ac:dyDescent="0.25">
      <c r="A315" s="153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67"/>
    </row>
    <row r="316" spans="1:18" x14ac:dyDescent="0.25">
      <c r="A316" s="153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67"/>
    </row>
    <row r="317" spans="1:18" x14ac:dyDescent="0.25">
      <c r="A317" s="153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67"/>
    </row>
    <row r="318" spans="1:18" x14ac:dyDescent="0.25">
      <c r="A318" s="153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67"/>
    </row>
    <row r="319" spans="1:18" x14ac:dyDescent="0.25">
      <c r="A319" s="153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67"/>
    </row>
    <row r="320" spans="1:18" x14ac:dyDescent="0.25">
      <c r="A320" s="153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67"/>
    </row>
    <row r="321" spans="1:18" x14ac:dyDescent="0.25">
      <c r="A321" s="153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67"/>
    </row>
    <row r="322" spans="1:18" x14ac:dyDescent="0.25">
      <c r="A322" s="153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67"/>
    </row>
    <row r="323" spans="1:18" x14ac:dyDescent="0.25">
      <c r="A323" s="1492"/>
      <c r="B323" s="1492"/>
      <c r="C323" s="1492"/>
      <c r="D323" s="1492"/>
      <c r="E323" s="1492"/>
      <c r="F323" s="1492"/>
      <c r="G323" s="1492"/>
      <c r="H323" s="1492"/>
      <c r="I323" s="1492"/>
      <c r="J323" s="1492"/>
      <c r="K323" s="1492"/>
      <c r="L323" s="1492"/>
      <c r="M323" s="1492"/>
      <c r="N323" s="1492"/>
      <c r="O323" s="1492"/>
      <c r="P323" s="1492"/>
      <c r="Q323" s="1492"/>
      <c r="R323" s="67"/>
    </row>
    <row r="324" spans="1:18" x14ac:dyDescent="0.25">
      <c r="A324" s="153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67"/>
    </row>
    <row r="325" spans="1:18" x14ac:dyDescent="0.25">
      <c r="A325" s="153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67"/>
    </row>
    <row r="326" spans="1:18" x14ac:dyDescent="0.25">
      <c r="A326" s="153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67"/>
    </row>
    <row r="327" spans="1:18" x14ac:dyDescent="0.25">
      <c r="A327" s="153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67"/>
    </row>
    <row r="328" spans="1:18" x14ac:dyDescent="0.25">
      <c r="A328" s="153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67"/>
    </row>
    <row r="329" spans="1:18" x14ac:dyDescent="0.25">
      <c r="A329" s="153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67"/>
    </row>
    <row r="330" spans="1:18" x14ac:dyDescent="0.25">
      <c r="A330" s="153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67"/>
    </row>
    <row r="331" spans="1:18" x14ac:dyDescent="0.25">
      <c r="A331" s="153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67"/>
    </row>
    <row r="332" spans="1:18" x14ac:dyDescent="0.25">
      <c r="A332" s="153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67"/>
    </row>
    <row r="333" spans="1:18" x14ac:dyDescent="0.25">
      <c r="A333" s="153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67"/>
    </row>
    <row r="334" spans="1:18" x14ac:dyDescent="0.25">
      <c r="A334" s="153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67"/>
    </row>
    <row r="335" spans="1:18" x14ac:dyDescent="0.25">
      <c r="A335" s="153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67"/>
    </row>
    <row r="336" spans="1:18" x14ac:dyDescent="0.25">
      <c r="A336" s="153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87"/>
      <c r="M336" s="98"/>
      <c r="N336" s="98"/>
      <c r="O336" s="98"/>
      <c r="P336" s="98"/>
      <c r="Q336" s="98"/>
    </row>
    <row r="337" spans="1:17" x14ac:dyDescent="0.25">
      <c r="A337" s="153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87"/>
      <c r="M337" s="98"/>
      <c r="N337" s="98"/>
      <c r="O337" s="98"/>
      <c r="P337" s="98"/>
      <c r="Q337" s="98"/>
    </row>
    <row r="338" spans="1:17" x14ac:dyDescent="0.25">
      <c r="A338" s="153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87"/>
      <c r="M338" s="98"/>
      <c r="N338" s="98"/>
      <c r="O338" s="98"/>
      <c r="P338" s="98"/>
      <c r="Q338" s="98"/>
    </row>
    <row r="339" spans="1:17" x14ac:dyDescent="0.25">
      <c r="A339" s="153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87"/>
      <c r="M339" s="98"/>
      <c r="N339" s="98"/>
      <c r="O339" s="98"/>
      <c r="P339" s="98"/>
      <c r="Q339" s="98"/>
    </row>
    <row r="340" spans="1:17" x14ac:dyDescent="0.25">
      <c r="A340" s="153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87"/>
      <c r="M340" s="98"/>
      <c r="N340" s="98"/>
      <c r="O340" s="98"/>
      <c r="P340" s="98"/>
      <c r="Q340" s="98"/>
    </row>
    <row r="341" spans="1:17" x14ac:dyDescent="0.25">
      <c r="A341" s="153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87"/>
      <c r="M341" s="98"/>
      <c r="N341" s="98"/>
      <c r="O341" s="98"/>
      <c r="P341" s="98"/>
      <c r="Q341" s="98"/>
    </row>
    <row r="342" spans="1:17" x14ac:dyDescent="0.25">
      <c r="A342" s="153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87"/>
      <c r="M342" s="98"/>
      <c r="N342" s="98"/>
      <c r="O342" s="98"/>
      <c r="P342" s="98"/>
      <c r="Q342" s="98"/>
    </row>
    <row r="343" spans="1:17" x14ac:dyDescent="0.25">
      <c r="A343" s="153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87"/>
      <c r="M343" s="98"/>
      <c r="N343" s="98"/>
      <c r="O343" s="98"/>
      <c r="P343" s="98"/>
      <c r="Q343" s="98"/>
    </row>
    <row r="344" spans="1:17" x14ac:dyDescent="0.25">
      <c r="A344" s="153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87"/>
      <c r="M344" s="98"/>
      <c r="N344" s="98"/>
      <c r="O344" s="98"/>
      <c r="P344" s="98"/>
      <c r="Q344" s="98"/>
    </row>
    <row r="345" spans="1:17" x14ac:dyDescent="0.25">
      <c r="A345" s="153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87"/>
      <c r="M345" s="98"/>
      <c r="N345" s="98"/>
      <c r="O345" s="98"/>
      <c r="P345" s="98"/>
      <c r="Q345" s="98"/>
    </row>
    <row r="346" spans="1:17" x14ac:dyDescent="0.25">
      <c r="A346" s="153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87"/>
      <c r="M346" s="98"/>
      <c r="N346" s="98"/>
      <c r="O346" s="98"/>
      <c r="P346" s="98"/>
      <c r="Q346" s="98"/>
    </row>
    <row r="347" spans="1:17" x14ac:dyDescent="0.25">
      <c r="A347" s="153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87"/>
      <c r="M347" s="98"/>
      <c r="N347" s="98"/>
      <c r="O347" s="98"/>
      <c r="P347" s="98"/>
      <c r="Q347" s="98"/>
    </row>
    <row r="348" spans="1:17" x14ac:dyDescent="0.25">
      <c r="A348" s="153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87"/>
      <c r="M348" s="98"/>
      <c r="N348" s="98"/>
      <c r="O348" s="98"/>
      <c r="P348" s="98"/>
      <c r="Q348" s="98"/>
    </row>
    <row r="349" spans="1:17" x14ac:dyDescent="0.25">
      <c r="A349" s="153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87"/>
      <c r="M349" s="98"/>
      <c r="N349" s="98"/>
      <c r="O349" s="98"/>
      <c r="P349" s="98"/>
      <c r="Q349" s="98"/>
    </row>
    <row r="350" spans="1:17" x14ac:dyDescent="0.25">
      <c r="A350" s="153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87"/>
      <c r="M350" s="98"/>
      <c r="N350" s="98"/>
      <c r="O350" s="98"/>
      <c r="P350" s="98"/>
      <c r="Q350" s="98"/>
    </row>
    <row r="351" spans="1:17" x14ac:dyDescent="0.25">
      <c r="A351" s="153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87"/>
      <c r="M351" s="98"/>
      <c r="N351" s="98"/>
      <c r="O351" s="98"/>
      <c r="P351" s="98"/>
      <c r="Q351" s="98"/>
    </row>
    <row r="352" spans="1:17" x14ac:dyDescent="0.25">
      <c r="A352" s="153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87"/>
      <c r="M352" s="98"/>
      <c r="N352" s="98"/>
      <c r="O352" s="98"/>
      <c r="P352" s="98"/>
      <c r="Q352" s="98"/>
    </row>
    <row r="353" spans="1:17" x14ac:dyDescent="0.25">
      <c r="A353" s="153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87"/>
      <c r="M353" s="98"/>
      <c r="N353" s="98"/>
      <c r="O353" s="98"/>
      <c r="P353" s="98"/>
      <c r="Q353" s="98"/>
    </row>
    <row r="354" spans="1:17" x14ac:dyDescent="0.25">
      <c r="A354" s="153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87"/>
      <c r="M354" s="98"/>
      <c r="N354" s="98"/>
      <c r="O354" s="98"/>
      <c r="P354" s="98"/>
      <c r="Q354" s="98"/>
    </row>
  </sheetData>
  <mergeCells count="216">
    <mergeCell ref="G73:I73"/>
    <mergeCell ref="G71:L71"/>
    <mergeCell ref="G66:I66"/>
    <mergeCell ref="G128:L128"/>
    <mergeCell ref="G129:I129"/>
    <mergeCell ref="G17:L17"/>
    <mergeCell ref="G18:I18"/>
    <mergeCell ref="M78:N78"/>
    <mergeCell ref="M84:N84"/>
    <mergeCell ref="G74:L74"/>
    <mergeCell ref="G60:L60"/>
    <mergeCell ref="M76:N76"/>
    <mergeCell ref="G80:I80"/>
    <mergeCell ref="G122:I122"/>
    <mergeCell ref="M115:N115"/>
    <mergeCell ref="M125:N125"/>
    <mergeCell ref="M95:N95"/>
    <mergeCell ref="A90:A92"/>
    <mergeCell ref="G89:L89"/>
    <mergeCell ref="G78:I78"/>
    <mergeCell ref="G70:I70"/>
    <mergeCell ref="M66:N66"/>
    <mergeCell ref="G68:I68"/>
    <mergeCell ref="M68:N68"/>
    <mergeCell ref="G55:I55"/>
    <mergeCell ref="G41:I41"/>
    <mergeCell ref="G45:I45"/>
    <mergeCell ref="G46:L46"/>
    <mergeCell ref="G53:I53"/>
    <mergeCell ref="G51:I51"/>
    <mergeCell ref="M73:N73"/>
    <mergeCell ref="M70:N70"/>
    <mergeCell ref="M64:N64"/>
    <mergeCell ref="M41:N41"/>
    <mergeCell ref="M51:N51"/>
    <mergeCell ref="M45:N45"/>
    <mergeCell ref="G84:I84"/>
    <mergeCell ref="G82:I82"/>
    <mergeCell ref="G62:L62"/>
    <mergeCell ref="G64:I64"/>
    <mergeCell ref="G76:I76"/>
    <mergeCell ref="A61:A63"/>
    <mergeCell ref="G10:I10"/>
    <mergeCell ref="M10:N10"/>
    <mergeCell ref="G26:I26"/>
    <mergeCell ref="M19:N19"/>
    <mergeCell ref="G29:L29"/>
    <mergeCell ref="G14:I14"/>
    <mergeCell ref="M57:N57"/>
    <mergeCell ref="G35:I35"/>
    <mergeCell ref="G39:I39"/>
    <mergeCell ref="G37:I37"/>
    <mergeCell ref="M37:N37"/>
    <mergeCell ref="M39:N39"/>
    <mergeCell ref="G12:I12"/>
    <mergeCell ref="M12:N12"/>
    <mergeCell ref="M55:N55"/>
    <mergeCell ref="G43:I43"/>
    <mergeCell ref="M53:N53"/>
    <mergeCell ref="M59:N59"/>
    <mergeCell ref="G49:L49"/>
    <mergeCell ref="M33:N33"/>
    <mergeCell ref="M35:N35"/>
    <mergeCell ref="M48:N48"/>
    <mergeCell ref="M31:N31"/>
    <mergeCell ref="A2:A5"/>
    <mergeCell ref="M2:Q2"/>
    <mergeCell ref="M3:Q4"/>
    <mergeCell ref="G3:L4"/>
    <mergeCell ref="G2:L2"/>
    <mergeCell ref="B2:F5"/>
    <mergeCell ref="M8:N8"/>
    <mergeCell ref="B6:F6"/>
    <mergeCell ref="G8:I8"/>
    <mergeCell ref="G141:L141"/>
    <mergeCell ref="G142:I142"/>
    <mergeCell ref="G104:I104"/>
    <mergeCell ref="G102:L102"/>
    <mergeCell ref="M14:N14"/>
    <mergeCell ref="G19:I19"/>
    <mergeCell ref="M23:N23"/>
    <mergeCell ref="G23:I23"/>
    <mergeCell ref="M26:N26"/>
    <mergeCell ref="M28:N28"/>
    <mergeCell ref="G28:I28"/>
    <mergeCell ref="G48:I48"/>
    <mergeCell ref="G108:L108"/>
    <mergeCell ref="G91:L91"/>
    <mergeCell ref="G92:I92"/>
    <mergeCell ref="M16:N16"/>
    <mergeCell ref="G16:I16"/>
    <mergeCell ref="M21:N21"/>
    <mergeCell ref="G21:I21"/>
    <mergeCell ref="G33:I33"/>
    <mergeCell ref="G31:I31"/>
    <mergeCell ref="G59:I59"/>
    <mergeCell ref="M43:N43"/>
    <mergeCell ref="G57:I57"/>
    <mergeCell ref="M130:N130"/>
    <mergeCell ref="M120:N120"/>
    <mergeCell ref="G116:L116"/>
    <mergeCell ref="M122:N122"/>
    <mergeCell ref="G111:I111"/>
    <mergeCell ref="G115:I115"/>
    <mergeCell ref="G113:I113"/>
    <mergeCell ref="G118:L118"/>
    <mergeCell ref="G123:L123"/>
    <mergeCell ref="G125:I125"/>
    <mergeCell ref="M134:N134"/>
    <mergeCell ref="M111:N111"/>
    <mergeCell ref="M88:N88"/>
    <mergeCell ref="M80:N80"/>
    <mergeCell ref="A233:Q233"/>
    <mergeCell ref="A214:Q214"/>
    <mergeCell ref="A232:Q232"/>
    <mergeCell ref="G130:I130"/>
    <mergeCell ref="A107:A109"/>
    <mergeCell ref="M82:N82"/>
    <mergeCell ref="M86:N86"/>
    <mergeCell ref="A135:A138"/>
    <mergeCell ref="G98:L98"/>
    <mergeCell ref="G88:I88"/>
    <mergeCell ref="G96:L96"/>
    <mergeCell ref="G86:I86"/>
    <mergeCell ref="G126:L126"/>
    <mergeCell ref="G145:I145"/>
    <mergeCell ref="G95:I95"/>
    <mergeCell ref="M145:N145"/>
    <mergeCell ref="G135:L135"/>
    <mergeCell ref="G106:L106"/>
    <mergeCell ref="G120:I120"/>
    <mergeCell ref="G139:L139"/>
    <mergeCell ref="A260:Q260"/>
    <mergeCell ref="A231:Q231"/>
    <mergeCell ref="G147:I147"/>
    <mergeCell ref="M147:N147"/>
    <mergeCell ref="G143:I143"/>
    <mergeCell ref="A213:Q213"/>
    <mergeCell ref="A206:Q206"/>
    <mergeCell ref="A151:B151"/>
    <mergeCell ref="M150:N150"/>
    <mergeCell ref="M143:N143"/>
    <mergeCell ref="A252:Q252"/>
    <mergeCell ref="G148:L148"/>
    <mergeCell ref="R31:T31"/>
    <mergeCell ref="R37:T37"/>
    <mergeCell ref="R39:T39"/>
    <mergeCell ref="R33:T33"/>
    <mergeCell ref="R35:T35"/>
    <mergeCell ref="A323:Q323"/>
    <mergeCell ref="G105:I105"/>
    <mergeCell ref="M105:N105"/>
    <mergeCell ref="M113:N113"/>
    <mergeCell ref="A290:Q290"/>
    <mergeCell ref="A288:Q288"/>
    <mergeCell ref="G150:I150"/>
    <mergeCell ref="G134:I134"/>
    <mergeCell ref="A306:Q306"/>
    <mergeCell ref="A300:Q300"/>
    <mergeCell ref="A244:Q244"/>
    <mergeCell ref="A243:Q243"/>
    <mergeCell ref="A245:Q245"/>
    <mergeCell ref="A305:Q305"/>
    <mergeCell ref="A271:Q271"/>
    <mergeCell ref="A276:Q276"/>
    <mergeCell ref="A289:Q289"/>
    <mergeCell ref="A277:Q277"/>
    <mergeCell ref="A261:Q261"/>
    <mergeCell ref="R150:T150"/>
    <mergeCell ref="R2:W2"/>
    <mergeCell ref="R3:W4"/>
    <mergeCell ref="R113:T113"/>
    <mergeCell ref="R115:T115"/>
    <mergeCell ref="R120:T120"/>
    <mergeCell ref="R122:T122"/>
    <mergeCell ref="R125:T125"/>
    <mergeCell ref="R8:T8"/>
    <mergeCell ref="R10:T10"/>
    <mergeCell ref="R12:T12"/>
    <mergeCell ref="R14:T14"/>
    <mergeCell ref="R16:T16"/>
    <mergeCell ref="R19:T19"/>
    <mergeCell ref="R130:T130"/>
    <mergeCell ref="R73:T73"/>
    <mergeCell ref="R76:T76"/>
    <mergeCell ref="R59:T59"/>
    <mergeCell ref="R68:T68"/>
    <mergeCell ref="R134:T134"/>
    <mergeCell ref="R105:T105"/>
    <mergeCell ref="R111:T111"/>
    <mergeCell ref="R78:T78"/>
    <mergeCell ref="R80:T80"/>
    <mergeCell ref="A1:W1"/>
    <mergeCell ref="R143:T143"/>
    <mergeCell ref="R145:T145"/>
    <mergeCell ref="R147:T147"/>
    <mergeCell ref="R95:T95"/>
    <mergeCell ref="R64:T64"/>
    <mergeCell ref="R66:T66"/>
    <mergeCell ref="R21:T21"/>
    <mergeCell ref="R23:T23"/>
    <mergeCell ref="R82:T82"/>
    <mergeCell ref="R84:T84"/>
    <mergeCell ref="R88:T88"/>
    <mergeCell ref="R86:T86"/>
    <mergeCell ref="R41:T41"/>
    <mergeCell ref="R43:T43"/>
    <mergeCell ref="R45:T45"/>
    <mergeCell ref="R70:T70"/>
    <mergeCell ref="R48:T48"/>
    <mergeCell ref="R51:T51"/>
    <mergeCell ref="R53:T53"/>
    <mergeCell ref="R55:T55"/>
    <mergeCell ref="R57:T57"/>
    <mergeCell ref="R26:T26"/>
    <mergeCell ref="R28:T28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B474"/>
  <sheetViews>
    <sheetView topLeftCell="A182" zoomScale="70" zoomScaleNormal="70" workbookViewId="0">
      <selection activeCell="A182" sqref="A1:XFD1048576"/>
    </sheetView>
  </sheetViews>
  <sheetFormatPr defaultRowHeight="15" x14ac:dyDescent="0.25"/>
  <cols>
    <col min="1" max="1" width="36.7109375" style="417" customWidth="1"/>
    <col min="2" max="2" width="5.7109375" style="418" customWidth="1"/>
    <col min="3" max="3" width="3.7109375" style="418" customWidth="1"/>
    <col min="4" max="4" width="5.7109375" style="418" customWidth="1"/>
    <col min="5" max="5" width="3.7109375" style="418" customWidth="1"/>
    <col min="6" max="6" width="5.7109375" style="418" customWidth="1"/>
    <col min="7" max="7" width="15.7109375" style="195" customWidth="1"/>
    <col min="8" max="8" width="27.7109375" style="195" customWidth="1"/>
    <col min="9" max="11" width="15.7109375" style="195" customWidth="1"/>
    <col min="12" max="12" width="15.7109375" style="196" customWidth="1"/>
    <col min="13" max="13" width="23.7109375" style="195" customWidth="1"/>
    <col min="14" max="14" width="26.85546875" style="195" customWidth="1"/>
    <col min="15" max="15" width="15.7109375" style="195" customWidth="1"/>
    <col min="16" max="16" width="12.28515625" style="195" customWidth="1"/>
    <col min="17" max="17" width="13.28515625" style="195" customWidth="1"/>
    <col min="18" max="18" width="15.5703125" style="82" customWidth="1"/>
    <col min="19" max="19" width="22.85546875" style="80" customWidth="1"/>
    <col min="20" max="20" width="22.7109375" style="80" customWidth="1"/>
    <col min="21" max="16384" width="9.140625" style="80"/>
  </cols>
  <sheetData>
    <row r="1" spans="1:28" ht="15.75" customHeight="1" x14ac:dyDescent="0.25">
      <c r="A1" s="1481" t="s">
        <v>2233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</row>
    <row r="2" spans="1:28" ht="15.75" customHeight="1" x14ac:dyDescent="0.25">
      <c r="A2" s="1576" t="s">
        <v>331</v>
      </c>
      <c r="B2" s="1578" t="s">
        <v>1786</v>
      </c>
      <c r="C2" s="1579"/>
      <c r="D2" s="1579"/>
      <c r="E2" s="1579"/>
      <c r="F2" s="1580"/>
      <c r="G2" s="1539" t="s">
        <v>1841</v>
      </c>
      <c r="H2" s="1489"/>
      <c r="I2" s="1489"/>
      <c r="J2" s="1489"/>
      <c r="K2" s="1489"/>
      <c r="L2" s="1489"/>
      <c r="M2" s="1489" t="s">
        <v>1842</v>
      </c>
      <c r="N2" s="1489"/>
      <c r="O2" s="1489"/>
      <c r="P2" s="1489"/>
      <c r="Q2" s="1489"/>
      <c r="R2" s="1489" t="s">
        <v>2535</v>
      </c>
      <c r="S2" s="1489"/>
      <c r="T2" s="1489"/>
      <c r="U2" s="1489"/>
      <c r="V2" s="1489"/>
      <c r="W2" s="1489"/>
    </row>
    <row r="3" spans="1:28" ht="15" customHeight="1" x14ac:dyDescent="0.25">
      <c r="A3" s="1576"/>
      <c r="B3" s="1581"/>
      <c r="C3" s="1582"/>
      <c r="D3" s="1582"/>
      <c r="E3" s="1582"/>
      <c r="F3" s="1583"/>
      <c r="G3" s="1577" t="s">
        <v>1845</v>
      </c>
      <c r="H3" s="1489"/>
      <c r="I3" s="1489"/>
      <c r="J3" s="1489"/>
      <c r="K3" s="1489"/>
      <c r="L3" s="1489"/>
      <c r="M3" s="1490" t="s">
        <v>1846</v>
      </c>
      <c r="N3" s="1489"/>
      <c r="O3" s="1489"/>
      <c r="P3" s="1489"/>
      <c r="Q3" s="1489"/>
      <c r="R3" s="1490" t="s">
        <v>2536</v>
      </c>
      <c r="S3" s="1489"/>
      <c r="T3" s="1489"/>
      <c r="U3" s="1489"/>
      <c r="V3" s="1489"/>
      <c r="W3" s="1489"/>
    </row>
    <row r="4" spans="1:28" ht="15" customHeight="1" x14ac:dyDescent="0.25">
      <c r="A4" s="1576"/>
      <c r="B4" s="1581"/>
      <c r="C4" s="1582"/>
      <c r="D4" s="1582"/>
      <c r="E4" s="1582"/>
      <c r="F4" s="1583"/>
      <c r="G4" s="153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</row>
    <row r="5" spans="1:28" ht="60" customHeight="1" x14ac:dyDescent="0.25">
      <c r="A5" s="1576"/>
      <c r="B5" s="1584"/>
      <c r="C5" s="1585"/>
      <c r="D5" s="1585"/>
      <c r="E5" s="1585"/>
      <c r="F5" s="1586"/>
      <c r="G5" s="266" t="s">
        <v>1849</v>
      </c>
      <c r="H5" s="11" t="s">
        <v>1855</v>
      </c>
      <c r="I5" s="1" t="s">
        <v>1851</v>
      </c>
      <c r="J5" s="1" t="s">
        <v>1852</v>
      </c>
      <c r="K5" s="1" t="s">
        <v>1853</v>
      </c>
      <c r="L5" s="22" t="s">
        <v>1854</v>
      </c>
      <c r="M5" s="11" t="s">
        <v>1849</v>
      </c>
      <c r="N5" s="11" t="s">
        <v>1855</v>
      </c>
      <c r="O5" s="1" t="s">
        <v>1852</v>
      </c>
      <c r="P5" s="1" t="s">
        <v>1853</v>
      </c>
      <c r="Q5" s="1" t="s">
        <v>1854</v>
      </c>
      <c r="R5" s="11" t="s">
        <v>1849</v>
      </c>
      <c r="S5" s="11" t="s">
        <v>1855</v>
      </c>
      <c r="T5" s="1" t="s">
        <v>1851</v>
      </c>
      <c r="U5" s="1" t="s">
        <v>1852</v>
      </c>
      <c r="V5" s="1" t="s">
        <v>1853</v>
      </c>
      <c r="W5" s="22" t="s">
        <v>1854</v>
      </c>
    </row>
    <row r="6" spans="1:28" ht="15.75" thickBot="1" x14ac:dyDescent="0.3">
      <c r="A6" s="385">
        <v>1</v>
      </c>
      <c r="B6" s="1587">
        <v>2</v>
      </c>
      <c r="C6" s="1588"/>
      <c r="D6" s="1588"/>
      <c r="E6" s="1588"/>
      <c r="F6" s="1589"/>
      <c r="G6" s="152">
        <v>3</v>
      </c>
      <c r="H6" s="1">
        <v>4</v>
      </c>
      <c r="I6" s="1">
        <v>5</v>
      </c>
      <c r="J6" s="1">
        <v>6</v>
      </c>
      <c r="K6" s="1">
        <v>7</v>
      </c>
      <c r="L6" s="22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22">
        <v>19</v>
      </c>
      <c r="X6" s="82"/>
      <c r="Y6" s="82"/>
      <c r="Z6" s="82"/>
      <c r="AA6" s="82"/>
      <c r="AB6" s="82"/>
    </row>
    <row r="7" spans="1:28" ht="29.25" customHeight="1" x14ac:dyDescent="0.25">
      <c r="A7" s="407" t="str">
        <f>'Расчет ЦП - общая форма'!C78</f>
        <v xml:space="preserve">ПС 35/6 кВ Бельский Карьер </v>
      </c>
      <c r="B7" s="398">
        <f>'Расчет ЦП - общая форма'!D78</f>
        <v>4</v>
      </c>
      <c r="C7" s="399"/>
      <c r="D7" s="399"/>
      <c r="E7" s="399"/>
      <c r="F7" s="400"/>
      <c r="G7" s="43"/>
      <c r="H7" s="17"/>
      <c r="I7" s="17"/>
      <c r="J7" s="17"/>
      <c r="K7" s="17"/>
      <c r="L7" s="73"/>
      <c r="M7" s="17" t="s">
        <v>1906</v>
      </c>
      <c r="N7" s="17" t="s">
        <v>1907</v>
      </c>
      <c r="O7" s="17">
        <v>2.5000000000000001E-2</v>
      </c>
      <c r="P7" s="17"/>
      <c r="Q7" s="17"/>
      <c r="R7" s="17"/>
      <c r="S7" s="17"/>
      <c r="T7" s="17"/>
      <c r="U7" s="17"/>
      <c r="V7" s="17"/>
      <c r="W7" s="73"/>
      <c r="X7" s="82"/>
      <c r="Y7" s="82"/>
      <c r="Z7" s="82"/>
      <c r="AA7" s="82"/>
      <c r="AB7" s="82"/>
    </row>
    <row r="8" spans="1:28" ht="15.75" customHeight="1" thickBot="1" x14ac:dyDescent="0.3">
      <c r="A8" s="393"/>
      <c r="B8" s="394"/>
      <c r="C8" s="395"/>
      <c r="D8" s="395"/>
      <c r="E8" s="395"/>
      <c r="F8" s="396"/>
      <c r="G8" s="1483" t="s">
        <v>1860</v>
      </c>
      <c r="H8" s="1483"/>
      <c r="I8" s="1484"/>
      <c r="J8" s="13">
        <f>SUM(J7:J7)</f>
        <v>0</v>
      </c>
      <c r="K8" s="14">
        <v>0.8</v>
      </c>
      <c r="L8" s="13">
        <f>J8/K8</f>
        <v>0</v>
      </c>
      <c r="M8" s="1482" t="s">
        <v>1861</v>
      </c>
      <c r="N8" s="1484"/>
      <c r="O8" s="13">
        <f>SUM(O7:O7)</f>
        <v>2.5000000000000001E-2</v>
      </c>
      <c r="P8" s="14">
        <v>0.8</v>
      </c>
      <c r="Q8" s="13">
        <f>O8/P8</f>
        <v>3.125E-2</v>
      </c>
      <c r="R8" s="1482" t="s">
        <v>1860</v>
      </c>
      <c r="S8" s="1483"/>
      <c r="T8" s="1484"/>
      <c r="U8" s="13">
        <f>SUM(U7:U7)</f>
        <v>0</v>
      </c>
      <c r="V8" s="14">
        <v>0.8</v>
      </c>
      <c r="W8" s="13">
        <f>U8/V8</f>
        <v>0</v>
      </c>
      <c r="X8" s="82"/>
      <c r="Y8" s="82"/>
      <c r="Z8" s="82"/>
      <c r="AA8" s="82"/>
      <c r="AB8" s="82"/>
    </row>
    <row r="9" spans="1:28" ht="89.25" customHeight="1" x14ac:dyDescent="0.25">
      <c r="A9" s="397" t="str">
        <f>'Расчет ЦП - общая форма'!C79</f>
        <v xml:space="preserve">ПС 35/10 кВ Дубровка </v>
      </c>
      <c r="B9" s="398">
        <f>'Расчет ЦП - общая форма'!D79</f>
        <v>1.6</v>
      </c>
      <c r="C9" s="399"/>
      <c r="D9" s="399"/>
      <c r="E9" s="399"/>
      <c r="F9" s="400"/>
      <c r="G9" s="421"/>
      <c r="H9" s="38"/>
      <c r="I9" s="38"/>
      <c r="J9" s="38"/>
      <c r="K9" s="38"/>
      <c r="L9" s="193"/>
      <c r="M9" s="4" t="s">
        <v>2436</v>
      </c>
      <c r="N9" s="4" t="s">
        <v>2438</v>
      </c>
      <c r="O9" s="4">
        <v>0.04</v>
      </c>
      <c r="P9" s="4"/>
      <c r="Q9" s="4"/>
      <c r="R9" s="38"/>
      <c r="S9" s="38"/>
      <c r="T9" s="38"/>
      <c r="U9" s="38"/>
      <c r="V9" s="38"/>
      <c r="W9" s="193"/>
      <c r="X9" s="82"/>
      <c r="Y9" s="82"/>
      <c r="Z9" s="82"/>
      <c r="AA9" s="82"/>
      <c r="AB9" s="82"/>
    </row>
    <row r="10" spans="1:28" ht="15.75" customHeight="1" thickBot="1" x14ac:dyDescent="0.3">
      <c r="A10" s="393"/>
      <c r="B10" s="394"/>
      <c r="C10" s="395"/>
      <c r="D10" s="395"/>
      <c r="E10" s="395"/>
      <c r="F10" s="396"/>
      <c r="G10" s="1483" t="s">
        <v>1860</v>
      </c>
      <c r="H10" s="1483"/>
      <c r="I10" s="1484"/>
      <c r="J10" s="13">
        <f>SUM(J9:J9)</f>
        <v>0</v>
      </c>
      <c r="K10" s="14">
        <v>0.8</v>
      </c>
      <c r="L10" s="13">
        <f>J10/K10</f>
        <v>0</v>
      </c>
      <c r="M10" s="1482" t="s">
        <v>1861</v>
      </c>
      <c r="N10" s="1484"/>
      <c r="O10" s="13">
        <f>SUM(O9:O9)</f>
        <v>0.04</v>
      </c>
      <c r="P10" s="14">
        <v>0.8</v>
      </c>
      <c r="Q10" s="13">
        <f>O10/P10</f>
        <v>4.9999999999999996E-2</v>
      </c>
      <c r="R10" s="1482" t="s">
        <v>1860</v>
      </c>
      <c r="S10" s="1483"/>
      <c r="T10" s="1484"/>
      <c r="U10" s="13">
        <f>SUM(U9:U9)</f>
        <v>0</v>
      </c>
      <c r="V10" s="14">
        <v>0.8</v>
      </c>
      <c r="W10" s="13">
        <f>U10/V10</f>
        <v>0</v>
      </c>
      <c r="X10" s="82"/>
      <c r="Y10" s="82"/>
      <c r="Z10" s="82"/>
      <c r="AA10" s="82"/>
      <c r="AB10" s="82"/>
    </row>
    <row r="11" spans="1:28" ht="19.5" customHeight="1" x14ac:dyDescent="0.25">
      <c r="A11" s="389" t="str">
        <f>'Расчет ЦП - общая форма'!C80</f>
        <v xml:space="preserve">ПС 35/10 кВ Жилотково </v>
      </c>
      <c r="B11" s="398">
        <f>'Расчет ЦП - общая форма'!D80</f>
        <v>1.8</v>
      </c>
      <c r="C11" s="399"/>
      <c r="D11" s="399"/>
      <c r="E11" s="399"/>
      <c r="F11" s="400"/>
      <c r="G11" s="1558" t="s">
        <v>3069</v>
      </c>
      <c r="H11" s="1559"/>
      <c r="I11" s="1559"/>
      <c r="J11" s="1559"/>
      <c r="K11" s="1559"/>
      <c r="L11" s="1559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3"/>
      <c r="X11" s="82"/>
      <c r="Y11" s="82"/>
      <c r="Z11" s="82"/>
      <c r="AA11" s="82"/>
      <c r="AB11" s="82"/>
    </row>
    <row r="12" spans="1:28" ht="54" customHeight="1" x14ac:dyDescent="0.25">
      <c r="A12" s="1102"/>
      <c r="B12" s="1100"/>
      <c r="C12" s="1103"/>
      <c r="D12" s="1103"/>
      <c r="E12" s="1103"/>
      <c r="F12" s="1101"/>
      <c r="G12" s="1" t="s">
        <v>3096</v>
      </c>
      <c r="H12" s="1" t="s">
        <v>3255</v>
      </c>
      <c r="I12" s="1" t="s">
        <v>3271</v>
      </c>
      <c r="J12" s="1">
        <v>0.25</v>
      </c>
      <c r="K12" s="1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22"/>
      <c r="X12" s="82"/>
      <c r="Y12" s="82"/>
      <c r="Z12" s="82"/>
      <c r="AA12" s="82"/>
      <c r="AB12" s="82"/>
    </row>
    <row r="13" spans="1:28" ht="15.75" customHeight="1" thickBot="1" x14ac:dyDescent="0.3">
      <c r="A13" s="393"/>
      <c r="B13" s="394"/>
      <c r="C13" s="395"/>
      <c r="D13" s="395"/>
      <c r="E13" s="395"/>
      <c r="F13" s="396"/>
      <c r="G13" s="1483" t="s">
        <v>1860</v>
      </c>
      <c r="H13" s="1483"/>
      <c r="I13" s="1484"/>
      <c r="J13" s="13">
        <f>SUM(J12)</f>
        <v>0.25</v>
      </c>
      <c r="K13" s="14">
        <v>0.8</v>
      </c>
      <c r="L13" s="13">
        <f>J13/K13</f>
        <v>0.3125</v>
      </c>
      <c r="M13" s="1482" t="s">
        <v>1861</v>
      </c>
      <c r="N13" s="1484"/>
      <c r="O13" s="13">
        <f>SUM(O11:O11)</f>
        <v>0</v>
      </c>
      <c r="P13" s="14">
        <v>0.8</v>
      </c>
      <c r="Q13" s="13">
        <f>O13/P13</f>
        <v>0</v>
      </c>
      <c r="R13" s="1482" t="s">
        <v>1860</v>
      </c>
      <c r="S13" s="1483"/>
      <c r="T13" s="1484"/>
      <c r="U13" s="13">
        <f>SUM(U11:U11)</f>
        <v>0</v>
      </c>
      <c r="V13" s="14">
        <v>0.8</v>
      </c>
      <c r="W13" s="13">
        <f>U13/V13</f>
        <v>0</v>
      </c>
      <c r="X13" s="82"/>
      <c r="Y13" s="82"/>
      <c r="Z13" s="82"/>
      <c r="AA13" s="82"/>
      <c r="AB13" s="82"/>
    </row>
    <row r="14" spans="1:28" x14ac:dyDescent="0.25">
      <c r="A14" s="389" t="str">
        <f>'Расчет ЦП - общая форма'!C81</f>
        <v xml:space="preserve">ПС 35/10 кВ Копачево </v>
      </c>
      <c r="B14" s="398">
        <f>'Расчет ЦП - общая форма'!D81</f>
        <v>1.6</v>
      </c>
      <c r="C14" s="399"/>
      <c r="D14" s="399"/>
      <c r="E14" s="399"/>
      <c r="F14" s="400"/>
      <c r="G14" s="43"/>
      <c r="H14" s="17"/>
      <c r="I14" s="17"/>
      <c r="J14" s="17"/>
      <c r="K14" s="17"/>
      <c r="L14" s="7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73"/>
      <c r="X14" s="82"/>
      <c r="Y14" s="82"/>
      <c r="Z14" s="82"/>
      <c r="AA14" s="82"/>
      <c r="AB14" s="82"/>
    </row>
    <row r="15" spans="1:28" ht="15.75" customHeight="1" thickBot="1" x14ac:dyDescent="0.3">
      <c r="A15" s="393"/>
      <c r="B15" s="394"/>
      <c r="C15" s="395"/>
      <c r="D15" s="395"/>
      <c r="E15" s="395"/>
      <c r="F15" s="396"/>
      <c r="G15" s="1483" t="s">
        <v>1860</v>
      </c>
      <c r="H15" s="1483"/>
      <c r="I15" s="1484"/>
      <c r="J15" s="13">
        <f>SUM(J14:J14)</f>
        <v>0</v>
      </c>
      <c r="K15" s="14">
        <v>0.8</v>
      </c>
      <c r="L15" s="13">
        <f>J15/K15</f>
        <v>0</v>
      </c>
      <c r="M15" s="1482" t="s">
        <v>1861</v>
      </c>
      <c r="N15" s="1484"/>
      <c r="O15" s="13">
        <f>SUM(O14:O14)</f>
        <v>0</v>
      </c>
      <c r="P15" s="14">
        <v>0.8</v>
      </c>
      <c r="Q15" s="13">
        <f>O15/P15</f>
        <v>0</v>
      </c>
      <c r="R15" s="1482" t="s">
        <v>1860</v>
      </c>
      <c r="S15" s="1483"/>
      <c r="T15" s="1484"/>
      <c r="U15" s="13">
        <f>SUM(U14:U14)</f>
        <v>0</v>
      </c>
      <c r="V15" s="14">
        <v>0.8</v>
      </c>
      <c r="W15" s="13">
        <f>U15/V15</f>
        <v>0</v>
      </c>
      <c r="X15" s="82"/>
      <c r="Y15" s="82"/>
      <c r="Z15" s="82"/>
      <c r="AA15" s="82"/>
      <c r="AB15" s="82"/>
    </row>
    <row r="16" spans="1:28" ht="15.75" customHeight="1" thickBot="1" x14ac:dyDescent="0.3">
      <c r="A16" s="1549" t="str">
        <f>'Расчет ЦП - общая форма'!C82</f>
        <v xml:space="preserve">ПС 35/10 кВ Кузнецово </v>
      </c>
      <c r="B16" s="1551">
        <f>'Расчет ЦП - общая форма'!D82</f>
        <v>1.6</v>
      </c>
      <c r="C16" s="1552"/>
      <c r="D16" s="1552"/>
      <c r="E16" s="1552"/>
      <c r="F16" s="1502"/>
      <c r="G16" s="1558" t="s">
        <v>2512</v>
      </c>
      <c r="H16" s="1559"/>
      <c r="I16" s="1559"/>
      <c r="J16" s="1559"/>
      <c r="K16" s="1559"/>
      <c r="L16" s="1559"/>
      <c r="M16" s="585"/>
      <c r="N16" s="41"/>
      <c r="O16" s="160"/>
      <c r="P16" s="128"/>
      <c r="Q16" s="160"/>
      <c r="R16" s="585"/>
      <c r="S16" s="40"/>
      <c r="T16" s="41"/>
      <c r="U16" s="160"/>
      <c r="V16" s="128"/>
      <c r="W16" s="160"/>
      <c r="X16" s="82"/>
      <c r="Y16" s="82"/>
      <c r="Z16" s="82"/>
      <c r="AA16" s="82"/>
      <c r="AB16" s="82"/>
    </row>
    <row r="17" spans="1:28" ht="105" x14ac:dyDescent="0.25">
      <c r="A17" s="1550"/>
      <c r="B17" s="1501"/>
      <c r="C17" s="1553"/>
      <c r="D17" s="1553"/>
      <c r="E17" s="1553"/>
      <c r="F17" s="1503"/>
      <c r="G17" s="1" t="s">
        <v>2834</v>
      </c>
      <c r="H17" s="1" t="s">
        <v>2835</v>
      </c>
      <c r="I17" s="1" t="s">
        <v>2856</v>
      </c>
      <c r="J17" s="1">
        <v>0.05</v>
      </c>
      <c r="K17" s="1"/>
      <c r="L17" s="2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73"/>
      <c r="X17" s="82"/>
      <c r="Y17" s="82"/>
      <c r="Z17" s="82"/>
      <c r="AA17" s="82"/>
      <c r="AB17" s="82"/>
    </row>
    <row r="18" spans="1:28" ht="15.75" customHeight="1" thickBot="1" x14ac:dyDescent="0.3">
      <c r="A18" s="393"/>
      <c r="B18" s="394"/>
      <c r="C18" s="395"/>
      <c r="D18" s="395"/>
      <c r="E18" s="395"/>
      <c r="F18" s="396"/>
      <c r="G18" s="1483" t="s">
        <v>1860</v>
      </c>
      <c r="H18" s="1483"/>
      <c r="I18" s="1484"/>
      <c r="J18" s="13">
        <f>SUM(J17:J17)</f>
        <v>0.05</v>
      </c>
      <c r="K18" s="14">
        <v>0.8</v>
      </c>
      <c r="L18" s="13">
        <f>J18/K18</f>
        <v>6.25E-2</v>
      </c>
      <c r="M18" s="1482" t="s">
        <v>1861</v>
      </c>
      <c r="N18" s="1484"/>
      <c r="O18" s="13">
        <f>SUM(O17:O17)</f>
        <v>0</v>
      </c>
      <c r="P18" s="14">
        <v>0.8</v>
      </c>
      <c r="Q18" s="13">
        <f>O18/P18</f>
        <v>0</v>
      </c>
      <c r="R18" s="1482" t="s">
        <v>1860</v>
      </c>
      <c r="S18" s="1483"/>
      <c r="T18" s="1484"/>
      <c r="U18" s="13">
        <f>SUM(U17:U17)</f>
        <v>0</v>
      </c>
      <c r="V18" s="14">
        <v>0.8</v>
      </c>
      <c r="W18" s="13">
        <f>U18/V18</f>
        <v>0</v>
      </c>
      <c r="X18" s="82"/>
      <c r="Y18" s="82"/>
      <c r="Z18" s="82"/>
      <c r="AA18" s="82"/>
      <c r="AB18" s="82"/>
    </row>
    <row r="19" spans="1:28" x14ac:dyDescent="0.25">
      <c r="A19" s="389" t="str">
        <f>'Расчет ЦП - общая форма'!C83</f>
        <v xml:space="preserve">ПС 35/10 кВ Лужниково </v>
      </c>
      <c r="B19" s="398">
        <f>'Расчет ЦП - общая форма'!D83</f>
        <v>2.5</v>
      </c>
      <c r="C19" s="399"/>
      <c r="D19" s="399"/>
      <c r="E19" s="399"/>
      <c r="F19" s="400"/>
      <c r="G19" s="43"/>
      <c r="H19" s="17"/>
      <c r="I19" s="17"/>
      <c r="J19" s="17"/>
      <c r="K19" s="17"/>
      <c r="L19" s="7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73"/>
      <c r="X19" s="82"/>
      <c r="Y19" s="82"/>
      <c r="Z19" s="82"/>
      <c r="AA19" s="82"/>
      <c r="AB19" s="82"/>
    </row>
    <row r="20" spans="1:28" ht="15.75" customHeight="1" thickBot="1" x14ac:dyDescent="0.3">
      <c r="A20" s="393"/>
      <c r="B20" s="394"/>
      <c r="C20" s="395"/>
      <c r="D20" s="395"/>
      <c r="E20" s="395"/>
      <c r="F20" s="396"/>
      <c r="G20" s="1483" t="s">
        <v>1860</v>
      </c>
      <c r="H20" s="1483"/>
      <c r="I20" s="1484"/>
      <c r="J20" s="13">
        <f>SUM(J19:J19)</f>
        <v>0</v>
      </c>
      <c r="K20" s="14">
        <v>0.8</v>
      </c>
      <c r="L20" s="13">
        <f>J20/K20</f>
        <v>0</v>
      </c>
      <c r="M20" s="1482" t="s">
        <v>1861</v>
      </c>
      <c r="N20" s="1484"/>
      <c r="O20" s="13">
        <f>SUM(O19:O19)</f>
        <v>0</v>
      </c>
      <c r="P20" s="14">
        <v>0.8</v>
      </c>
      <c r="Q20" s="13">
        <f>O20/P20</f>
        <v>0</v>
      </c>
      <c r="R20" s="1482" t="s">
        <v>1860</v>
      </c>
      <c r="S20" s="1483"/>
      <c r="T20" s="1484"/>
      <c r="U20" s="13">
        <f>SUM(U19:U19)</f>
        <v>0</v>
      </c>
      <c r="V20" s="14">
        <v>0.8</v>
      </c>
      <c r="W20" s="13">
        <f>U20/V20</f>
        <v>0</v>
      </c>
      <c r="X20" s="82"/>
      <c r="Y20" s="82"/>
      <c r="Z20" s="82"/>
      <c r="AA20" s="82"/>
      <c r="AB20" s="82"/>
    </row>
    <row r="21" spans="1:28" x14ac:dyDescent="0.25">
      <c r="A21" s="397" t="str">
        <f>'Расчет ЦП - общая форма'!C84</f>
        <v xml:space="preserve">ПС 35/10 кВ Насакино  </v>
      </c>
      <c r="B21" s="398">
        <f>'Расчет ЦП - общая форма'!D84</f>
        <v>2.5</v>
      </c>
      <c r="C21" s="399"/>
      <c r="D21" s="399"/>
      <c r="E21" s="399"/>
      <c r="F21" s="400"/>
      <c r="G21" s="43"/>
      <c r="H21" s="17"/>
      <c r="I21" s="17"/>
      <c r="J21" s="17"/>
      <c r="K21" s="17"/>
      <c r="L21" s="7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73"/>
      <c r="X21" s="82"/>
      <c r="Y21" s="82"/>
      <c r="Z21" s="82"/>
      <c r="AA21" s="82"/>
      <c r="AB21" s="82"/>
    </row>
    <row r="22" spans="1:28" ht="15.75" customHeight="1" thickBot="1" x14ac:dyDescent="0.3">
      <c r="A22" s="393"/>
      <c r="B22" s="394"/>
      <c r="C22" s="395"/>
      <c r="D22" s="395"/>
      <c r="E22" s="395"/>
      <c r="F22" s="396"/>
      <c r="G22" s="1483" t="s">
        <v>1860</v>
      </c>
      <c r="H22" s="1483"/>
      <c r="I22" s="1484"/>
      <c r="J22" s="13">
        <f>SUM(J21:J21)</f>
        <v>0</v>
      </c>
      <c r="K22" s="14">
        <v>0.8</v>
      </c>
      <c r="L22" s="13">
        <f>J22/K22</f>
        <v>0</v>
      </c>
      <c r="M22" s="1482" t="s">
        <v>1861</v>
      </c>
      <c r="N22" s="1484"/>
      <c r="O22" s="13">
        <f>SUM(O21:O21)</f>
        <v>0</v>
      </c>
      <c r="P22" s="14">
        <v>0.8</v>
      </c>
      <c r="Q22" s="13">
        <f>O22/P22</f>
        <v>0</v>
      </c>
      <c r="R22" s="1482" t="s">
        <v>1860</v>
      </c>
      <c r="S22" s="1483"/>
      <c r="T22" s="1484"/>
      <c r="U22" s="13">
        <f>SUM(U21:U21)</f>
        <v>0</v>
      </c>
      <c r="V22" s="14">
        <v>0.8</v>
      </c>
      <c r="W22" s="13">
        <f>U22/V22</f>
        <v>0</v>
      </c>
      <c r="X22" s="82"/>
      <c r="Y22" s="82"/>
      <c r="Z22" s="82"/>
      <c r="AA22" s="82"/>
      <c r="AB22" s="82"/>
    </row>
    <row r="23" spans="1:28" x14ac:dyDescent="0.25">
      <c r="A23" s="389" t="str">
        <f>'Расчет ЦП - общая форма'!C85</f>
        <v xml:space="preserve">ПС 110/35 кВ Октябрьский Карьер </v>
      </c>
      <c r="B23" s="398">
        <f>'Расчет ЦП - общая форма'!D85</f>
        <v>25</v>
      </c>
      <c r="C23" s="399"/>
      <c r="D23" s="399"/>
      <c r="E23" s="399"/>
      <c r="F23" s="400"/>
      <c r="G23" s="43"/>
      <c r="H23" s="17"/>
      <c r="I23" s="17"/>
      <c r="J23" s="17"/>
      <c r="K23" s="17"/>
      <c r="L23" s="73"/>
      <c r="M23" s="18"/>
      <c r="N23" s="18"/>
      <c r="O23" s="18"/>
      <c r="P23" s="17"/>
      <c r="Q23" s="17"/>
      <c r="R23" s="17"/>
      <c r="S23" s="17"/>
      <c r="T23" s="17"/>
      <c r="U23" s="17"/>
      <c r="V23" s="17"/>
      <c r="W23" s="73"/>
      <c r="X23" s="82"/>
      <c r="Y23" s="82"/>
      <c r="Z23" s="82"/>
      <c r="AA23" s="82"/>
      <c r="AB23" s="82"/>
    </row>
    <row r="24" spans="1:28" ht="15.75" customHeight="1" thickBot="1" x14ac:dyDescent="0.3">
      <c r="A24" s="407"/>
      <c r="B24" s="394"/>
      <c r="C24" s="395"/>
      <c r="D24" s="395"/>
      <c r="E24" s="395"/>
      <c r="F24" s="396"/>
      <c r="G24" s="1486" t="s">
        <v>1860</v>
      </c>
      <c r="H24" s="1486"/>
      <c r="I24" s="1487"/>
      <c r="J24" s="21">
        <f>SUM(J23:J23)</f>
        <v>0</v>
      </c>
      <c r="K24" s="24">
        <v>0.8</v>
      </c>
      <c r="L24" s="21">
        <f>J24/K24</f>
        <v>0</v>
      </c>
      <c r="M24" s="1485" t="s">
        <v>1861</v>
      </c>
      <c r="N24" s="1487"/>
      <c r="O24" s="21">
        <f>SUM(O23:O23)</f>
        <v>0</v>
      </c>
      <c r="P24" s="24">
        <v>0.8</v>
      </c>
      <c r="Q24" s="21">
        <f>O24/P24</f>
        <v>0</v>
      </c>
      <c r="R24" s="1485" t="s">
        <v>1860</v>
      </c>
      <c r="S24" s="1486"/>
      <c r="T24" s="1487"/>
      <c r="U24" s="21">
        <f>SUM(U23:U23)</f>
        <v>0</v>
      </c>
      <c r="V24" s="24">
        <v>0.8</v>
      </c>
      <c r="W24" s="21">
        <f>U24/V24</f>
        <v>0</v>
      </c>
      <c r="X24" s="82"/>
      <c r="Y24" s="82"/>
      <c r="Z24" s="82"/>
      <c r="AA24" s="82"/>
      <c r="AB24" s="82"/>
    </row>
    <row r="25" spans="1:28" x14ac:dyDescent="0.25">
      <c r="A25" s="1557" t="str">
        <f>'Расчет ЦП - общая форма'!C86</f>
        <v xml:space="preserve">ПС 35/10 кВ Порожки </v>
      </c>
      <c r="B25" s="1551">
        <f>'Расчет ЦП - общая форма'!D86</f>
        <v>1</v>
      </c>
      <c r="C25" s="399"/>
      <c r="D25" s="399"/>
      <c r="E25" s="399"/>
      <c r="F25" s="400"/>
      <c r="G25" s="422"/>
      <c r="H25" s="337"/>
      <c r="I25" s="337"/>
      <c r="J25" s="337"/>
      <c r="K25" s="337"/>
      <c r="L25" s="337"/>
      <c r="M25" s="131"/>
      <c r="N25" s="132"/>
      <c r="O25" s="73"/>
      <c r="P25" s="73"/>
      <c r="Q25" s="73"/>
      <c r="R25" s="1566" t="s">
        <v>1988</v>
      </c>
      <c r="S25" s="1567"/>
      <c r="T25" s="1567"/>
      <c r="U25" s="1567"/>
      <c r="V25" s="1567"/>
      <c r="W25" s="1573"/>
      <c r="X25" s="82"/>
      <c r="Y25" s="82"/>
      <c r="Z25" s="82"/>
      <c r="AA25" s="82"/>
      <c r="AB25" s="82"/>
    </row>
    <row r="26" spans="1:28" ht="54" customHeight="1" x14ac:dyDescent="0.25">
      <c r="A26" s="1543"/>
      <c r="B26" s="1501"/>
      <c r="C26" s="403"/>
      <c r="D26" s="403"/>
      <c r="E26" s="403"/>
      <c r="F26" s="404"/>
      <c r="G26" s="312"/>
      <c r="H26" s="313"/>
      <c r="I26" s="313"/>
      <c r="J26" s="313"/>
      <c r="K26" s="313"/>
      <c r="L26" s="313"/>
      <c r="M26" s="51"/>
      <c r="N26" s="51"/>
      <c r="O26" s="51"/>
      <c r="P26" s="51"/>
      <c r="Q26" s="51"/>
      <c r="R26" s="346" t="s">
        <v>1930</v>
      </c>
      <c r="S26" s="346" t="s">
        <v>1931</v>
      </c>
      <c r="T26" s="346" t="s">
        <v>2530</v>
      </c>
      <c r="U26" s="346">
        <v>2.5000000000000001E-2</v>
      </c>
      <c r="V26" s="346"/>
      <c r="W26" s="339"/>
      <c r="X26" s="82"/>
      <c r="Y26" s="82"/>
      <c r="Z26" s="82"/>
      <c r="AA26" s="82"/>
      <c r="AB26" s="82"/>
    </row>
    <row r="27" spans="1:28" ht="15.75" customHeight="1" thickBot="1" x14ac:dyDescent="0.3">
      <c r="A27" s="393"/>
      <c r="B27" s="394"/>
      <c r="C27" s="395"/>
      <c r="D27" s="395"/>
      <c r="E27" s="395"/>
      <c r="F27" s="396"/>
      <c r="G27" s="1483" t="s">
        <v>1860</v>
      </c>
      <c r="H27" s="1483"/>
      <c r="I27" s="1484"/>
      <c r="J27" s="13">
        <f>SUM(J26:J26)</f>
        <v>0</v>
      </c>
      <c r="K27" s="14">
        <v>0.8</v>
      </c>
      <c r="L27" s="13">
        <f>J27/K27</f>
        <v>0</v>
      </c>
      <c r="M27" s="1482" t="s">
        <v>1861</v>
      </c>
      <c r="N27" s="1484"/>
      <c r="O27" s="13">
        <f>SUM(O26:O26)</f>
        <v>0</v>
      </c>
      <c r="P27" s="14">
        <v>0.8</v>
      </c>
      <c r="Q27" s="13">
        <f>O27/P27</f>
        <v>0</v>
      </c>
      <c r="R27" s="1482" t="s">
        <v>1860</v>
      </c>
      <c r="S27" s="1483"/>
      <c r="T27" s="1484"/>
      <c r="U27" s="13">
        <f>SUM(U26:U26)</f>
        <v>2.5000000000000001E-2</v>
      </c>
      <c r="V27" s="14">
        <v>0.8</v>
      </c>
      <c r="W27" s="15">
        <f>U27/V27</f>
        <v>3.125E-2</v>
      </c>
      <c r="X27" s="82"/>
      <c r="Y27" s="82"/>
      <c r="Z27" s="82"/>
      <c r="AA27" s="82"/>
      <c r="AB27" s="82"/>
    </row>
    <row r="28" spans="1:28" ht="45" x14ac:dyDescent="0.25">
      <c r="A28" s="397" t="str">
        <f>'Расчет ЦП - общая форма'!C87</f>
        <v>ПС 35/6 кВ ХБК</v>
      </c>
      <c r="B28" s="398">
        <f>'Расчет ЦП - общая форма'!D87</f>
        <v>4</v>
      </c>
      <c r="C28" s="399"/>
      <c r="D28" s="399"/>
      <c r="E28" s="399"/>
      <c r="F28" s="400"/>
      <c r="G28" s="43"/>
      <c r="H28" s="17"/>
      <c r="I28" s="17"/>
      <c r="J28" s="17"/>
      <c r="K28" s="17"/>
      <c r="L28" s="73"/>
      <c r="M28" s="17" t="s">
        <v>1904</v>
      </c>
      <c r="N28" s="17" t="s">
        <v>1905</v>
      </c>
      <c r="O28" s="340">
        <v>0.10299999999999999</v>
      </c>
      <c r="P28" s="340"/>
      <c r="Q28" s="340"/>
      <c r="R28" s="17"/>
      <c r="S28" s="17"/>
      <c r="T28" s="17"/>
      <c r="U28" s="17"/>
      <c r="V28" s="17"/>
      <c r="W28" s="73"/>
      <c r="X28" s="82"/>
      <c r="Y28" s="82"/>
      <c r="Z28" s="82"/>
      <c r="AA28" s="82"/>
      <c r="AB28" s="82"/>
    </row>
    <row r="29" spans="1:28" ht="105" x14ac:dyDescent="0.25">
      <c r="A29" s="776"/>
      <c r="B29" s="775"/>
      <c r="C29" s="777"/>
      <c r="D29" s="777"/>
      <c r="E29" s="777"/>
      <c r="F29" s="773"/>
      <c r="G29" s="1"/>
      <c r="H29" s="1"/>
      <c r="I29" s="1"/>
      <c r="J29" s="1"/>
      <c r="K29" s="1"/>
      <c r="L29" s="22"/>
      <c r="M29" s="1" t="s">
        <v>2869</v>
      </c>
      <c r="N29" s="1" t="s">
        <v>2873</v>
      </c>
      <c r="O29" s="325">
        <v>4.4999999999999998E-2</v>
      </c>
      <c r="P29" s="325"/>
      <c r="Q29" s="325"/>
      <c r="R29" s="1"/>
      <c r="S29" s="1"/>
      <c r="T29" s="1"/>
      <c r="U29" s="1"/>
      <c r="V29" s="1"/>
      <c r="W29" s="22"/>
      <c r="X29" s="82"/>
      <c r="Y29" s="82"/>
      <c r="Z29" s="82"/>
      <c r="AA29" s="82"/>
      <c r="AB29" s="82"/>
    </row>
    <row r="30" spans="1:28" ht="138.75" customHeight="1" x14ac:dyDescent="0.25">
      <c r="A30" s="776"/>
      <c r="B30" s="775"/>
      <c r="C30" s="777"/>
      <c r="D30" s="777"/>
      <c r="E30" s="777"/>
      <c r="F30" s="773"/>
      <c r="G30" s="263"/>
      <c r="H30" s="263"/>
      <c r="I30" s="20"/>
      <c r="J30" s="24"/>
      <c r="K30" s="24"/>
      <c r="L30" s="62"/>
      <c r="M30" s="1" t="s">
        <v>2869</v>
      </c>
      <c r="N30" s="1" t="s">
        <v>2876</v>
      </c>
      <c r="O30" s="325">
        <v>0.25</v>
      </c>
      <c r="P30" s="325"/>
      <c r="Q30" s="325"/>
      <c r="R30" s="1"/>
      <c r="S30" s="1"/>
      <c r="T30" s="1"/>
      <c r="U30" s="1"/>
      <c r="V30" s="1"/>
      <c r="W30" s="22"/>
      <c r="X30" s="82"/>
      <c r="Y30" s="82"/>
      <c r="Z30" s="82"/>
      <c r="AA30" s="82"/>
      <c r="AB30" s="82"/>
    </row>
    <row r="31" spans="1:28" ht="138.75" customHeight="1" x14ac:dyDescent="0.25">
      <c r="A31" s="1094"/>
      <c r="B31" s="1091"/>
      <c r="C31" s="1095"/>
      <c r="D31" s="1095"/>
      <c r="E31" s="1095"/>
      <c r="F31" s="1092"/>
      <c r="G31" s="263"/>
      <c r="H31" s="263"/>
      <c r="I31" s="20"/>
      <c r="J31" s="24"/>
      <c r="K31" s="24"/>
      <c r="L31" s="62"/>
      <c r="M31" s="1" t="s">
        <v>3265</v>
      </c>
      <c r="N31" s="1" t="s">
        <v>3266</v>
      </c>
      <c r="O31" s="325">
        <v>9.9000000000000005E-2</v>
      </c>
      <c r="P31" s="325"/>
      <c r="Q31" s="325"/>
      <c r="R31" s="1"/>
      <c r="S31" s="1"/>
      <c r="T31" s="1"/>
      <c r="U31" s="1"/>
      <c r="V31" s="24"/>
      <c r="W31" s="62"/>
      <c r="X31" s="82"/>
      <c r="Y31" s="82"/>
      <c r="Z31" s="82"/>
      <c r="AA31" s="82"/>
      <c r="AB31" s="82"/>
    </row>
    <row r="32" spans="1:28" ht="15.75" customHeight="1" thickBot="1" x14ac:dyDescent="0.3">
      <c r="A32" s="393"/>
      <c r="B32" s="394"/>
      <c r="C32" s="395"/>
      <c r="D32" s="395"/>
      <c r="E32" s="395"/>
      <c r="F32" s="396"/>
      <c r="G32" s="1483" t="s">
        <v>1860</v>
      </c>
      <c r="H32" s="1483"/>
      <c r="I32" s="1484"/>
      <c r="J32" s="13">
        <f>SUM(J28:J28)</f>
        <v>0</v>
      </c>
      <c r="K32" s="14">
        <v>0.8</v>
      </c>
      <c r="L32" s="13">
        <f>J32/K32</f>
        <v>0</v>
      </c>
      <c r="M32" s="1482" t="s">
        <v>1861</v>
      </c>
      <c r="N32" s="1484"/>
      <c r="O32" s="323">
        <f>SUM(O28:O31)</f>
        <v>0.497</v>
      </c>
      <c r="P32" s="324">
        <v>0.8</v>
      </c>
      <c r="Q32" s="323">
        <f>O32/P32</f>
        <v>0.62124999999999997</v>
      </c>
      <c r="R32" s="1482" t="s">
        <v>1860</v>
      </c>
      <c r="S32" s="1483"/>
      <c r="T32" s="1484"/>
      <c r="U32" s="13">
        <f>SUM(U28:U28)</f>
        <v>0</v>
      </c>
      <c r="V32" s="14">
        <v>0.8</v>
      </c>
      <c r="W32" s="13">
        <f>U32/V32</f>
        <v>0</v>
      </c>
      <c r="X32" s="82"/>
      <c r="Y32" s="82"/>
      <c r="Z32" s="82"/>
      <c r="AA32" s="82"/>
      <c r="AB32" s="82"/>
    </row>
    <row r="33" spans="1:28" ht="90" x14ac:dyDescent="0.25">
      <c r="A33" s="389" t="str">
        <f>'Расчет ЦП - общая форма'!C88</f>
        <v xml:space="preserve">ПС 35/6 кВ №5 </v>
      </c>
      <c r="B33" s="398">
        <f>'Расчет ЦП - общая форма'!D88</f>
        <v>1</v>
      </c>
      <c r="C33" s="399" t="str">
        <f>'Расчет ЦП - общая форма'!E88</f>
        <v>+</v>
      </c>
      <c r="D33" s="399">
        <f>'Расчет ЦП - общая форма'!F88</f>
        <v>1.6</v>
      </c>
      <c r="E33" s="399"/>
      <c r="F33" s="400"/>
      <c r="G33" s="43"/>
      <c r="H33" s="17"/>
      <c r="I33" s="17"/>
      <c r="J33" s="17"/>
      <c r="K33" s="17"/>
      <c r="L33" s="73"/>
      <c r="M33" s="17" t="s">
        <v>2837</v>
      </c>
      <c r="N33" s="17" t="s">
        <v>2838</v>
      </c>
      <c r="O33" s="17">
        <v>0.15</v>
      </c>
      <c r="P33" s="17"/>
      <c r="Q33" s="17"/>
      <c r="R33" s="17"/>
      <c r="S33" s="17"/>
      <c r="T33" s="17"/>
      <c r="U33" s="17"/>
      <c r="V33" s="17"/>
      <c r="W33" s="73"/>
      <c r="X33" s="82"/>
      <c r="Y33" s="82"/>
      <c r="Z33" s="82"/>
      <c r="AA33" s="82"/>
      <c r="AB33" s="82"/>
    </row>
    <row r="34" spans="1:28" ht="15.75" customHeight="1" thickBot="1" x14ac:dyDescent="0.3">
      <c r="A34" s="393"/>
      <c r="B34" s="394"/>
      <c r="C34" s="395"/>
      <c r="D34" s="395"/>
      <c r="E34" s="395"/>
      <c r="F34" s="396"/>
      <c r="G34" s="1483" t="s">
        <v>1860</v>
      </c>
      <c r="H34" s="1483"/>
      <c r="I34" s="1484"/>
      <c r="J34" s="13">
        <f>SUM(J33:J33)</f>
        <v>0</v>
      </c>
      <c r="K34" s="14">
        <v>0.8</v>
      </c>
      <c r="L34" s="13">
        <f>J34/K34</f>
        <v>0</v>
      </c>
      <c r="M34" s="1482" t="s">
        <v>1861</v>
      </c>
      <c r="N34" s="1484"/>
      <c r="O34" s="13">
        <f>SUM(O33:O33)</f>
        <v>0.15</v>
      </c>
      <c r="P34" s="14">
        <v>0.8</v>
      </c>
      <c r="Q34" s="13">
        <f>O34/P34</f>
        <v>0.18749999999999997</v>
      </c>
      <c r="R34" s="1482" t="s">
        <v>1860</v>
      </c>
      <c r="S34" s="1483"/>
      <c r="T34" s="1484"/>
      <c r="U34" s="13">
        <f>SUM(U33:U33)</f>
        <v>0</v>
      </c>
      <c r="V34" s="14">
        <v>0.8</v>
      </c>
      <c r="W34" s="13">
        <f>U34/V34</f>
        <v>0</v>
      </c>
      <c r="X34" s="82"/>
      <c r="Y34" s="82"/>
      <c r="Z34" s="82"/>
      <c r="AA34" s="82"/>
      <c r="AB34" s="82"/>
    </row>
    <row r="35" spans="1:28" x14ac:dyDescent="0.25">
      <c r="A35" s="389" t="str">
        <f>'Расчет ЦП - общая форма'!C89</f>
        <v xml:space="preserve">ПС 35/10 кВ 9-е Января  </v>
      </c>
      <c r="B35" s="398">
        <f>'Расчет ЦП - общая форма'!D89</f>
        <v>6.3</v>
      </c>
      <c r="C35" s="399" t="str">
        <f>'Расчет ЦП - общая форма'!E89</f>
        <v>+</v>
      </c>
      <c r="D35" s="399">
        <f>'Расчет ЦП - общая форма'!F89</f>
        <v>10</v>
      </c>
      <c r="E35" s="399"/>
      <c r="F35" s="400"/>
      <c r="G35" s="43"/>
      <c r="H35" s="17"/>
      <c r="I35" s="17"/>
      <c r="J35" s="17"/>
      <c r="K35" s="17"/>
      <c r="L35" s="7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3"/>
      <c r="X35" s="82"/>
      <c r="Y35" s="82"/>
      <c r="Z35" s="82"/>
      <c r="AA35" s="82"/>
      <c r="AB35" s="82"/>
    </row>
    <row r="36" spans="1:28" ht="15.75" customHeight="1" thickBot="1" x14ac:dyDescent="0.3">
      <c r="A36" s="393"/>
      <c r="B36" s="394"/>
      <c r="C36" s="395"/>
      <c r="D36" s="395"/>
      <c r="E36" s="395"/>
      <c r="F36" s="396"/>
      <c r="G36" s="1483" t="s">
        <v>1860</v>
      </c>
      <c r="H36" s="1483"/>
      <c r="I36" s="1484"/>
      <c r="J36" s="13">
        <f>SUM(J35:J35)</f>
        <v>0</v>
      </c>
      <c r="K36" s="14">
        <v>0.8</v>
      </c>
      <c r="L36" s="13">
        <f>J36/K36</f>
        <v>0</v>
      </c>
      <c r="M36" s="1482" t="s">
        <v>1861</v>
      </c>
      <c r="N36" s="1484"/>
      <c r="O36" s="13">
        <f>SUM(O35:O35)</f>
        <v>0</v>
      </c>
      <c r="P36" s="14">
        <v>0.8</v>
      </c>
      <c r="Q36" s="13">
        <f>O36/P36</f>
        <v>0</v>
      </c>
      <c r="R36" s="1485" t="s">
        <v>1860</v>
      </c>
      <c r="S36" s="1486"/>
      <c r="T36" s="1487"/>
      <c r="U36" s="21">
        <f>SUM(U35:U35)</f>
        <v>0</v>
      </c>
      <c r="V36" s="24">
        <v>0.8</v>
      </c>
      <c r="W36" s="21">
        <f>U36/V36</f>
        <v>0</v>
      </c>
      <c r="X36" s="82"/>
      <c r="Y36" s="82"/>
      <c r="Z36" s="82"/>
      <c r="AA36" s="82"/>
      <c r="AB36" s="82"/>
    </row>
    <row r="37" spans="1:28" x14ac:dyDescent="0.25">
      <c r="A37" s="1557" t="str">
        <f>'Расчет ЦП - общая форма'!C90</f>
        <v xml:space="preserve">ПС 35/6 кВ АКУ </v>
      </c>
      <c r="B37" s="1551">
        <f>'Расчет ЦП - общая форма'!D90</f>
        <v>3.2</v>
      </c>
      <c r="C37" s="1552" t="str">
        <f>'Расчет ЦП - общая форма'!E90</f>
        <v>+</v>
      </c>
      <c r="D37" s="1552">
        <f>'Расчет ЦП - общая форма'!F90</f>
        <v>4</v>
      </c>
      <c r="E37" s="399"/>
      <c r="F37" s="400"/>
      <c r="G37" s="1516" t="s">
        <v>2061</v>
      </c>
      <c r="H37" s="1554"/>
      <c r="I37" s="1554"/>
      <c r="J37" s="1554"/>
      <c r="K37" s="1554"/>
      <c r="L37" s="1554"/>
      <c r="M37" s="51"/>
      <c r="N37" s="51"/>
      <c r="O37" s="51"/>
      <c r="P37" s="51"/>
      <c r="Q37" s="51"/>
      <c r="R37" s="313"/>
      <c r="S37" s="313"/>
      <c r="T37" s="313"/>
      <c r="U37" s="313"/>
      <c r="V37" s="313"/>
      <c r="W37" s="313"/>
      <c r="X37" s="82"/>
      <c r="Y37" s="82"/>
      <c r="Z37" s="82"/>
      <c r="AA37" s="82"/>
      <c r="AB37" s="82"/>
    </row>
    <row r="38" spans="1:28" ht="90" x14ac:dyDescent="0.25">
      <c r="A38" s="1543"/>
      <c r="B38" s="1501"/>
      <c r="C38" s="1553"/>
      <c r="D38" s="1553"/>
      <c r="E38" s="403"/>
      <c r="F38" s="404"/>
      <c r="G38" s="152" t="s">
        <v>2192</v>
      </c>
      <c r="H38" s="1" t="s">
        <v>2193</v>
      </c>
      <c r="I38" s="1" t="s">
        <v>2304</v>
      </c>
      <c r="J38" s="325">
        <v>0.13500000000000001</v>
      </c>
      <c r="K38" s="325"/>
      <c r="L38" s="335"/>
      <c r="M38" s="1" t="s">
        <v>1477</v>
      </c>
      <c r="N38" s="1" t="s">
        <v>1478</v>
      </c>
      <c r="O38" s="1">
        <v>0.15</v>
      </c>
      <c r="P38" s="1"/>
      <c r="Q38" s="1"/>
      <c r="R38" s="22"/>
      <c r="S38" s="22"/>
      <c r="T38" s="22"/>
      <c r="U38" s="22"/>
      <c r="V38" s="22"/>
      <c r="W38" s="22"/>
      <c r="X38" s="82"/>
      <c r="Y38" s="82"/>
      <c r="Z38" s="82"/>
      <c r="AA38" s="82"/>
      <c r="AB38" s="82"/>
    </row>
    <row r="39" spans="1:28" ht="36" customHeight="1" x14ac:dyDescent="0.25">
      <c r="A39" s="407"/>
      <c r="B39" s="402"/>
      <c r="C39" s="403"/>
      <c r="D39" s="403"/>
      <c r="E39" s="403"/>
      <c r="F39" s="404"/>
      <c r="G39" s="152"/>
      <c r="H39" s="1"/>
      <c r="I39" s="1"/>
      <c r="J39" s="325"/>
      <c r="K39" s="325"/>
      <c r="L39" s="335"/>
      <c r="M39" s="148"/>
      <c r="N39" s="148"/>
      <c r="O39" s="148"/>
      <c r="P39" s="1"/>
      <c r="Q39" s="1"/>
      <c r="R39" s="22"/>
      <c r="S39" s="22"/>
      <c r="T39" s="22"/>
      <c r="U39" s="22"/>
      <c r="V39" s="22"/>
      <c r="W39" s="22"/>
      <c r="X39" s="82"/>
      <c r="Y39" s="82"/>
      <c r="Z39" s="82"/>
      <c r="AA39" s="82"/>
      <c r="AB39" s="82"/>
    </row>
    <row r="40" spans="1:28" ht="15.75" customHeight="1" thickBot="1" x14ac:dyDescent="0.3">
      <c r="A40" s="393"/>
      <c r="B40" s="394"/>
      <c r="C40" s="395"/>
      <c r="D40" s="395"/>
      <c r="E40" s="395"/>
      <c r="F40" s="396"/>
      <c r="G40" s="1483" t="s">
        <v>1860</v>
      </c>
      <c r="H40" s="1483"/>
      <c r="I40" s="1484"/>
      <c r="J40" s="323">
        <f>SUM(J39)</f>
        <v>0</v>
      </c>
      <c r="K40" s="324">
        <v>0.8</v>
      </c>
      <c r="L40" s="323">
        <f>J40/K40</f>
        <v>0</v>
      </c>
      <c r="M40" s="1482" t="s">
        <v>1861</v>
      </c>
      <c r="N40" s="1484"/>
      <c r="O40" s="13">
        <f>SUM(O38:O39)</f>
        <v>0.15</v>
      </c>
      <c r="P40" s="14">
        <v>0.8</v>
      </c>
      <c r="Q40" s="13">
        <f>O40/P40</f>
        <v>0.18749999999999997</v>
      </c>
      <c r="R40" s="1482" t="s">
        <v>1860</v>
      </c>
      <c r="S40" s="1483"/>
      <c r="T40" s="1484"/>
      <c r="U40" s="13">
        <f>SUM(U38:U38)</f>
        <v>0</v>
      </c>
      <c r="V40" s="14">
        <v>0.8</v>
      </c>
      <c r="W40" s="13">
        <f>U40/V40</f>
        <v>0</v>
      </c>
      <c r="X40" s="82"/>
      <c r="Y40" s="82"/>
      <c r="Z40" s="82"/>
      <c r="AA40" s="82"/>
      <c r="AB40" s="82"/>
    </row>
    <row r="41" spans="1:28" x14ac:dyDescent="0.25">
      <c r="A41" s="389" t="str">
        <f>'Расчет ЦП - общая форма'!C91</f>
        <v xml:space="preserve">ПС 35/6 кВ Афанасово </v>
      </c>
      <c r="B41" s="398">
        <f>'Расчет ЦП - общая форма'!D91</f>
        <v>1</v>
      </c>
      <c r="C41" s="399" t="str">
        <f>'Расчет ЦП - общая форма'!E91</f>
        <v>+</v>
      </c>
      <c r="D41" s="399">
        <f>'Расчет ЦП - общая форма'!F91</f>
        <v>1.8</v>
      </c>
      <c r="E41" s="399"/>
      <c r="F41" s="400"/>
      <c r="G41" s="1592" t="s">
        <v>3481</v>
      </c>
      <c r="H41" s="1593"/>
      <c r="I41" s="1594"/>
      <c r="J41" s="17">
        <v>0.13</v>
      </c>
      <c r="K41" s="17"/>
      <c r="L41" s="7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73"/>
      <c r="X41" s="82"/>
      <c r="Y41" s="82"/>
      <c r="Z41" s="82"/>
      <c r="AA41" s="82"/>
      <c r="AB41" s="82"/>
    </row>
    <row r="42" spans="1:28" ht="15.75" customHeight="1" thickBot="1" x14ac:dyDescent="0.3">
      <c r="A42" s="393"/>
      <c r="B42" s="394"/>
      <c r="C42" s="395"/>
      <c r="D42" s="395"/>
      <c r="E42" s="395"/>
      <c r="F42" s="396"/>
      <c r="G42" s="1483" t="s">
        <v>1860</v>
      </c>
      <c r="H42" s="1483"/>
      <c r="I42" s="1484"/>
      <c r="J42" s="13">
        <f>SUM(J41:J41)</f>
        <v>0.13</v>
      </c>
      <c r="K42" s="14">
        <v>0.8</v>
      </c>
      <c r="L42" s="13">
        <f>J42/K42</f>
        <v>0.16250000000000001</v>
      </c>
      <c r="M42" s="1482" t="s">
        <v>1861</v>
      </c>
      <c r="N42" s="1484"/>
      <c r="O42" s="13">
        <f>SUM(O41:O41)</f>
        <v>0</v>
      </c>
      <c r="P42" s="14">
        <v>0.8</v>
      </c>
      <c r="Q42" s="13">
        <f>O42/P42</f>
        <v>0</v>
      </c>
      <c r="R42" s="1482" t="s">
        <v>1860</v>
      </c>
      <c r="S42" s="1483"/>
      <c r="T42" s="1484"/>
      <c r="U42" s="13">
        <f>SUM(U41:U41)</f>
        <v>0</v>
      </c>
      <c r="V42" s="14">
        <v>0.8</v>
      </c>
      <c r="W42" s="13">
        <f>U42/V42</f>
        <v>0</v>
      </c>
      <c r="X42" s="82"/>
      <c r="Y42" s="82"/>
      <c r="Z42" s="82"/>
      <c r="AA42" s="82"/>
      <c r="AB42" s="82"/>
    </row>
    <row r="43" spans="1:28" ht="19.5" customHeight="1" x14ac:dyDescent="0.25">
      <c r="A43" s="389" t="str">
        <f>'Расчет ЦП - общая форма'!C92</f>
        <v xml:space="preserve">ПС 110/6 кВ Б-4 </v>
      </c>
      <c r="B43" s="398">
        <f>'Расчет ЦП - общая форма'!D92</f>
        <v>10</v>
      </c>
      <c r="C43" s="399" t="str">
        <f>'Расчет ЦП - общая форма'!E92</f>
        <v>+</v>
      </c>
      <c r="D43" s="399">
        <f>'Расчет ЦП - общая форма'!F92</f>
        <v>10</v>
      </c>
      <c r="E43" s="399"/>
      <c r="F43" s="400"/>
      <c r="G43" s="1558" t="s">
        <v>2675</v>
      </c>
      <c r="H43" s="1559" t="s">
        <v>2726</v>
      </c>
      <c r="I43" s="1559" t="s">
        <v>2727</v>
      </c>
      <c r="J43" s="1559">
        <v>0.03</v>
      </c>
      <c r="K43" s="1559"/>
      <c r="L43" s="155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73"/>
      <c r="X43" s="82"/>
      <c r="Y43" s="82"/>
      <c r="Z43" s="82"/>
      <c r="AA43" s="82"/>
      <c r="AB43" s="82"/>
    </row>
    <row r="44" spans="1:28" ht="60.75" customHeight="1" x14ac:dyDescent="0.25">
      <c r="A44" s="696"/>
      <c r="B44" s="697"/>
      <c r="C44" s="698"/>
      <c r="D44" s="698"/>
      <c r="E44" s="698"/>
      <c r="F44" s="694"/>
      <c r="G44" s="1" t="s">
        <v>2686</v>
      </c>
      <c r="H44" s="1" t="s">
        <v>2726</v>
      </c>
      <c r="I44" s="1" t="s">
        <v>2727</v>
      </c>
      <c r="J44" s="1">
        <v>0.03</v>
      </c>
      <c r="K44" s="1"/>
      <c r="L44" s="22"/>
      <c r="M44" s="1"/>
      <c r="N44" s="1"/>
      <c r="O44" s="1"/>
      <c r="P44" s="1"/>
      <c r="Q44" s="1"/>
      <c r="R44" s="1"/>
      <c r="S44" s="1"/>
      <c r="T44" s="41"/>
      <c r="U44" s="128"/>
      <c r="V44" s="128"/>
      <c r="W44" s="69"/>
      <c r="X44" s="82"/>
      <c r="Y44" s="82"/>
      <c r="Z44" s="82"/>
      <c r="AA44" s="82"/>
      <c r="AB44" s="82"/>
    </row>
    <row r="45" spans="1:28" ht="15.75" customHeight="1" thickBot="1" x14ac:dyDescent="0.3">
      <c r="A45" s="393"/>
      <c r="B45" s="394"/>
      <c r="C45" s="395"/>
      <c r="D45" s="395"/>
      <c r="E45" s="395"/>
      <c r="F45" s="396"/>
      <c r="G45" s="1483" t="s">
        <v>1860</v>
      </c>
      <c r="H45" s="1483"/>
      <c r="I45" s="1484"/>
      <c r="J45" s="13">
        <f>SUM(J44)</f>
        <v>0.03</v>
      </c>
      <c r="K45" s="14">
        <v>0.8</v>
      </c>
      <c r="L45" s="13">
        <f>J45/K45</f>
        <v>3.7499999999999999E-2</v>
      </c>
      <c r="M45" s="1485" t="s">
        <v>1861</v>
      </c>
      <c r="N45" s="1487"/>
      <c r="O45" s="21">
        <f>SUM(O43:O43)</f>
        <v>0</v>
      </c>
      <c r="P45" s="24">
        <v>0.8</v>
      </c>
      <c r="Q45" s="21">
        <f>O45/P45</f>
        <v>0</v>
      </c>
      <c r="R45" s="1485" t="s">
        <v>1860</v>
      </c>
      <c r="S45" s="1486"/>
      <c r="T45" s="1487"/>
      <c r="U45" s="13">
        <f>SUM(U43:U43)</f>
        <v>0</v>
      </c>
      <c r="V45" s="14">
        <v>0.8</v>
      </c>
      <c r="W45" s="13">
        <f>U45/V45</f>
        <v>0</v>
      </c>
      <c r="X45" s="82"/>
      <c r="Y45" s="82"/>
      <c r="Z45" s="82"/>
      <c r="AA45" s="82"/>
      <c r="AB45" s="82"/>
    </row>
    <row r="46" spans="1:28" ht="66" customHeight="1" x14ac:dyDescent="0.25">
      <c r="A46" s="389" t="str">
        <f>'Расчет ЦП - общая форма'!C93</f>
        <v xml:space="preserve">ПС 35/6 кВ Борисово </v>
      </c>
      <c r="B46" s="398">
        <f>'Расчет ЦП - общая форма'!D93</f>
        <v>3.2</v>
      </c>
      <c r="C46" s="399" t="str">
        <f>'Расчет ЦП - общая форма'!E93</f>
        <v>+</v>
      </c>
      <c r="D46" s="399">
        <f>'Расчет ЦП - общая форма'!F93</f>
        <v>3.2</v>
      </c>
      <c r="E46" s="399"/>
      <c r="F46" s="400"/>
      <c r="G46" s="43"/>
      <c r="H46" s="17"/>
      <c r="I46" s="17"/>
      <c r="J46" s="17"/>
      <c r="K46" s="17"/>
      <c r="L46" s="73"/>
      <c r="M46" s="1" t="s">
        <v>73</v>
      </c>
      <c r="N46" s="1" t="s">
        <v>74</v>
      </c>
      <c r="O46" s="325">
        <v>1.4279999999999999</v>
      </c>
      <c r="P46" s="325"/>
      <c r="Q46" s="325"/>
      <c r="R46" s="1"/>
      <c r="S46" s="1"/>
      <c r="T46" s="1"/>
      <c r="U46" s="17"/>
      <c r="V46" s="17"/>
      <c r="W46" s="73"/>
      <c r="X46" s="82"/>
      <c r="Y46" s="82"/>
      <c r="Z46" s="82"/>
      <c r="AA46" s="82"/>
      <c r="AB46" s="82"/>
    </row>
    <row r="47" spans="1:28" ht="130.5" customHeight="1" x14ac:dyDescent="0.25">
      <c r="A47" s="1213"/>
      <c r="B47" s="1210"/>
      <c r="C47" s="1214"/>
      <c r="D47" s="1214"/>
      <c r="E47" s="1214"/>
      <c r="F47" s="1211"/>
      <c r="G47" s="1249"/>
      <c r="H47" s="1249"/>
      <c r="I47" s="1249"/>
      <c r="J47" s="1249"/>
      <c r="K47" s="1249"/>
      <c r="L47" s="1252"/>
      <c r="M47" s="1" t="s">
        <v>3449</v>
      </c>
      <c r="N47" s="1" t="s">
        <v>3502</v>
      </c>
      <c r="O47" s="325">
        <v>0.79883000000000004</v>
      </c>
      <c r="P47" s="325"/>
      <c r="Q47" s="325"/>
      <c r="R47" s="585"/>
      <c r="S47" s="40"/>
      <c r="T47" s="41"/>
      <c r="U47" s="128"/>
      <c r="V47" s="128"/>
      <c r="W47" s="69"/>
      <c r="X47" s="82"/>
      <c r="Y47" s="82"/>
      <c r="Z47" s="82"/>
      <c r="AA47" s="82"/>
      <c r="AB47" s="82"/>
    </row>
    <row r="48" spans="1:28" ht="15.75" customHeight="1" thickBot="1" x14ac:dyDescent="0.3">
      <c r="A48" s="393"/>
      <c r="B48" s="394"/>
      <c r="C48" s="395"/>
      <c r="D48" s="395"/>
      <c r="E48" s="395"/>
      <c r="F48" s="396"/>
      <c r="G48" s="1483" t="s">
        <v>1860</v>
      </c>
      <c r="H48" s="1483"/>
      <c r="I48" s="1484"/>
      <c r="J48" s="13">
        <f>SUM(J46:J46)</f>
        <v>0</v>
      </c>
      <c r="K48" s="14">
        <v>0.8</v>
      </c>
      <c r="L48" s="13">
        <f>J48/K48</f>
        <v>0</v>
      </c>
      <c r="M48" s="1482" t="s">
        <v>1861</v>
      </c>
      <c r="N48" s="1484"/>
      <c r="O48" s="323">
        <f>SUM(O46:O47)</f>
        <v>2.2268300000000001</v>
      </c>
      <c r="P48" s="324">
        <v>0.8</v>
      </c>
      <c r="Q48" s="323">
        <f>O48/P48</f>
        <v>2.7835375</v>
      </c>
      <c r="R48" s="1482" t="s">
        <v>1860</v>
      </c>
      <c r="S48" s="1483"/>
      <c r="T48" s="1484"/>
      <c r="U48" s="13">
        <f>SUM(U46:U46)</f>
        <v>0</v>
      </c>
      <c r="V48" s="14">
        <v>0.8</v>
      </c>
      <c r="W48" s="13">
        <f>U48/V48</f>
        <v>0</v>
      </c>
      <c r="X48" s="82"/>
      <c r="Y48" s="82"/>
      <c r="Z48" s="82"/>
      <c r="AA48" s="82"/>
      <c r="AB48" s="82"/>
    </row>
    <row r="49" spans="1:28" x14ac:dyDescent="0.25">
      <c r="A49" s="397" t="str">
        <f>'Расчет ЦП - общая форма'!C94</f>
        <v xml:space="preserve">ПС 35/10 кВ Боровно </v>
      </c>
      <c r="B49" s="398">
        <f>'Расчет ЦП - общая форма'!D94</f>
        <v>2.5</v>
      </c>
      <c r="C49" s="399" t="str">
        <f>'Расчет ЦП - общая форма'!E94</f>
        <v>+</v>
      </c>
      <c r="D49" s="399">
        <f>'Расчет ЦП - общая форма'!F94</f>
        <v>2.5</v>
      </c>
      <c r="E49" s="399"/>
      <c r="F49" s="400"/>
      <c r="G49" s="43"/>
      <c r="H49" s="17"/>
      <c r="I49" s="17"/>
      <c r="J49" s="17"/>
      <c r="K49" s="17"/>
      <c r="L49" s="7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73"/>
      <c r="X49" s="82"/>
      <c r="Y49" s="82"/>
      <c r="Z49" s="82"/>
      <c r="AA49" s="82"/>
      <c r="AB49" s="82"/>
    </row>
    <row r="50" spans="1:28" ht="15.75" customHeight="1" thickBot="1" x14ac:dyDescent="0.3">
      <c r="A50" s="393"/>
      <c r="B50" s="394"/>
      <c r="C50" s="395"/>
      <c r="D50" s="395"/>
      <c r="E50" s="395"/>
      <c r="F50" s="396"/>
      <c r="G50" s="1483" t="s">
        <v>1860</v>
      </c>
      <c r="H50" s="1483"/>
      <c r="I50" s="1484"/>
      <c r="J50" s="13">
        <f>SUM(J49:J49)</f>
        <v>0</v>
      </c>
      <c r="K50" s="14">
        <v>0.8</v>
      </c>
      <c r="L50" s="13">
        <f>J50/K50</f>
        <v>0</v>
      </c>
      <c r="M50" s="1482" t="s">
        <v>1861</v>
      </c>
      <c r="N50" s="1484"/>
      <c r="O50" s="13">
        <f>SUM(O49:O49)</f>
        <v>0</v>
      </c>
      <c r="P50" s="14">
        <v>0.8</v>
      </c>
      <c r="Q50" s="13">
        <f>O50/P50</f>
        <v>0</v>
      </c>
      <c r="R50" s="1482" t="s">
        <v>1860</v>
      </c>
      <c r="S50" s="1483"/>
      <c r="T50" s="1484"/>
      <c r="U50" s="13">
        <f>SUM(U49:U49)</f>
        <v>0</v>
      </c>
      <c r="V50" s="14">
        <v>0.8</v>
      </c>
      <c r="W50" s="13">
        <f>U50/V50</f>
        <v>0</v>
      </c>
      <c r="X50" s="82"/>
      <c r="Y50" s="82"/>
      <c r="Z50" s="82"/>
      <c r="AA50" s="82"/>
      <c r="AB50" s="82"/>
    </row>
    <row r="51" spans="1:28" x14ac:dyDescent="0.25">
      <c r="A51" s="403" t="str">
        <f>'Расчет ЦП - общая форма'!C95</f>
        <v xml:space="preserve">ПС 110/10 кВ Бушевец </v>
      </c>
      <c r="B51" s="398">
        <f>'Расчет ЦП - общая форма'!D95</f>
        <v>6.3</v>
      </c>
      <c r="C51" s="399" t="str">
        <f>'Расчет ЦП - общая форма'!E95</f>
        <v>+</v>
      </c>
      <c r="D51" s="399">
        <f>'Расчет ЦП - общая форма'!F95</f>
        <v>6.3</v>
      </c>
      <c r="E51" s="399"/>
      <c r="F51" s="400"/>
      <c r="G51" s="423"/>
      <c r="H51" s="57"/>
      <c r="I51" s="57"/>
      <c r="J51" s="57"/>
      <c r="K51" s="57"/>
      <c r="L51" s="10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107"/>
      <c r="X51" s="82"/>
      <c r="Y51" s="82"/>
      <c r="Z51" s="82"/>
      <c r="AA51" s="82"/>
      <c r="AB51" s="82"/>
    </row>
    <row r="52" spans="1:28" ht="15.75" customHeight="1" thickBot="1" x14ac:dyDescent="0.3">
      <c r="A52" s="395"/>
      <c r="B52" s="394"/>
      <c r="C52" s="395"/>
      <c r="D52" s="395"/>
      <c r="E52" s="395"/>
      <c r="F52" s="396"/>
      <c r="G52" s="1483" t="s">
        <v>1860</v>
      </c>
      <c r="H52" s="1483"/>
      <c r="I52" s="1484"/>
      <c r="J52" s="13">
        <f>SUM(J51:J51)</f>
        <v>0</v>
      </c>
      <c r="K52" s="14">
        <v>0.8</v>
      </c>
      <c r="L52" s="13">
        <f>J52/K52</f>
        <v>0</v>
      </c>
      <c r="M52" s="1482" t="s">
        <v>1861</v>
      </c>
      <c r="N52" s="1484"/>
      <c r="O52" s="13">
        <f>SUM(O51:O51)</f>
        <v>0</v>
      </c>
      <c r="P52" s="14">
        <v>0.8</v>
      </c>
      <c r="Q52" s="13">
        <f>O52/P52</f>
        <v>0</v>
      </c>
      <c r="R52" s="1485" t="s">
        <v>1860</v>
      </c>
      <c r="S52" s="1486"/>
      <c r="T52" s="1487"/>
      <c r="U52" s="21">
        <f>SUM(U51:U51)</f>
        <v>0</v>
      </c>
      <c r="V52" s="24">
        <v>0.8</v>
      </c>
      <c r="W52" s="21">
        <f>U52/V52</f>
        <v>0</v>
      </c>
      <c r="X52" s="82"/>
      <c r="Y52" s="82"/>
      <c r="Z52" s="82"/>
      <c r="AA52" s="82"/>
      <c r="AB52" s="82"/>
    </row>
    <row r="53" spans="1:28" x14ac:dyDescent="0.25">
      <c r="A53" s="1543" t="str">
        <f>'Расчет ЦП - общая форма'!C96</f>
        <v xml:space="preserve">ПС 35/6 кВ Великий Октябрь </v>
      </c>
      <c r="B53" s="1551">
        <f>'Расчет ЦП - общая форма'!D96</f>
        <v>6.3</v>
      </c>
      <c r="C53" s="1552" t="str">
        <f>'Расчет ЦП - общая форма'!E96</f>
        <v>+</v>
      </c>
      <c r="D53" s="1552">
        <f>'Расчет ЦП - общая форма'!F96</f>
        <v>6.3</v>
      </c>
      <c r="E53" s="399"/>
      <c r="F53" s="400"/>
      <c r="G53" s="1516" t="s">
        <v>2061</v>
      </c>
      <c r="H53" s="1554"/>
      <c r="I53" s="1554"/>
      <c r="J53" s="1554"/>
      <c r="K53" s="1554"/>
      <c r="L53" s="1554"/>
      <c r="M53" s="51"/>
      <c r="N53" s="51"/>
      <c r="O53" s="51"/>
      <c r="P53" s="51"/>
      <c r="Q53" s="51"/>
      <c r="R53" s="313"/>
      <c r="S53" s="313"/>
      <c r="T53" s="313"/>
      <c r="U53" s="313"/>
      <c r="V53" s="313"/>
      <c r="W53" s="313"/>
      <c r="X53" s="82"/>
      <c r="Y53" s="82"/>
      <c r="Z53" s="82"/>
      <c r="AA53" s="82"/>
      <c r="AB53" s="82"/>
    </row>
    <row r="54" spans="1:28" ht="64.5" customHeight="1" thickBot="1" x14ac:dyDescent="0.3">
      <c r="A54" s="1543"/>
      <c r="B54" s="1501"/>
      <c r="C54" s="1553"/>
      <c r="D54" s="1553"/>
      <c r="E54" s="403"/>
      <c r="F54" s="404"/>
      <c r="G54" s="152" t="s">
        <v>1961</v>
      </c>
      <c r="H54" s="1" t="s">
        <v>1962</v>
      </c>
      <c r="I54" s="1" t="s">
        <v>2258</v>
      </c>
      <c r="J54" s="325">
        <f>0.2-0.15</f>
        <v>5.0000000000000017E-2</v>
      </c>
      <c r="K54" s="325"/>
      <c r="L54" s="335"/>
      <c r="M54" s="22" t="s">
        <v>1959</v>
      </c>
      <c r="N54" s="22" t="s">
        <v>1960</v>
      </c>
      <c r="O54" s="335">
        <v>0.05</v>
      </c>
      <c r="P54" s="335"/>
      <c r="Q54" s="335"/>
      <c r="R54" s="313"/>
      <c r="S54" s="313"/>
      <c r="T54" s="313"/>
      <c r="U54" s="313"/>
      <c r="V54" s="313"/>
      <c r="W54" s="313"/>
      <c r="X54" s="82"/>
      <c r="Y54" s="82"/>
      <c r="Z54" s="82"/>
      <c r="AA54" s="82"/>
      <c r="AB54" s="82"/>
    </row>
    <row r="55" spans="1:28" ht="18" customHeight="1" x14ac:dyDescent="0.25">
      <c r="A55" s="407"/>
      <c r="B55" s="402"/>
      <c r="C55" s="403"/>
      <c r="D55" s="403"/>
      <c r="E55" s="403"/>
      <c r="F55" s="404"/>
      <c r="G55" s="1499" t="s">
        <v>3069</v>
      </c>
      <c r="H55" s="1499"/>
      <c r="I55" s="1499"/>
      <c r="J55" s="1499"/>
      <c r="K55" s="1499"/>
      <c r="L55" s="1500"/>
      <c r="M55" s="1" t="s">
        <v>47</v>
      </c>
      <c r="N55" s="1" t="s">
        <v>48</v>
      </c>
      <c r="O55" s="341">
        <v>0.25</v>
      </c>
      <c r="P55" s="321"/>
      <c r="Q55" s="321"/>
      <c r="R55" s="313"/>
      <c r="S55" s="313"/>
      <c r="T55" s="313"/>
      <c r="U55" s="313"/>
      <c r="V55" s="313"/>
      <c r="W55" s="313"/>
      <c r="X55" s="82"/>
      <c r="Y55" s="82"/>
      <c r="Z55" s="82"/>
      <c r="AA55" s="82"/>
      <c r="AB55" s="82"/>
    </row>
    <row r="56" spans="1:28" ht="60.75" customHeight="1" x14ac:dyDescent="0.25">
      <c r="A56" s="1079"/>
      <c r="B56" s="1076"/>
      <c r="C56" s="1080"/>
      <c r="D56" s="1080"/>
      <c r="E56" s="1080"/>
      <c r="F56" s="1077"/>
      <c r="G56" s="1" t="s">
        <v>3247</v>
      </c>
      <c r="H56" s="1" t="s">
        <v>3248</v>
      </c>
      <c r="I56" s="1" t="s">
        <v>3294</v>
      </c>
      <c r="J56" s="341">
        <v>0.4</v>
      </c>
      <c r="K56" s="329"/>
      <c r="L56" s="334"/>
      <c r="M56" s="1264" t="s">
        <v>2436</v>
      </c>
      <c r="N56" s="1264" t="s">
        <v>3531</v>
      </c>
      <c r="O56" s="341">
        <v>0.05</v>
      </c>
      <c r="P56" s="325"/>
      <c r="Q56" s="325"/>
      <c r="R56" s="821"/>
      <c r="S56" s="822"/>
      <c r="T56" s="823"/>
      <c r="U56" s="824"/>
      <c r="V56" s="824"/>
      <c r="W56" s="824"/>
      <c r="X56" s="82"/>
      <c r="Y56" s="82"/>
      <c r="Z56" s="82"/>
      <c r="AA56" s="82"/>
      <c r="AB56" s="82"/>
    </row>
    <row r="57" spans="1:28" ht="15.75" customHeight="1" thickBot="1" x14ac:dyDescent="0.3">
      <c r="A57" s="407"/>
      <c r="B57" s="394"/>
      <c r="C57" s="395"/>
      <c r="D57" s="395"/>
      <c r="E57" s="395"/>
      <c r="F57" s="396"/>
      <c r="G57" s="1486" t="s">
        <v>1860</v>
      </c>
      <c r="H57" s="1486"/>
      <c r="I57" s="1487"/>
      <c r="J57" s="220">
        <f>SUM(J56)</f>
        <v>0.4</v>
      </c>
      <c r="K57" s="326">
        <v>0.8</v>
      </c>
      <c r="L57" s="220">
        <f>J57/K57</f>
        <v>0.5</v>
      </c>
      <c r="M57" s="1485" t="s">
        <v>1861</v>
      </c>
      <c r="N57" s="1487"/>
      <c r="O57" s="220">
        <f>SUM(O54:O56)</f>
        <v>0.35</v>
      </c>
      <c r="P57" s="326">
        <v>0.8</v>
      </c>
      <c r="Q57" s="220">
        <f>O57/P57</f>
        <v>0.43749999999999994</v>
      </c>
      <c r="R57" s="1485" t="s">
        <v>1860</v>
      </c>
      <c r="S57" s="1486"/>
      <c r="T57" s="1487"/>
      <c r="U57" s="21">
        <f>SUM(U54:U55)</f>
        <v>0</v>
      </c>
      <c r="V57" s="24">
        <v>0.8</v>
      </c>
      <c r="W57" s="21">
        <f>U57/V57</f>
        <v>0</v>
      </c>
      <c r="X57" s="82"/>
      <c r="Y57" s="82"/>
      <c r="Z57" s="82"/>
      <c r="AA57" s="82"/>
      <c r="AB57" s="82"/>
    </row>
    <row r="58" spans="1:28" x14ac:dyDescent="0.25">
      <c r="A58" s="1557" t="str">
        <f>'Расчет ЦП - общая форма'!C97</f>
        <v xml:space="preserve">ПС 35/10 кВ Выдропужск </v>
      </c>
      <c r="B58" s="1551">
        <f>'Расчет ЦП - общая форма'!D97</f>
        <v>2.5</v>
      </c>
      <c r="C58" s="1552" t="str">
        <f>'Расчет ЦП - общая форма'!E97</f>
        <v>+</v>
      </c>
      <c r="D58" s="1552">
        <f>'Расчет ЦП - общая форма'!F97</f>
        <v>1.6</v>
      </c>
      <c r="E58" s="399"/>
      <c r="F58" s="400"/>
      <c r="G58" s="1499" t="s">
        <v>1987</v>
      </c>
      <c r="H58" s="1499"/>
      <c r="I58" s="1499"/>
      <c r="J58" s="1499"/>
      <c r="K58" s="1499"/>
      <c r="L58" s="1500"/>
      <c r="M58" s="131"/>
      <c r="N58" s="132"/>
      <c r="O58" s="73"/>
      <c r="P58" s="73"/>
      <c r="Q58" s="73"/>
      <c r="R58" s="313"/>
      <c r="S58" s="313"/>
      <c r="T58" s="313"/>
      <c r="U58" s="313"/>
      <c r="V58" s="313"/>
      <c r="W58" s="313"/>
      <c r="X58" s="82"/>
      <c r="Y58" s="82"/>
      <c r="Z58" s="82"/>
      <c r="AA58" s="82"/>
      <c r="AB58" s="82"/>
    </row>
    <row r="59" spans="1:28" ht="45" x14ac:dyDescent="0.25">
      <c r="A59" s="1543"/>
      <c r="B59" s="1501"/>
      <c r="C59" s="1553"/>
      <c r="D59" s="1553"/>
      <c r="E59" s="403"/>
      <c r="F59" s="404"/>
      <c r="G59" s="127" t="s">
        <v>1954</v>
      </c>
      <c r="H59" s="51" t="s">
        <v>1955</v>
      </c>
      <c r="I59" s="51" t="s">
        <v>1956</v>
      </c>
      <c r="J59" s="51">
        <v>0.08</v>
      </c>
      <c r="K59" s="51"/>
      <c r="L59" s="51"/>
      <c r="M59" s="51" t="s">
        <v>1928</v>
      </c>
      <c r="N59" s="51" t="s">
        <v>1957</v>
      </c>
      <c r="O59" s="318">
        <v>0.86350000000000005</v>
      </c>
      <c r="P59" s="318"/>
      <c r="Q59" s="318"/>
      <c r="R59" s="313"/>
      <c r="S59" s="313"/>
      <c r="T59" s="313"/>
      <c r="U59" s="313"/>
      <c r="V59" s="313"/>
      <c r="W59" s="313"/>
      <c r="X59" s="82"/>
      <c r="Y59" s="82"/>
      <c r="Z59" s="82"/>
      <c r="AA59" s="82"/>
      <c r="AB59" s="82"/>
    </row>
    <row r="60" spans="1:28" ht="41.25" customHeight="1" x14ac:dyDescent="0.25">
      <c r="A60" s="407"/>
      <c r="B60" s="402"/>
      <c r="C60" s="403"/>
      <c r="D60" s="403"/>
      <c r="E60" s="403"/>
      <c r="F60" s="404"/>
      <c r="G60" s="62"/>
      <c r="H60" s="62"/>
      <c r="I60" s="62"/>
      <c r="J60" s="62"/>
      <c r="K60" s="69"/>
      <c r="L60" s="69"/>
      <c r="M60" s="24" t="s">
        <v>2169</v>
      </c>
      <c r="N60" s="24" t="s">
        <v>2170</v>
      </c>
      <c r="O60" s="328">
        <v>0.05</v>
      </c>
      <c r="P60" s="332"/>
      <c r="Q60" s="332"/>
      <c r="R60" s="824"/>
      <c r="S60" s="824"/>
      <c r="T60" s="824"/>
      <c r="U60" s="824"/>
      <c r="V60" s="824"/>
      <c r="W60" s="824"/>
      <c r="X60" s="82"/>
      <c r="Y60" s="82"/>
      <c r="Z60" s="82"/>
      <c r="AA60" s="82"/>
      <c r="AB60" s="82"/>
    </row>
    <row r="61" spans="1:28" ht="41.25" customHeight="1" x14ac:dyDescent="0.25">
      <c r="A61" s="1187"/>
      <c r="B61" s="1184"/>
      <c r="C61" s="1188"/>
      <c r="D61" s="1188"/>
      <c r="E61" s="1188"/>
      <c r="F61" s="1185"/>
      <c r="G61" s="22"/>
      <c r="H61" s="22"/>
      <c r="I61" s="22"/>
      <c r="J61" s="22"/>
      <c r="K61" s="22"/>
      <c r="L61" s="22"/>
      <c r="M61" s="1" t="s">
        <v>3449</v>
      </c>
      <c r="N61" s="1264" t="s">
        <v>3525</v>
      </c>
      <c r="O61" s="331">
        <v>0.59211000000000003</v>
      </c>
      <c r="P61" s="331"/>
      <c r="Q61" s="331"/>
      <c r="R61" s="313"/>
      <c r="S61" s="313"/>
      <c r="T61" s="313"/>
      <c r="U61" s="313"/>
      <c r="V61" s="313"/>
      <c r="W61" s="313"/>
      <c r="X61" s="82"/>
      <c r="Y61" s="82"/>
      <c r="Z61" s="82"/>
      <c r="AA61" s="82"/>
      <c r="AB61" s="82"/>
    </row>
    <row r="62" spans="1:28" ht="41.25" customHeight="1" x14ac:dyDescent="0.25">
      <c r="A62" s="1273"/>
      <c r="B62" s="1266"/>
      <c r="C62" s="1274"/>
      <c r="D62" s="1274"/>
      <c r="E62" s="1274"/>
      <c r="F62" s="1267"/>
      <c r="G62" s="1275"/>
      <c r="H62" s="1275"/>
      <c r="I62" s="1275"/>
      <c r="J62" s="1275"/>
      <c r="K62" s="1275"/>
      <c r="L62" s="1275"/>
      <c r="M62" s="1264"/>
      <c r="N62" s="1264"/>
      <c r="O62" s="331"/>
      <c r="P62" s="331"/>
      <c r="Q62" s="331"/>
      <c r="R62" s="313"/>
      <c r="S62" s="313"/>
      <c r="T62" s="313"/>
      <c r="U62" s="313"/>
      <c r="V62" s="313"/>
      <c r="W62" s="313"/>
      <c r="X62" s="82"/>
      <c r="Y62" s="82"/>
      <c r="Z62" s="82"/>
      <c r="AA62" s="82"/>
      <c r="AB62" s="82"/>
    </row>
    <row r="63" spans="1:28" ht="15.75" customHeight="1" thickBot="1" x14ac:dyDescent="0.3">
      <c r="A63" s="393"/>
      <c r="B63" s="394"/>
      <c r="C63" s="395"/>
      <c r="D63" s="395"/>
      <c r="E63" s="395"/>
      <c r="F63" s="396"/>
      <c r="G63" s="1483" t="s">
        <v>1860</v>
      </c>
      <c r="H63" s="1483"/>
      <c r="I63" s="1484"/>
      <c r="J63" s="13">
        <f>SUM(0)</f>
        <v>0</v>
      </c>
      <c r="K63" s="14">
        <v>0.8</v>
      </c>
      <c r="L63" s="13">
        <f>J63/K63</f>
        <v>0</v>
      </c>
      <c r="M63" s="1482" t="s">
        <v>1861</v>
      </c>
      <c r="N63" s="1484"/>
      <c r="O63" s="319">
        <f>SUM(O59:O61)</f>
        <v>1.5056100000000001</v>
      </c>
      <c r="P63" s="320">
        <v>0.8</v>
      </c>
      <c r="Q63" s="319">
        <f>O63/P63</f>
        <v>1.8820125000000001</v>
      </c>
      <c r="R63" s="1485" t="s">
        <v>1860</v>
      </c>
      <c r="S63" s="1486"/>
      <c r="T63" s="1487"/>
      <c r="U63" s="21">
        <f>SUM(U59:U59)</f>
        <v>0</v>
      </c>
      <c r="V63" s="24">
        <v>0.8</v>
      </c>
      <c r="W63" s="21">
        <f>U63/V63</f>
        <v>0</v>
      </c>
      <c r="X63" s="82"/>
      <c r="Y63" s="82"/>
      <c r="Z63" s="82"/>
      <c r="AA63" s="82"/>
      <c r="AB63" s="82"/>
    </row>
    <row r="64" spans="1:28" x14ac:dyDescent="0.25">
      <c r="A64" s="1557" t="str">
        <f>'Расчет ЦП - общая форма'!C98</f>
        <v xml:space="preserve">ПС 35/10 кВ Голубые Озера  </v>
      </c>
      <c r="B64" s="1551">
        <f>'Расчет ЦП - общая форма'!D98</f>
        <v>2.5</v>
      </c>
      <c r="C64" s="1552" t="str">
        <f>'Расчет ЦП - общая форма'!E98</f>
        <v>+</v>
      </c>
      <c r="D64" s="1552">
        <f>'Расчет ЦП - общая форма'!F98</f>
        <v>1.6</v>
      </c>
      <c r="E64" s="399"/>
      <c r="F64" s="400"/>
      <c r="G64" s="1499" t="s">
        <v>1987</v>
      </c>
      <c r="H64" s="1499"/>
      <c r="I64" s="1499"/>
      <c r="J64" s="1499"/>
      <c r="K64" s="1499"/>
      <c r="L64" s="1500"/>
      <c r="M64" s="131"/>
      <c r="N64" s="161"/>
      <c r="O64" s="73"/>
      <c r="P64" s="73"/>
      <c r="Q64" s="73"/>
      <c r="R64" s="313"/>
      <c r="S64" s="313"/>
      <c r="T64" s="313"/>
      <c r="U64" s="313"/>
      <c r="V64" s="313"/>
      <c r="W64" s="313"/>
      <c r="X64" s="82"/>
      <c r="Y64" s="82"/>
      <c r="Z64" s="82"/>
      <c r="AA64" s="82"/>
      <c r="AB64" s="82"/>
    </row>
    <row r="65" spans="1:28" ht="47.25" customHeight="1" x14ac:dyDescent="0.25">
      <c r="A65" s="1543"/>
      <c r="B65" s="1501"/>
      <c r="C65" s="1553"/>
      <c r="D65" s="1553"/>
      <c r="E65" s="403"/>
      <c r="F65" s="404"/>
      <c r="G65" s="127" t="s">
        <v>1951</v>
      </c>
      <c r="H65" s="51" t="s">
        <v>1952</v>
      </c>
      <c r="I65" s="51" t="s">
        <v>1953</v>
      </c>
      <c r="J65" s="51">
        <v>0.06</v>
      </c>
      <c r="K65" s="51"/>
      <c r="L65" s="51"/>
      <c r="M65" s="126"/>
      <c r="N65" s="126"/>
      <c r="O65" s="51"/>
      <c r="P65" s="51"/>
      <c r="Q65" s="51"/>
      <c r="R65" s="313"/>
      <c r="S65" s="313"/>
      <c r="T65" s="313"/>
      <c r="U65" s="313"/>
      <c r="V65" s="313"/>
      <c r="W65" s="313"/>
      <c r="X65" s="82"/>
      <c r="Y65" s="82"/>
      <c r="Z65" s="82"/>
      <c r="AA65" s="82"/>
      <c r="AB65" s="82"/>
    </row>
    <row r="66" spans="1:28" ht="15.75" customHeight="1" thickBot="1" x14ac:dyDescent="0.3">
      <c r="A66" s="393"/>
      <c r="B66" s="394"/>
      <c r="C66" s="395"/>
      <c r="D66" s="395"/>
      <c r="E66" s="395"/>
      <c r="F66" s="396"/>
      <c r="G66" s="1483" t="s">
        <v>1860</v>
      </c>
      <c r="H66" s="1483"/>
      <c r="I66" s="1484"/>
      <c r="J66" s="13">
        <f>SUM(0)</f>
        <v>0</v>
      </c>
      <c r="K66" s="14">
        <v>0.8</v>
      </c>
      <c r="L66" s="13">
        <f>J66/K66</f>
        <v>0</v>
      </c>
      <c r="M66" s="1482" t="s">
        <v>1861</v>
      </c>
      <c r="N66" s="1484"/>
      <c r="O66" s="13">
        <f>SUM(O65:O65)</f>
        <v>0</v>
      </c>
      <c r="P66" s="14">
        <v>0.8</v>
      </c>
      <c r="Q66" s="13">
        <f>O66/P66</f>
        <v>0</v>
      </c>
      <c r="R66" s="1482" t="s">
        <v>1860</v>
      </c>
      <c r="S66" s="1483"/>
      <c r="T66" s="1484"/>
      <c r="U66" s="13">
        <f>SUM(U65:U65)</f>
        <v>0</v>
      </c>
      <c r="V66" s="14">
        <v>0.8</v>
      </c>
      <c r="W66" s="13">
        <f>U66/V66</f>
        <v>0</v>
      </c>
      <c r="X66" s="82"/>
      <c r="Y66" s="82"/>
      <c r="Z66" s="82"/>
      <c r="AA66" s="82"/>
      <c r="AB66" s="82"/>
    </row>
    <row r="67" spans="1:28" x14ac:dyDescent="0.25">
      <c r="A67" s="389" t="str">
        <f>'Расчет ЦП - общая форма'!C99</f>
        <v xml:space="preserve">ПС 35/6 кВ Городок </v>
      </c>
      <c r="B67" s="398">
        <f>'Расчет ЦП - общая форма'!D99</f>
        <v>1.6</v>
      </c>
      <c r="C67" s="399" t="str">
        <f>'Расчет ЦП - общая форма'!E99</f>
        <v>+</v>
      </c>
      <c r="D67" s="399">
        <f>'Расчет ЦП - общая форма'!F99</f>
        <v>1.6</v>
      </c>
      <c r="E67" s="399"/>
      <c r="F67" s="400"/>
      <c r="G67" s="43"/>
      <c r="H67" s="17"/>
      <c r="I67" s="17"/>
      <c r="J67" s="17"/>
      <c r="K67" s="17"/>
      <c r="L67" s="73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73"/>
      <c r="X67" s="82"/>
      <c r="Y67" s="82"/>
      <c r="Z67" s="82"/>
      <c r="AA67" s="82"/>
      <c r="AB67" s="82"/>
    </row>
    <row r="68" spans="1:28" ht="15.75" customHeight="1" thickBot="1" x14ac:dyDescent="0.3">
      <c r="A68" s="393"/>
      <c r="B68" s="394"/>
      <c r="C68" s="395"/>
      <c r="D68" s="395"/>
      <c r="E68" s="395"/>
      <c r="F68" s="396"/>
      <c r="G68" s="1483" t="s">
        <v>1860</v>
      </c>
      <c r="H68" s="1483"/>
      <c r="I68" s="1484"/>
      <c r="J68" s="13">
        <f>SUM(J67:J67)</f>
        <v>0</v>
      </c>
      <c r="K68" s="14">
        <v>0.8</v>
      </c>
      <c r="L68" s="13">
        <f>J68/K68</f>
        <v>0</v>
      </c>
      <c r="M68" s="1485" t="s">
        <v>1861</v>
      </c>
      <c r="N68" s="1487"/>
      <c r="O68" s="13">
        <f>SUM(O67:O67)</f>
        <v>0</v>
      </c>
      <c r="P68" s="14">
        <v>0.8</v>
      </c>
      <c r="Q68" s="13">
        <f>O68/P68</f>
        <v>0</v>
      </c>
      <c r="R68" s="1482" t="s">
        <v>1860</v>
      </c>
      <c r="S68" s="1483"/>
      <c r="T68" s="1484"/>
      <c r="U68" s="13">
        <f>SUM(U67:U67)</f>
        <v>0</v>
      </c>
      <c r="V68" s="14">
        <v>0.8</v>
      </c>
      <c r="W68" s="13">
        <f>U68/V68</f>
        <v>0</v>
      </c>
      <c r="X68" s="82"/>
      <c r="Y68" s="82"/>
      <c r="Z68" s="82"/>
      <c r="AA68" s="82"/>
      <c r="AB68" s="82"/>
    </row>
    <row r="69" spans="1:28" x14ac:dyDescent="0.25">
      <c r="A69" s="414" t="str">
        <f>'Расчет ЦП - общая форма'!C100</f>
        <v xml:space="preserve">ПС 35/10 кВ ДОЗ </v>
      </c>
      <c r="B69" s="398">
        <f>'Расчет ЦП - общая форма'!D100</f>
        <v>4</v>
      </c>
      <c r="C69" s="399" t="str">
        <f>'Расчет ЦП - общая форма'!E100</f>
        <v>+</v>
      </c>
      <c r="D69" s="399">
        <f>'Расчет ЦП - общая форма'!F100</f>
        <v>4</v>
      </c>
      <c r="E69" s="399"/>
      <c r="F69" s="400"/>
      <c r="G69" s="43"/>
      <c r="H69" s="17"/>
      <c r="I69" s="17"/>
      <c r="J69" s="17"/>
      <c r="K69" s="17"/>
      <c r="L69" s="73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73"/>
      <c r="X69" s="82"/>
      <c r="Y69" s="82"/>
      <c r="Z69" s="82"/>
      <c r="AA69" s="82"/>
      <c r="AB69" s="82"/>
    </row>
    <row r="70" spans="1:28" ht="15.75" customHeight="1" thickBot="1" x14ac:dyDescent="0.3">
      <c r="A70" s="409"/>
      <c r="B70" s="394"/>
      <c r="C70" s="395"/>
      <c r="D70" s="395"/>
      <c r="E70" s="395"/>
      <c r="F70" s="396"/>
      <c r="G70" s="1483" t="s">
        <v>1860</v>
      </c>
      <c r="H70" s="1483"/>
      <c r="I70" s="1484"/>
      <c r="J70" s="13">
        <f>SUM(J69:J69)</f>
        <v>0</v>
      </c>
      <c r="K70" s="14">
        <v>0.8</v>
      </c>
      <c r="L70" s="13">
        <f>J70/K70</f>
        <v>0</v>
      </c>
      <c r="M70" s="1482" t="s">
        <v>1861</v>
      </c>
      <c r="N70" s="1484"/>
      <c r="O70" s="13">
        <f>SUM(O69:O69)</f>
        <v>0</v>
      </c>
      <c r="P70" s="14">
        <v>0.8</v>
      </c>
      <c r="Q70" s="13">
        <f>O70/P70</f>
        <v>0</v>
      </c>
      <c r="R70" s="1485" t="s">
        <v>1860</v>
      </c>
      <c r="S70" s="1486"/>
      <c r="T70" s="1487"/>
      <c r="U70" s="21">
        <f>SUM(U69:U69)</f>
        <v>0</v>
      </c>
      <c r="V70" s="24">
        <v>0.8</v>
      </c>
      <c r="W70" s="21">
        <f>U70/V70</f>
        <v>0</v>
      </c>
      <c r="X70" s="82"/>
      <c r="Y70" s="82"/>
      <c r="Z70" s="82"/>
      <c r="AA70" s="82"/>
      <c r="AB70" s="82"/>
    </row>
    <row r="71" spans="1:28" x14ac:dyDescent="0.25">
      <c r="A71" s="1553" t="str">
        <f>'Расчет ЦП - общая форма'!C101</f>
        <v xml:space="preserve">ПС 35/10 кВ Дятлово </v>
      </c>
      <c r="B71" s="1501">
        <f>'Расчет ЦП - общая форма'!D101</f>
        <v>1.6</v>
      </c>
      <c r="C71" s="1553" t="str">
        <f>'Расчет ЦП - общая форма'!E101</f>
        <v>+</v>
      </c>
      <c r="D71" s="1553">
        <f>'Расчет ЦП - общая форма'!F101</f>
        <v>1.6</v>
      </c>
      <c r="E71" s="403"/>
      <c r="F71" s="404"/>
      <c r="G71" s="1516" t="s">
        <v>2061</v>
      </c>
      <c r="H71" s="1554"/>
      <c r="I71" s="1554"/>
      <c r="J71" s="1554"/>
      <c r="K71" s="1554"/>
      <c r="L71" s="1554"/>
      <c r="M71" s="51"/>
      <c r="N71" s="51"/>
      <c r="O71" s="51"/>
      <c r="P71" s="51"/>
      <c r="Q71" s="51"/>
      <c r="R71" s="313"/>
      <c r="S71" s="313"/>
      <c r="T71" s="313"/>
      <c r="U71" s="313"/>
      <c r="V71" s="313"/>
      <c r="W71" s="313"/>
      <c r="X71" s="82"/>
      <c r="Y71" s="82"/>
      <c r="Z71" s="82"/>
      <c r="AA71" s="82"/>
      <c r="AB71" s="82"/>
    </row>
    <row r="72" spans="1:28" ht="60" x14ac:dyDescent="0.25">
      <c r="A72" s="1553"/>
      <c r="B72" s="1501"/>
      <c r="C72" s="1553"/>
      <c r="D72" s="1553"/>
      <c r="E72" s="403"/>
      <c r="F72" s="404"/>
      <c r="G72" s="270" t="s">
        <v>1457</v>
      </c>
      <c r="H72" s="22" t="s">
        <v>1458</v>
      </c>
      <c r="I72" s="22" t="s">
        <v>2261</v>
      </c>
      <c r="J72" s="22">
        <v>0.1</v>
      </c>
      <c r="K72" s="22"/>
      <c r="L72" s="22"/>
      <c r="M72" s="264"/>
      <c r="N72" s="264"/>
      <c r="O72" s="264"/>
      <c r="P72" s="22"/>
      <c r="Q72" s="22"/>
      <c r="R72" s="313"/>
      <c r="S72" s="313"/>
      <c r="T72" s="313"/>
      <c r="U72" s="313"/>
      <c r="V72" s="313"/>
      <c r="W72" s="313"/>
      <c r="X72" s="82"/>
      <c r="Y72" s="82"/>
      <c r="Z72" s="82"/>
      <c r="AA72" s="82"/>
      <c r="AB72" s="82"/>
    </row>
    <row r="73" spans="1:28" ht="15.75" customHeight="1" thickBot="1" x14ac:dyDescent="0.3">
      <c r="A73" s="395"/>
      <c r="B73" s="394"/>
      <c r="C73" s="395"/>
      <c r="D73" s="395"/>
      <c r="E73" s="395"/>
      <c r="F73" s="396"/>
      <c r="G73" s="1565" t="s">
        <v>1860</v>
      </c>
      <c r="H73" s="1565"/>
      <c r="I73" s="1509"/>
      <c r="J73" s="140">
        <f>SUM(0)</f>
        <v>0</v>
      </c>
      <c r="K73" s="141">
        <v>0.8</v>
      </c>
      <c r="L73" s="140">
        <f>J73/K73</f>
        <v>0</v>
      </c>
      <c r="M73" s="1546" t="s">
        <v>1861</v>
      </c>
      <c r="N73" s="1509"/>
      <c r="O73" s="140">
        <f>SUM(I72:I72)</f>
        <v>0</v>
      </c>
      <c r="P73" s="141">
        <v>0.8</v>
      </c>
      <c r="Q73" s="140">
        <f>O73/P73</f>
        <v>0</v>
      </c>
      <c r="R73" s="1546" t="s">
        <v>1860</v>
      </c>
      <c r="S73" s="1565"/>
      <c r="T73" s="1509"/>
      <c r="U73" s="140">
        <f>SUM(U72:U72)</f>
        <v>0</v>
      </c>
      <c r="V73" s="141">
        <v>0.8</v>
      </c>
      <c r="W73" s="140">
        <f>U73/V73</f>
        <v>0</v>
      </c>
      <c r="X73" s="82"/>
      <c r="Y73" s="82"/>
      <c r="Z73" s="82"/>
      <c r="AA73" s="82"/>
      <c r="AB73" s="82"/>
    </row>
    <row r="74" spans="1:28" ht="48" customHeight="1" x14ac:dyDescent="0.25">
      <c r="A74" s="407" t="str">
        <f>'Расчет ЦП - общая форма'!C102</f>
        <v xml:space="preserve">ПС 35/10 кВ Есеновичи </v>
      </c>
      <c r="B74" s="398">
        <f>'Расчет ЦП - общая форма'!D102</f>
        <v>1.8</v>
      </c>
      <c r="C74" s="399" t="str">
        <f>'Расчет ЦП - общая форма'!E102</f>
        <v>+</v>
      </c>
      <c r="D74" s="399">
        <f>'Расчет ЦП - общая форма'!F102</f>
        <v>2.5</v>
      </c>
      <c r="E74" s="399"/>
      <c r="F74" s="400"/>
      <c r="G74" s="43"/>
      <c r="H74" s="17"/>
      <c r="I74" s="17"/>
      <c r="J74" s="17"/>
      <c r="K74" s="17"/>
      <c r="L74" s="73"/>
      <c r="M74" s="17" t="s">
        <v>1920</v>
      </c>
      <c r="N74" s="17" t="s">
        <v>1921</v>
      </c>
      <c r="O74" s="17">
        <v>0.1</v>
      </c>
      <c r="P74" s="17"/>
      <c r="Q74" s="17"/>
      <c r="R74" s="17"/>
      <c r="S74" s="17"/>
      <c r="T74" s="17"/>
      <c r="U74" s="17"/>
      <c r="V74" s="17"/>
      <c r="W74" s="73"/>
      <c r="X74" s="82"/>
      <c r="Y74" s="82"/>
      <c r="Z74" s="82"/>
      <c r="AA74" s="82"/>
      <c r="AB74" s="82"/>
    </row>
    <row r="75" spans="1:28" ht="15.75" customHeight="1" thickBot="1" x14ac:dyDescent="0.3">
      <c r="A75" s="393"/>
      <c r="B75" s="394"/>
      <c r="C75" s="395"/>
      <c r="D75" s="395"/>
      <c r="E75" s="395"/>
      <c r="F75" s="396"/>
      <c r="G75" s="1486" t="s">
        <v>1860</v>
      </c>
      <c r="H75" s="1486"/>
      <c r="I75" s="1487"/>
      <c r="J75" s="21">
        <f>SUM(J74:J74)</f>
        <v>0</v>
      </c>
      <c r="K75" s="24">
        <v>0.8</v>
      </c>
      <c r="L75" s="21">
        <f>J75/K75</f>
        <v>0</v>
      </c>
      <c r="M75" s="1482" t="s">
        <v>1861</v>
      </c>
      <c r="N75" s="1484"/>
      <c r="O75" s="13">
        <f>SUM(O74:O74)</f>
        <v>0.1</v>
      </c>
      <c r="P75" s="14">
        <v>0.8</v>
      </c>
      <c r="Q75" s="13">
        <f>O75/P75</f>
        <v>0.125</v>
      </c>
      <c r="R75" s="1482" t="s">
        <v>1860</v>
      </c>
      <c r="S75" s="1483"/>
      <c r="T75" s="1484"/>
      <c r="U75" s="13">
        <f>SUM(U74:U74)</f>
        <v>0</v>
      </c>
      <c r="V75" s="14">
        <v>0.8</v>
      </c>
      <c r="W75" s="13">
        <f>U75/V75</f>
        <v>0</v>
      </c>
      <c r="X75" s="82"/>
      <c r="Y75" s="82"/>
      <c r="Z75" s="82"/>
      <c r="AA75" s="82"/>
      <c r="AB75" s="82"/>
    </row>
    <row r="76" spans="1:28" ht="15.75" customHeight="1" x14ac:dyDescent="0.25">
      <c r="A76" s="1549" t="str">
        <f>'Расчет ЦП - общая форма'!C103</f>
        <v xml:space="preserve">ПС 35/10 кВ ЖБИ  </v>
      </c>
      <c r="B76" s="1551">
        <f>'Расчет ЦП - общая форма'!D103</f>
        <v>2.5</v>
      </c>
      <c r="C76" s="1552" t="str">
        <f>'Расчет ЦП - общая форма'!E103</f>
        <v>+</v>
      </c>
      <c r="D76" s="1552">
        <f>'Расчет ЦП - общая форма'!F103</f>
        <v>2.5</v>
      </c>
      <c r="E76" s="1552"/>
      <c r="F76" s="1502"/>
      <c r="G76" s="1548" t="s">
        <v>3069</v>
      </c>
      <c r="H76" s="1548"/>
      <c r="I76" s="1548"/>
      <c r="J76" s="1548"/>
      <c r="K76" s="1548"/>
      <c r="L76" s="1548"/>
      <c r="M76" s="653"/>
      <c r="N76" s="310"/>
      <c r="O76" s="69"/>
      <c r="P76" s="69"/>
      <c r="Q76" s="69"/>
      <c r="R76" s="653"/>
      <c r="S76" s="71"/>
      <c r="T76" s="310"/>
      <c r="U76" s="69"/>
      <c r="V76" s="69"/>
      <c r="W76" s="160"/>
      <c r="X76" s="82"/>
      <c r="Y76" s="82"/>
      <c r="Z76" s="82"/>
      <c r="AA76" s="82"/>
      <c r="AB76" s="82"/>
    </row>
    <row r="77" spans="1:28" ht="105" x14ac:dyDescent="0.25">
      <c r="A77" s="1550"/>
      <c r="B77" s="1501"/>
      <c r="C77" s="1553"/>
      <c r="D77" s="1553"/>
      <c r="E77" s="1553"/>
      <c r="F77" s="1503"/>
      <c r="G77" s="22" t="s">
        <v>2868</v>
      </c>
      <c r="H77" s="22" t="s">
        <v>3338</v>
      </c>
      <c r="I77" s="1" t="s">
        <v>3438</v>
      </c>
      <c r="J77" s="1">
        <v>0.2</v>
      </c>
      <c r="K77" s="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82"/>
      <c r="Y77" s="82"/>
      <c r="Z77" s="82"/>
      <c r="AA77" s="82"/>
      <c r="AB77" s="82"/>
    </row>
    <row r="78" spans="1:28" ht="15.75" customHeight="1" thickBot="1" x14ac:dyDescent="0.3">
      <c r="A78" s="393"/>
      <c r="B78" s="394"/>
      <c r="C78" s="395"/>
      <c r="D78" s="395"/>
      <c r="E78" s="395"/>
      <c r="F78" s="396"/>
      <c r="G78" s="1483" t="s">
        <v>1860</v>
      </c>
      <c r="H78" s="1483"/>
      <c r="I78" s="1484"/>
      <c r="J78" s="13">
        <f>SUM(J77:J77)</f>
        <v>0.2</v>
      </c>
      <c r="K78" s="14">
        <v>0.8</v>
      </c>
      <c r="L78" s="13">
        <f>J78/K78</f>
        <v>0.25</v>
      </c>
      <c r="M78" s="1485" t="s">
        <v>1861</v>
      </c>
      <c r="N78" s="1487"/>
      <c r="O78" s="21">
        <f>SUM(O77:O77)</f>
        <v>0</v>
      </c>
      <c r="P78" s="14">
        <v>0.8</v>
      </c>
      <c r="Q78" s="13">
        <f>O78/P78</f>
        <v>0</v>
      </c>
      <c r="R78" s="1482" t="s">
        <v>1860</v>
      </c>
      <c r="S78" s="1483"/>
      <c r="T78" s="1484"/>
      <c r="U78" s="13">
        <f>SUM(U77:U77)</f>
        <v>0</v>
      </c>
      <c r="V78" s="14">
        <v>0.8</v>
      </c>
      <c r="W78" s="13">
        <f>U78/V78</f>
        <v>0</v>
      </c>
      <c r="X78" s="82"/>
      <c r="Y78" s="82"/>
      <c r="Z78" s="82"/>
      <c r="AA78" s="82"/>
      <c r="AB78" s="82"/>
    </row>
    <row r="79" spans="1:28" ht="45" x14ac:dyDescent="0.25">
      <c r="A79" s="389" t="str">
        <f>'Расчет ЦП - общая форма'!C104</f>
        <v>ПС  35/10 кВ Заозерная</v>
      </c>
      <c r="B79" s="398">
        <f>'Расчет ЦП - общая форма'!D104</f>
        <v>6.3</v>
      </c>
      <c r="C79" s="399" t="str">
        <f>'Расчет ЦП - общая форма'!E104</f>
        <v>+</v>
      </c>
      <c r="D79" s="399">
        <f>'Расчет ЦП - общая форма'!F104</f>
        <v>6.3</v>
      </c>
      <c r="E79" s="399"/>
      <c r="F79" s="400"/>
      <c r="G79" s="43"/>
      <c r="H79" s="18"/>
      <c r="I79" s="17"/>
      <c r="J79" s="18"/>
      <c r="K79" s="17"/>
      <c r="L79" s="73"/>
      <c r="M79" s="17" t="s">
        <v>1891</v>
      </c>
      <c r="N79" s="17" t="s">
        <v>1927</v>
      </c>
      <c r="O79" s="17">
        <v>0.09</v>
      </c>
      <c r="P79" s="17"/>
      <c r="Q79" s="17"/>
      <c r="R79" s="17"/>
      <c r="S79" s="18"/>
      <c r="T79" s="17"/>
      <c r="U79" s="18"/>
      <c r="V79" s="17"/>
      <c r="W79" s="73"/>
      <c r="X79" s="82"/>
      <c r="Y79" s="82"/>
      <c r="Z79" s="82"/>
      <c r="AA79" s="82"/>
      <c r="AB79" s="82"/>
    </row>
    <row r="80" spans="1:28" ht="30" x14ac:dyDescent="0.25">
      <c r="A80" s="407"/>
      <c r="B80" s="402"/>
      <c r="C80" s="403"/>
      <c r="D80" s="403"/>
      <c r="E80" s="403"/>
      <c r="F80" s="404"/>
      <c r="G80" s="152"/>
      <c r="H80" s="1"/>
      <c r="I80" s="1"/>
      <c r="J80" s="1"/>
      <c r="K80" s="1"/>
      <c r="L80" s="22"/>
      <c r="M80" s="1" t="s">
        <v>1928</v>
      </c>
      <c r="N80" s="1" t="s">
        <v>1929</v>
      </c>
      <c r="O80" s="1">
        <v>0.998</v>
      </c>
      <c r="P80" s="1"/>
      <c r="Q80" s="1"/>
      <c r="R80" s="1"/>
      <c r="S80" s="1"/>
      <c r="T80" s="1"/>
      <c r="U80" s="1"/>
      <c r="V80" s="1"/>
      <c r="W80" s="22"/>
      <c r="X80" s="82"/>
      <c r="Y80" s="82"/>
      <c r="Z80" s="82"/>
      <c r="AA80" s="82"/>
      <c r="AB80" s="82"/>
    </row>
    <row r="81" spans="1:28" ht="15.75" customHeight="1" thickBot="1" x14ac:dyDescent="0.3">
      <c r="A81" s="393"/>
      <c r="B81" s="394"/>
      <c r="C81" s="395"/>
      <c r="D81" s="395"/>
      <c r="E81" s="395"/>
      <c r="F81" s="396"/>
      <c r="G81" s="1483" t="s">
        <v>1860</v>
      </c>
      <c r="H81" s="1483"/>
      <c r="I81" s="1484"/>
      <c r="J81" s="13">
        <f>SUM(J79:J80)</f>
        <v>0</v>
      </c>
      <c r="K81" s="14">
        <v>0.8</v>
      </c>
      <c r="L81" s="13">
        <f>J81/K81</f>
        <v>0</v>
      </c>
      <c r="M81" s="1482" t="s">
        <v>1861</v>
      </c>
      <c r="N81" s="1484"/>
      <c r="O81" s="13">
        <f>SUM(O79:O80)</f>
        <v>1.0880000000000001</v>
      </c>
      <c r="P81" s="14">
        <v>0.8</v>
      </c>
      <c r="Q81" s="13">
        <f>O81/P81</f>
        <v>1.36</v>
      </c>
      <c r="R81" s="1482" t="s">
        <v>1860</v>
      </c>
      <c r="S81" s="1483"/>
      <c r="T81" s="1484"/>
      <c r="U81" s="13">
        <f>SUM(U79:U80)</f>
        <v>0</v>
      </c>
      <c r="V81" s="14">
        <v>0.8</v>
      </c>
      <c r="W81" s="13">
        <f>U81/V81</f>
        <v>0</v>
      </c>
      <c r="X81" s="82"/>
      <c r="Y81" s="82"/>
      <c r="Z81" s="82"/>
      <c r="AA81" s="82"/>
      <c r="AB81" s="82"/>
    </row>
    <row r="82" spans="1:28" x14ac:dyDescent="0.25">
      <c r="A82" s="389" t="str">
        <f>'Расчет ЦП - общая форма'!C105</f>
        <v xml:space="preserve">ПС 35/10 кВ Княщины  </v>
      </c>
      <c r="B82" s="398">
        <f>'Расчет ЦП - общая форма'!D105</f>
        <v>2.5</v>
      </c>
      <c r="C82" s="399" t="str">
        <f>'Расчет ЦП - общая форма'!E105</f>
        <v>+</v>
      </c>
      <c r="D82" s="399">
        <f>'Расчет ЦП - общая форма'!F105</f>
        <v>2.5</v>
      </c>
      <c r="E82" s="399"/>
      <c r="F82" s="400"/>
      <c r="G82" s="43"/>
      <c r="H82" s="17"/>
      <c r="I82" s="17"/>
      <c r="J82" s="17"/>
      <c r="K82" s="17"/>
      <c r="L82" s="73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73"/>
      <c r="X82" s="82"/>
      <c r="Y82" s="82"/>
      <c r="Z82" s="82"/>
      <c r="AA82" s="82"/>
      <c r="AB82" s="82"/>
    </row>
    <row r="83" spans="1:28" ht="15.75" customHeight="1" thickBot="1" x14ac:dyDescent="0.3">
      <c r="A83" s="393"/>
      <c r="B83" s="394"/>
      <c r="C83" s="395"/>
      <c r="D83" s="395"/>
      <c r="E83" s="395"/>
      <c r="F83" s="396"/>
      <c r="G83" s="1483" t="s">
        <v>1860</v>
      </c>
      <c r="H83" s="1483"/>
      <c r="I83" s="1484"/>
      <c r="J83" s="13">
        <f>SUM(J82:J82)</f>
        <v>0</v>
      </c>
      <c r="K83" s="14">
        <v>0.8</v>
      </c>
      <c r="L83" s="13">
        <f>J83/K83</f>
        <v>0</v>
      </c>
      <c r="M83" s="1485" t="s">
        <v>1861</v>
      </c>
      <c r="N83" s="1487"/>
      <c r="O83" s="21">
        <f>SUM(O82:O82)</f>
        <v>0</v>
      </c>
      <c r="P83" s="14">
        <v>0.8</v>
      </c>
      <c r="Q83" s="13">
        <f>O83/P83</f>
        <v>0</v>
      </c>
      <c r="R83" s="1482" t="s">
        <v>1860</v>
      </c>
      <c r="S83" s="1483"/>
      <c r="T83" s="1484"/>
      <c r="U83" s="13">
        <f>SUM(U82:U82)</f>
        <v>0</v>
      </c>
      <c r="V83" s="14">
        <v>0.8</v>
      </c>
      <c r="W83" s="13">
        <f>U83/V83</f>
        <v>0</v>
      </c>
      <c r="X83" s="82"/>
      <c r="Y83" s="82"/>
      <c r="Z83" s="82"/>
      <c r="AA83" s="82"/>
      <c r="AB83" s="82"/>
    </row>
    <row r="84" spans="1:28" ht="105" x14ac:dyDescent="0.25">
      <c r="A84" s="389" t="str">
        <f>'Расчет ЦП - общая форма'!C106</f>
        <v xml:space="preserve">ПС 35/10 кВ Козлово </v>
      </c>
      <c r="B84" s="398">
        <f>'Расчет ЦП - общая форма'!D106</f>
        <v>1.8</v>
      </c>
      <c r="C84" s="399" t="str">
        <f>'Расчет ЦП - общая форма'!E106</f>
        <v>+</v>
      </c>
      <c r="D84" s="399">
        <f>'Расчет ЦП - общая форма'!F106</f>
        <v>4</v>
      </c>
      <c r="E84" s="399"/>
      <c r="F84" s="400"/>
      <c r="G84" s="182"/>
      <c r="H84" s="158"/>
      <c r="I84" s="158"/>
      <c r="J84" s="158"/>
      <c r="K84" s="158"/>
      <c r="L84" s="16"/>
      <c r="M84" s="1265" t="s">
        <v>3354</v>
      </c>
      <c r="N84" s="1265" t="s">
        <v>3355</v>
      </c>
      <c r="O84" s="1265">
        <v>1.5</v>
      </c>
      <c r="P84" s="158"/>
      <c r="Q84" s="158"/>
      <c r="R84" s="158"/>
      <c r="S84" s="158"/>
      <c r="T84" s="158"/>
      <c r="U84" s="158"/>
      <c r="V84" s="158"/>
      <c r="W84" s="16"/>
      <c r="X84" s="82"/>
      <c r="Y84" s="82"/>
      <c r="Z84" s="82"/>
      <c r="AA84" s="82"/>
      <c r="AB84" s="82"/>
    </row>
    <row r="85" spans="1:28" ht="57" customHeight="1" x14ac:dyDescent="0.25">
      <c r="A85" s="1273"/>
      <c r="B85" s="1266"/>
      <c r="C85" s="1274"/>
      <c r="D85" s="1274"/>
      <c r="E85" s="1274"/>
      <c r="F85" s="1267"/>
      <c r="G85" s="1265"/>
      <c r="H85" s="1265"/>
      <c r="I85" s="1265"/>
      <c r="J85" s="1265"/>
      <c r="K85" s="1265"/>
      <c r="L85" s="1283"/>
      <c r="M85" s="1265" t="s">
        <v>3354</v>
      </c>
      <c r="N85" s="1265" t="s">
        <v>3524</v>
      </c>
      <c r="O85" s="1265">
        <v>0.45</v>
      </c>
      <c r="P85" s="1265"/>
      <c r="Q85" s="1265"/>
      <c r="R85" s="1265"/>
      <c r="S85" s="1265"/>
      <c r="T85" s="1265"/>
      <c r="U85" s="1265"/>
      <c r="V85" s="1265"/>
      <c r="W85" s="1283"/>
      <c r="X85" s="82"/>
      <c r="Y85" s="82"/>
      <c r="Z85" s="82"/>
      <c r="AA85" s="82"/>
      <c r="AB85" s="82"/>
    </row>
    <row r="86" spans="1:28" ht="15.75" customHeight="1" thickBot="1" x14ac:dyDescent="0.3">
      <c r="A86" s="393"/>
      <c r="B86" s="394"/>
      <c r="C86" s="395"/>
      <c r="D86" s="395"/>
      <c r="E86" s="395"/>
      <c r="F86" s="396"/>
      <c r="G86" s="1555" t="s">
        <v>1860</v>
      </c>
      <c r="H86" s="1555"/>
      <c r="I86" s="1556"/>
      <c r="J86" s="136">
        <f>SUM(J84:J84)</f>
        <v>0</v>
      </c>
      <c r="K86" s="183">
        <v>0.8</v>
      </c>
      <c r="L86" s="136">
        <f>J86/K86</f>
        <v>0</v>
      </c>
      <c r="M86" s="1574" t="s">
        <v>1861</v>
      </c>
      <c r="N86" s="1556"/>
      <c r="O86" s="136">
        <f>SUM(O84:O85)</f>
        <v>1.95</v>
      </c>
      <c r="P86" s="183">
        <v>0.8</v>
      </c>
      <c r="Q86" s="136">
        <f>O86/P86</f>
        <v>2.4375</v>
      </c>
      <c r="R86" s="1574" t="s">
        <v>1860</v>
      </c>
      <c r="S86" s="1555"/>
      <c r="T86" s="1556"/>
      <c r="U86" s="136">
        <f>SUM(U84:U84)</f>
        <v>0</v>
      </c>
      <c r="V86" s="183">
        <v>0.8</v>
      </c>
      <c r="W86" s="136">
        <f>U86/V86</f>
        <v>0</v>
      </c>
      <c r="X86" s="82"/>
      <c r="Y86" s="82"/>
      <c r="Z86" s="82"/>
      <c r="AA86" s="82"/>
      <c r="AB86" s="82"/>
    </row>
    <row r="87" spans="1:28" x14ac:dyDescent="0.25">
      <c r="A87" s="397" t="str">
        <f>'Расчет ЦП - общая форма'!C107</f>
        <v xml:space="preserve">ПС 35/10 кВ Красное Знамя </v>
      </c>
      <c r="B87" s="398">
        <f>'Расчет ЦП - общая форма'!D107</f>
        <v>1.6</v>
      </c>
      <c r="C87" s="399" t="str">
        <f>'Расчет ЦП - общая форма'!E107</f>
        <v>+</v>
      </c>
      <c r="D87" s="399">
        <f>'Расчет ЦП - общая форма'!F107</f>
        <v>1.8</v>
      </c>
      <c r="E87" s="399"/>
      <c r="F87" s="400"/>
      <c r="G87" s="424"/>
      <c r="H87" s="4"/>
      <c r="I87" s="4"/>
      <c r="J87" s="4"/>
      <c r="K87" s="4"/>
      <c r="L87" s="77"/>
      <c r="M87" s="4"/>
      <c r="N87" s="4"/>
      <c r="O87" s="4"/>
      <c r="P87" s="4"/>
      <c r="Q87" s="4"/>
      <c r="R87" s="4"/>
      <c r="S87" s="4"/>
      <c r="T87" s="4"/>
      <c r="U87" s="4"/>
      <c r="V87" s="4"/>
      <c r="W87" s="77"/>
      <c r="X87" s="82"/>
      <c r="Y87" s="82"/>
      <c r="Z87" s="82"/>
      <c r="AA87" s="82"/>
      <c r="AB87" s="82"/>
    </row>
    <row r="88" spans="1:28" ht="15.75" customHeight="1" thickBot="1" x14ac:dyDescent="0.3">
      <c r="A88" s="393"/>
      <c r="B88" s="394"/>
      <c r="C88" s="395"/>
      <c r="D88" s="395"/>
      <c r="E88" s="395"/>
      <c r="F88" s="396"/>
      <c r="G88" s="1555" t="s">
        <v>1860</v>
      </c>
      <c r="H88" s="1555"/>
      <c r="I88" s="1556"/>
      <c r="J88" s="136">
        <f>SUM(J87:J87)</f>
        <v>0</v>
      </c>
      <c r="K88" s="183">
        <v>0.8</v>
      </c>
      <c r="L88" s="136">
        <f>J88/K88</f>
        <v>0</v>
      </c>
      <c r="M88" s="1574" t="s">
        <v>1861</v>
      </c>
      <c r="N88" s="1556"/>
      <c r="O88" s="136">
        <f>SUM(O87:O87)</f>
        <v>0</v>
      </c>
      <c r="P88" s="183">
        <v>0.8</v>
      </c>
      <c r="Q88" s="136">
        <f>O88/P88</f>
        <v>0</v>
      </c>
      <c r="R88" s="1574" t="s">
        <v>1860</v>
      </c>
      <c r="S88" s="1555"/>
      <c r="T88" s="1556"/>
      <c r="U88" s="136">
        <f>SUM(U87:U87)</f>
        <v>0</v>
      </c>
      <c r="V88" s="183">
        <v>0.8</v>
      </c>
      <c r="W88" s="136">
        <f>U88/V88</f>
        <v>0</v>
      </c>
      <c r="X88" s="82"/>
      <c r="Y88" s="82"/>
      <c r="Z88" s="82"/>
      <c r="AA88" s="82"/>
      <c r="AB88" s="82"/>
    </row>
    <row r="89" spans="1:28" ht="69.75" customHeight="1" x14ac:dyDescent="0.25">
      <c r="A89" s="399" t="str">
        <f>'Расчет ЦП - общая форма'!C108</f>
        <v xml:space="preserve">ПС 35/6 кВ Красный Май </v>
      </c>
      <c r="B89" s="398">
        <f>'Расчет ЦП - общая форма'!D108</f>
        <v>10</v>
      </c>
      <c r="C89" s="399" t="str">
        <f>'Расчет ЦП - общая форма'!E108</f>
        <v>+</v>
      </c>
      <c r="D89" s="399">
        <f>'Расчет ЦП - общая форма'!F108</f>
        <v>10</v>
      </c>
      <c r="E89" s="399"/>
      <c r="F89" s="400"/>
      <c r="G89" s="423"/>
      <c r="H89" s="57"/>
      <c r="I89" s="57"/>
      <c r="J89" s="57"/>
      <c r="K89" s="57"/>
      <c r="L89" s="107"/>
      <c r="M89" s="24" t="s">
        <v>73</v>
      </c>
      <c r="N89" s="24" t="s">
        <v>75</v>
      </c>
      <c r="O89" s="57">
        <v>0.94399999999999995</v>
      </c>
      <c r="P89" s="57"/>
      <c r="Q89" s="57"/>
      <c r="R89" s="57"/>
      <c r="S89" s="57"/>
      <c r="T89" s="57"/>
      <c r="U89" s="57"/>
      <c r="V89" s="57"/>
      <c r="W89" s="107"/>
      <c r="X89" s="82"/>
      <c r="Y89" s="82"/>
      <c r="Z89" s="82"/>
      <c r="AA89" s="82"/>
      <c r="AB89" s="82"/>
    </row>
    <row r="90" spans="1:28" ht="69.75" customHeight="1" x14ac:dyDescent="0.25">
      <c r="A90" s="1214"/>
      <c r="B90" s="1210"/>
      <c r="C90" s="1214"/>
      <c r="D90" s="1214"/>
      <c r="E90" s="1214"/>
      <c r="F90" s="1211"/>
      <c r="G90" s="40"/>
      <c r="H90" s="40"/>
      <c r="I90" s="41"/>
      <c r="J90" s="128"/>
      <c r="K90" s="128"/>
      <c r="L90" s="69"/>
      <c r="M90" s="1" t="s">
        <v>3449</v>
      </c>
      <c r="N90" s="1" t="s">
        <v>3497</v>
      </c>
      <c r="O90" s="1">
        <v>0.67462</v>
      </c>
      <c r="P90" s="128"/>
      <c r="Q90" s="128"/>
      <c r="R90" s="585"/>
      <c r="S90" s="40"/>
      <c r="T90" s="41"/>
      <c r="U90" s="128"/>
      <c r="V90" s="128"/>
      <c r="W90" s="69"/>
      <c r="X90" s="82"/>
      <c r="Y90" s="82"/>
      <c r="Z90" s="82"/>
      <c r="AA90" s="82"/>
      <c r="AB90" s="82"/>
    </row>
    <row r="91" spans="1:28" ht="15.75" customHeight="1" thickBot="1" x14ac:dyDescent="0.3">
      <c r="A91" s="395"/>
      <c r="B91" s="394"/>
      <c r="C91" s="395"/>
      <c r="D91" s="395"/>
      <c r="E91" s="395"/>
      <c r="F91" s="396"/>
      <c r="G91" s="1483" t="s">
        <v>1860</v>
      </c>
      <c r="H91" s="1483"/>
      <c r="I91" s="1484"/>
      <c r="J91" s="13">
        <f>SUM(J89:J89)</f>
        <v>0</v>
      </c>
      <c r="K91" s="14">
        <v>0.8</v>
      </c>
      <c r="L91" s="13">
        <f>J91/K91</f>
        <v>0</v>
      </c>
      <c r="M91" s="1482" t="s">
        <v>1861</v>
      </c>
      <c r="N91" s="1484"/>
      <c r="O91" s="13">
        <f>SUM(O89:O90)</f>
        <v>1.6186199999999999</v>
      </c>
      <c r="P91" s="14">
        <v>0.8</v>
      </c>
      <c r="Q91" s="13">
        <f>O91/P91</f>
        <v>2.0232749999999999</v>
      </c>
      <c r="R91" s="1485" t="s">
        <v>1860</v>
      </c>
      <c r="S91" s="1486"/>
      <c r="T91" s="1487"/>
      <c r="U91" s="21">
        <f>SUM(U89:U89)</f>
        <v>0</v>
      </c>
      <c r="V91" s="24">
        <v>0.8</v>
      </c>
      <c r="W91" s="21">
        <f>U91/V91</f>
        <v>0</v>
      </c>
      <c r="X91" s="82"/>
      <c r="Y91" s="82"/>
      <c r="Z91" s="82"/>
      <c r="AA91" s="82"/>
      <c r="AB91" s="82"/>
    </row>
    <row r="92" spans="1:28" x14ac:dyDescent="0.25">
      <c r="A92" s="1553" t="str">
        <f>'Расчет ЦП - общая форма'!C109</f>
        <v xml:space="preserve">ПС 35/10 кВ Куженкино </v>
      </c>
      <c r="B92" s="1501">
        <f>'Расчет ЦП - общая форма'!D109</f>
        <v>2.5</v>
      </c>
      <c r="C92" s="1553" t="str">
        <f>'Расчет ЦП - общая форма'!E109</f>
        <v>+</v>
      </c>
      <c r="D92" s="1553">
        <f>'Расчет ЦП - общая форма'!F109</f>
        <v>3.2</v>
      </c>
      <c r="E92" s="403"/>
      <c r="F92" s="404"/>
      <c r="G92" s="1516" t="s">
        <v>2061</v>
      </c>
      <c r="H92" s="1554"/>
      <c r="I92" s="1554"/>
      <c r="J92" s="1554"/>
      <c r="K92" s="1554"/>
      <c r="L92" s="1554"/>
      <c r="M92" s="51"/>
      <c r="N92" s="51"/>
      <c r="O92" s="51"/>
      <c r="P92" s="51"/>
      <c r="Q92" s="51"/>
      <c r="R92" s="313"/>
      <c r="S92" s="313"/>
      <c r="T92" s="313"/>
      <c r="U92" s="313"/>
      <c r="V92" s="313"/>
      <c r="W92" s="313"/>
      <c r="X92" s="82"/>
      <c r="Y92" s="82"/>
      <c r="Z92" s="82"/>
      <c r="AA92" s="82"/>
      <c r="AB92" s="82"/>
    </row>
    <row r="93" spans="1:28" ht="69" customHeight="1" x14ac:dyDescent="0.25">
      <c r="A93" s="1553"/>
      <c r="B93" s="1501"/>
      <c r="C93" s="1553"/>
      <c r="D93" s="1553"/>
      <c r="E93" s="403"/>
      <c r="F93" s="404"/>
      <c r="G93" s="270" t="s">
        <v>9</v>
      </c>
      <c r="H93" s="22" t="s">
        <v>10</v>
      </c>
      <c r="I93" s="22" t="s">
        <v>2296</v>
      </c>
      <c r="J93" s="22">
        <v>0.08</v>
      </c>
      <c r="K93" s="22"/>
      <c r="L93" s="22"/>
      <c r="M93" s="22"/>
      <c r="N93" s="22"/>
      <c r="O93" s="264"/>
      <c r="P93" s="22"/>
      <c r="Q93" s="22"/>
      <c r="R93" s="313"/>
      <c r="S93" s="313"/>
      <c r="T93" s="313"/>
      <c r="U93" s="313"/>
      <c r="V93" s="313"/>
      <c r="W93" s="313"/>
      <c r="X93" s="82"/>
      <c r="Y93" s="82"/>
      <c r="Z93" s="82"/>
      <c r="AA93" s="82"/>
      <c r="AB93" s="82"/>
    </row>
    <row r="94" spans="1:28" ht="18.75" customHeight="1" x14ac:dyDescent="0.25">
      <c r="A94" s="1036"/>
      <c r="B94" s="1032"/>
      <c r="C94" s="1036"/>
      <c r="D94" s="1036"/>
      <c r="E94" s="1036"/>
      <c r="F94" s="1033"/>
      <c r="G94" s="1516" t="s">
        <v>3069</v>
      </c>
      <c r="H94" s="1554"/>
      <c r="I94" s="1554"/>
      <c r="J94" s="1554"/>
      <c r="K94" s="1554"/>
      <c r="L94" s="1554"/>
      <c r="M94" s="653"/>
      <c r="N94" s="310"/>
      <c r="O94" s="1046"/>
      <c r="P94" s="69"/>
      <c r="Q94" s="69"/>
      <c r="R94" s="1047"/>
      <c r="S94" s="1048"/>
      <c r="T94" s="1049"/>
      <c r="U94" s="1050"/>
      <c r="V94" s="1050"/>
      <c r="W94" s="1050"/>
      <c r="X94" s="82"/>
      <c r="Y94" s="82"/>
      <c r="Z94" s="82"/>
      <c r="AA94" s="82"/>
      <c r="AB94" s="82"/>
    </row>
    <row r="95" spans="1:28" ht="18.75" customHeight="1" x14ac:dyDescent="0.25">
      <c r="A95" s="1036"/>
      <c r="B95" s="1032"/>
      <c r="C95" s="1036"/>
      <c r="D95" s="1036"/>
      <c r="E95" s="1036"/>
      <c r="F95" s="1033"/>
      <c r="G95" s="270" t="s">
        <v>3116</v>
      </c>
      <c r="H95" s="22" t="s">
        <v>3117</v>
      </c>
      <c r="I95" s="22" t="s">
        <v>3138</v>
      </c>
      <c r="J95" s="22">
        <v>0.16</v>
      </c>
      <c r="K95" s="22"/>
      <c r="L95" s="22"/>
      <c r="M95" s="653"/>
      <c r="N95" s="310"/>
      <c r="O95" s="1046"/>
      <c r="P95" s="69"/>
      <c r="Q95" s="69"/>
      <c r="R95" s="1047"/>
      <c r="S95" s="1048"/>
      <c r="T95" s="1049"/>
      <c r="U95" s="1050"/>
      <c r="V95" s="1050"/>
      <c r="W95" s="1050"/>
      <c r="X95" s="82"/>
      <c r="Y95" s="82"/>
      <c r="Z95" s="82"/>
      <c r="AA95" s="82"/>
      <c r="AB95" s="82"/>
    </row>
    <row r="96" spans="1:28" ht="13.5" customHeight="1" thickBot="1" x14ac:dyDescent="0.3">
      <c r="A96" s="395"/>
      <c r="B96" s="394"/>
      <c r="C96" s="395"/>
      <c r="D96" s="395"/>
      <c r="E96" s="395"/>
      <c r="F96" s="396"/>
      <c r="G96" s="1565" t="s">
        <v>1860</v>
      </c>
      <c r="H96" s="1565"/>
      <c r="I96" s="1509"/>
      <c r="J96" s="140">
        <f>SUM(J95)</f>
        <v>0.16</v>
      </c>
      <c r="K96" s="141">
        <v>0.8</v>
      </c>
      <c r="L96" s="140">
        <f>J96/K96</f>
        <v>0.19999999999999998</v>
      </c>
      <c r="M96" s="1590" t="s">
        <v>1861</v>
      </c>
      <c r="N96" s="1591"/>
      <c r="O96" s="160">
        <f>SUM(O93)</f>
        <v>0</v>
      </c>
      <c r="P96" s="141">
        <v>0.8</v>
      </c>
      <c r="Q96" s="140">
        <f>O96/P96</f>
        <v>0</v>
      </c>
      <c r="R96" s="1546" t="s">
        <v>1860</v>
      </c>
      <c r="S96" s="1565"/>
      <c r="T96" s="1509"/>
      <c r="U96" s="140">
        <f>SUM(U93:U93)</f>
        <v>0</v>
      </c>
      <c r="V96" s="141">
        <v>0.8</v>
      </c>
      <c r="W96" s="140">
        <f>U96/V96</f>
        <v>0</v>
      </c>
      <c r="X96" s="82"/>
      <c r="Y96" s="82"/>
      <c r="Z96" s="82"/>
      <c r="AA96" s="82"/>
      <c r="AB96" s="82"/>
    </row>
    <row r="97" spans="1:28" x14ac:dyDescent="0.25">
      <c r="A97" s="397" t="str">
        <f>'Расчет ЦП - общая форма'!C110</f>
        <v xml:space="preserve">ПС 35/10 кВ Лукино  </v>
      </c>
      <c r="B97" s="398">
        <f>'Расчет ЦП - общая форма'!D110</f>
        <v>2.5</v>
      </c>
      <c r="C97" s="399" t="str">
        <f>'Расчет ЦП - общая форма'!E110</f>
        <v>+</v>
      </c>
      <c r="D97" s="399">
        <f>'Расчет ЦП - общая форма'!F110</f>
        <v>1.6</v>
      </c>
      <c r="E97" s="399"/>
      <c r="F97" s="400"/>
      <c r="G97" s="43"/>
      <c r="H97" s="17"/>
      <c r="I97" s="17"/>
      <c r="J97" s="17"/>
      <c r="K97" s="17"/>
      <c r="L97" s="73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73"/>
      <c r="X97" s="82"/>
      <c r="Y97" s="82"/>
      <c r="Z97" s="82"/>
      <c r="AA97" s="82"/>
      <c r="AB97" s="82"/>
    </row>
    <row r="98" spans="1:28" ht="15.75" customHeight="1" thickBot="1" x14ac:dyDescent="0.3">
      <c r="A98" s="393"/>
      <c r="B98" s="394"/>
      <c r="C98" s="395"/>
      <c r="D98" s="395"/>
      <c r="E98" s="395"/>
      <c r="F98" s="396"/>
      <c r="G98" s="1483" t="s">
        <v>1860</v>
      </c>
      <c r="H98" s="1483"/>
      <c r="I98" s="1484"/>
      <c r="J98" s="13">
        <f>SUM(J97:J97)</f>
        <v>0</v>
      </c>
      <c r="K98" s="14">
        <v>0.8</v>
      </c>
      <c r="L98" s="13">
        <f>J98/K98</f>
        <v>0</v>
      </c>
      <c r="M98" s="1482" t="s">
        <v>1861</v>
      </c>
      <c r="N98" s="1484"/>
      <c r="O98" s="13">
        <f>SUM(O97:O97)</f>
        <v>0</v>
      </c>
      <c r="P98" s="14">
        <v>0.8</v>
      </c>
      <c r="Q98" s="13">
        <f>O98/P98</f>
        <v>0</v>
      </c>
      <c r="R98" s="1482" t="s">
        <v>1860</v>
      </c>
      <c r="S98" s="1483"/>
      <c r="T98" s="1484"/>
      <c r="U98" s="13">
        <f>SUM(U97:U97)</f>
        <v>0</v>
      </c>
      <c r="V98" s="14">
        <v>0.8</v>
      </c>
      <c r="W98" s="13">
        <f>U98/V98</f>
        <v>0</v>
      </c>
      <c r="X98" s="82"/>
      <c r="Y98" s="82"/>
      <c r="Z98" s="82"/>
      <c r="AA98" s="82"/>
      <c r="AB98" s="82"/>
    </row>
    <row r="99" spans="1:28" ht="56.25" customHeight="1" x14ac:dyDescent="0.25">
      <c r="A99" s="397" t="str">
        <f>'Расчет ЦП - общая форма'!C111</f>
        <v xml:space="preserve">ПС 35/6 кВ Макарово  </v>
      </c>
      <c r="B99" s="398">
        <f>'Расчет ЦП - общая форма'!D111</f>
        <v>4</v>
      </c>
      <c r="C99" s="399" t="str">
        <f>'Расчет ЦП - общая форма'!E111</f>
        <v>+</v>
      </c>
      <c r="D99" s="399">
        <f>'Расчет ЦП - общая форма'!F111</f>
        <v>4</v>
      </c>
      <c r="E99" s="399"/>
      <c r="F99" s="400"/>
      <c r="G99" s="43"/>
      <c r="H99" s="17"/>
      <c r="I99" s="17"/>
      <c r="J99" s="17"/>
      <c r="K99" s="17"/>
      <c r="L99" s="73"/>
      <c r="M99" s="73" t="s">
        <v>2439</v>
      </c>
      <c r="N99" s="73" t="s">
        <v>2440</v>
      </c>
      <c r="O99" s="73">
        <v>0.15</v>
      </c>
      <c r="P99" s="73"/>
      <c r="Q99" s="17"/>
      <c r="R99" s="73"/>
      <c r="S99" s="73"/>
      <c r="T99" s="17"/>
      <c r="U99" s="17"/>
      <c r="V99" s="17"/>
      <c r="W99" s="73"/>
      <c r="X99" s="82"/>
      <c r="Y99" s="82"/>
      <c r="Z99" s="82"/>
      <c r="AA99" s="82"/>
      <c r="AB99" s="82"/>
    </row>
    <row r="100" spans="1:28" x14ac:dyDescent="0.25">
      <c r="A100" s="407"/>
      <c r="B100" s="402"/>
      <c r="C100" s="403"/>
      <c r="D100" s="403"/>
      <c r="E100" s="403"/>
      <c r="F100" s="404"/>
      <c r="G100" s="152"/>
      <c r="H100" s="1"/>
      <c r="I100" s="1"/>
      <c r="J100" s="1"/>
      <c r="K100" s="1"/>
      <c r="L100" s="2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2"/>
      <c r="X100" s="82"/>
      <c r="Y100" s="82"/>
      <c r="Z100" s="82"/>
      <c r="AA100" s="82"/>
      <c r="AB100" s="82"/>
    </row>
    <row r="101" spans="1:28" ht="15.75" customHeight="1" thickBot="1" x14ac:dyDescent="0.3">
      <c r="A101" s="393"/>
      <c r="B101" s="394"/>
      <c r="C101" s="395"/>
      <c r="D101" s="395"/>
      <c r="E101" s="395"/>
      <c r="F101" s="396"/>
      <c r="G101" s="1483" t="s">
        <v>1860</v>
      </c>
      <c r="H101" s="1483"/>
      <c r="I101" s="1484"/>
      <c r="J101" s="13">
        <f>SUM(J99:J100)</f>
        <v>0</v>
      </c>
      <c r="K101" s="14">
        <v>0.8</v>
      </c>
      <c r="L101" s="13">
        <f>J101/K101</f>
        <v>0</v>
      </c>
      <c r="M101" s="1482" t="s">
        <v>1861</v>
      </c>
      <c r="N101" s="1484"/>
      <c r="O101" s="13">
        <f>SUM(O99:O100)</f>
        <v>0.15</v>
      </c>
      <c r="P101" s="14">
        <v>0.8</v>
      </c>
      <c r="Q101" s="13">
        <f>O101/P101</f>
        <v>0.18749999999999997</v>
      </c>
      <c r="R101" s="1482" t="s">
        <v>1860</v>
      </c>
      <c r="S101" s="1483"/>
      <c r="T101" s="1484"/>
      <c r="U101" s="13">
        <f>SUM(U99:U100)</f>
        <v>0</v>
      </c>
      <c r="V101" s="14">
        <v>0.8</v>
      </c>
      <c r="W101" s="13">
        <f>U101/V101</f>
        <v>0</v>
      </c>
      <c r="X101" s="82"/>
      <c r="Y101" s="82"/>
      <c r="Z101" s="82"/>
      <c r="AA101" s="82"/>
      <c r="AB101" s="82"/>
    </row>
    <row r="102" spans="1:28" x14ac:dyDescent="0.25">
      <c r="A102" s="397" t="str">
        <f>'Расчет ЦП - общая форма'!C112</f>
        <v xml:space="preserve">ПС 110/10 кВ Манхино </v>
      </c>
      <c r="B102" s="398">
        <f>'Расчет ЦП - общая форма'!D112</f>
        <v>2.5</v>
      </c>
      <c r="C102" s="399" t="str">
        <f>'Расчет ЦП - общая форма'!E112</f>
        <v>+</v>
      </c>
      <c r="D102" s="399">
        <f>'Расчет ЦП - общая форма'!F112</f>
        <v>2.5</v>
      </c>
      <c r="E102" s="399"/>
      <c r="F102" s="400"/>
      <c r="G102" s="43"/>
      <c r="H102" s="17"/>
      <c r="I102" s="17"/>
      <c r="J102" s="17"/>
      <c r="K102" s="17"/>
      <c r="L102" s="73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73"/>
      <c r="X102" s="82"/>
      <c r="Y102" s="82"/>
      <c r="Z102" s="82"/>
      <c r="AA102" s="82"/>
      <c r="AB102" s="82"/>
    </row>
    <row r="103" spans="1:28" ht="15.75" customHeight="1" thickBot="1" x14ac:dyDescent="0.3">
      <c r="A103" s="393"/>
      <c r="B103" s="394"/>
      <c r="C103" s="395"/>
      <c r="D103" s="395"/>
      <c r="E103" s="395"/>
      <c r="F103" s="396"/>
      <c r="G103" s="1483" t="s">
        <v>1860</v>
      </c>
      <c r="H103" s="1483"/>
      <c r="I103" s="1484"/>
      <c r="J103" s="13">
        <f>SUM(J102:J102)</f>
        <v>0</v>
      </c>
      <c r="K103" s="14">
        <v>0.8</v>
      </c>
      <c r="L103" s="13">
        <f>J103/K103</f>
        <v>0</v>
      </c>
      <c r="M103" s="1482" t="s">
        <v>1861</v>
      </c>
      <c r="N103" s="1484"/>
      <c r="O103" s="13">
        <f>SUM(O102:O102)</f>
        <v>0</v>
      </c>
      <c r="P103" s="14">
        <v>0.8</v>
      </c>
      <c r="Q103" s="13">
        <f>O103/P103</f>
        <v>0</v>
      </c>
      <c r="R103" s="1482" t="s">
        <v>1860</v>
      </c>
      <c r="S103" s="1483"/>
      <c r="T103" s="1484"/>
      <c r="U103" s="13">
        <f>SUM(U102:U102)</f>
        <v>0</v>
      </c>
      <c r="V103" s="14">
        <v>0.8</v>
      </c>
      <c r="W103" s="13">
        <f>U103/V103</f>
        <v>0</v>
      </c>
      <c r="X103" s="82"/>
      <c r="Y103" s="82"/>
      <c r="Z103" s="82"/>
      <c r="AA103" s="82"/>
      <c r="AB103" s="82"/>
    </row>
    <row r="104" spans="1:28" ht="63.75" customHeight="1" x14ac:dyDescent="0.25">
      <c r="A104" s="397" t="str">
        <f>'Расчет ЦП - общая форма'!C113</f>
        <v xml:space="preserve">ПС 35/10 кВ Молдино </v>
      </c>
      <c r="B104" s="398">
        <f>'Расчет ЦП - общая форма'!D113</f>
        <v>1</v>
      </c>
      <c r="C104" s="399" t="str">
        <f>'Расчет ЦП - общая форма'!E113</f>
        <v>+</v>
      </c>
      <c r="D104" s="399">
        <f>'Расчет ЦП - общая форма'!F113</f>
        <v>1</v>
      </c>
      <c r="E104" s="399"/>
      <c r="F104" s="400"/>
      <c r="G104" s="43"/>
      <c r="H104" s="17"/>
      <c r="I104" s="17"/>
      <c r="J104" s="17"/>
      <c r="K104" s="17"/>
      <c r="L104" s="73"/>
      <c r="M104" s="22" t="s">
        <v>2563</v>
      </c>
      <c r="N104" s="22" t="s">
        <v>2621</v>
      </c>
      <c r="O104" s="51">
        <f>0.028-0.0093</f>
        <v>1.8700000000000001E-2</v>
      </c>
      <c r="P104" s="17"/>
      <c r="Q104" s="17"/>
      <c r="R104" s="17"/>
      <c r="S104" s="17"/>
      <c r="T104" s="17"/>
      <c r="U104" s="17"/>
      <c r="V104" s="17"/>
      <c r="W104" s="73"/>
      <c r="X104" s="82"/>
      <c r="Y104" s="82"/>
      <c r="Z104" s="82"/>
      <c r="AA104" s="82"/>
      <c r="AB104" s="82"/>
    </row>
    <row r="105" spans="1:28" ht="15.75" customHeight="1" thickBot="1" x14ac:dyDescent="0.3">
      <c r="A105" s="393"/>
      <c r="B105" s="394"/>
      <c r="C105" s="395"/>
      <c r="D105" s="395"/>
      <c r="E105" s="395"/>
      <c r="F105" s="396"/>
      <c r="G105" s="1483" t="s">
        <v>1860</v>
      </c>
      <c r="H105" s="1483"/>
      <c r="I105" s="1484"/>
      <c r="J105" s="13">
        <f>SUM(J104:J104)</f>
        <v>0</v>
      </c>
      <c r="K105" s="14">
        <v>0.8</v>
      </c>
      <c r="L105" s="13">
        <f>J105/K105</f>
        <v>0</v>
      </c>
      <c r="M105" s="1482" t="s">
        <v>1861</v>
      </c>
      <c r="N105" s="1484"/>
      <c r="O105" s="13">
        <f>SUM(O104:O104)</f>
        <v>1.8700000000000001E-2</v>
      </c>
      <c r="P105" s="14">
        <v>0.8</v>
      </c>
      <c r="Q105" s="13">
        <f>O105/P105</f>
        <v>2.3375E-2</v>
      </c>
      <c r="R105" s="1482" t="s">
        <v>1860</v>
      </c>
      <c r="S105" s="1483"/>
      <c r="T105" s="1484"/>
      <c r="U105" s="13">
        <f>SUM(U104:U104)</f>
        <v>0</v>
      </c>
      <c r="V105" s="14">
        <v>0.8</v>
      </c>
      <c r="W105" s="13">
        <f>U105/V105</f>
        <v>0</v>
      </c>
      <c r="X105" s="82"/>
      <c r="Y105" s="82"/>
      <c r="Z105" s="82"/>
      <c r="AA105" s="82"/>
      <c r="AB105" s="82"/>
    </row>
    <row r="106" spans="1:28" ht="34.5" customHeight="1" x14ac:dyDescent="0.25">
      <c r="A106" s="397" t="str">
        <f>'Расчет ЦП - общая форма'!C114</f>
        <v xml:space="preserve">ПС 35/10 кВ Ново-Кузьминская </v>
      </c>
      <c r="B106" s="398">
        <f>'Расчет ЦП - общая форма'!D114</f>
        <v>1</v>
      </c>
      <c r="C106" s="399" t="str">
        <f>'Расчет ЦП - общая форма'!E114</f>
        <v>+</v>
      </c>
      <c r="D106" s="399">
        <f>'Расчет ЦП - общая форма'!F114</f>
        <v>1</v>
      </c>
      <c r="E106" s="399"/>
      <c r="F106" s="400"/>
      <c r="G106" s="43"/>
      <c r="H106" s="17"/>
      <c r="I106" s="17"/>
      <c r="J106" s="17"/>
      <c r="K106" s="17"/>
      <c r="L106" s="73"/>
      <c r="M106" s="17" t="s">
        <v>3263</v>
      </c>
      <c r="N106" s="17" t="s">
        <v>3264</v>
      </c>
      <c r="O106" s="17">
        <v>0.14499999999999999</v>
      </c>
      <c r="P106" s="17"/>
      <c r="Q106" s="17"/>
      <c r="R106" s="17"/>
      <c r="S106" s="17"/>
      <c r="T106" s="17"/>
      <c r="U106" s="17"/>
      <c r="V106" s="17"/>
      <c r="W106" s="73"/>
      <c r="X106" s="82"/>
      <c r="Y106" s="82"/>
      <c r="Z106" s="82"/>
      <c r="AA106" s="82"/>
      <c r="AB106" s="82"/>
    </row>
    <row r="107" spans="1:28" ht="15.75" customHeight="1" thickBot="1" x14ac:dyDescent="0.3">
      <c r="A107" s="393"/>
      <c r="B107" s="394"/>
      <c r="C107" s="395"/>
      <c r="D107" s="395"/>
      <c r="E107" s="395"/>
      <c r="F107" s="396"/>
      <c r="G107" s="1483" t="s">
        <v>1860</v>
      </c>
      <c r="H107" s="1483"/>
      <c r="I107" s="1484"/>
      <c r="J107" s="13">
        <f>SUM(J106:J106)</f>
        <v>0</v>
      </c>
      <c r="K107" s="14">
        <v>0.8</v>
      </c>
      <c r="L107" s="13">
        <f>J107/K107</f>
        <v>0</v>
      </c>
      <c r="M107" s="1482" t="s">
        <v>1861</v>
      </c>
      <c r="N107" s="1484"/>
      <c r="O107" s="13">
        <f>SUM(O106:O106)</f>
        <v>0.14499999999999999</v>
      </c>
      <c r="P107" s="14">
        <v>0.8</v>
      </c>
      <c r="Q107" s="13">
        <f>O107/P107</f>
        <v>0.18124999999999997</v>
      </c>
      <c r="R107" s="1482" t="s">
        <v>1860</v>
      </c>
      <c r="S107" s="1483"/>
      <c r="T107" s="1484"/>
      <c r="U107" s="13">
        <f>SUM(U106:U106)</f>
        <v>0</v>
      </c>
      <c r="V107" s="14">
        <v>0.8</v>
      </c>
      <c r="W107" s="13">
        <f>U107/V107</f>
        <v>0</v>
      </c>
      <c r="X107" s="82"/>
      <c r="Y107" s="82"/>
      <c r="Z107" s="82"/>
      <c r="AA107" s="82"/>
      <c r="AB107" s="82"/>
    </row>
    <row r="108" spans="1:28" x14ac:dyDescent="0.25">
      <c r="A108" s="397" t="str">
        <f>'Расчет ЦП - общая форма'!C115</f>
        <v xml:space="preserve">ПС 35/10 кВ Овсище </v>
      </c>
      <c r="B108" s="398">
        <f>'Расчет ЦП - общая форма'!D115</f>
        <v>2.5</v>
      </c>
      <c r="C108" s="399" t="str">
        <f>'Расчет ЦП - общая форма'!E115</f>
        <v>+</v>
      </c>
      <c r="D108" s="399">
        <f>'Расчет ЦП - общая форма'!F115</f>
        <v>1.6</v>
      </c>
      <c r="E108" s="399"/>
      <c r="F108" s="400"/>
      <c r="G108" s="43"/>
      <c r="H108" s="17"/>
      <c r="I108" s="17"/>
      <c r="J108" s="17"/>
      <c r="K108" s="17"/>
      <c r="L108" s="73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73"/>
      <c r="X108" s="82"/>
      <c r="Y108" s="82"/>
      <c r="Z108" s="82"/>
      <c r="AA108" s="82"/>
      <c r="AB108" s="82"/>
    </row>
    <row r="109" spans="1:28" ht="15.75" customHeight="1" thickBot="1" x14ac:dyDescent="0.3">
      <c r="A109" s="393"/>
      <c r="B109" s="394"/>
      <c r="C109" s="395"/>
      <c r="D109" s="395"/>
      <c r="E109" s="395"/>
      <c r="F109" s="396"/>
      <c r="G109" s="1483" t="s">
        <v>1860</v>
      </c>
      <c r="H109" s="1483"/>
      <c r="I109" s="1484"/>
      <c r="J109" s="13">
        <f>SUM(J108:J108)</f>
        <v>0</v>
      </c>
      <c r="K109" s="14">
        <v>0.8</v>
      </c>
      <c r="L109" s="13">
        <f>J109/K109</f>
        <v>0</v>
      </c>
      <c r="M109" s="1482" t="s">
        <v>1861</v>
      </c>
      <c r="N109" s="1484"/>
      <c r="O109" s="13">
        <f>SUM(O108:O108)</f>
        <v>0</v>
      </c>
      <c r="P109" s="14">
        <v>0.8</v>
      </c>
      <c r="Q109" s="13">
        <f>O109/P109</f>
        <v>0</v>
      </c>
      <c r="R109" s="1482" t="s">
        <v>1860</v>
      </c>
      <c r="S109" s="1483"/>
      <c r="T109" s="1484"/>
      <c r="U109" s="13">
        <f>SUM(U108:U108)</f>
        <v>0</v>
      </c>
      <c r="V109" s="14">
        <v>0.8</v>
      </c>
      <c r="W109" s="13">
        <f>U109/V109</f>
        <v>0</v>
      </c>
      <c r="X109" s="82"/>
      <c r="Y109" s="82"/>
      <c r="Z109" s="82"/>
      <c r="AA109" s="82"/>
      <c r="AB109" s="82"/>
    </row>
    <row r="110" spans="1:28" x14ac:dyDescent="0.25">
      <c r="A110" s="397" t="str">
        <f>'Расчет ЦП - общая форма'!C116</f>
        <v xml:space="preserve">ПС 35/6 кВ ОЭЗ  </v>
      </c>
      <c r="B110" s="398">
        <f>'Расчет ЦП - общая форма'!D116</f>
        <v>2.5</v>
      </c>
      <c r="C110" s="399" t="str">
        <f>'Расчет ЦП - общая форма'!E116</f>
        <v>+</v>
      </c>
      <c r="D110" s="399">
        <f>'Расчет ЦП - общая форма'!F116</f>
        <v>2.5</v>
      </c>
      <c r="E110" s="399"/>
      <c r="F110" s="400"/>
      <c r="G110" s="43"/>
      <c r="H110" s="17"/>
      <c r="I110" s="17"/>
      <c r="J110" s="17"/>
      <c r="K110" s="17"/>
      <c r="L110" s="73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73"/>
      <c r="X110" s="82"/>
      <c r="Y110" s="82"/>
      <c r="Z110" s="82"/>
      <c r="AA110" s="82"/>
      <c r="AB110" s="82"/>
    </row>
    <row r="111" spans="1:28" ht="15.75" customHeight="1" thickBot="1" x14ac:dyDescent="0.3">
      <c r="A111" s="393"/>
      <c r="B111" s="394"/>
      <c r="C111" s="395"/>
      <c r="D111" s="395"/>
      <c r="E111" s="395"/>
      <c r="F111" s="396"/>
      <c r="G111" s="1483" t="s">
        <v>1860</v>
      </c>
      <c r="H111" s="1483"/>
      <c r="I111" s="1484"/>
      <c r="J111" s="13">
        <f>SUM(J110:J110)</f>
        <v>0</v>
      </c>
      <c r="K111" s="14">
        <v>0.8</v>
      </c>
      <c r="L111" s="13">
        <f>J111/K111</f>
        <v>0</v>
      </c>
      <c r="M111" s="1482" t="s">
        <v>1861</v>
      </c>
      <c r="N111" s="1484"/>
      <c r="O111" s="13">
        <f>SUM(O110:O110)</f>
        <v>0</v>
      </c>
      <c r="P111" s="14">
        <v>0.8</v>
      </c>
      <c r="Q111" s="13">
        <f>O111/P111</f>
        <v>0</v>
      </c>
      <c r="R111" s="1482" t="s">
        <v>1860</v>
      </c>
      <c r="S111" s="1483"/>
      <c r="T111" s="1484"/>
      <c r="U111" s="13">
        <f>SUM(U110:U110)</f>
        <v>0</v>
      </c>
      <c r="V111" s="14">
        <v>0.8</v>
      </c>
      <c r="W111" s="13">
        <f>U111/V111</f>
        <v>0</v>
      </c>
      <c r="X111" s="82"/>
      <c r="Y111" s="82"/>
      <c r="Z111" s="82"/>
      <c r="AA111" s="82"/>
      <c r="AB111" s="82"/>
    </row>
    <row r="112" spans="1:28" ht="27.75" customHeight="1" thickBot="1" x14ac:dyDescent="0.3">
      <c r="A112" s="397" t="str">
        <f>'Расчет ЦП - общая форма'!C117</f>
        <v xml:space="preserve">ПС 35/10 кВ Плотично  </v>
      </c>
      <c r="B112" s="398">
        <f>'Расчет ЦП - общая форма'!D117</f>
        <v>1.8</v>
      </c>
      <c r="C112" s="399" t="str">
        <f>'Расчет ЦП - общая форма'!E117</f>
        <v>+</v>
      </c>
      <c r="D112" s="399">
        <f>'Расчет ЦП - общая форма'!F117</f>
        <v>1.6</v>
      </c>
      <c r="E112" s="399"/>
      <c r="F112" s="400"/>
      <c r="G112" s="1516" t="s">
        <v>3069</v>
      </c>
      <c r="H112" s="1554"/>
      <c r="I112" s="1554"/>
      <c r="J112" s="1554"/>
      <c r="K112" s="1554"/>
      <c r="L112" s="1554"/>
      <c r="M112" s="1"/>
      <c r="N112" s="1"/>
      <c r="O112" s="17"/>
      <c r="P112" s="17"/>
      <c r="Q112" s="17"/>
      <c r="R112" s="17"/>
      <c r="S112" s="17"/>
      <c r="T112" s="17"/>
      <c r="U112" s="17"/>
      <c r="V112" s="17"/>
      <c r="W112" s="73"/>
      <c r="X112" s="82"/>
      <c r="Y112" s="82"/>
      <c r="Z112" s="82"/>
      <c r="AA112" s="82"/>
      <c r="AB112" s="82"/>
    </row>
    <row r="113" spans="1:28" ht="49.5" customHeight="1" x14ac:dyDescent="0.25">
      <c r="A113" s="1094"/>
      <c r="B113" s="1091"/>
      <c r="C113" s="1095"/>
      <c r="D113" s="1095"/>
      <c r="E113" s="1095"/>
      <c r="F113" s="1092"/>
      <c r="G113" s="1" t="s">
        <v>3262</v>
      </c>
      <c r="H113" s="1" t="s">
        <v>3359</v>
      </c>
      <c r="I113" s="1" t="s">
        <v>3386</v>
      </c>
      <c r="J113" s="1">
        <v>0.2</v>
      </c>
      <c r="K113" s="1"/>
      <c r="L113" s="22"/>
      <c r="M113" s="1" t="s">
        <v>394</v>
      </c>
      <c r="N113" s="1" t="s">
        <v>76</v>
      </c>
      <c r="O113" s="17">
        <v>0.5635</v>
      </c>
      <c r="P113" s="1"/>
      <c r="Q113" s="1"/>
      <c r="R113" s="1"/>
      <c r="S113" s="1"/>
      <c r="T113" s="1"/>
      <c r="U113" s="1"/>
      <c r="V113" s="1"/>
      <c r="W113" s="22"/>
      <c r="X113" s="82"/>
      <c r="Y113" s="82"/>
      <c r="Z113" s="82"/>
      <c r="AA113" s="82"/>
      <c r="AB113" s="82"/>
    </row>
    <row r="114" spans="1:28" ht="49.5" customHeight="1" x14ac:dyDescent="0.25">
      <c r="A114" s="1094"/>
      <c r="B114" s="1091"/>
      <c r="C114" s="1095"/>
      <c r="D114" s="1095"/>
      <c r="E114" s="1095"/>
      <c r="F114" s="1092"/>
      <c r="G114" s="1"/>
      <c r="H114" s="1"/>
      <c r="I114" s="1"/>
      <c r="J114" s="1"/>
      <c r="K114" s="1"/>
      <c r="L114" s="22"/>
      <c r="M114" s="1" t="s">
        <v>3267</v>
      </c>
      <c r="N114" s="1" t="s">
        <v>3268</v>
      </c>
      <c r="O114" s="1">
        <v>0.04</v>
      </c>
      <c r="P114" s="1"/>
      <c r="Q114" s="1"/>
      <c r="R114" s="1"/>
      <c r="S114" s="1"/>
      <c r="T114" s="1"/>
      <c r="U114" s="1"/>
      <c r="V114" s="1"/>
      <c r="W114" s="22"/>
      <c r="X114" s="82"/>
      <c r="Y114" s="82"/>
      <c r="Z114" s="82"/>
      <c r="AA114" s="82"/>
      <c r="AB114" s="82"/>
    </row>
    <row r="115" spans="1:28" ht="49.5" customHeight="1" x14ac:dyDescent="0.25">
      <c r="A115" s="1187"/>
      <c r="B115" s="1184"/>
      <c r="C115" s="1188"/>
      <c r="D115" s="1188"/>
      <c r="E115" s="1188"/>
      <c r="F115" s="1185"/>
      <c r="G115" s="1"/>
      <c r="H115" s="1"/>
      <c r="I115" s="1"/>
      <c r="J115" s="1"/>
      <c r="K115" s="1"/>
      <c r="L115" s="22"/>
      <c r="M115" s="1" t="s">
        <v>3450</v>
      </c>
      <c r="N115" s="1264" t="s">
        <v>3526</v>
      </c>
      <c r="O115" s="1">
        <v>0.60328000000000004</v>
      </c>
      <c r="P115" s="1"/>
      <c r="Q115" s="1"/>
      <c r="R115" s="1"/>
      <c r="S115" s="1"/>
      <c r="T115" s="1"/>
      <c r="U115" s="1"/>
      <c r="V115" s="1"/>
      <c r="W115" s="22"/>
      <c r="X115" s="82"/>
      <c r="Y115" s="82"/>
      <c r="Z115" s="82"/>
      <c r="AA115" s="82"/>
      <c r="AB115" s="82"/>
    </row>
    <row r="116" spans="1:28" ht="15.75" customHeight="1" thickBot="1" x14ac:dyDescent="0.3">
      <c r="A116" s="393"/>
      <c r="B116" s="394"/>
      <c r="C116" s="395"/>
      <c r="D116" s="395"/>
      <c r="E116" s="395"/>
      <c r="F116" s="396"/>
      <c r="G116" s="1483" t="s">
        <v>1860</v>
      </c>
      <c r="H116" s="1483"/>
      <c r="I116" s="1484"/>
      <c r="J116" s="13">
        <f>SUM(J112:J114)</f>
        <v>0.2</v>
      </c>
      <c r="K116" s="14">
        <v>0.8</v>
      </c>
      <c r="L116" s="13">
        <f>J116/K116</f>
        <v>0.25</v>
      </c>
      <c r="M116" s="1482" t="s">
        <v>1861</v>
      </c>
      <c r="N116" s="1484"/>
      <c r="O116" s="13">
        <f>SUM(O112:O115)</f>
        <v>1.2067800000000002</v>
      </c>
      <c r="P116" s="14">
        <v>0.8</v>
      </c>
      <c r="Q116" s="13">
        <f>O116/P116</f>
        <v>1.5084750000000002</v>
      </c>
      <c r="R116" s="1482" t="s">
        <v>1860</v>
      </c>
      <c r="S116" s="1483"/>
      <c r="T116" s="1484"/>
      <c r="U116" s="13">
        <f>SUM(U112:U112)</f>
        <v>0</v>
      </c>
      <c r="V116" s="14">
        <v>0.8</v>
      </c>
      <c r="W116" s="13">
        <f>U116/V116</f>
        <v>0</v>
      </c>
      <c r="X116" s="82"/>
      <c r="Y116" s="82"/>
      <c r="Z116" s="82"/>
      <c r="AA116" s="82"/>
      <c r="AB116" s="82"/>
    </row>
    <row r="117" spans="1:28" x14ac:dyDescent="0.25">
      <c r="A117" s="397" t="str">
        <f>'Расчет ЦП - общая форма'!C118</f>
        <v xml:space="preserve">ПС 35/10 кВ Попово  </v>
      </c>
      <c r="B117" s="398">
        <f>'Расчет ЦП - общая форма'!D118</f>
        <v>1</v>
      </c>
      <c r="C117" s="399" t="str">
        <f>'Расчет ЦП - общая форма'!E118</f>
        <v>+</v>
      </c>
      <c r="D117" s="399">
        <f>'Расчет ЦП - общая форма'!F118</f>
        <v>1</v>
      </c>
      <c r="E117" s="399"/>
      <c r="F117" s="400"/>
      <c r="G117" s="43"/>
      <c r="H117" s="17"/>
      <c r="I117" s="17"/>
      <c r="J117" s="17"/>
      <c r="K117" s="17"/>
      <c r="L117" s="73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73"/>
      <c r="X117" s="82"/>
      <c r="Y117" s="82"/>
      <c r="Z117" s="82"/>
      <c r="AA117" s="82"/>
      <c r="AB117" s="82"/>
    </row>
    <row r="118" spans="1:28" ht="15.75" customHeight="1" thickBot="1" x14ac:dyDescent="0.3">
      <c r="A118" s="393"/>
      <c r="B118" s="394"/>
      <c r="C118" s="395"/>
      <c r="D118" s="395"/>
      <c r="E118" s="395"/>
      <c r="F118" s="396"/>
      <c r="G118" s="1483" t="s">
        <v>1860</v>
      </c>
      <c r="H118" s="1483"/>
      <c r="I118" s="1484"/>
      <c r="J118" s="13">
        <f>SUM(J117:J117)</f>
        <v>0</v>
      </c>
      <c r="K118" s="14">
        <v>0.8</v>
      </c>
      <c r="L118" s="13">
        <f>J118/K118</f>
        <v>0</v>
      </c>
      <c r="M118" s="1482" t="s">
        <v>1861</v>
      </c>
      <c r="N118" s="1484"/>
      <c r="O118" s="13">
        <f>SUM(O117:O117)</f>
        <v>0</v>
      </c>
      <c r="P118" s="14">
        <v>0.8</v>
      </c>
      <c r="Q118" s="13">
        <f>O118/P118</f>
        <v>0</v>
      </c>
      <c r="R118" s="1482" t="s">
        <v>1860</v>
      </c>
      <c r="S118" s="1483"/>
      <c r="T118" s="1484"/>
      <c r="U118" s="13">
        <f>SUM(U117:U117)</f>
        <v>0</v>
      </c>
      <c r="V118" s="14">
        <v>0.8</v>
      </c>
      <c r="W118" s="13">
        <f>U118/V118</f>
        <v>0</v>
      </c>
      <c r="X118" s="82"/>
      <c r="Y118" s="82"/>
      <c r="Z118" s="82"/>
      <c r="AA118" s="82"/>
      <c r="AB118" s="82"/>
    </row>
    <row r="119" spans="1:28" x14ac:dyDescent="0.25">
      <c r="A119" s="1552" t="str">
        <f>'Расчет ЦП - общая форма'!C119</f>
        <v>ПС 35/10 кВ Пролетарий</v>
      </c>
      <c r="B119" s="1551">
        <f>'Расчет ЦП - общая форма'!D119</f>
        <v>2.5</v>
      </c>
      <c r="C119" s="1552" t="str">
        <f>'Расчет ЦП - общая форма'!E119</f>
        <v>+</v>
      </c>
      <c r="D119" s="1552">
        <f>'Расчет ЦП - общая форма'!F119</f>
        <v>2.5</v>
      </c>
      <c r="E119" s="399"/>
      <c r="F119" s="400"/>
      <c r="G119" s="1516" t="s">
        <v>3069</v>
      </c>
      <c r="H119" s="1554"/>
      <c r="I119" s="1554"/>
      <c r="J119" s="1554"/>
      <c r="K119" s="1554"/>
      <c r="L119" s="1554"/>
      <c r="M119" s="131"/>
      <c r="N119" s="132"/>
      <c r="O119" s="73"/>
      <c r="P119" s="73"/>
      <c r="Q119" s="73"/>
      <c r="R119" s="1569" t="s">
        <v>1987</v>
      </c>
      <c r="S119" s="1570"/>
      <c r="T119" s="1570"/>
      <c r="U119" s="1570"/>
      <c r="V119" s="1570"/>
      <c r="W119" s="1571"/>
      <c r="X119" s="82"/>
      <c r="Y119" s="82"/>
      <c r="Z119" s="82"/>
      <c r="AA119" s="82"/>
      <c r="AB119" s="82"/>
    </row>
    <row r="120" spans="1:28" ht="99" customHeight="1" x14ac:dyDescent="0.25">
      <c r="A120" s="1553"/>
      <c r="B120" s="1501"/>
      <c r="C120" s="1553"/>
      <c r="D120" s="1553"/>
      <c r="E120" s="403"/>
      <c r="F120" s="404"/>
      <c r="G120" s="22" t="s">
        <v>2475</v>
      </c>
      <c r="H120" s="22" t="s">
        <v>3110</v>
      </c>
      <c r="I120" s="142" t="s">
        <v>3134</v>
      </c>
      <c r="J120" s="142">
        <v>0.05</v>
      </c>
      <c r="K120" s="1031"/>
      <c r="L120" s="1031"/>
      <c r="M120" s="22" t="s">
        <v>2475</v>
      </c>
      <c r="N120" s="22" t="s">
        <v>2476</v>
      </c>
      <c r="O120" s="22">
        <v>0.25</v>
      </c>
      <c r="P120" s="22"/>
      <c r="Q120" s="22"/>
      <c r="R120" s="345" t="s">
        <v>1922</v>
      </c>
      <c r="S120" s="345" t="s">
        <v>1923</v>
      </c>
      <c r="T120" s="345" t="s">
        <v>2516</v>
      </c>
      <c r="U120" s="345">
        <v>0.2</v>
      </c>
      <c r="V120" s="345"/>
      <c r="W120" s="353"/>
      <c r="X120" s="82"/>
      <c r="Y120" s="82"/>
      <c r="Z120" s="82"/>
      <c r="AA120" s="82"/>
      <c r="AB120" s="82"/>
    </row>
    <row r="121" spans="1:28" ht="29.25" customHeight="1" x14ac:dyDescent="0.25">
      <c r="A121" s="1023"/>
      <c r="B121" s="1021"/>
      <c r="C121" s="1023"/>
      <c r="D121" s="1023"/>
      <c r="E121" s="1023"/>
      <c r="F121" s="1022"/>
      <c r="G121" s="1031"/>
      <c r="H121" s="1031"/>
      <c r="I121" s="1031"/>
      <c r="J121" s="1031"/>
      <c r="K121" s="1031"/>
      <c r="L121" s="1031"/>
      <c r="M121" s="22"/>
      <c r="N121" s="22"/>
      <c r="O121" s="22"/>
      <c r="P121" s="22"/>
      <c r="Q121" s="22"/>
      <c r="R121" s="345"/>
      <c r="S121" s="345"/>
      <c r="T121" s="345"/>
      <c r="U121" s="345"/>
      <c r="V121" s="345"/>
      <c r="W121" s="353"/>
      <c r="X121" s="82"/>
      <c r="Y121" s="82"/>
      <c r="Z121" s="82"/>
      <c r="AA121" s="82"/>
      <c r="AB121" s="82"/>
    </row>
    <row r="122" spans="1:28" ht="15.75" customHeight="1" thickBot="1" x14ac:dyDescent="0.3">
      <c r="A122" s="395"/>
      <c r="B122" s="394"/>
      <c r="C122" s="395"/>
      <c r="D122" s="395"/>
      <c r="E122" s="395"/>
      <c r="F122" s="396"/>
      <c r="G122" s="1483" t="s">
        <v>1860</v>
      </c>
      <c r="H122" s="1483"/>
      <c r="I122" s="1484"/>
      <c r="J122" s="13">
        <f>SUM(J120)</f>
        <v>0.05</v>
      </c>
      <c r="K122" s="14">
        <v>0.8</v>
      </c>
      <c r="L122" s="13">
        <f>J122/K122</f>
        <v>6.25E-2</v>
      </c>
      <c r="M122" s="1482" t="s">
        <v>1861</v>
      </c>
      <c r="N122" s="1484"/>
      <c r="O122" s="13">
        <f>SUM(O120:O121)</f>
        <v>0.25</v>
      </c>
      <c r="P122" s="14">
        <v>0.8</v>
      </c>
      <c r="Q122" s="13">
        <f>O122/P122</f>
        <v>0.3125</v>
      </c>
      <c r="R122" s="1485" t="s">
        <v>1860</v>
      </c>
      <c r="S122" s="1486"/>
      <c r="T122" s="1487"/>
      <c r="U122" s="21">
        <f>SUM(0)</f>
        <v>0</v>
      </c>
      <c r="V122" s="24">
        <v>0.8</v>
      </c>
      <c r="W122" s="21">
        <f>U122/V122</f>
        <v>0</v>
      </c>
      <c r="X122" s="82"/>
      <c r="Y122" s="82"/>
      <c r="Z122" s="82"/>
      <c r="AA122" s="82"/>
      <c r="AB122" s="82"/>
    </row>
    <row r="123" spans="1:28" x14ac:dyDescent="0.25">
      <c r="A123" s="1553" t="str">
        <f>'Расчет ЦП - общая форма'!C120</f>
        <v xml:space="preserve">ПС 35/10 кВ Рождество </v>
      </c>
      <c r="B123" s="1501">
        <f>'Расчет ЦП - общая форма'!D120</f>
        <v>2.5</v>
      </c>
      <c r="C123" s="1553" t="str">
        <f>'Расчет ЦП - общая форма'!E120</f>
        <v>+</v>
      </c>
      <c r="D123" s="1553">
        <f>'Расчет ЦП - общая форма'!F120</f>
        <v>2.5</v>
      </c>
      <c r="E123" s="1553"/>
      <c r="F123" s="1503"/>
      <c r="G123" s="1516" t="s">
        <v>2061</v>
      </c>
      <c r="H123" s="1554"/>
      <c r="I123" s="1554"/>
      <c r="J123" s="1554"/>
      <c r="K123" s="1554"/>
      <c r="L123" s="1554"/>
      <c r="M123" s="51"/>
      <c r="N123" s="51"/>
      <c r="O123" s="51"/>
      <c r="P123" s="51"/>
      <c r="Q123" s="51"/>
      <c r="R123" s="313"/>
      <c r="S123" s="313"/>
      <c r="T123" s="313"/>
      <c r="U123" s="313"/>
      <c r="V123" s="313"/>
      <c r="W123" s="313"/>
      <c r="X123" s="82"/>
      <c r="Y123" s="82"/>
      <c r="Z123" s="82"/>
      <c r="AA123" s="82"/>
      <c r="AB123" s="82"/>
    </row>
    <row r="124" spans="1:28" ht="67.5" customHeight="1" x14ac:dyDescent="0.25">
      <c r="A124" s="1553"/>
      <c r="B124" s="1501"/>
      <c r="C124" s="1553"/>
      <c r="D124" s="1553"/>
      <c r="E124" s="1553"/>
      <c r="F124" s="1503"/>
      <c r="G124" s="270" t="s">
        <v>1963</v>
      </c>
      <c r="H124" s="22" t="s">
        <v>1964</v>
      </c>
      <c r="I124" s="22" t="s">
        <v>2250</v>
      </c>
      <c r="J124" s="22">
        <v>0.06</v>
      </c>
      <c r="K124" s="22"/>
      <c r="L124" s="22"/>
      <c r="M124" s="22" t="s">
        <v>2426</v>
      </c>
      <c r="N124" s="22" t="s">
        <v>2427</v>
      </c>
      <c r="O124" s="22">
        <v>2.1000000000000001E-2</v>
      </c>
      <c r="P124" s="22"/>
      <c r="Q124" s="22"/>
      <c r="R124" s="313"/>
      <c r="S124" s="313"/>
      <c r="T124" s="313"/>
      <c r="U124" s="313"/>
      <c r="V124" s="313"/>
      <c r="W124" s="313"/>
      <c r="X124" s="82"/>
      <c r="Y124" s="82"/>
      <c r="Z124" s="82"/>
      <c r="AA124" s="82"/>
      <c r="AB124" s="82"/>
    </row>
    <row r="125" spans="1:28" ht="120" customHeight="1" x14ac:dyDescent="0.25">
      <c r="A125" s="1214"/>
      <c r="B125" s="1210"/>
      <c r="C125" s="1214"/>
      <c r="D125" s="1214"/>
      <c r="E125" s="1214"/>
      <c r="F125" s="1211"/>
      <c r="G125" s="270"/>
      <c r="H125" s="22"/>
      <c r="I125" s="22"/>
      <c r="J125" s="22"/>
      <c r="K125" s="22"/>
      <c r="L125" s="22"/>
      <c r="M125" s="22" t="s">
        <v>3493</v>
      </c>
      <c r="N125" s="22" t="s">
        <v>3494</v>
      </c>
      <c r="O125" s="22">
        <f>0.053-0.023</f>
        <v>0.03</v>
      </c>
      <c r="P125" s="22"/>
      <c r="Q125" s="22"/>
      <c r="R125" s="313"/>
      <c r="S125" s="313"/>
      <c r="T125" s="313"/>
      <c r="U125" s="313"/>
      <c r="V125" s="313"/>
      <c r="W125" s="313"/>
      <c r="X125" s="82"/>
      <c r="Y125" s="82"/>
      <c r="Z125" s="82"/>
      <c r="AA125" s="82"/>
      <c r="AB125" s="82"/>
    </row>
    <row r="126" spans="1:28" ht="15.75" customHeight="1" thickBot="1" x14ac:dyDescent="0.3">
      <c r="A126" s="395"/>
      <c r="B126" s="394"/>
      <c r="C126" s="395"/>
      <c r="D126" s="395"/>
      <c r="E126" s="395"/>
      <c r="F126" s="396"/>
      <c r="G126" s="1539" t="s">
        <v>1860</v>
      </c>
      <c r="H126" s="1489"/>
      <c r="I126" s="1489"/>
      <c r="J126" s="235">
        <f>SUM(J125)</f>
        <v>0</v>
      </c>
      <c r="K126" s="1">
        <v>0.8</v>
      </c>
      <c r="L126" s="235">
        <f>J126/K126</f>
        <v>0</v>
      </c>
      <c r="M126" s="1489" t="s">
        <v>1861</v>
      </c>
      <c r="N126" s="1489"/>
      <c r="O126" s="235">
        <f>SUM(O124:O125)</f>
        <v>5.1000000000000004E-2</v>
      </c>
      <c r="P126" s="1">
        <v>0.8</v>
      </c>
      <c r="Q126" s="235">
        <f>O126/P126</f>
        <v>6.3750000000000001E-2</v>
      </c>
      <c r="R126" s="1489" t="s">
        <v>1860</v>
      </c>
      <c r="S126" s="1489"/>
      <c r="T126" s="1489"/>
      <c r="U126" s="235">
        <f>SUM(U124:U124)</f>
        <v>0</v>
      </c>
      <c r="V126" s="1">
        <v>0.8</v>
      </c>
      <c r="W126" s="235">
        <f>U126/V126</f>
        <v>0</v>
      </c>
      <c r="X126" s="82"/>
      <c r="Y126" s="82"/>
      <c r="Z126" s="82"/>
      <c r="AA126" s="82"/>
      <c r="AB126" s="82"/>
    </row>
    <row r="127" spans="1:28" ht="34.5" customHeight="1" x14ac:dyDescent="0.25">
      <c r="A127" s="427" t="str">
        <f>'Расчет ЦП - общая форма'!C121</f>
        <v xml:space="preserve">ПС 35/10 кВ Ряд </v>
      </c>
      <c r="B127" s="398">
        <f>'Расчет ЦП - общая форма'!D121</f>
        <v>2.5</v>
      </c>
      <c r="C127" s="399" t="str">
        <f>'Расчет ЦП - общая форма'!E121</f>
        <v>+</v>
      </c>
      <c r="D127" s="399">
        <f>'Расчет ЦП - общая форма'!F121</f>
        <v>2.5</v>
      </c>
      <c r="E127" s="399"/>
      <c r="F127" s="400"/>
      <c r="G127" s="104"/>
      <c r="H127" s="9"/>
      <c r="I127" s="9"/>
      <c r="J127" s="9"/>
      <c r="K127" s="9"/>
      <c r="L127" s="51"/>
      <c r="M127" s="9" t="s">
        <v>2566</v>
      </c>
      <c r="N127" s="9" t="s">
        <v>2567</v>
      </c>
      <c r="O127" s="104">
        <f>0.0622-0.012</f>
        <v>5.0199999999999995E-2</v>
      </c>
      <c r="P127" s="9"/>
      <c r="Q127" s="9"/>
      <c r="R127" s="9"/>
      <c r="S127" s="9"/>
      <c r="T127" s="9"/>
      <c r="U127" s="9"/>
      <c r="V127" s="9"/>
      <c r="W127" s="51"/>
      <c r="X127" s="82"/>
      <c r="Y127" s="82"/>
      <c r="Z127" s="82"/>
      <c r="AA127" s="82"/>
      <c r="AB127" s="82"/>
    </row>
    <row r="128" spans="1:28" ht="15.75" customHeight="1" thickBot="1" x14ac:dyDescent="0.3">
      <c r="A128" s="393"/>
      <c r="B128" s="394"/>
      <c r="C128" s="395"/>
      <c r="D128" s="395"/>
      <c r="E128" s="395"/>
      <c r="F128" s="396"/>
      <c r="G128" s="1483" t="s">
        <v>1860</v>
      </c>
      <c r="H128" s="1483"/>
      <c r="I128" s="1484"/>
      <c r="J128" s="13">
        <f>SUM(J127:J127)</f>
        <v>0</v>
      </c>
      <c r="K128" s="14">
        <v>0.8</v>
      </c>
      <c r="L128" s="13">
        <f>J128/K128</f>
        <v>0</v>
      </c>
      <c r="M128" s="1485" t="s">
        <v>1861</v>
      </c>
      <c r="N128" s="1487"/>
      <c r="O128" s="21">
        <f>SUM(O127:O127)</f>
        <v>5.0199999999999995E-2</v>
      </c>
      <c r="P128" s="24">
        <v>0.8</v>
      </c>
      <c r="Q128" s="21">
        <f>O128/P128</f>
        <v>6.2749999999999986E-2</v>
      </c>
      <c r="R128" s="1485" t="s">
        <v>1860</v>
      </c>
      <c r="S128" s="1486"/>
      <c r="T128" s="1487"/>
      <c r="U128" s="21">
        <f>SUM(U127:U127)</f>
        <v>0</v>
      </c>
      <c r="V128" s="24">
        <v>0.8</v>
      </c>
      <c r="W128" s="21">
        <f>U128/V128</f>
        <v>0</v>
      </c>
      <c r="X128" s="82"/>
      <c r="Y128" s="82"/>
      <c r="Z128" s="82"/>
      <c r="AA128" s="82"/>
      <c r="AB128" s="82"/>
    </row>
    <row r="129" spans="1:28" ht="15" customHeight="1" x14ac:dyDescent="0.25">
      <c r="A129" s="1557" t="str">
        <f>'Расчет ЦП - общая форма'!C122</f>
        <v xml:space="preserve">ПС 35/10 кВ Сеглино  </v>
      </c>
      <c r="B129" s="1551">
        <f>'Расчет ЦП - общая форма'!D122</f>
        <v>1.6</v>
      </c>
      <c r="C129" s="1552" t="str">
        <f>'Расчет ЦП - общая форма'!E122</f>
        <v>+</v>
      </c>
      <c r="D129" s="1552">
        <f>'Расчет ЦП - общая форма'!F122</f>
        <v>1.6</v>
      </c>
      <c r="E129" s="399"/>
      <c r="F129" s="400"/>
      <c r="G129" s="1500" t="s">
        <v>2675</v>
      </c>
      <c r="H129" s="1575"/>
      <c r="I129" s="1575"/>
      <c r="J129" s="1575"/>
      <c r="K129" s="1575"/>
      <c r="L129" s="1575"/>
      <c r="M129" s="298"/>
      <c r="N129" s="298"/>
      <c r="O129" s="17"/>
      <c r="P129" s="17"/>
      <c r="Q129" s="17"/>
      <c r="R129" s="313"/>
      <c r="S129" s="313"/>
      <c r="T129" s="313"/>
      <c r="U129" s="313"/>
      <c r="V129" s="313"/>
      <c r="W129" s="313"/>
      <c r="X129" s="82"/>
      <c r="Y129" s="82"/>
      <c r="Z129" s="82"/>
      <c r="AA129" s="82"/>
      <c r="AB129" s="82"/>
    </row>
    <row r="130" spans="1:28" ht="82.5" customHeight="1" x14ac:dyDescent="0.25">
      <c r="A130" s="1543"/>
      <c r="B130" s="1501"/>
      <c r="C130" s="1553"/>
      <c r="D130" s="1553"/>
      <c r="E130" s="403"/>
      <c r="F130" s="404"/>
      <c r="G130" s="127" t="s">
        <v>2471</v>
      </c>
      <c r="H130" s="51" t="s">
        <v>2472</v>
      </c>
      <c r="I130" s="310" t="s">
        <v>2781</v>
      </c>
      <c r="J130" s="69">
        <v>2.3E-2</v>
      </c>
      <c r="K130" s="69"/>
      <c r="L130" s="69"/>
      <c r="M130" s="148"/>
      <c r="N130" s="148"/>
      <c r="O130" s="1"/>
      <c r="P130" s="1"/>
      <c r="Q130" s="1"/>
      <c r="R130" s="313"/>
      <c r="S130" s="313"/>
      <c r="T130" s="313"/>
      <c r="U130" s="313"/>
      <c r="V130" s="313"/>
      <c r="W130" s="313"/>
      <c r="X130" s="82"/>
      <c r="Y130" s="82"/>
      <c r="Z130" s="82"/>
      <c r="AA130" s="82"/>
      <c r="AB130" s="82"/>
    </row>
    <row r="131" spans="1:28" ht="15.75" customHeight="1" thickBot="1" x14ac:dyDescent="0.3">
      <c r="A131" s="393"/>
      <c r="B131" s="394"/>
      <c r="C131" s="395"/>
      <c r="D131" s="395"/>
      <c r="E131" s="395"/>
      <c r="F131" s="396"/>
      <c r="G131" s="1483" t="s">
        <v>1860</v>
      </c>
      <c r="H131" s="1483"/>
      <c r="I131" s="1484"/>
      <c r="J131" s="319">
        <f>SUM(J130)</f>
        <v>2.3E-2</v>
      </c>
      <c r="K131" s="320">
        <v>0.8</v>
      </c>
      <c r="L131" s="319">
        <f>J131/K131</f>
        <v>2.8749999999999998E-2</v>
      </c>
      <c r="M131" s="1482" t="s">
        <v>1861</v>
      </c>
      <c r="N131" s="1484"/>
      <c r="O131" s="13">
        <f>SUM(O129:O129)</f>
        <v>0</v>
      </c>
      <c r="P131" s="14">
        <v>0.8</v>
      </c>
      <c r="Q131" s="13">
        <f>O131/P131</f>
        <v>0</v>
      </c>
      <c r="R131" s="1482" t="s">
        <v>1860</v>
      </c>
      <c r="S131" s="1483"/>
      <c r="T131" s="1484"/>
      <c r="U131" s="13">
        <f>SUM(U130)</f>
        <v>0</v>
      </c>
      <c r="V131" s="14">
        <v>0.8</v>
      </c>
      <c r="W131" s="13">
        <f>U131/V131</f>
        <v>0</v>
      </c>
      <c r="X131" s="82"/>
      <c r="Y131" s="82"/>
      <c r="Z131" s="82"/>
      <c r="AA131" s="82"/>
      <c r="AB131" s="82"/>
    </row>
    <row r="132" spans="1:28" x14ac:dyDescent="0.25">
      <c r="A132" s="397" t="str">
        <f>'Расчет ЦП - общая форма'!C123</f>
        <v xml:space="preserve">ПС 35/10 кВ Сороки </v>
      </c>
      <c r="B132" s="398">
        <f>'Расчет ЦП - общая форма'!D123</f>
        <v>2.5</v>
      </c>
      <c r="C132" s="399" t="str">
        <f>'Расчет ЦП - общая форма'!E123</f>
        <v>+</v>
      </c>
      <c r="D132" s="399">
        <f>'Расчет ЦП - общая форма'!F123</f>
        <v>2.5</v>
      </c>
      <c r="E132" s="399"/>
      <c r="F132" s="400"/>
      <c r="G132" s="43"/>
      <c r="H132" s="17"/>
      <c r="I132" s="17"/>
      <c r="J132" s="17"/>
      <c r="K132" s="17"/>
      <c r="L132" s="73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73"/>
      <c r="X132" s="82"/>
      <c r="Y132" s="82"/>
      <c r="Z132" s="82"/>
      <c r="AA132" s="82"/>
      <c r="AB132" s="82"/>
    </row>
    <row r="133" spans="1:28" ht="15.75" customHeight="1" thickBot="1" x14ac:dyDescent="0.3">
      <c r="A133" s="393"/>
      <c r="B133" s="394"/>
      <c r="C133" s="395"/>
      <c r="D133" s="395"/>
      <c r="E133" s="395"/>
      <c r="F133" s="396"/>
      <c r="G133" s="1483" t="s">
        <v>1860</v>
      </c>
      <c r="H133" s="1483"/>
      <c r="I133" s="1484"/>
      <c r="J133" s="13">
        <f>SUM(J132:J132)</f>
        <v>0</v>
      </c>
      <c r="K133" s="14">
        <v>0.8</v>
      </c>
      <c r="L133" s="13">
        <f>J133/K133</f>
        <v>0</v>
      </c>
      <c r="M133" s="1482" t="s">
        <v>1861</v>
      </c>
      <c r="N133" s="1484"/>
      <c r="O133" s="13">
        <f>SUM(O132:O132)</f>
        <v>0</v>
      </c>
      <c r="P133" s="14">
        <v>0.8</v>
      </c>
      <c r="Q133" s="13">
        <f>O133/P133</f>
        <v>0</v>
      </c>
      <c r="R133" s="1482" t="s">
        <v>1860</v>
      </c>
      <c r="S133" s="1483"/>
      <c r="T133" s="1484"/>
      <c r="U133" s="13">
        <f>SUM(U132:U132)</f>
        <v>0</v>
      </c>
      <c r="V133" s="14">
        <v>0.8</v>
      </c>
      <c r="W133" s="13">
        <f>U133/V133</f>
        <v>0</v>
      </c>
      <c r="X133" s="82"/>
      <c r="Y133" s="82"/>
      <c r="Z133" s="82"/>
      <c r="AA133" s="82"/>
      <c r="AB133" s="82"/>
    </row>
    <row r="134" spans="1:28" x14ac:dyDescent="0.25">
      <c r="A134" s="397" t="str">
        <f>'Расчет ЦП - общая форма'!C124</f>
        <v xml:space="preserve">ПС 35/10 кВ Терелесово </v>
      </c>
      <c r="B134" s="398">
        <f>'Расчет ЦП - общая форма'!D124</f>
        <v>1.6</v>
      </c>
      <c r="C134" s="399" t="str">
        <f>'Расчет ЦП - общая форма'!E124</f>
        <v>+</v>
      </c>
      <c r="D134" s="399">
        <f>'Расчет ЦП - общая форма'!F124</f>
        <v>1.6</v>
      </c>
      <c r="E134" s="399"/>
      <c r="F134" s="400"/>
      <c r="G134" s="43"/>
      <c r="H134" s="17"/>
      <c r="I134" s="17"/>
      <c r="J134" s="17"/>
      <c r="K134" s="17"/>
      <c r="L134" s="73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73"/>
      <c r="X134" s="82"/>
      <c r="Y134" s="82"/>
      <c r="Z134" s="82"/>
      <c r="AA134" s="82"/>
      <c r="AB134" s="82"/>
    </row>
    <row r="135" spans="1:28" ht="15.75" customHeight="1" thickBot="1" x14ac:dyDescent="0.3">
      <c r="A135" s="393"/>
      <c r="B135" s="394"/>
      <c r="C135" s="395"/>
      <c r="D135" s="395"/>
      <c r="E135" s="395"/>
      <c r="F135" s="396"/>
      <c r="G135" s="1483" t="s">
        <v>1860</v>
      </c>
      <c r="H135" s="1483"/>
      <c r="I135" s="1484"/>
      <c r="J135" s="13">
        <f>SUM(J134:J134)</f>
        <v>0</v>
      </c>
      <c r="K135" s="14">
        <v>0.8</v>
      </c>
      <c r="L135" s="13">
        <f>J135/K135</f>
        <v>0</v>
      </c>
      <c r="M135" s="1485" t="s">
        <v>1861</v>
      </c>
      <c r="N135" s="1487"/>
      <c r="O135" s="21">
        <f>SUM(O134:O134)</f>
        <v>0</v>
      </c>
      <c r="P135" s="24">
        <v>0.8</v>
      </c>
      <c r="Q135" s="21">
        <f>O135/P135</f>
        <v>0</v>
      </c>
      <c r="R135" s="1485" t="s">
        <v>1860</v>
      </c>
      <c r="S135" s="1486"/>
      <c r="T135" s="1487"/>
      <c r="U135" s="21">
        <f>SUM(U134:U134)</f>
        <v>0</v>
      </c>
      <c r="V135" s="24">
        <v>0.8</v>
      </c>
      <c r="W135" s="21">
        <f>U135/V135</f>
        <v>0</v>
      </c>
      <c r="X135" s="82"/>
      <c r="Y135" s="82"/>
      <c r="Z135" s="82"/>
      <c r="AA135" s="82"/>
      <c r="AB135" s="82"/>
    </row>
    <row r="136" spans="1:28" x14ac:dyDescent="0.25">
      <c r="A136" s="1557" t="str">
        <f>'Расчет ЦП - общая форма'!C125</f>
        <v xml:space="preserve">ПС 35/10 кВ Тимково </v>
      </c>
      <c r="B136" s="1551">
        <f>'Расчет ЦП - общая форма'!D125</f>
        <v>1.6</v>
      </c>
      <c r="C136" s="1552" t="str">
        <f>'Расчет ЦП - общая форма'!E125</f>
        <v>+</v>
      </c>
      <c r="D136" s="1552">
        <f>'Расчет ЦП - общая форма'!F125</f>
        <v>1.6</v>
      </c>
      <c r="E136" s="399"/>
      <c r="F136" s="400"/>
      <c r="G136" s="1499" t="s">
        <v>1989</v>
      </c>
      <c r="H136" s="1499"/>
      <c r="I136" s="1499"/>
      <c r="J136" s="1499"/>
      <c r="K136" s="1499"/>
      <c r="L136" s="1500"/>
      <c r="M136" s="22"/>
      <c r="N136" s="22"/>
      <c r="O136" s="22"/>
      <c r="P136" s="22"/>
      <c r="Q136" s="22"/>
      <c r="R136" s="313"/>
      <c r="S136" s="313"/>
      <c r="T136" s="313"/>
      <c r="U136" s="313"/>
      <c r="V136" s="313"/>
      <c r="W136" s="313"/>
      <c r="X136" s="82"/>
      <c r="Y136" s="82"/>
      <c r="Z136" s="82"/>
      <c r="AA136" s="82"/>
      <c r="AB136" s="82"/>
    </row>
    <row r="137" spans="1:28" ht="30" x14ac:dyDescent="0.25">
      <c r="A137" s="1543"/>
      <c r="B137" s="1501"/>
      <c r="C137" s="1553"/>
      <c r="D137" s="1553"/>
      <c r="E137" s="403"/>
      <c r="F137" s="404"/>
      <c r="G137" s="270" t="s">
        <v>1924</v>
      </c>
      <c r="H137" s="22" t="s">
        <v>1925</v>
      </c>
      <c r="I137" s="22" t="s">
        <v>1926</v>
      </c>
      <c r="J137" s="22">
        <v>0.06</v>
      </c>
      <c r="K137" s="51"/>
      <c r="L137" s="51"/>
      <c r="M137" s="22"/>
      <c r="N137" s="22"/>
      <c r="O137" s="22"/>
      <c r="P137" s="22"/>
      <c r="Q137" s="22"/>
      <c r="R137" s="313"/>
      <c r="S137" s="313"/>
      <c r="T137" s="313"/>
      <c r="U137" s="313"/>
      <c r="V137" s="313"/>
      <c r="W137" s="313"/>
      <c r="X137" s="82"/>
      <c r="Y137" s="82"/>
      <c r="Z137" s="82"/>
      <c r="AA137" s="82"/>
      <c r="AB137" s="82"/>
    </row>
    <row r="138" spans="1:28" x14ac:dyDescent="0.25">
      <c r="A138" s="407"/>
      <c r="B138" s="402"/>
      <c r="C138" s="403"/>
      <c r="D138" s="403"/>
      <c r="E138" s="403"/>
      <c r="F138" s="404"/>
      <c r="G138" s="270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313"/>
      <c r="S138" s="313"/>
      <c r="T138" s="313"/>
      <c r="U138" s="313"/>
      <c r="V138" s="313"/>
      <c r="W138" s="313"/>
      <c r="X138" s="82"/>
      <c r="Y138" s="82"/>
      <c r="Z138" s="82"/>
      <c r="AA138" s="82"/>
      <c r="AB138" s="82"/>
    </row>
    <row r="139" spans="1:28" x14ac:dyDescent="0.25">
      <c r="A139" s="407"/>
      <c r="B139" s="402"/>
      <c r="C139" s="403"/>
      <c r="D139" s="403"/>
      <c r="E139" s="403"/>
      <c r="F139" s="404"/>
      <c r="G139" s="152"/>
      <c r="H139" s="1"/>
      <c r="I139" s="1"/>
      <c r="J139" s="1"/>
      <c r="K139" s="1"/>
      <c r="L139" s="22"/>
      <c r="M139" s="22"/>
      <c r="N139" s="22"/>
      <c r="O139" s="22"/>
      <c r="P139" s="22"/>
      <c r="Q139" s="22"/>
      <c r="R139" s="313"/>
      <c r="S139" s="313"/>
      <c r="T139" s="313"/>
      <c r="U139" s="313"/>
      <c r="V139" s="313"/>
      <c r="W139" s="313"/>
      <c r="X139" s="82"/>
      <c r="Y139" s="82"/>
      <c r="Z139" s="82"/>
      <c r="AA139" s="82"/>
      <c r="AB139" s="82"/>
    </row>
    <row r="140" spans="1:28" ht="15.75" customHeight="1" thickBot="1" x14ac:dyDescent="0.3">
      <c r="A140" s="393"/>
      <c r="B140" s="394"/>
      <c r="C140" s="395"/>
      <c r="D140" s="395"/>
      <c r="E140" s="395"/>
      <c r="F140" s="396"/>
      <c r="G140" s="1483" t="s">
        <v>1860</v>
      </c>
      <c r="H140" s="1483"/>
      <c r="I140" s="1484"/>
      <c r="J140" s="13">
        <f>SUM(0)</f>
        <v>0</v>
      </c>
      <c r="K140" s="14">
        <v>0.8</v>
      </c>
      <c r="L140" s="13">
        <f>J140/K140</f>
        <v>0</v>
      </c>
      <c r="M140" s="1482" t="s">
        <v>1861</v>
      </c>
      <c r="N140" s="1484"/>
      <c r="O140" s="13">
        <f>SUM(O137:O137)</f>
        <v>0</v>
      </c>
      <c r="P140" s="14">
        <v>0.8</v>
      </c>
      <c r="Q140" s="13">
        <f>O140/P140</f>
        <v>0</v>
      </c>
      <c r="R140" s="1482" t="s">
        <v>1860</v>
      </c>
      <c r="S140" s="1483"/>
      <c r="T140" s="1484"/>
      <c r="U140" s="13">
        <f>SUM(U138:U139)</f>
        <v>0</v>
      </c>
      <c r="V140" s="14">
        <v>0.8</v>
      </c>
      <c r="W140" s="13">
        <f>U140/V140</f>
        <v>0</v>
      </c>
      <c r="X140" s="82"/>
      <c r="Y140" s="82"/>
      <c r="Z140" s="82"/>
      <c r="AA140" s="82"/>
      <c r="AB140" s="82"/>
    </row>
    <row r="141" spans="1:28" ht="45" x14ac:dyDescent="0.25">
      <c r="A141" s="397" t="str">
        <f>'Расчет ЦП - общая форма'!C126</f>
        <v xml:space="preserve">ПС 35/10 кВ Фирово </v>
      </c>
      <c r="B141" s="398">
        <f>'Расчет ЦП - общая форма'!D126</f>
        <v>2.5</v>
      </c>
      <c r="C141" s="399" t="str">
        <f>'Расчет ЦП - общая форма'!E126</f>
        <v>+</v>
      </c>
      <c r="D141" s="399">
        <f>'Расчет ЦП - общая форма'!F126</f>
        <v>2.5</v>
      </c>
      <c r="E141" s="399"/>
      <c r="F141" s="400"/>
      <c r="G141" s="152"/>
      <c r="H141" s="1"/>
      <c r="I141" s="17"/>
      <c r="J141" s="17"/>
      <c r="K141" s="17"/>
      <c r="L141" s="73"/>
      <c r="M141" s="17" t="s">
        <v>1891</v>
      </c>
      <c r="N141" s="17" t="s">
        <v>1958</v>
      </c>
      <c r="O141" s="17">
        <v>0.05</v>
      </c>
      <c r="P141" s="17"/>
      <c r="Q141" s="17"/>
      <c r="R141" s="1"/>
      <c r="S141" s="1"/>
      <c r="T141" s="17"/>
      <c r="U141" s="17"/>
      <c r="V141" s="17"/>
      <c r="W141" s="73"/>
      <c r="X141" s="82"/>
      <c r="Y141" s="82"/>
      <c r="Z141" s="82"/>
      <c r="AA141" s="82"/>
      <c r="AB141" s="82"/>
    </row>
    <row r="142" spans="1:28" ht="75" x14ac:dyDescent="0.25">
      <c r="A142" s="407"/>
      <c r="B142" s="402"/>
      <c r="C142" s="403"/>
      <c r="D142" s="403"/>
      <c r="E142" s="403"/>
      <c r="F142" s="404"/>
      <c r="G142" s="152"/>
      <c r="H142" s="1"/>
      <c r="I142" s="1"/>
      <c r="J142" s="1"/>
      <c r="K142" s="1"/>
      <c r="L142" s="22"/>
      <c r="M142" s="1" t="s">
        <v>2436</v>
      </c>
      <c r="N142" s="1" t="s">
        <v>2437</v>
      </c>
      <c r="O142" s="1">
        <v>0.04</v>
      </c>
      <c r="P142" s="128"/>
      <c r="Q142" s="128"/>
      <c r="R142" s="19"/>
      <c r="S142" s="263"/>
      <c r="T142" s="41"/>
      <c r="U142" s="128"/>
      <c r="V142" s="128"/>
      <c r="W142" s="69"/>
      <c r="X142" s="82"/>
      <c r="Y142" s="82"/>
      <c r="Z142" s="82"/>
      <c r="AA142" s="82"/>
      <c r="AB142" s="82"/>
    </row>
    <row r="143" spans="1:28" ht="15.75" customHeight="1" thickBot="1" x14ac:dyDescent="0.3">
      <c r="A143" s="393"/>
      <c r="B143" s="394"/>
      <c r="C143" s="395"/>
      <c r="D143" s="395"/>
      <c r="E143" s="395"/>
      <c r="F143" s="396"/>
      <c r="G143" s="1483" t="s">
        <v>1860</v>
      </c>
      <c r="H143" s="1483"/>
      <c r="I143" s="1484"/>
      <c r="J143" s="13">
        <f>SUM(J141:J141)</f>
        <v>0</v>
      </c>
      <c r="K143" s="14">
        <v>0.8</v>
      </c>
      <c r="L143" s="13">
        <f>J143/K143</f>
        <v>0</v>
      </c>
      <c r="M143" s="1482" t="s">
        <v>1861</v>
      </c>
      <c r="N143" s="1484"/>
      <c r="O143" s="13">
        <f>SUM(O141:O142)</f>
        <v>0.09</v>
      </c>
      <c r="P143" s="14">
        <v>0.8</v>
      </c>
      <c r="Q143" s="13">
        <f>O143/P143</f>
        <v>0.11249999999999999</v>
      </c>
      <c r="R143" s="1485" t="s">
        <v>1860</v>
      </c>
      <c r="S143" s="1486"/>
      <c r="T143" s="1487"/>
      <c r="U143" s="21">
        <f>SUM(U141:U141)</f>
        <v>0</v>
      </c>
      <c r="V143" s="24">
        <v>0.8</v>
      </c>
      <c r="W143" s="21">
        <f>U143/V143</f>
        <v>0</v>
      </c>
      <c r="X143" s="82"/>
      <c r="Y143" s="82"/>
      <c r="Z143" s="82"/>
      <c r="AA143" s="82"/>
      <c r="AB143" s="82"/>
    </row>
    <row r="144" spans="1:28" ht="38.25" customHeight="1" x14ac:dyDescent="0.25">
      <c r="A144" s="1557" t="str">
        <f>'Расчет ЦП - общая форма'!C127</f>
        <v xml:space="preserve">ПС 35/6 кВ Юбилейная </v>
      </c>
      <c r="B144" s="1551">
        <f>'Расчет ЦП - общая форма'!D127</f>
        <v>7.5</v>
      </c>
      <c r="C144" s="1552" t="str">
        <f>'Расчет ЦП - общая форма'!E127</f>
        <v>+</v>
      </c>
      <c r="D144" s="1552">
        <f>'Расчет ЦП - общая форма'!F127</f>
        <v>10</v>
      </c>
      <c r="E144" s="399"/>
      <c r="F144" s="400"/>
      <c r="G144" s="1515" t="s">
        <v>1989</v>
      </c>
      <c r="H144" s="1515"/>
      <c r="I144" s="1515"/>
      <c r="J144" s="1515"/>
      <c r="K144" s="1515"/>
      <c r="L144" s="1516"/>
      <c r="M144" s="51"/>
      <c r="N144" s="51"/>
      <c r="O144" s="51"/>
      <c r="P144" s="51"/>
      <c r="Q144" s="51"/>
      <c r="R144" s="313"/>
      <c r="S144" s="313"/>
      <c r="T144" s="313"/>
      <c r="U144" s="313"/>
      <c r="V144" s="313"/>
      <c r="W144" s="313"/>
      <c r="X144" s="82"/>
      <c r="Y144" s="82"/>
      <c r="Z144" s="82"/>
      <c r="AA144" s="82"/>
      <c r="AB144" s="82"/>
    </row>
    <row r="145" spans="1:28" ht="55.5" customHeight="1" x14ac:dyDescent="0.25">
      <c r="A145" s="1543"/>
      <c r="B145" s="1501"/>
      <c r="C145" s="1553"/>
      <c r="D145" s="1553"/>
      <c r="E145" s="403"/>
      <c r="F145" s="404"/>
      <c r="G145" s="127" t="s">
        <v>1891</v>
      </c>
      <c r="H145" s="51" t="s">
        <v>1916</v>
      </c>
      <c r="I145" s="51" t="s">
        <v>1917</v>
      </c>
      <c r="J145" s="51">
        <v>0.3</v>
      </c>
      <c r="K145" s="51"/>
      <c r="L145" s="51"/>
      <c r="M145" s="264"/>
      <c r="N145" s="264"/>
      <c r="O145" s="264"/>
      <c r="P145" s="22"/>
      <c r="Q145" s="22"/>
      <c r="R145" s="313"/>
      <c r="S145" s="313"/>
      <c r="T145" s="313"/>
      <c r="U145" s="313"/>
      <c r="V145" s="313"/>
      <c r="W145" s="313"/>
      <c r="X145" s="82"/>
      <c r="Y145" s="82"/>
      <c r="Z145" s="82"/>
      <c r="AA145" s="82"/>
      <c r="AB145" s="82"/>
    </row>
    <row r="146" spans="1:28" x14ac:dyDescent="0.25">
      <c r="A146" s="407"/>
      <c r="B146" s="402"/>
      <c r="C146" s="403"/>
      <c r="D146" s="403"/>
      <c r="E146" s="403"/>
      <c r="F146" s="404"/>
      <c r="G146" s="1544" t="s">
        <v>1987</v>
      </c>
      <c r="H146" s="1544"/>
      <c r="I146" s="1544"/>
      <c r="J146" s="1544"/>
      <c r="K146" s="1544"/>
      <c r="L146" s="1545"/>
      <c r="M146" s="264"/>
      <c r="N146" s="264"/>
      <c r="O146" s="264"/>
      <c r="P146" s="22"/>
      <c r="Q146" s="22"/>
      <c r="R146" s="313"/>
      <c r="S146" s="313"/>
      <c r="T146" s="313"/>
      <c r="U146" s="313"/>
      <c r="V146" s="313"/>
      <c r="W146" s="313"/>
      <c r="X146" s="82"/>
      <c r="Y146" s="82"/>
      <c r="Z146" s="82"/>
      <c r="AA146" s="82"/>
      <c r="AB146" s="82"/>
    </row>
    <row r="147" spans="1:28" ht="30" x14ac:dyDescent="0.25">
      <c r="A147" s="407"/>
      <c r="B147" s="402"/>
      <c r="C147" s="403"/>
      <c r="D147" s="403"/>
      <c r="E147" s="403"/>
      <c r="F147" s="404"/>
      <c r="G147" s="270" t="s">
        <v>1918</v>
      </c>
      <c r="H147" s="22" t="s">
        <v>1919</v>
      </c>
      <c r="I147" s="22" t="s">
        <v>77</v>
      </c>
      <c r="J147" s="22">
        <v>7.8E-2</v>
      </c>
      <c r="K147" s="22"/>
      <c r="L147" s="22"/>
      <c r="M147" s="22"/>
      <c r="N147" s="22"/>
      <c r="O147" s="22"/>
      <c r="P147" s="22"/>
      <c r="Q147" s="22"/>
      <c r="R147" s="313"/>
      <c r="S147" s="313"/>
      <c r="T147" s="313"/>
      <c r="U147" s="313"/>
      <c r="V147" s="313"/>
      <c r="W147" s="313"/>
      <c r="X147" s="82"/>
      <c r="Y147" s="82"/>
      <c r="Z147" s="82"/>
      <c r="AA147" s="82"/>
      <c r="AB147" s="82"/>
    </row>
    <row r="148" spans="1:28" x14ac:dyDescent="0.25">
      <c r="A148" s="807"/>
      <c r="B148" s="806"/>
      <c r="C148" s="808"/>
      <c r="D148" s="808"/>
      <c r="E148" s="808"/>
      <c r="F148" s="804"/>
      <c r="G148" s="1544" t="s">
        <v>2512</v>
      </c>
      <c r="H148" s="1544"/>
      <c r="I148" s="1544"/>
      <c r="J148" s="1544"/>
      <c r="K148" s="1544"/>
      <c r="L148" s="1545"/>
      <c r="M148" s="129"/>
      <c r="N148" s="130"/>
      <c r="O148" s="62"/>
      <c r="P148" s="62"/>
      <c r="Q148" s="62"/>
      <c r="R148" s="821"/>
      <c r="S148" s="822"/>
      <c r="T148" s="823"/>
      <c r="U148" s="824"/>
      <c r="V148" s="824"/>
      <c r="W148" s="824"/>
      <c r="X148" s="82"/>
      <c r="Y148" s="82"/>
      <c r="Z148" s="82"/>
      <c r="AA148" s="82"/>
      <c r="AB148" s="82"/>
    </row>
    <row r="149" spans="1:28" ht="90" x14ac:dyDescent="0.25">
      <c r="A149" s="807"/>
      <c r="B149" s="806"/>
      <c r="C149" s="808"/>
      <c r="D149" s="808"/>
      <c r="E149" s="808"/>
      <c r="F149" s="804"/>
      <c r="G149" s="22" t="s">
        <v>2732</v>
      </c>
      <c r="H149" s="22" t="s">
        <v>2817</v>
      </c>
      <c r="I149" s="22" t="s">
        <v>2902</v>
      </c>
      <c r="J149" s="22">
        <v>0.32</v>
      </c>
      <c r="K149" s="22"/>
      <c r="L149" s="22"/>
      <c r="M149" s="129"/>
      <c r="N149" s="130"/>
      <c r="O149" s="62"/>
      <c r="P149" s="62"/>
      <c r="Q149" s="62"/>
      <c r="R149" s="821"/>
      <c r="S149" s="822"/>
      <c r="T149" s="823"/>
      <c r="U149" s="824"/>
      <c r="V149" s="824"/>
      <c r="W149" s="824"/>
      <c r="X149" s="82"/>
      <c r="Y149" s="82"/>
      <c r="Z149" s="82"/>
      <c r="AA149" s="82"/>
      <c r="AB149" s="82"/>
    </row>
    <row r="150" spans="1:28" ht="15.75" customHeight="1" thickBot="1" x14ac:dyDescent="0.3">
      <c r="A150" s="393"/>
      <c r="B150" s="394"/>
      <c r="C150" s="395"/>
      <c r="D150" s="395"/>
      <c r="E150" s="395"/>
      <c r="F150" s="396"/>
      <c r="G150" s="1483" t="s">
        <v>1860</v>
      </c>
      <c r="H150" s="1483"/>
      <c r="I150" s="1484"/>
      <c r="J150" s="13">
        <f>SUM(J149)</f>
        <v>0.32</v>
      </c>
      <c r="K150" s="14">
        <v>0.8</v>
      </c>
      <c r="L150" s="13">
        <f>J150/K150</f>
        <v>0.39999999999999997</v>
      </c>
      <c r="M150" s="1482" t="s">
        <v>1861</v>
      </c>
      <c r="N150" s="1484"/>
      <c r="O150" s="13">
        <f>SUM(O144:O147)</f>
        <v>0</v>
      </c>
      <c r="P150" s="14">
        <v>0.8</v>
      </c>
      <c r="Q150" s="13">
        <f>O150/P150</f>
        <v>0</v>
      </c>
      <c r="R150" s="1482" t="s">
        <v>1860</v>
      </c>
      <c r="S150" s="1483"/>
      <c r="T150" s="1484"/>
      <c r="U150" s="13">
        <f>SUM(U147:U147)</f>
        <v>0</v>
      </c>
      <c r="V150" s="14">
        <v>0.8</v>
      </c>
      <c r="W150" s="13">
        <f>U150/V150</f>
        <v>0</v>
      </c>
      <c r="X150" s="82"/>
      <c r="Y150" s="82"/>
      <c r="Z150" s="82"/>
      <c r="AA150" s="82"/>
      <c r="AB150" s="82"/>
    </row>
    <row r="151" spans="1:28" x14ac:dyDescent="0.25">
      <c r="A151" s="397" t="str">
        <f>'Расчет ЦП - общая форма'!C128</f>
        <v xml:space="preserve">ПС 35/10 кВ Яконово </v>
      </c>
      <c r="B151" s="398">
        <f>'Расчет ЦП - общая форма'!D128</f>
        <v>2.5</v>
      </c>
      <c r="C151" s="399" t="str">
        <f>'Расчет ЦП - общая форма'!E128</f>
        <v>+</v>
      </c>
      <c r="D151" s="399">
        <f>'Расчет ЦП - общая форма'!F128</f>
        <v>2.5</v>
      </c>
      <c r="E151" s="399"/>
      <c r="F151" s="400"/>
      <c r="G151" s="43"/>
      <c r="H151" s="17"/>
      <c r="I151" s="17"/>
      <c r="J151" s="17"/>
      <c r="K151" s="17"/>
      <c r="L151" s="73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73"/>
      <c r="X151" s="82"/>
      <c r="Y151" s="82"/>
      <c r="Z151" s="82"/>
      <c r="AA151" s="82"/>
      <c r="AB151" s="82"/>
    </row>
    <row r="152" spans="1:28" ht="15.75" customHeight="1" thickBot="1" x14ac:dyDescent="0.3">
      <c r="A152" s="393"/>
      <c r="B152" s="394"/>
      <c r="C152" s="395"/>
      <c r="D152" s="395"/>
      <c r="E152" s="395"/>
      <c r="F152" s="396"/>
      <c r="G152" s="1483" t="s">
        <v>1860</v>
      </c>
      <c r="H152" s="1483"/>
      <c r="I152" s="1484"/>
      <c r="J152" s="13">
        <f>SUM(J151:J151)</f>
        <v>0</v>
      </c>
      <c r="K152" s="14">
        <v>0.8</v>
      </c>
      <c r="L152" s="13">
        <f>J152/K152</f>
        <v>0</v>
      </c>
      <c r="M152" s="1482" t="s">
        <v>1861</v>
      </c>
      <c r="N152" s="1484"/>
      <c r="O152" s="13">
        <f>SUM(O151:O151)</f>
        <v>0</v>
      </c>
      <c r="P152" s="14">
        <v>0.8</v>
      </c>
      <c r="Q152" s="13">
        <f>O152/P152</f>
        <v>0</v>
      </c>
      <c r="R152" s="1485" t="s">
        <v>1860</v>
      </c>
      <c r="S152" s="1486"/>
      <c r="T152" s="1487"/>
      <c r="U152" s="21">
        <f>SUM(U151:U151)</f>
        <v>0</v>
      </c>
      <c r="V152" s="24">
        <v>0.8</v>
      </c>
      <c r="W152" s="21">
        <f>U152/V152</f>
        <v>0</v>
      </c>
      <c r="X152" s="82"/>
      <c r="Y152" s="82"/>
      <c r="Z152" s="82"/>
      <c r="AA152" s="82"/>
      <c r="AB152" s="82"/>
    </row>
    <row r="153" spans="1:28" x14ac:dyDescent="0.25">
      <c r="A153" s="1557" t="str">
        <f>'Расчет ЦП - общая форма'!C129</f>
        <v xml:space="preserve">ПС 110/35/10 кВ Брусово  </v>
      </c>
      <c r="B153" s="1551">
        <f>'Расчет ЦП - общая форма'!D129</f>
        <v>10</v>
      </c>
      <c r="C153" s="1552" t="str">
        <f>'Расчет ЦП - общая форма'!E129</f>
        <v>+</v>
      </c>
      <c r="D153" s="1552">
        <f>'Расчет ЦП - общая форма'!F129</f>
        <v>10</v>
      </c>
      <c r="E153" s="399"/>
      <c r="F153" s="400"/>
      <c r="G153" s="1499" t="s">
        <v>1988</v>
      </c>
      <c r="H153" s="1499"/>
      <c r="I153" s="1499"/>
      <c r="J153" s="1499"/>
      <c r="K153" s="1499"/>
      <c r="L153" s="1500"/>
      <c r="M153" s="131"/>
      <c r="N153" s="132"/>
      <c r="O153" s="73"/>
      <c r="P153" s="73"/>
      <c r="Q153" s="73"/>
      <c r="R153" s="1572"/>
      <c r="S153" s="1572"/>
      <c r="T153" s="1572"/>
      <c r="U153" s="1572"/>
      <c r="V153" s="1572"/>
      <c r="W153" s="1572"/>
      <c r="X153" s="82"/>
      <c r="Y153" s="82"/>
      <c r="Z153" s="82"/>
      <c r="AA153" s="82"/>
      <c r="AB153" s="82"/>
    </row>
    <row r="154" spans="1:28" ht="30" x14ac:dyDescent="0.25">
      <c r="A154" s="1543"/>
      <c r="B154" s="1501"/>
      <c r="C154" s="1553"/>
      <c r="D154" s="1553"/>
      <c r="E154" s="403"/>
      <c r="F154" s="404"/>
      <c r="G154" s="127" t="s">
        <v>1948</v>
      </c>
      <c r="H154" s="51" t="s">
        <v>1949</v>
      </c>
      <c r="I154" s="51" t="s">
        <v>1950</v>
      </c>
      <c r="J154" s="51">
        <v>0.24</v>
      </c>
      <c r="K154" s="51"/>
      <c r="L154" s="51"/>
      <c r="M154" s="22"/>
      <c r="N154" s="22"/>
      <c r="O154" s="51"/>
      <c r="P154" s="51"/>
      <c r="Q154" s="51"/>
      <c r="R154" s="22"/>
      <c r="S154" s="22"/>
      <c r="T154" s="22"/>
      <c r="U154" s="22"/>
      <c r="V154" s="22"/>
      <c r="W154" s="22"/>
      <c r="X154" s="82"/>
      <c r="Y154" s="82"/>
      <c r="Z154" s="82"/>
      <c r="AA154" s="82"/>
      <c r="AB154" s="82"/>
    </row>
    <row r="155" spans="1:28" x14ac:dyDescent="0.25">
      <c r="A155" s="1035"/>
      <c r="B155" s="1032"/>
      <c r="C155" s="1036"/>
      <c r="D155" s="1036"/>
      <c r="E155" s="1036"/>
      <c r="F155" s="1033"/>
      <c r="G155" s="1544" t="s">
        <v>3069</v>
      </c>
      <c r="H155" s="1544"/>
      <c r="I155" s="1544"/>
      <c r="J155" s="1544"/>
      <c r="K155" s="1544"/>
      <c r="L155" s="1545"/>
      <c r="M155" s="129"/>
      <c r="N155" s="130"/>
      <c r="O155" s="69"/>
      <c r="P155" s="69"/>
      <c r="Q155" s="69"/>
      <c r="R155" s="129"/>
      <c r="S155" s="660"/>
      <c r="T155" s="130"/>
      <c r="U155" s="62"/>
      <c r="V155" s="62"/>
      <c r="W155" s="62"/>
      <c r="X155" s="82"/>
      <c r="Y155" s="82"/>
      <c r="Z155" s="82"/>
      <c r="AA155" s="82"/>
      <c r="AB155" s="82"/>
    </row>
    <row r="156" spans="1:28" ht="225" x14ac:dyDescent="0.25">
      <c r="A156" s="1035"/>
      <c r="B156" s="1032"/>
      <c r="C156" s="1036"/>
      <c r="D156" s="1036"/>
      <c r="E156" s="1036"/>
      <c r="F156" s="1033"/>
      <c r="G156" s="22" t="s">
        <v>2563</v>
      </c>
      <c r="H156" s="22" t="s">
        <v>2621</v>
      </c>
      <c r="I156" s="22" t="s">
        <v>3141</v>
      </c>
      <c r="J156" s="51">
        <f>0.028-0.0093</f>
        <v>1.8700000000000001E-2</v>
      </c>
      <c r="K156" s="22"/>
      <c r="L156" s="22"/>
      <c r="M156" s="129"/>
      <c r="N156" s="130"/>
      <c r="O156" s="69"/>
      <c r="P156" s="69"/>
      <c r="Q156" s="69"/>
      <c r="R156" s="129"/>
      <c r="S156" s="660"/>
      <c r="T156" s="130"/>
      <c r="U156" s="62"/>
      <c r="V156" s="62"/>
      <c r="W156" s="62"/>
      <c r="X156" s="82"/>
      <c r="Y156" s="82"/>
      <c r="Z156" s="82"/>
      <c r="AA156" s="82"/>
      <c r="AB156" s="82"/>
    </row>
    <row r="157" spans="1:28" ht="15.75" customHeight="1" thickBot="1" x14ac:dyDescent="0.3">
      <c r="A157" s="393"/>
      <c r="B157" s="394"/>
      <c r="C157" s="395"/>
      <c r="D157" s="395"/>
      <c r="E157" s="395"/>
      <c r="F157" s="396"/>
      <c r="G157" s="1483" t="s">
        <v>1860</v>
      </c>
      <c r="H157" s="1483"/>
      <c r="I157" s="1484"/>
      <c r="J157" s="13">
        <f>SUM(J156)</f>
        <v>1.8700000000000001E-2</v>
      </c>
      <c r="K157" s="14">
        <v>0.8</v>
      </c>
      <c r="L157" s="13">
        <f>J157/K157</f>
        <v>2.3375E-2</v>
      </c>
      <c r="M157" s="1482" t="s">
        <v>1861</v>
      </c>
      <c r="N157" s="1484"/>
      <c r="O157" s="13">
        <f>SUM(O154:O154)</f>
        <v>0</v>
      </c>
      <c r="P157" s="14">
        <v>0.8</v>
      </c>
      <c r="Q157" s="13">
        <f>O157/P157</f>
        <v>0</v>
      </c>
      <c r="R157" s="1482" t="s">
        <v>1860</v>
      </c>
      <c r="S157" s="1483"/>
      <c r="T157" s="1484"/>
      <c r="U157" s="13">
        <f>SUM(U154:U154)</f>
        <v>0</v>
      </c>
      <c r="V157" s="14">
        <v>0.8</v>
      </c>
      <c r="W157" s="13">
        <f>U157/V157</f>
        <v>0</v>
      </c>
      <c r="X157" s="82"/>
      <c r="Y157" s="82"/>
      <c r="Z157" s="82"/>
      <c r="AA157" s="82"/>
      <c r="AB157" s="82"/>
    </row>
    <row r="158" spans="1:28" ht="14.25" customHeight="1" x14ac:dyDescent="0.25">
      <c r="A158" s="397" t="str">
        <f>'Расчет ЦП - общая форма'!C132</f>
        <v xml:space="preserve">ПС 110/35/6 кВ Выпозово </v>
      </c>
      <c r="B158" s="398">
        <f>'Расчет ЦП - общая форма'!D132</f>
        <v>10</v>
      </c>
      <c r="C158" s="399" t="str">
        <f>'Расчет ЦП - общая форма'!E132</f>
        <v>+</v>
      </c>
      <c r="D158" s="399">
        <f>'Расчет ЦП - общая форма'!F132</f>
        <v>10</v>
      </c>
      <c r="E158" s="399"/>
      <c r="F158" s="400"/>
      <c r="G158" s="1544" t="s">
        <v>3069</v>
      </c>
      <c r="H158" s="1544"/>
      <c r="I158" s="1544"/>
      <c r="J158" s="1544"/>
      <c r="K158" s="1544"/>
      <c r="L158" s="1545"/>
      <c r="M158" s="17" t="s">
        <v>73</v>
      </c>
      <c r="N158" s="17" t="s">
        <v>78</v>
      </c>
      <c r="O158" s="17">
        <v>0.8075</v>
      </c>
      <c r="P158" s="17"/>
      <c r="Q158" s="17"/>
      <c r="R158" s="17"/>
      <c r="S158" s="17"/>
      <c r="T158" s="17"/>
      <c r="U158" s="17"/>
      <c r="V158" s="17"/>
      <c r="W158" s="73"/>
      <c r="X158" s="82"/>
      <c r="Y158" s="82"/>
      <c r="Z158" s="82"/>
      <c r="AA158" s="82"/>
      <c r="AB158" s="82"/>
    </row>
    <row r="159" spans="1:28" ht="63" customHeight="1" x14ac:dyDescent="0.25">
      <c r="A159" s="1199"/>
      <c r="B159" s="1201"/>
      <c r="C159" s="1203"/>
      <c r="D159" s="1203"/>
      <c r="E159" s="1203"/>
      <c r="F159" s="1202"/>
      <c r="G159" s="1518" t="s">
        <v>3484</v>
      </c>
      <c r="H159" s="1519"/>
      <c r="I159" s="1520"/>
      <c r="J159" s="1226">
        <v>0.19700000000000001</v>
      </c>
      <c r="K159" s="69"/>
      <c r="L159" s="69"/>
      <c r="M159" s="585"/>
      <c r="N159" s="41"/>
      <c r="O159" s="128"/>
      <c r="P159" s="128"/>
      <c r="Q159" s="128"/>
      <c r="R159" s="585"/>
      <c r="S159" s="40"/>
      <c r="T159" s="41"/>
      <c r="U159" s="128"/>
      <c r="V159" s="128"/>
      <c r="W159" s="69"/>
      <c r="X159" s="82"/>
      <c r="Y159" s="82"/>
      <c r="Z159" s="82"/>
      <c r="AA159" s="82"/>
      <c r="AB159" s="82"/>
    </row>
    <row r="160" spans="1:28" ht="15.75" customHeight="1" thickBot="1" x14ac:dyDescent="0.3">
      <c r="A160" s="393"/>
      <c r="B160" s="394"/>
      <c r="C160" s="395"/>
      <c r="D160" s="395"/>
      <c r="E160" s="395"/>
      <c r="F160" s="396"/>
      <c r="G160" s="1483" t="s">
        <v>1860</v>
      </c>
      <c r="H160" s="1483"/>
      <c r="I160" s="1484"/>
      <c r="J160" s="13">
        <f>SUM(J159)</f>
        <v>0.19700000000000001</v>
      </c>
      <c r="K160" s="14">
        <v>0.8</v>
      </c>
      <c r="L160" s="13">
        <f>J160/K160</f>
        <v>0.24625</v>
      </c>
      <c r="M160" s="1482" t="s">
        <v>1861</v>
      </c>
      <c r="N160" s="1484"/>
      <c r="O160" s="13">
        <f>SUM(O158:O158)</f>
        <v>0.8075</v>
      </c>
      <c r="P160" s="14">
        <v>0.8</v>
      </c>
      <c r="Q160" s="13">
        <f>O160/P160</f>
        <v>1.0093749999999999</v>
      </c>
      <c r="R160" s="1482" t="s">
        <v>1860</v>
      </c>
      <c r="S160" s="1483"/>
      <c r="T160" s="1484"/>
      <c r="U160" s="13">
        <f>SUM(U158:U158)</f>
        <v>0</v>
      </c>
      <c r="V160" s="14">
        <v>0.8</v>
      </c>
      <c r="W160" s="13">
        <f>U160/V160</f>
        <v>0</v>
      </c>
      <c r="X160" s="82"/>
      <c r="Y160" s="82"/>
      <c r="Z160" s="82"/>
      <c r="AA160" s="82"/>
      <c r="AB160" s="82"/>
    </row>
    <row r="161" spans="1:28" x14ac:dyDescent="0.25">
      <c r="A161" s="1557" t="str">
        <f>'Расчет ЦП - общая форма'!C135</f>
        <v xml:space="preserve">ПС 110/35/6 кВ Вышний Волочек </v>
      </c>
      <c r="B161" s="1551">
        <f>'Расчет ЦП - общая форма'!D135</f>
        <v>40</v>
      </c>
      <c r="C161" s="1552" t="str">
        <f>'Расчет ЦП - общая форма'!E135</f>
        <v>+</v>
      </c>
      <c r="D161" s="1552">
        <f>'Расчет ЦП - общая форма'!F135</f>
        <v>40</v>
      </c>
      <c r="E161" s="399"/>
      <c r="F161" s="400"/>
      <c r="G161" s="1499" t="s">
        <v>1987</v>
      </c>
      <c r="H161" s="1499"/>
      <c r="I161" s="1499"/>
      <c r="J161" s="1499"/>
      <c r="K161" s="1499"/>
      <c r="L161" s="1500"/>
      <c r="M161" s="131"/>
      <c r="N161" s="132"/>
      <c r="O161" s="73"/>
      <c r="P161" s="73"/>
      <c r="Q161" s="73"/>
      <c r="R161" s="1566"/>
      <c r="S161" s="1567"/>
      <c r="T161" s="1567"/>
      <c r="U161" s="1567"/>
      <c r="V161" s="1567"/>
      <c r="W161" s="1568"/>
      <c r="X161" s="82"/>
      <c r="Y161" s="82"/>
      <c r="Z161" s="82"/>
      <c r="AA161" s="82"/>
      <c r="AB161" s="82"/>
    </row>
    <row r="162" spans="1:28" ht="64.5" customHeight="1" x14ac:dyDescent="0.25">
      <c r="A162" s="1543"/>
      <c r="B162" s="1501"/>
      <c r="C162" s="1553"/>
      <c r="D162" s="1553"/>
      <c r="E162" s="403"/>
      <c r="F162" s="404"/>
      <c r="G162" s="310" t="s">
        <v>1908</v>
      </c>
      <c r="H162" s="69" t="s">
        <v>1909</v>
      </c>
      <c r="I162" s="69" t="s">
        <v>1910</v>
      </c>
      <c r="J162" s="69">
        <v>0.03</v>
      </c>
      <c r="K162" s="51"/>
      <c r="L162" s="51"/>
      <c r="M162" s="51"/>
      <c r="N162" s="51"/>
      <c r="O162" s="51"/>
      <c r="P162" s="51"/>
      <c r="Q162" s="51"/>
      <c r="R162" s="69"/>
      <c r="S162" s="69"/>
      <c r="T162" s="69"/>
      <c r="U162" s="69"/>
      <c r="V162" s="51"/>
      <c r="W162" s="51"/>
      <c r="X162" s="82"/>
      <c r="Y162" s="82"/>
      <c r="Z162" s="82"/>
      <c r="AA162" s="82"/>
      <c r="AB162" s="82"/>
    </row>
    <row r="163" spans="1:28" ht="60" customHeight="1" x14ac:dyDescent="0.25">
      <c r="A163" s="407"/>
      <c r="B163" s="402"/>
      <c r="C163" s="403"/>
      <c r="D163" s="403"/>
      <c r="E163" s="403"/>
      <c r="F163" s="404"/>
      <c r="G163" s="270" t="s">
        <v>1891</v>
      </c>
      <c r="H163" s="22" t="s">
        <v>79</v>
      </c>
      <c r="I163" s="22" t="s">
        <v>77</v>
      </c>
      <c r="J163" s="22">
        <v>7.8E-2</v>
      </c>
      <c r="K163" s="51"/>
      <c r="L163" s="51"/>
      <c r="M163" s="148"/>
      <c r="N163" s="148"/>
      <c r="O163" s="148"/>
      <c r="P163" s="9"/>
      <c r="Q163" s="9"/>
      <c r="R163" s="22"/>
      <c r="S163" s="22"/>
      <c r="T163" s="22"/>
      <c r="U163" s="22"/>
      <c r="V163" s="51"/>
      <c r="W163" s="51"/>
      <c r="X163" s="82"/>
      <c r="Y163" s="82"/>
      <c r="Z163" s="82"/>
      <c r="AA163" s="82"/>
      <c r="AB163" s="82"/>
    </row>
    <row r="164" spans="1:28" ht="15.75" customHeight="1" thickBot="1" x14ac:dyDescent="0.3">
      <c r="A164" s="393"/>
      <c r="B164" s="394"/>
      <c r="C164" s="395"/>
      <c r="D164" s="395"/>
      <c r="E164" s="395"/>
      <c r="F164" s="396"/>
      <c r="G164" s="1486" t="s">
        <v>1860</v>
      </c>
      <c r="H164" s="1486"/>
      <c r="I164" s="1487"/>
      <c r="J164" s="21">
        <f>SUM(0)</f>
        <v>0</v>
      </c>
      <c r="K164" s="24">
        <v>0.8</v>
      </c>
      <c r="L164" s="21">
        <f>J164/K164</f>
        <v>0</v>
      </c>
      <c r="M164" s="1485" t="s">
        <v>1861</v>
      </c>
      <c r="N164" s="1487"/>
      <c r="O164" s="21">
        <f>SUM(O162:O163)</f>
        <v>0</v>
      </c>
      <c r="P164" s="24">
        <v>0.8</v>
      </c>
      <c r="Q164" s="21">
        <f>O164/P164</f>
        <v>0</v>
      </c>
      <c r="R164" s="1485" t="s">
        <v>1860</v>
      </c>
      <c r="S164" s="1486"/>
      <c r="T164" s="1487"/>
      <c r="U164" s="21">
        <f>SUM(U162:U163)</f>
        <v>0</v>
      </c>
      <c r="V164" s="24">
        <v>0.8</v>
      </c>
      <c r="W164" s="21">
        <f>U164/V164</f>
        <v>0</v>
      </c>
      <c r="X164" s="82"/>
      <c r="Y164" s="82"/>
      <c r="Z164" s="82"/>
      <c r="AA164" s="82"/>
      <c r="AB164" s="82"/>
    </row>
    <row r="165" spans="1:28" x14ac:dyDescent="0.25">
      <c r="A165" s="1557" t="str">
        <f>'Расчет ЦП - общая форма'!C138</f>
        <v xml:space="preserve">ПС 110/35/10-6 кВ Кашарово </v>
      </c>
      <c r="B165" s="1551">
        <f>'Расчет ЦП - общая форма'!D138</f>
        <v>25</v>
      </c>
      <c r="C165" s="1552" t="str">
        <f>'Расчет ЦП - общая форма'!E138</f>
        <v>+</v>
      </c>
      <c r="D165" s="1552">
        <f>'Расчет ЦП - общая форма'!F138</f>
        <v>20</v>
      </c>
      <c r="E165" s="399"/>
      <c r="F165" s="400"/>
      <c r="G165" s="1499" t="s">
        <v>1989</v>
      </c>
      <c r="H165" s="1499"/>
      <c r="I165" s="1499"/>
      <c r="J165" s="1499"/>
      <c r="K165" s="1499"/>
      <c r="L165" s="1500"/>
      <c r="M165" s="131"/>
      <c r="N165" s="132"/>
      <c r="O165" s="73"/>
      <c r="P165" s="73"/>
      <c r="Q165" s="73"/>
      <c r="R165" s="1566"/>
      <c r="S165" s="1567"/>
      <c r="T165" s="1567"/>
      <c r="U165" s="1567"/>
      <c r="V165" s="1567"/>
      <c r="W165" s="1568"/>
      <c r="X165" s="82"/>
      <c r="Y165" s="82"/>
      <c r="Z165" s="82"/>
      <c r="AA165" s="82"/>
      <c r="AB165" s="82"/>
    </row>
    <row r="166" spans="1:28" ht="76.5" customHeight="1" x14ac:dyDescent="0.25">
      <c r="A166" s="1543"/>
      <c r="B166" s="1501"/>
      <c r="C166" s="1553"/>
      <c r="D166" s="1553"/>
      <c r="E166" s="403"/>
      <c r="F166" s="404"/>
      <c r="G166" s="127" t="s">
        <v>1891</v>
      </c>
      <c r="H166" s="51" t="s">
        <v>1911</v>
      </c>
      <c r="I166" s="51" t="s">
        <v>1912</v>
      </c>
      <c r="J166" s="51">
        <v>2.5000000000000001E-2</v>
      </c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82"/>
      <c r="Y166" s="82"/>
      <c r="Z166" s="82"/>
      <c r="AA166" s="82"/>
      <c r="AB166" s="82"/>
    </row>
    <row r="167" spans="1:28" ht="15.75" customHeight="1" thickBot="1" x14ac:dyDescent="0.3">
      <c r="A167" s="393"/>
      <c r="B167" s="394"/>
      <c r="C167" s="395"/>
      <c r="D167" s="395"/>
      <c r="E167" s="395"/>
      <c r="F167" s="396"/>
      <c r="G167" s="1483" t="s">
        <v>1860</v>
      </c>
      <c r="H167" s="1483"/>
      <c r="I167" s="1484"/>
      <c r="J167" s="13">
        <f>SUM(0)</f>
        <v>0</v>
      </c>
      <c r="K167" s="14">
        <v>0.8</v>
      </c>
      <c r="L167" s="13">
        <f>J167/K167</f>
        <v>0</v>
      </c>
      <c r="M167" s="1482" t="s">
        <v>1861</v>
      </c>
      <c r="N167" s="1484"/>
      <c r="O167" s="13">
        <f>SUM(O166:O166)</f>
        <v>0</v>
      </c>
      <c r="P167" s="14">
        <v>0.8</v>
      </c>
      <c r="Q167" s="13">
        <f>O167/P167</f>
        <v>0</v>
      </c>
      <c r="R167" s="1482" t="s">
        <v>1860</v>
      </c>
      <c r="S167" s="1483"/>
      <c r="T167" s="1484"/>
      <c r="U167" s="13">
        <f>SUM(U166:U166)-U166</f>
        <v>0</v>
      </c>
      <c r="V167" s="14">
        <v>0.8</v>
      </c>
      <c r="W167" s="13">
        <f>U167/V167</f>
        <v>0</v>
      </c>
      <c r="X167" s="82"/>
      <c r="Y167" s="82"/>
      <c r="Z167" s="82"/>
      <c r="AA167" s="82"/>
      <c r="AB167" s="82"/>
    </row>
    <row r="168" spans="1:28" ht="75" x14ac:dyDescent="0.25">
      <c r="A168" s="397" t="str">
        <f>'Расчет ЦП - общая форма'!C141</f>
        <v xml:space="preserve">ПС 110/35/10 кВ Спирово </v>
      </c>
      <c r="B168" s="398">
        <f>'Расчет ЦП - общая форма'!D141</f>
        <v>16</v>
      </c>
      <c r="C168" s="399" t="str">
        <f>'Расчет ЦП - общая форма'!E141</f>
        <v>+</v>
      </c>
      <c r="D168" s="399">
        <f>'Расчет ЦП - общая форма'!F141</f>
        <v>16</v>
      </c>
      <c r="E168" s="399"/>
      <c r="F168" s="400"/>
      <c r="G168" s="43"/>
      <c r="H168" s="17"/>
      <c r="I168" s="17"/>
      <c r="J168" s="17"/>
      <c r="K168" s="17"/>
      <c r="L168" s="73"/>
      <c r="M168" s="17" t="s">
        <v>2467</v>
      </c>
      <c r="N168" s="17" t="s">
        <v>2468</v>
      </c>
      <c r="O168" s="17">
        <v>2.1000000000000001E-2</v>
      </c>
      <c r="P168" s="17"/>
      <c r="Q168" s="17"/>
      <c r="R168" s="17"/>
      <c r="S168" s="17"/>
      <c r="T168" s="17"/>
      <c r="U168" s="17"/>
      <c r="V168" s="17"/>
      <c r="W168" s="73"/>
      <c r="X168" s="82"/>
      <c r="Y168" s="82"/>
      <c r="Z168" s="82"/>
      <c r="AA168" s="82"/>
      <c r="AB168" s="82"/>
    </row>
    <row r="169" spans="1:28" ht="120" x14ac:dyDescent="0.25">
      <c r="A169" s="846"/>
      <c r="B169" s="845"/>
      <c r="C169" s="847"/>
      <c r="D169" s="847"/>
      <c r="E169" s="847"/>
      <c r="F169" s="843"/>
      <c r="G169" s="40"/>
      <c r="H169" s="40"/>
      <c r="I169" s="41"/>
      <c r="J169" s="128"/>
      <c r="K169" s="128"/>
      <c r="L169" s="69"/>
      <c r="M169" s="24" t="s">
        <v>3016</v>
      </c>
      <c r="N169" s="24" t="s">
        <v>3017</v>
      </c>
      <c r="O169" s="24">
        <v>2.2999999999999998</v>
      </c>
      <c r="P169" s="24"/>
      <c r="Q169" s="24"/>
      <c r="R169" s="585"/>
      <c r="S169" s="40"/>
      <c r="T169" s="41"/>
      <c r="U169" s="128"/>
      <c r="V169" s="128"/>
      <c r="W169" s="69"/>
      <c r="X169" s="82"/>
      <c r="Y169" s="82"/>
      <c r="Z169" s="82"/>
      <c r="AA169" s="82"/>
      <c r="AB169" s="82"/>
    </row>
    <row r="170" spans="1:28" ht="120" x14ac:dyDescent="0.25">
      <c r="A170" s="861"/>
      <c r="B170" s="862"/>
      <c r="C170" s="863"/>
      <c r="D170" s="863"/>
      <c r="E170" s="863"/>
      <c r="F170" s="859"/>
      <c r="G170" s="1"/>
      <c r="H170" s="1"/>
      <c r="I170" s="1"/>
      <c r="J170" s="1"/>
      <c r="K170" s="1"/>
      <c r="L170" s="22"/>
      <c r="M170" s="1" t="s">
        <v>3039</v>
      </c>
      <c r="N170" s="1" t="s">
        <v>3040</v>
      </c>
      <c r="O170" s="1">
        <f>0.03-0.015</f>
        <v>1.4999999999999999E-2</v>
      </c>
      <c r="P170" s="1"/>
      <c r="Q170" s="1"/>
      <c r="R170" s="1"/>
      <c r="S170" s="1"/>
      <c r="T170" s="1"/>
      <c r="U170" s="1"/>
      <c r="V170" s="1"/>
      <c r="W170" s="22"/>
      <c r="X170" s="82"/>
      <c r="Y170" s="82"/>
      <c r="Z170" s="82"/>
      <c r="AA170" s="82"/>
      <c r="AB170" s="82"/>
    </row>
    <row r="171" spans="1:28" ht="15.75" customHeight="1" thickBot="1" x14ac:dyDescent="0.3">
      <c r="A171" s="393"/>
      <c r="B171" s="394"/>
      <c r="C171" s="395"/>
      <c r="D171" s="395"/>
      <c r="E171" s="395"/>
      <c r="F171" s="396"/>
      <c r="G171" s="1483" t="s">
        <v>1860</v>
      </c>
      <c r="H171" s="1483"/>
      <c r="I171" s="1484"/>
      <c r="J171" s="13">
        <f>SUM(J168:J168)</f>
        <v>0</v>
      </c>
      <c r="K171" s="14">
        <v>0.8</v>
      </c>
      <c r="L171" s="13">
        <f>J171/K171</f>
        <v>0</v>
      </c>
      <c r="M171" s="1482" t="s">
        <v>1861</v>
      </c>
      <c r="N171" s="1484"/>
      <c r="O171" s="13">
        <f>SUM(O168:O170)</f>
        <v>2.3359999999999999</v>
      </c>
      <c r="P171" s="14">
        <v>0.8</v>
      </c>
      <c r="Q171" s="13">
        <f>O171/P171</f>
        <v>2.9199999999999995</v>
      </c>
      <c r="R171" s="1482" t="s">
        <v>1860</v>
      </c>
      <c r="S171" s="1483"/>
      <c r="T171" s="1484"/>
      <c r="U171" s="13">
        <f>SUM(U168:U168)</f>
        <v>0</v>
      </c>
      <c r="V171" s="14">
        <v>0.8</v>
      </c>
      <c r="W171" s="13">
        <f>U171/V171</f>
        <v>0</v>
      </c>
      <c r="X171" s="82"/>
      <c r="Y171" s="82"/>
      <c r="Z171" s="82"/>
      <c r="AA171" s="82"/>
      <c r="AB171" s="82"/>
    </row>
    <row r="172" spans="1:28" ht="54.75" customHeight="1" x14ac:dyDescent="0.25">
      <c r="A172" s="397" t="str">
        <f>'Расчет ЦП - общая форма'!C144</f>
        <v>ПС 110/35/10 кВ Труд</v>
      </c>
      <c r="B172" s="398">
        <f>'Расчет ЦП - общая форма'!D144</f>
        <v>16</v>
      </c>
      <c r="C172" s="399" t="str">
        <f>'Расчет ЦП - общая форма'!E144</f>
        <v>+</v>
      </c>
      <c r="D172" s="399">
        <f>'Расчет ЦП - общая форма'!F144</f>
        <v>16</v>
      </c>
      <c r="E172" s="399"/>
      <c r="F172" s="400"/>
      <c r="G172" s="43"/>
      <c r="H172" s="17"/>
      <c r="I172" s="17"/>
      <c r="J172" s="17"/>
      <c r="K172" s="17"/>
      <c r="L172" s="73"/>
      <c r="M172" s="1"/>
      <c r="N172" s="1"/>
      <c r="O172" s="1"/>
      <c r="P172" s="17"/>
      <c r="Q172" s="17"/>
      <c r="R172" s="17"/>
      <c r="S172" s="17"/>
      <c r="T172" s="17"/>
      <c r="U172" s="17"/>
      <c r="V172" s="17"/>
      <c r="W172" s="73"/>
      <c r="X172" s="82"/>
      <c r="Y172" s="82"/>
      <c r="Z172" s="82"/>
      <c r="AA172" s="82"/>
      <c r="AB172" s="82"/>
    </row>
    <row r="173" spans="1:28" ht="15.75" customHeight="1" thickBot="1" x14ac:dyDescent="0.3">
      <c r="A173" s="393"/>
      <c r="B173" s="394"/>
      <c r="C173" s="395"/>
      <c r="D173" s="395"/>
      <c r="E173" s="395"/>
      <c r="F173" s="396"/>
      <c r="G173" s="1483" t="s">
        <v>1860</v>
      </c>
      <c r="H173" s="1483"/>
      <c r="I173" s="1484"/>
      <c r="J173" s="13">
        <f>SUM(J172:J172)</f>
        <v>0</v>
      </c>
      <c r="K173" s="14">
        <v>0.8</v>
      </c>
      <c r="L173" s="13">
        <f>J173/K173</f>
        <v>0</v>
      </c>
      <c r="M173" s="1482" t="s">
        <v>1861</v>
      </c>
      <c r="N173" s="1484"/>
      <c r="O173" s="13">
        <f>SUM(O172:O172)</f>
        <v>0</v>
      </c>
      <c r="P173" s="14">
        <v>0.8</v>
      </c>
      <c r="Q173" s="13">
        <f>O173/P173</f>
        <v>0</v>
      </c>
      <c r="R173" s="1482" t="s">
        <v>1860</v>
      </c>
      <c r="S173" s="1483"/>
      <c r="T173" s="1484"/>
      <c r="U173" s="13">
        <f>SUM(U172:U172)</f>
        <v>0</v>
      </c>
      <c r="V173" s="14">
        <v>0.8</v>
      </c>
      <c r="W173" s="13">
        <f>U173/V173</f>
        <v>0</v>
      </c>
      <c r="X173" s="82"/>
      <c r="Y173" s="82"/>
      <c r="Z173" s="82"/>
      <c r="AA173" s="82"/>
      <c r="AB173" s="82"/>
    </row>
    <row r="174" spans="1:28" s="82" customFormat="1" x14ac:dyDescent="0.25">
      <c r="A174" s="1551" t="str">
        <f>'Расчет ЦП - общая форма'!C147</f>
        <v xml:space="preserve">ПС 110/35/10 кВ Удомля  </v>
      </c>
      <c r="B174" s="1551">
        <f>'Расчет ЦП - общая форма'!D147</f>
        <v>25</v>
      </c>
      <c r="C174" s="1552" t="str">
        <f>'Расчет ЦП - общая форма'!E147</f>
        <v>+</v>
      </c>
      <c r="D174" s="1552">
        <f>'Расчет ЦП - общая форма'!F147</f>
        <v>25</v>
      </c>
      <c r="E174" s="399"/>
      <c r="F174" s="400"/>
      <c r="G174" s="1515" t="s">
        <v>1989</v>
      </c>
      <c r="H174" s="1515"/>
      <c r="I174" s="1515"/>
      <c r="J174" s="1515"/>
      <c r="K174" s="1515"/>
      <c r="L174" s="1516"/>
      <c r="M174" s="126"/>
      <c r="N174" s="127"/>
      <c r="O174" s="51"/>
      <c r="P174" s="51"/>
      <c r="Q174" s="51"/>
      <c r="R174" s="1560"/>
      <c r="S174" s="1560"/>
      <c r="T174" s="1560"/>
      <c r="U174" s="1560"/>
      <c r="V174" s="1560"/>
      <c r="W174" s="1561"/>
    </row>
    <row r="175" spans="1:28" s="82" customFormat="1" ht="52.5" customHeight="1" x14ac:dyDescent="0.25">
      <c r="A175" s="1501"/>
      <c r="B175" s="1501"/>
      <c r="C175" s="1553"/>
      <c r="D175" s="1553"/>
      <c r="E175" s="403"/>
      <c r="F175" s="404"/>
      <c r="G175" s="127" t="s">
        <v>1999</v>
      </c>
      <c r="H175" s="51" t="s">
        <v>1935</v>
      </c>
      <c r="I175" s="51" t="s">
        <v>1936</v>
      </c>
      <c r="J175" s="51">
        <v>3.5830000000000002</v>
      </c>
      <c r="K175" s="51"/>
      <c r="L175" s="51"/>
      <c r="M175" s="264"/>
      <c r="N175" s="264"/>
      <c r="O175" s="22"/>
      <c r="P175" s="22"/>
      <c r="Q175" s="22"/>
      <c r="R175" s="127"/>
      <c r="S175" s="51"/>
      <c r="T175" s="51"/>
      <c r="U175" s="51"/>
      <c r="V175" s="51"/>
      <c r="W175" s="51"/>
    </row>
    <row r="176" spans="1:28" s="82" customFormat="1" ht="45" x14ac:dyDescent="0.25">
      <c r="A176" s="402"/>
      <c r="B176" s="402"/>
      <c r="C176" s="403"/>
      <c r="D176" s="403"/>
      <c r="E176" s="403"/>
      <c r="F176" s="404"/>
      <c r="G176" s="127" t="s">
        <v>1939</v>
      </c>
      <c r="H176" s="51" t="s">
        <v>1940</v>
      </c>
      <c r="I176" s="51" t="s">
        <v>1941</v>
      </c>
      <c r="J176" s="51">
        <v>0.10299999999999999</v>
      </c>
      <c r="K176" s="51"/>
      <c r="L176" s="51"/>
      <c r="M176" s="22" t="s">
        <v>1933</v>
      </c>
      <c r="N176" s="22" t="s">
        <v>1934</v>
      </c>
      <c r="O176" s="22">
        <v>2.7E-2</v>
      </c>
      <c r="P176" s="51"/>
      <c r="Q176" s="51"/>
      <c r="R176" s="127"/>
      <c r="S176" s="51"/>
      <c r="T176" s="51"/>
      <c r="U176" s="51"/>
      <c r="V176" s="51"/>
      <c r="W176" s="51"/>
    </row>
    <row r="177" spans="1:23" s="82" customFormat="1" ht="68.25" customHeight="1" x14ac:dyDescent="0.25">
      <c r="A177" s="402"/>
      <c r="B177" s="402"/>
      <c r="C177" s="403"/>
      <c r="D177" s="403"/>
      <c r="E177" s="403"/>
      <c r="F177" s="404"/>
      <c r="G177" s="130" t="s">
        <v>1945</v>
      </c>
      <c r="H177" s="62" t="s">
        <v>1946</v>
      </c>
      <c r="I177" s="342" t="s">
        <v>1947</v>
      </c>
      <c r="J177" s="62">
        <v>0.02</v>
      </c>
      <c r="K177" s="51"/>
      <c r="L177" s="51"/>
      <c r="M177" s="22" t="s">
        <v>1937</v>
      </c>
      <c r="N177" s="22" t="s">
        <v>1938</v>
      </c>
      <c r="O177" s="22">
        <v>0.17499999999999999</v>
      </c>
      <c r="P177" s="51"/>
      <c r="Q177" s="51"/>
      <c r="R177" s="130"/>
      <c r="S177" s="62"/>
      <c r="T177" s="342"/>
      <c r="U177" s="62"/>
      <c r="V177" s="51"/>
      <c r="W177" s="51"/>
    </row>
    <row r="178" spans="1:23" s="82" customFormat="1" ht="59.25" customHeight="1" x14ac:dyDescent="0.25">
      <c r="A178" s="402"/>
      <c r="B178" s="402"/>
      <c r="C178" s="403"/>
      <c r="D178" s="403"/>
      <c r="E178" s="403"/>
      <c r="F178" s="404"/>
      <c r="G178" s="343"/>
      <c r="H178" s="264"/>
      <c r="I178" s="264"/>
      <c r="J178" s="264"/>
      <c r="K178" s="22"/>
      <c r="L178" s="22"/>
      <c r="M178" s="264"/>
      <c r="N178" s="264"/>
      <c r="O178" s="264"/>
      <c r="P178" s="22"/>
      <c r="Q178" s="22"/>
      <c r="R178" s="343"/>
      <c r="S178" s="264"/>
      <c r="T178" s="264"/>
      <c r="U178" s="264"/>
      <c r="V178" s="22"/>
      <c r="W178" s="22"/>
    </row>
    <row r="179" spans="1:23" s="82" customFormat="1" x14ac:dyDescent="0.25">
      <c r="A179" s="402"/>
      <c r="B179" s="402"/>
      <c r="C179" s="403"/>
      <c r="D179" s="403"/>
      <c r="E179" s="403"/>
      <c r="F179" s="404"/>
      <c r="G179" s="1544" t="s">
        <v>1987</v>
      </c>
      <c r="H179" s="1544"/>
      <c r="I179" s="1544"/>
      <c r="J179" s="1544"/>
      <c r="K179" s="1544"/>
      <c r="L179" s="1545"/>
      <c r="M179" s="22"/>
      <c r="N179" s="270"/>
      <c r="O179" s="22"/>
      <c r="P179" s="22"/>
      <c r="Q179" s="22"/>
      <c r="R179" s="1562"/>
      <c r="S179" s="1562"/>
      <c r="T179" s="1562"/>
      <c r="U179" s="1562"/>
      <c r="V179" s="1562"/>
      <c r="W179" s="1563"/>
    </row>
    <row r="180" spans="1:23" s="82" customFormat="1" ht="65.25" customHeight="1" x14ac:dyDescent="0.25">
      <c r="A180" s="402"/>
      <c r="B180" s="402"/>
      <c r="C180" s="403"/>
      <c r="D180" s="403"/>
      <c r="E180" s="403"/>
      <c r="F180" s="404"/>
      <c r="G180" s="270" t="s">
        <v>1942</v>
      </c>
      <c r="H180" s="22" t="s">
        <v>1943</v>
      </c>
      <c r="I180" s="22" t="s">
        <v>1944</v>
      </c>
      <c r="J180" s="22">
        <v>0.04</v>
      </c>
      <c r="K180" s="22"/>
      <c r="L180" s="22"/>
      <c r="M180" s="51" t="s">
        <v>98</v>
      </c>
      <c r="N180" s="51" t="s">
        <v>99</v>
      </c>
      <c r="O180" s="51">
        <v>0.01</v>
      </c>
      <c r="P180" s="51"/>
      <c r="Q180" s="51"/>
      <c r="R180" s="22"/>
      <c r="S180" s="22"/>
      <c r="T180" s="22"/>
      <c r="U180" s="22"/>
      <c r="V180" s="22"/>
      <c r="W180" s="22"/>
    </row>
    <row r="181" spans="1:23" s="82" customFormat="1" ht="65.25" customHeight="1" x14ac:dyDescent="0.25">
      <c r="A181" s="402"/>
      <c r="B181" s="402"/>
      <c r="C181" s="403"/>
      <c r="D181" s="403"/>
      <c r="E181" s="403"/>
      <c r="F181" s="404"/>
      <c r="G181" s="602"/>
      <c r="H181" s="602"/>
      <c r="I181" s="602"/>
      <c r="J181" s="602"/>
      <c r="K181" s="22"/>
      <c r="L181" s="22"/>
      <c r="M181" s="22" t="s">
        <v>1457</v>
      </c>
      <c r="N181" s="22" t="s">
        <v>2015</v>
      </c>
      <c r="O181" s="22">
        <v>0.1</v>
      </c>
      <c r="P181" s="69"/>
      <c r="Q181" s="69"/>
      <c r="R181" s="62"/>
      <c r="S181" s="62"/>
      <c r="T181" s="62"/>
      <c r="U181" s="62"/>
      <c r="V181" s="62"/>
      <c r="W181" s="62"/>
    </row>
    <row r="182" spans="1:23" s="82" customFormat="1" ht="19.5" customHeight="1" x14ac:dyDescent="0.25">
      <c r="A182" s="402"/>
      <c r="B182" s="402"/>
      <c r="C182" s="403"/>
      <c r="D182" s="403"/>
      <c r="E182" s="403"/>
      <c r="F182" s="404"/>
      <c r="G182" s="656" t="s">
        <v>2485</v>
      </c>
      <c r="H182" s="657"/>
      <c r="I182" s="657"/>
      <c r="J182" s="657"/>
      <c r="K182" s="657"/>
      <c r="L182" s="658"/>
      <c r="M182" s="62" t="s">
        <v>1479</v>
      </c>
      <c r="N182" s="62" t="s">
        <v>2016</v>
      </c>
      <c r="O182" s="62">
        <v>6.8699999999999997E-2</v>
      </c>
      <c r="P182" s="22"/>
      <c r="Q182" s="22"/>
      <c r="R182" s="709"/>
      <c r="S182" s="313"/>
      <c r="T182" s="313"/>
      <c r="U182" s="313"/>
      <c r="V182" s="313"/>
      <c r="W182" s="313"/>
    </row>
    <row r="183" spans="1:23" s="82" customFormat="1" ht="68.25" customHeight="1" x14ac:dyDescent="0.25">
      <c r="A183" s="582"/>
      <c r="B183" s="582"/>
      <c r="C183" s="584"/>
      <c r="D183" s="584"/>
      <c r="E183" s="584"/>
      <c r="F183" s="580"/>
      <c r="G183" s="270" t="s">
        <v>2399</v>
      </c>
      <c r="H183" s="22" t="s">
        <v>2537</v>
      </c>
      <c r="I183" s="22" t="s">
        <v>2272</v>
      </c>
      <c r="J183" s="22">
        <v>0.26</v>
      </c>
      <c r="K183" s="313"/>
      <c r="L183" s="313"/>
      <c r="M183" s="62"/>
      <c r="N183" s="62"/>
      <c r="O183" s="62"/>
      <c r="P183" s="22"/>
      <c r="Q183" s="22"/>
      <c r="R183" s="709"/>
      <c r="S183" s="313"/>
      <c r="T183" s="313"/>
      <c r="U183" s="313"/>
      <c r="V183" s="313"/>
      <c r="W183" s="313"/>
    </row>
    <row r="184" spans="1:23" s="82" customFormat="1" ht="65.25" customHeight="1" x14ac:dyDescent="0.25">
      <c r="A184" s="402"/>
      <c r="B184" s="402"/>
      <c r="C184" s="403"/>
      <c r="D184" s="403"/>
      <c r="E184" s="403"/>
      <c r="F184" s="404"/>
      <c r="G184" s="270" t="s">
        <v>2017</v>
      </c>
      <c r="H184" s="22" t="s">
        <v>2018</v>
      </c>
      <c r="I184" s="22" t="s">
        <v>2484</v>
      </c>
      <c r="J184" s="22">
        <v>0.25600000000000001</v>
      </c>
      <c r="K184" s="22"/>
      <c r="L184" s="22"/>
      <c r="M184" s="264"/>
      <c r="N184" s="264"/>
      <c r="O184" s="22"/>
      <c r="P184" s="51"/>
      <c r="Q184" s="69"/>
      <c r="R184" s="51"/>
      <c r="S184" s="51"/>
      <c r="T184" s="51"/>
      <c r="U184" s="51"/>
      <c r="V184" s="51"/>
      <c r="W184" s="51"/>
    </row>
    <row r="185" spans="1:23" s="82" customFormat="1" ht="65.25" customHeight="1" x14ac:dyDescent="0.25">
      <c r="A185" s="402"/>
      <c r="B185" s="402"/>
      <c r="C185" s="403"/>
      <c r="D185" s="403"/>
      <c r="E185" s="403"/>
      <c r="F185" s="404"/>
      <c r="G185" s="127" t="s">
        <v>2399</v>
      </c>
      <c r="H185" s="51" t="s">
        <v>1932</v>
      </c>
      <c r="I185" s="22" t="s">
        <v>2487</v>
      </c>
      <c r="J185" s="22">
        <v>0.16550000000000001</v>
      </c>
      <c r="K185" s="22"/>
      <c r="L185" s="22"/>
      <c r="M185" s="22" t="s">
        <v>2017</v>
      </c>
      <c r="N185" s="22" t="s">
        <v>2041</v>
      </c>
      <c r="O185" s="22">
        <v>0.16</v>
      </c>
      <c r="P185" s="22"/>
      <c r="Q185" s="22"/>
      <c r="R185" s="51"/>
      <c r="S185" s="51"/>
      <c r="T185" s="22"/>
      <c r="U185" s="22"/>
      <c r="V185" s="22"/>
      <c r="W185" s="22"/>
    </row>
    <row r="186" spans="1:23" s="82" customFormat="1" ht="65.25" customHeight="1" x14ac:dyDescent="0.25">
      <c r="A186" s="402"/>
      <c r="B186" s="402"/>
      <c r="C186" s="403"/>
      <c r="D186" s="403"/>
      <c r="E186" s="403"/>
      <c r="F186" s="404"/>
      <c r="G186" s="270" t="s">
        <v>2400</v>
      </c>
      <c r="H186" s="22" t="s">
        <v>2401</v>
      </c>
      <c r="I186" s="22" t="s">
        <v>2500</v>
      </c>
      <c r="J186" s="22">
        <v>0.16</v>
      </c>
      <c r="K186" s="22"/>
      <c r="L186" s="22"/>
      <c r="M186" s="22" t="s">
        <v>98</v>
      </c>
      <c r="N186" s="22" t="s">
        <v>2042</v>
      </c>
      <c r="O186" s="22">
        <v>3.4000000000000002E-2</v>
      </c>
      <c r="P186" s="22"/>
      <c r="Q186" s="62"/>
      <c r="R186" s="22"/>
      <c r="S186" s="22"/>
      <c r="T186" s="22"/>
      <c r="U186" s="22"/>
      <c r="V186" s="22"/>
      <c r="W186" s="22"/>
    </row>
    <row r="187" spans="1:23" s="82" customFormat="1" ht="18" customHeight="1" x14ac:dyDescent="0.25">
      <c r="A187" s="402"/>
      <c r="B187" s="402"/>
      <c r="C187" s="403"/>
      <c r="D187" s="403"/>
      <c r="E187" s="403"/>
      <c r="F187" s="404"/>
      <c r="G187" s="1547" t="s">
        <v>2675</v>
      </c>
      <c r="H187" s="1544"/>
      <c r="I187" s="1544"/>
      <c r="J187" s="1544"/>
      <c r="K187" s="1544"/>
      <c r="L187" s="1545"/>
      <c r="M187" s="22" t="s">
        <v>2366</v>
      </c>
      <c r="N187" s="22" t="s">
        <v>2367</v>
      </c>
      <c r="O187" s="22">
        <v>1.6E-2</v>
      </c>
      <c r="P187" s="22"/>
      <c r="Q187" s="22"/>
      <c r="R187" s="22"/>
      <c r="S187" s="22"/>
      <c r="T187" s="22"/>
      <c r="U187" s="22"/>
      <c r="V187" s="22"/>
      <c r="W187" s="22"/>
    </row>
    <row r="188" spans="1:23" s="82" customFormat="1" ht="46.5" customHeight="1" x14ac:dyDescent="0.25">
      <c r="A188" s="402"/>
      <c r="B188" s="402"/>
      <c r="C188" s="403"/>
      <c r="D188" s="403"/>
      <c r="E188" s="403"/>
      <c r="F188" s="404"/>
      <c r="G188" s="22" t="s">
        <v>2428</v>
      </c>
      <c r="H188" s="22" t="s">
        <v>2429</v>
      </c>
      <c r="I188" s="22" t="s">
        <v>2717</v>
      </c>
      <c r="J188" s="22">
        <v>0.15</v>
      </c>
      <c r="K188" s="62"/>
      <c r="L188" s="62"/>
      <c r="M188" s="22" t="s">
        <v>2017</v>
      </c>
      <c r="N188" s="22" t="s">
        <v>2755</v>
      </c>
      <c r="O188" s="22">
        <f>1.8-1.6</f>
        <v>0.19999999999999996</v>
      </c>
      <c r="P188" s="22"/>
      <c r="Q188" s="62"/>
      <c r="R188" s="22"/>
      <c r="S188" s="22"/>
      <c r="T188" s="22"/>
      <c r="U188" s="22"/>
      <c r="V188" s="62"/>
      <c r="W188" s="62"/>
    </row>
    <row r="189" spans="1:23" s="82" customFormat="1" ht="30.75" customHeight="1" x14ac:dyDescent="0.25">
      <c r="A189" s="402"/>
      <c r="B189" s="402"/>
      <c r="C189" s="403"/>
      <c r="D189" s="403"/>
      <c r="E189" s="403"/>
      <c r="F189" s="404"/>
      <c r="G189" s="1547" t="s">
        <v>3068</v>
      </c>
      <c r="H189" s="1544"/>
      <c r="I189" s="1544"/>
      <c r="J189" s="1544"/>
      <c r="K189" s="1544"/>
      <c r="L189" s="1545"/>
      <c r="M189" s="22" t="s">
        <v>3211</v>
      </c>
      <c r="N189" s="22" t="s">
        <v>3212</v>
      </c>
      <c r="O189" s="22">
        <v>0.2</v>
      </c>
      <c r="P189" s="62"/>
      <c r="Q189" s="62"/>
      <c r="R189" s="22"/>
      <c r="S189" s="22"/>
      <c r="T189" s="22"/>
      <c r="U189" s="22"/>
      <c r="V189" s="62"/>
      <c r="W189" s="62"/>
    </row>
    <row r="190" spans="1:23" s="82" customFormat="1" ht="46.5" customHeight="1" x14ac:dyDescent="0.25">
      <c r="A190" s="1065"/>
      <c r="B190" s="1065"/>
      <c r="C190" s="1067"/>
      <c r="D190" s="1067"/>
      <c r="E190" s="1067"/>
      <c r="F190" s="1066"/>
      <c r="G190" s="1518" t="s">
        <v>3481</v>
      </c>
      <c r="H190" s="1519"/>
      <c r="I190" s="1520"/>
      <c r="J190" s="1233">
        <v>1.4558</v>
      </c>
      <c r="K190" s="22"/>
      <c r="L190" s="22"/>
      <c r="M190" s="22" t="s">
        <v>3211</v>
      </c>
      <c r="N190" s="22" t="s">
        <v>3213</v>
      </c>
      <c r="O190" s="22">
        <v>0.15</v>
      </c>
      <c r="P190" s="22"/>
      <c r="Q190" s="22"/>
      <c r="R190" s="22"/>
      <c r="S190" s="22"/>
      <c r="T190" s="22"/>
      <c r="U190" s="22"/>
      <c r="V190" s="22"/>
      <c r="W190" s="22"/>
    </row>
    <row r="191" spans="1:23" s="82" customFormat="1" ht="24.75" customHeight="1" x14ac:dyDescent="0.25">
      <c r="A191" s="1065"/>
      <c r="B191" s="1065"/>
      <c r="C191" s="1067"/>
      <c r="D191" s="1067"/>
      <c r="E191" s="1067"/>
      <c r="F191" s="1066"/>
      <c r="G191" s="1547" t="s">
        <v>3488</v>
      </c>
      <c r="H191" s="1544"/>
      <c r="I191" s="1544"/>
      <c r="J191" s="1544"/>
      <c r="K191" s="1544"/>
      <c r="L191" s="1545"/>
      <c r="M191" s="22" t="s">
        <v>3219</v>
      </c>
      <c r="N191" s="22" t="s">
        <v>3220</v>
      </c>
      <c r="O191" s="22">
        <v>0.58499999999999996</v>
      </c>
      <c r="P191" s="22"/>
      <c r="Q191" s="22"/>
      <c r="R191" s="22"/>
      <c r="S191" s="22"/>
      <c r="T191" s="22"/>
      <c r="U191" s="22"/>
      <c r="V191" s="22"/>
      <c r="W191" s="22"/>
    </row>
    <row r="192" spans="1:23" s="82" customFormat="1" ht="46.5" customHeight="1" x14ac:dyDescent="0.25">
      <c r="A192" s="1091"/>
      <c r="B192" s="1091"/>
      <c r="C192" s="1095"/>
      <c r="D192" s="1095"/>
      <c r="E192" s="1095"/>
      <c r="F192" s="1092"/>
      <c r="G192" s="22" t="s">
        <v>3261</v>
      </c>
      <c r="H192" s="22" t="s">
        <v>3415</v>
      </c>
      <c r="I192" s="22" t="s">
        <v>3506</v>
      </c>
      <c r="J192" s="22">
        <v>0.1</v>
      </c>
      <c r="K192" s="62"/>
      <c r="L192" s="6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8" s="82" customFormat="1" ht="46.5" customHeight="1" x14ac:dyDescent="0.25">
      <c r="A193" s="1091"/>
      <c r="B193" s="1091"/>
      <c r="C193" s="1095"/>
      <c r="D193" s="1095"/>
      <c r="E193" s="1095"/>
      <c r="F193" s="1092"/>
      <c r="G193" s="660"/>
      <c r="H193" s="660"/>
      <c r="I193" s="130"/>
      <c r="J193" s="62"/>
      <c r="K193" s="62"/>
      <c r="L193" s="62"/>
      <c r="M193" s="22" t="s">
        <v>3269</v>
      </c>
      <c r="N193" s="22" t="s">
        <v>3270</v>
      </c>
      <c r="O193" s="22">
        <v>0.02</v>
      </c>
      <c r="P193" s="22"/>
      <c r="Q193" s="22"/>
      <c r="R193" s="22"/>
      <c r="S193" s="22"/>
      <c r="T193" s="22"/>
      <c r="U193" s="62"/>
      <c r="V193" s="62"/>
      <c r="W193" s="62"/>
    </row>
    <row r="194" spans="1:28" ht="15.75" customHeight="1" thickBot="1" x14ac:dyDescent="0.3">
      <c r="A194" s="394"/>
      <c r="B194" s="394"/>
      <c r="C194" s="395"/>
      <c r="D194" s="395"/>
      <c r="E194" s="395"/>
      <c r="F194" s="396"/>
      <c r="G194" s="1483" t="s">
        <v>1860</v>
      </c>
      <c r="H194" s="1483"/>
      <c r="I194" s="1484"/>
      <c r="J194" s="13">
        <f>SUM(J188:J193)</f>
        <v>1.7058</v>
      </c>
      <c r="K194" s="14">
        <v>0.8</v>
      </c>
      <c r="L194" s="13">
        <f>J194/K194</f>
        <v>2.13225</v>
      </c>
      <c r="M194" s="1482" t="s">
        <v>1861</v>
      </c>
      <c r="N194" s="1484"/>
      <c r="O194" s="13">
        <f>SUM(O175:O193)</f>
        <v>1.7456999999999998</v>
      </c>
      <c r="P194" s="14">
        <v>0.8</v>
      </c>
      <c r="Q194" s="13">
        <f>O194/P194</f>
        <v>2.1821249999999996</v>
      </c>
      <c r="R194" s="1483" t="s">
        <v>1860</v>
      </c>
      <c r="S194" s="1483"/>
      <c r="T194" s="1484"/>
      <c r="U194" s="13">
        <f>SUM(U180:U186)</f>
        <v>0</v>
      </c>
      <c r="V194" s="14">
        <v>0.8</v>
      </c>
      <c r="W194" s="13">
        <f>U194/V194</f>
        <v>0</v>
      </c>
      <c r="X194" s="82"/>
      <c r="Y194" s="82"/>
      <c r="Z194" s="82"/>
      <c r="AA194" s="82"/>
      <c r="AB194" s="82"/>
    </row>
    <row r="195" spans="1:28" s="82" customFormat="1" ht="15.75" customHeight="1" x14ac:dyDescent="0.25">
      <c r="A195" s="1597" t="str">
        <f>'Расчет ЦП - общая форма'!C150</f>
        <v xml:space="preserve">ПС 110/35/10 кВ Холохоленка </v>
      </c>
      <c r="B195" s="1501">
        <f>'Расчет ЦП - общая форма'!D150</f>
        <v>6.3</v>
      </c>
      <c r="C195" s="1553" t="str">
        <f>'Расчет ЦП - общая форма'!E150</f>
        <v>+</v>
      </c>
      <c r="D195" s="1553">
        <f>'Расчет ЦП - общая форма'!F150</f>
        <v>6.3</v>
      </c>
      <c r="E195" s="403"/>
      <c r="F195" s="404"/>
      <c r="G195" s="1516" t="s">
        <v>1989</v>
      </c>
      <c r="H195" s="1554"/>
      <c r="I195" s="1554"/>
      <c r="J195" s="1554"/>
      <c r="K195" s="1554"/>
      <c r="L195" s="1554"/>
      <c r="M195" s="51"/>
      <c r="N195" s="51"/>
      <c r="O195" s="51"/>
      <c r="P195" s="51"/>
      <c r="Q195" s="51"/>
      <c r="R195" s="1564"/>
      <c r="S195" s="1564"/>
      <c r="T195" s="1564"/>
      <c r="U195" s="1564"/>
      <c r="V195" s="1564"/>
      <c r="W195" s="1564"/>
    </row>
    <row r="196" spans="1:28" s="82" customFormat="1" ht="63" customHeight="1" x14ac:dyDescent="0.25">
      <c r="A196" s="1597"/>
      <c r="B196" s="1501"/>
      <c r="C196" s="1553"/>
      <c r="D196" s="1553"/>
      <c r="E196" s="403"/>
      <c r="F196" s="404"/>
      <c r="G196" s="270" t="s">
        <v>1913</v>
      </c>
      <c r="H196" s="22" t="s">
        <v>1914</v>
      </c>
      <c r="I196" s="22" t="s">
        <v>1915</v>
      </c>
      <c r="J196" s="22">
        <v>2.8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8" s="82" customFormat="1" ht="18" customHeight="1" x14ac:dyDescent="0.25">
      <c r="A197" s="1597"/>
      <c r="B197" s="402"/>
      <c r="C197" s="403"/>
      <c r="D197" s="403"/>
      <c r="E197" s="403"/>
      <c r="F197" s="404"/>
      <c r="G197" s="270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8" ht="15.75" customHeight="1" thickBot="1" x14ac:dyDescent="0.3">
      <c r="A198" s="395"/>
      <c r="B198" s="394"/>
      <c r="C198" s="395"/>
      <c r="D198" s="395"/>
      <c r="E198" s="395"/>
      <c r="F198" s="396"/>
      <c r="G198" s="1565" t="s">
        <v>1860</v>
      </c>
      <c r="H198" s="1565"/>
      <c r="I198" s="1509"/>
      <c r="J198" s="140">
        <f>SUM(J197:J197)</f>
        <v>0</v>
      </c>
      <c r="K198" s="141">
        <v>0.8</v>
      </c>
      <c r="L198" s="140">
        <f>J198/K198</f>
        <v>0</v>
      </c>
      <c r="M198" s="1546" t="s">
        <v>1861</v>
      </c>
      <c r="N198" s="1509"/>
      <c r="O198" s="140">
        <f>SUM(O196:O196)</f>
        <v>0</v>
      </c>
      <c r="P198" s="141">
        <v>0.8</v>
      </c>
      <c r="Q198" s="140">
        <f>O198/P198</f>
        <v>0</v>
      </c>
      <c r="R198" s="1546" t="s">
        <v>1860</v>
      </c>
      <c r="S198" s="1565"/>
      <c r="T198" s="1509"/>
      <c r="U198" s="140">
        <f>SUM(U197:U197)</f>
        <v>0</v>
      </c>
      <c r="V198" s="141">
        <v>0.8</v>
      </c>
      <c r="W198" s="140">
        <f>U198/V198</f>
        <v>0</v>
      </c>
      <c r="X198" s="82"/>
      <c r="Y198" s="82"/>
      <c r="Z198" s="82"/>
      <c r="AA198" s="82"/>
      <c r="AB198" s="82"/>
    </row>
    <row r="199" spans="1:28" x14ac:dyDescent="0.25">
      <c r="A199" s="397" t="str">
        <f>'Расчет ЦП - общая форма'!C153</f>
        <v xml:space="preserve">ПС 110/35/10 кВ Леонтьево </v>
      </c>
      <c r="B199" s="428">
        <f>'Расчет ЦП - общая форма'!D153</f>
        <v>25</v>
      </c>
      <c r="C199" s="429" t="str">
        <f>'Расчет ЦП - общая форма'!E153</f>
        <v>+</v>
      </c>
      <c r="D199" s="429">
        <f>'Расчет ЦП - общая форма'!F153</f>
        <v>25</v>
      </c>
      <c r="E199" s="429"/>
      <c r="F199" s="430"/>
      <c r="G199" s="43"/>
      <c r="H199" s="17"/>
      <c r="I199" s="17"/>
      <c r="J199" s="17"/>
      <c r="K199" s="17"/>
      <c r="L199" s="73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73"/>
      <c r="X199" s="82"/>
      <c r="Y199" s="82"/>
      <c r="Z199" s="82"/>
      <c r="AA199" s="82"/>
      <c r="AB199" s="82"/>
    </row>
    <row r="200" spans="1:28" ht="15.75" customHeight="1" thickBot="1" x14ac:dyDescent="0.3">
      <c r="A200" s="393"/>
      <c r="B200" s="394"/>
      <c r="C200" s="395"/>
      <c r="D200" s="395"/>
      <c r="E200" s="395"/>
      <c r="F200" s="396"/>
      <c r="G200" s="1486" t="s">
        <v>1860</v>
      </c>
      <c r="H200" s="1486"/>
      <c r="I200" s="1487"/>
      <c r="J200" s="21">
        <f>SUM(J199:J199)</f>
        <v>0</v>
      </c>
      <c r="K200" s="24">
        <v>0.8</v>
      </c>
      <c r="L200" s="21">
        <f>J200/K200</f>
        <v>0</v>
      </c>
      <c r="M200" s="1485" t="s">
        <v>1861</v>
      </c>
      <c r="N200" s="1487"/>
      <c r="O200" s="21">
        <f>SUM(O199:O199)</f>
        <v>0</v>
      </c>
      <c r="P200" s="24">
        <v>0.8</v>
      </c>
      <c r="Q200" s="21">
        <f>O200/P200</f>
        <v>0</v>
      </c>
      <c r="R200" s="1485" t="s">
        <v>1860</v>
      </c>
      <c r="S200" s="1486"/>
      <c r="T200" s="1487"/>
      <c r="U200" s="21">
        <f>SUM(U199:U199)</f>
        <v>0</v>
      </c>
      <c r="V200" s="24">
        <v>0.8</v>
      </c>
      <c r="W200" s="21">
        <f>U200/V200</f>
        <v>0</v>
      </c>
      <c r="X200" s="82"/>
      <c r="Y200" s="82"/>
      <c r="Z200" s="82"/>
      <c r="AA200" s="82"/>
      <c r="AB200" s="82"/>
    </row>
    <row r="201" spans="1:28" ht="19.5" thickBot="1" x14ac:dyDescent="0.3">
      <c r="A201" s="1595" t="s">
        <v>1990</v>
      </c>
      <c r="B201" s="1596"/>
      <c r="C201" s="425"/>
      <c r="D201" s="425"/>
      <c r="E201" s="425"/>
      <c r="F201" s="425"/>
      <c r="G201" s="190"/>
      <c r="H201" s="191"/>
      <c r="I201" s="191"/>
      <c r="J201" s="191">
        <f>J200+J198+J194+J173+J171+J167+J164+J160+J157+J152+J150+J143+J140+J135+J133+J131+J128+J126+J122+J118+J116+J111+J109+J107+J105+J103+J101+J98+J96+J91+J88+J86+J83+J81+J78+J75+J73+J70+J68+J66+J63+J57+J52+J50+J48+J45+J42+J40+J36+J34+J32+J27+J24+J22+J20+J18+J15+J13+J10+J8</f>
        <v>3.7344999999999997</v>
      </c>
      <c r="K201" s="191"/>
      <c r="L201" s="191">
        <f>L200+L198+L194+L173+L171+L167+L164+L160+L157+L152+L150+L143+L140+L135+L133+L131+L128+L126+L122+L118+L116+L111+L109+L107+L105+L103+L101+L98+L96+L91+L88+L86+L83+L81+L78+L75+L73+L70+L68+L66+L63+L57+L52+L50+L48+L45+L42+L40+L36+L34+L32+L27+L24+L22+L20+L18+L15+L13+L10+L8</f>
        <v>4.6681249999999999</v>
      </c>
      <c r="M201" s="191"/>
      <c r="N201" s="191"/>
      <c r="O201" s="191"/>
      <c r="P201" s="190"/>
      <c r="Q201" s="190"/>
      <c r="R201" s="315"/>
      <c r="S201" s="315"/>
      <c r="T201" s="315"/>
      <c r="U201" s="315"/>
      <c r="V201" s="315"/>
      <c r="W201" s="316"/>
    </row>
    <row r="202" spans="1:28" x14ac:dyDescent="0.25">
      <c r="A202" s="185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M202" s="196"/>
      <c r="N202" s="196"/>
      <c r="O202" s="196"/>
      <c r="R202" s="311"/>
      <c r="S202" s="311"/>
      <c r="T202" s="311"/>
      <c r="U202" s="311"/>
      <c r="V202" s="311"/>
      <c r="W202" s="311"/>
    </row>
    <row r="203" spans="1:28" x14ac:dyDescent="0.25">
      <c r="A203" s="185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M203" s="196"/>
      <c r="N203" s="196"/>
      <c r="O203" s="196"/>
      <c r="R203" s="311"/>
      <c r="S203" s="311"/>
      <c r="T203" s="311"/>
      <c r="U203" s="311"/>
      <c r="V203" s="311"/>
      <c r="W203" s="311"/>
    </row>
    <row r="204" spans="1:28" x14ac:dyDescent="0.25">
      <c r="A204" s="185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M204" s="196"/>
      <c r="N204" s="196"/>
      <c r="O204" s="196"/>
      <c r="R204" s="311"/>
      <c r="S204" s="311"/>
      <c r="T204" s="311"/>
      <c r="U204" s="311"/>
      <c r="V204" s="311"/>
      <c r="W204" s="311"/>
    </row>
    <row r="205" spans="1:28" x14ac:dyDescent="0.25">
      <c r="A205" s="185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M205" s="196"/>
      <c r="N205" s="196"/>
      <c r="O205" s="196"/>
      <c r="R205" s="311"/>
      <c r="S205" s="311"/>
      <c r="T205" s="311"/>
      <c r="U205" s="311"/>
      <c r="V205" s="311"/>
      <c r="W205" s="311"/>
    </row>
    <row r="206" spans="1:28" x14ac:dyDescent="0.25">
      <c r="A206" s="185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M206" s="196"/>
      <c r="N206" s="196"/>
      <c r="O206" s="196"/>
      <c r="R206" s="80"/>
    </row>
    <row r="207" spans="1:28" x14ac:dyDescent="0.25">
      <c r="A207" s="185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M207" s="196"/>
      <c r="N207" s="196"/>
      <c r="O207" s="196"/>
      <c r="R207" s="80"/>
    </row>
    <row r="208" spans="1:28" x14ac:dyDescent="0.25">
      <c r="A208" s="185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M208" s="196"/>
      <c r="N208" s="196"/>
      <c r="O208" s="196"/>
      <c r="R208" s="80"/>
    </row>
    <row r="209" spans="1:18" x14ac:dyDescent="0.25">
      <c r="A209" s="185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M209" s="196"/>
      <c r="N209" s="196"/>
      <c r="O209" s="196"/>
      <c r="R209" s="80"/>
    </row>
    <row r="210" spans="1:18" x14ac:dyDescent="0.25">
      <c r="A210" s="185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M210" s="196"/>
      <c r="N210" s="196"/>
      <c r="O210" s="196"/>
      <c r="R210" s="80"/>
    </row>
    <row r="211" spans="1:18" x14ac:dyDescent="0.25">
      <c r="A211" s="185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M211" s="196"/>
      <c r="N211" s="196"/>
      <c r="O211" s="196"/>
      <c r="R211" s="80"/>
    </row>
    <row r="212" spans="1:18" x14ac:dyDescent="0.25">
      <c r="A212" s="185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M212" s="196"/>
      <c r="N212" s="196"/>
      <c r="O212" s="196"/>
      <c r="R212" s="80"/>
    </row>
    <row r="213" spans="1:18" x14ac:dyDescent="0.25">
      <c r="A213" s="185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M213" s="196"/>
      <c r="N213" s="196"/>
      <c r="O213" s="196"/>
      <c r="R213" s="80"/>
    </row>
    <row r="214" spans="1:18" x14ac:dyDescent="0.25">
      <c r="A214" s="185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M214" s="196"/>
      <c r="N214" s="196"/>
      <c r="O214" s="196"/>
      <c r="R214" s="80"/>
    </row>
    <row r="215" spans="1:18" x14ac:dyDescent="0.25">
      <c r="A215" s="185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M215" s="196"/>
      <c r="N215" s="196"/>
      <c r="O215" s="196"/>
      <c r="R215" s="80"/>
    </row>
    <row r="216" spans="1:18" x14ac:dyDescent="0.25">
      <c r="A216" s="185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M216" s="196"/>
      <c r="N216" s="196"/>
      <c r="O216" s="196"/>
      <c r="R216" s="80"/>
    </row>
    <row r="217" spans="1:18" x14ac:dyDescent="0.25">
      <c r="A217" s="185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M217" s="196"/>
      <c r="N217" s="196"/>
      <c r="O217" s="196"/>
      <c r="R217" s="80"/>
    </row>
    <row r="218" spans="1:18" x14ac:dyDescent="0.25">
      <c r="A218" s="185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M218" s="196"/>
      <c r="N218" s="196"/>
      <c r="O218" s="196"/>
      <c r="R218" s="80"/>
    </row>
    <row r="219" spans="1:18" x14ac:dyDescent="0.25">
      <c r="A219" s="185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M219" s="196"/>
      <c r="N219" s="196"/>
      <c r="O219" s="196"/>
      <c r="R219" s="80"/>
    </row>
    <row r="220" spans="1:18" x14ac:dyDescent="0.25">
      <c r="A220" s="185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M220" s="196"/>
      <c r="N220" s="196"/>
      <c r="O220" s="196"/>
      <c r="R220" s="80"/>
    </row>
    <row r="221" spans="1:18" x14ac:dyDescent="0.25">
      <c r="A221" s="185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M221" s="196"/>
      <c r="N221" s="196"/>
      <c r="O221" s="196"/>
      <c r="R221" s="80"/>
    </row>
    <row r="222" spans="1:18" x14ac:dyDescent="0.25">
      <c r="A222" s="185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M222" s="196"/>
      <c r="N222" s="196"/>
      <c r="O222" s="196"/>
      <c r="R222" s="80"/>
    </row>
    <row r="223" spans="1:18" x14ac:dyDescent="0.25">
      <c r="A223" s="185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M223" s="196"/>
      <c r="N223" s="196"/>
      <c r="O223" s="196"/>
      <c r="R223" s="80"/>
    </row>
    <row r="224" spans="1:18" x14ac:dyDescent="0.25">
      <c r="A224" s="185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M224" s="196"/>
      <c r="N224" s="196"/>
      <c r="O224" s="196"/>
      <c r="R224" s="80"/>
    </row>
    <row r="225" spans="1:18" x14ac:dyDescent="0.25">
      <c r="A225" s="185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M225" s="196"/>
      <c r="N225" s="196"/>
      <c r="O225" s="196"/>
      <c r="R225" s="80"/>
    </row>
    <row r="226" spans="1:18" x14ac:dyDescent="0.25">
      <c r="A226" s="185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M226" s="196"/>
      <c r="N226" s="196"/>
      <c r="O226" s="196"/>
      <c r="R226" s="80"/>
    </row>
    <row r="227" spans="1:18" x14ac:dyDescent="0.25">
      <c r="A227" s="185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M227" s="196"/>
      <c r="N227" s="196"/>
      <c r="O227" s="196"/>
      <c r="R227" s="80"/>
    </row>
    <row r="228" spans="1:18" x14ac:dyDescent="0.25">
      <c r="A228" s="185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M228" s="196"/>
      <c r="N228" s="196"/>
      <c r="O228" s="196"/>
      <c r="R228" s="80"/>
    </row>
    <row r="229" spans="1:18" x14ac:dyDescent="0.25">
      <c r="A229" s="185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M229" s="196"/>
      <c r="N229" s="196"/>
      <c r="O229" s="196"/>
      <c r="R229" s="80"/>
    </row>
    <row r="230" spans="1:18" x14ac:dyDescent="0.25">
      <c r="A230" s="185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M230" s="196"/>
      <c r="N230" s="196"/>
      <c r="O230" s="196"/>
      <c r="R230" s="80"/>
    </row>
    <row r="231" spans="1:18" x14ac:dyDescent="0.25">
      <c r="A231" s="185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M231" s="196"/>
      <c r="N231" s="196"/>
      <c r="O231" s="196"/>
      <c r="R231" s="80"/>
    </row>
    <row r="232" spans="1:18" x14ac:dyDescent="0.25">
      <c r="A232" s="185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M232" s="196"/>
      <c r="N232" s="196"/>
      <c r="O232" s="196"/>
      <c r="R232" s="80"/>
    </row>
    <row r="233" spans="1:18" x14ac:dyDescent="0.25">
      <c r="A233" s="185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M233" s="196"/>
      <c r="N233" s="196"/>
      <c r="O233" s="196"/>
      <c r="R233" s="80"/>
    </row>
    <row r="234" spans="1:18" x14ac:dyDescent="0.25">
      <c r="A234" s="185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M234" s="196"/>
      <c r="N234" s="196"/>
      <c r="O234" s="196"/>
      <c r="R234" s="80"/>
    </row>
    <row r="235" spans="1:18" x14ac:dyDescent="0.25">
      <c r="A235" s="185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M235" s="196"/>
      <c r="N235" s="196"/>
      <c r="O235" s="196"/>
      <c r="R235" s="80"/>
    </row>
    <row r="236" spans="1:18" x14ac:dyDescent="0.25">
      <c r="A236" s="185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M236" s="196"/>
      <c r="N236" s="196"/>
      <c r="O236" s="196"/>
      <c r="R236" s="80"/>
    </row>
    <row r="237" spans="1:18" x14ac:dyDescent="0.25">
      <c r="A237" s="185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M237" s="196"/>
      <c r="N237" s="196"/>
      <c r="O237" s="196"/>
      <c r="R237" s="80"/>
    </row>
    <row r="238" spans="1:18" x14ac:dyDescent="0.25">
      <c r="A238" s="185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M238" s="196"/>
      <c r="N238" s="196"/>
      <c r="O238" s="196"/>
      <c r="R238" s="80"/>
    </row>
    <row r="239" spans="1:18" x14ac:dyDescent="0.25">
      <c r="A239" s="185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M239" s="196"/>
      <c r="N239" s="196"/>
      <c r="O239" s="196"/>
      <c r="R239" s="80"/>
    </row>
    <row r="240" spans="1:18" x14ac:dyDescent="0.25">
      <c r="A240" s="185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M240" s="196"/>
      <c r="N240" s="196"/>
      <c r="O240" s="196"/>
      <c r="R240" s="80"/>
    </row>
    <row r="241" spans="1:18" x14ac:dyDescent="0.25">
      <c r="A241" s="185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M241" s="196"/>
      <c r="N241" s="196"/>
      <c r="O241" s="196"/>
      <c r="R241" s="80"/>
    </row>
    <row r="242" spans="1:18" x14ac:dyDescent="0.25">
      <c r="A242" s="185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M242" s="196"/>
      <c r="N242" s="196"/>
      <c r="O242" s="196"/>
      <c r="R242" s="80"/>
    </row>
    <row r="243" spans="1:18" x14ac:dyDescent="0.25">
      <c r="A243" s="185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M243" s="196"/>
      <c r="N243" s="196"/>
      <c r="O243" s="196"/>
      <c r="R243" s="80"/>
    </row>
    <row r="244" spans="1:18" x14ac:dyDescent="0.25">
      <c r="A244" s="185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M244" s="196"/>
      <c r="N244" s="196"/>
      <c r="O244" s="196"/>
      <c r="R244" s="80"/>
    </row>
    <row r="245" spans="1:18" x14ac:dyDescent="0.25">
      <c r="A245" s="185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M245" s="196"/>
      <c r="N245" s="196"/>
      <c r="O245" s="196"/>
      <c r="R245" s="80"/>
    </row>
    <row r="246" spans="1:18" x14ac:dyDescent="0.25">
      <c r="A246" s="185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M246" s="196"/>
      <c r="N246" s="196"/>
      <c r="O246" s="196"/>
      <c r="R246" s="80"/>
    </row>
    <row r="247" spans="1:18" x14ac:dyDescent="0.25">
      <c r="A247" s="185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M247" s="196"/>
      <c r="N247" s="196"/>
      <c r="O247" s="196"/>
      <c r="R247" s="80"/>
    </row>
    <row r="248" spans="1:18" x14ac:dyDescent="0.25">
      <c r="A248" s="185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M248" s="196"/>
      <c r="N248" s="196"/>
      <c r="O248" s="196"/>
      <c r="R248" s="80"/>
    </row>
    <row r="249" spans="1:18" x14ac:dyDescent="0.25">
      <c r="A249" s="185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M249" s="196"/>
      <c r="N249" s="196"/>
      <c r="O249" s="196"/>
      <c r="R249" s="80"/>
    </row>
    <row r="250" spans="1:18" x14ac:dyDescent="0.25">
      <c r="A250" s="185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M250" s="196"/>
      <c r="N250" s="196"/>
      <c r="O250" s="196"/>
      <c r="R250" s="80"/>
    </row>
    <row r="251" spans="1:18" x14ac:dyDescent="0.25">
      <c r="A251" s="185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M251" s="196"/>
      <c r="N251" s="196"/>
      <c r="O251" s="196"/>
      <c r="R251" s="80"/>
    </row>
    <row r="252" spans="1:18" x14ac:dyDescent="0.25">
      <c r="A252" s="185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M252" s="196"/>
      <c r="N252" s="196"/>
      <c r="O252" s="196"/>
      <c r="R252" s="80"/>
    </row>
    <row r="253" spans="1:18" x14ac:dyDescent="0.25">
      <c r="A253" s="185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M253" s="196"/>
      <c r="N253" s="196"/>
      <c r="O253" s="196"/>
      <c r="R253" s="80"/>
    </row>
    <row r="254" spans="1:18" x14ac:dyDescent="0.25">
      <c r="A254" s="185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M254" s="196"/>
      <c r="N254" s="196"/>
      <c r="O254" s="196"/>
      <c r="R254" s="80"/>
    </row>
    <row r="255" spans="1:18" x14ac:dyDescent="0.25">
      <c r="A255" s="185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M255" s="196"/>
      <c r="N255" s="196"/>
      <c r="O255" s="196"/>
      <c r="R255" s="80"/>
    </row>
    <row r="256" spans="1:18" x14ac:dyDescent="0.25">
      <c r="A256" s="185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M256" s="196"/>
      <c r="N256" s="196"/>
      <c r="O256" s="196"/>
      <c r="R256" s="80"/>
    </row>
    <row r="257" spans="1:18" x14ac:dyDescent="0.25">
      <c r="A257" s="185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M257" s="196"/>
      <c r="N257" s="196"/>
      <c r="O257" s="196"/>
      <c r="R257" s="80"/>
    </row>
    <row r="258" spans="1:18" x14ac:dyDescent="0.25">
      <c r="A258" s="185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M258" s="196"/>
      <c r="N258" s="196"/>
      <c r="O258" s="196"/>
      <c r="R258" s="80"/>
    </row>
    <row r="259" spans="1:18" x14ac:dyDescent="0.25">
      <c r="A259" s="185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M259" s="196"/>
      <c r="N259" s="196"/>
      <c r="O259" s="196"/>
      <c r="R259" s="80"/>
    </row>
    <row r="260" spans="1:18" x14ac:dyDescent="0.25">
      <c r="A260" s="185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M260" s="196"/>
      <c r="N260" s="196"/>
      <c r="O260" s="196"/>
      <c r="R260" s="80"/>
    </row>
    <row r="261" spans="1:18" x14ac:dyDescent="0.25">
      <c r="A261" s="185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M261" s="196"/>
      <c r="N261" s="196"/>
      <c r="O261" s="196"/>
      <c r="R261" s="80"/>
    </row>
    <row r="262" spans="1:18" x14ac:dyDescent="0.25">
      <c r="A262" s="185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M262" s="196"/>
      <c r="N262" s="196"/>
      <c r="O262" s="196"/>
      <c r="R262" s="80"/>
    </row>
    <row r="263" spans="1:18" x14ac:dyDescent="0.25">
      <c r="A263" s="185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M263" s="196"/>
      <c r="N263" s="196"/>
      <c r="O263" s="196"/>
      <c r="R263" s="80"/>
    </row>
    <row r="264" spans="1:18" x14ac:dyDescent="0.25">
      <c r="A264" s="185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M264" s="196"/>
      <c r="N264" s="196"/>
      <c r="O264" s="196"/>
      <c r="R264" s="80"/>
    </row>
    <row r="265" spans="1:18" x14ac:dyDescent="0.25">
      <c r="A265" s="185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M265" s="196"/>
      <c r="N265" s="196"/>
      <c r="O265" s="196"/>
      <c r="R265" s="80"/>
    </row>
    <row r="266" spans="1:18" x14ac:dyDescent="0.25">
      <c r="A266" s="185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M266" s="196"/>
      <c r="N266" s="196"/>
      <c r="O266" s="196"/>
      <c r="R266" s="80"/>
    </row>
    <row r="267" spans="1:18" x14ac:dyDescent="0.25">
      <c r="A267" s="185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M267" s="196"/>
      <c r="N267" s="196"/>
      <c r="O267" s="196"/>
      <c r="R267" s="80"/>
    </row>
    <row r="268" spans="1:18" x14ac:dyDescent="0.25">
      <c r="A268" s="185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M268" s="196"/>
      <c r="N268" s="196"/>
      <c r="O268" s="196"/>
      <c r="R268" s="80"/>
    </row>
    <row r="269" spans="1:18" x14ac:dyDescent="0.25">
      <c r="A269" s="185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M269" s="196"/>
      <c r="N269" s="196"/>
      <c r="O269" s="196"/>
      <c r="R269" s="80"/>
    </row>
    <row r="270" spans="1:18" x14ac:dyDescent="0.25">
      <c r="A270" s="185"/>
      <c r="B270" s="196"/>
      <c r="C270" s="196"/>
      <c r="D270" s="196"/>
      <c r="E270" s="196"/>
      <c r="F270" s="196"/>
      <c r="G270" s="196"/>
      <c r="H270" s="196"/>
      <c r="L270" s="195"/>
      <c r="R270" s="80"/>
    </row>
    <row r="271" spans="1:18" x14ac:dyDescent="0.25">
      <c r="A271" s="185"/>
      <c r="B271" s="196"/>
      <c r="C271" s="196"/>
      <c r="D271" s="196"/>
      <c r="E271" s="196"/>
      <c r="F271" s="196"/>
      <c r="G271" s="196"/>
      <c r="H271" s="196"/>
      <c r="L271" s="195"/>
      <c r="R271" s="80"/>
    </row>
    <row r="272" spans="1:18" x14ac:dyDescent="0.25">
      <c r="A272" s="185"/>
      <c r="B272" s="196"/>
      <c r="C272" s="196"/>
      <c r="D272" s="196"/>
      <c r="E272" s="196"/>
      <c r="F272" s="196"/>
      <c r="G272" s="196"/>
      <c r="H272" s="196"/>
      <c r="L272" s="195"/>
      <c r="R272" s="80"/>
    </row>
    <row r="273" spans="1:18" x14ac:dyDescent="0.25">
      <c r="A273" s="185"/>
      <c r="B273" s="196"/>
      <c r="C273" s="196"/>
      <c r="D273" s="196"/>
      <c r="E273" s="196"/>
      <c r="F273" s="196"/>
      <c r="G273" s="196"/>
      <c r="H273" s="196"/>
      <c r="L273" s="195"/>
      <c r="R273" s="80"/>
    </row>
    <row r="274" spans="1:18" x14ac:dyDescent="0.25">
      <c r="A274" s="185"/>
      <c r="B274" s="196"/>
      <c r="C274" s="196"/>
      <c r="D274" s="196"/>
      <c r="E274" s="196"/>
      <c r="F274" s="196"/>
      <c r="G274" s="196"/>
      <c r="H274" s="196"/>
      <c r="L274" s="195"/>
      <c r="R274" s="80"/>
    </row>
    <row r="275" spans="1:18" x14ac:dyDescent="0.25">
      <c r="A275" s="185"/>
      <c r="B275" s="196"/>
      <c r="C275" s="196"/>
      <c r="D275" s="196"/>
      <c r="E275" s="196"/>
      <c r="F275" s="196"/>
      <c r="G275" s="196"/>
      <c r="H275" s="196"/>
      <c r="L275" s="195"/>
      <c r="R275" s="80"/>
    </row>
    <row r="276" spans="1:18" x14ac:dyDescent="0.25">
      <c r="A276" s="185"/>
      <c r="B276" s="196"/>
      <c r="C276" s="196"/>
      <c r="D276" s="196"/>
      <c r="E276" s="196"/>
      <c r="F276" s="196"/>
      <c r="G276" s="196"/>
      <c r="H276" s="196"/>
      <c r="L276" s="195"/>
      <c r="R276" s="80"/>
    </row>
    <row r="277" spans="1:18" x14ac:dyDescent="0.25">
      <c r="A277" s="185"/>
      <c r="B277" s="196"/>
      <c r="C277" s="196"/>
      <c r="D277" s="196"/>
      <c r="E277" s="196"/>
      <c r="F277" s="196"/>
      <c r="G277" s="196"/>
      <c r="H277" s="196"/>
      <c r="L277" s="195"/>
      <c r="R277" s="80"/>
    </row>
    <row r="278" spans="1:18" x14ac:dyDescent="0.25">
      <c r="A278" s="185"/>
      <c r="B278" s="196"/>
      <c r="C278" s="196"/>
      <c r="D278" s="196"/>
      <c r="E278" s="196"/>
      <c r="F278" s="196"/>
      <c r="G278" s="196"/>
      <c r="H278" s="196"/>
      <c r="L278" s="195"/>
      <c r="R278" s="80"/>
    </row>
    <row r="279" spans="1:18" x14ac:dyDescent="0.25">
      <c r="A279" s="185"/>
      <c r="B279" s="196"/>
      <c r="C279" s="196"/>
      <c r="D279" s="196"/>
      <c r="E279" s="196"/>
      <c r="F279" s="196"/>
      <c r="G279" s="196"/>
      <c r="H279" s="196"/>
      <c r="L279" s="195"/>
      <c r="R279" s="80"/>
    </row>
    <row r="280" spans="1:18" x14ac:dyDescent="0.25">
      <c r="A280" s="185"/>
      <c r="B280" s="196"/>
      <c r="C280" s="196"/>
      <c r="D280" s="196"/>
      <c r="E280" s="196"/>
      <c r="F280" s="196"/>
      <c r="G280" s="196"/>
      <c r="H280" s="196"/>
      <c r="L280" s="195"/>
      <c r="R280" s="80"/>
    </row>
    <row r="281" spans="1:18" x14ac:dyDescent="0.25">
      <c r="A281" s="185"/>
      <c r="B281" s="196"/>
      <c r="C281" s="196"/>
      <c r="D281" s="196"/>
      <c r="E281" s="196"/>
      <c r="F281" s="196"/>
      <c r="G281" s="196"/>
      <c r="H281" s="196"/>
      <c r="L281" s="195"/>
      <c r="R281" s="80"/>
    </row>
    <row r="282" spans="1:18" x14ac:dyDescent="0.25">
      <c r="A282" s="185"/>
      <c r="B282" s="196"/>
      <c r="C282" s="196"/>
      <c r="D282" s="196"/>
      <c r="E282" s="196"/>
      <c r="F282" s="196"/>
      <c r="G282" s="196"/>
      <c r="H282" s="196"/>
      <c r="L282" s="195"/>
      <c r="R282" s="80"/>
    </row>
    <row r="283" spans="1:18" x14ac:dyDescent="0.25">
      <c r="A283" s="185"/>
      <c r="B283" s="196"/>
      <c r="C283" s="196"/>
      <c r="D283" s="196"/>
      <c r="E283" s="196"/>
      <c r="F283" s="196"/>
      <c r="G283" s="196"/>
      <c r="H283" s="196"/>
      <c r="L283" s="195"/>
      <c r="R283" s="80"/>
    </row>
    <row r="284" spans="1:18" x14ac:dyDescent="0.25">
      <c r="A284" s="185"/>
      <c r="B284" s="196"/>
      <c r="C284" s="196"/>
      <c r="D284" s="196"/>
      <c r="E284" s="196"/>
      <c r="F284" s="196"/>
      <c r="G284" s="196"/>
      <c r="H284" s="196"/>
      <c r="L284" s="195"/>
      <c r="R284" s="80"/>
    </row>
    <row r="285" spans="1:18" x14ac:dyDescent="0.25">
      <c r="A285" s="185"/>
      <c r="B285" s="196"/>
      <c r="C285" s="196"/>
      <c r="D285" s="196"/>
      <c r="E285" s="196"/>
      <c r="F285" s="196"/>
      <c r="G285" s="196"/>
      <c r="H285" s="196"/>
      <c r="L285" s="195"/>
      <c r="R285" s="80"/>
    </row>
    <row r="286" spans="1:18" x14ac:dyDescent="0.25">
      <c r="A286" s="185"/>
      <c r="B286" s="196"/>
      <c r="C286" s="196"/>
      <c r="D286" s="196"/>
      <c r="E286" s="196"/>
      <c r="F286" s="196"/>
      <c r="G286" s="196"/>
      <c r="H286" s="196"/>
      <c r="L286" s="195"/>
      <c r="R286" s="80"/>
    </row>
    <row r="287" spans="1:18" x14ac:dyDescent="0.25">
      <c r="A287" s="185"/>
      <c r="B287" s="196"/>
      <c r="C287" s="196"/>
      <c r="D287" s="196"/>
      <c r="E287" s="196"/>
      <c r="F287" s="196"/>
      <c r="G287" s="196"/>
      <c r="H287" s="196"/>
      <c r="L287" s="195"/>
      <c r="R287" s="80"/>
    </row>
    <row r="288" spans="1:18" ht="15" customHeight="1" x14ac:dyDescent="0.25">
      <c r="A288" s="185"/>
      <c r="B288" s="196"/>
      <c r="C288" s="196"/>
      <c r="D288" s="196"/>
      <c r="E288" s="196"/>
      <c r="F288" s="196"/>
      <c r="G288" s="196"/>
      <c r="H288" s="196"/>
      <c r="L288" s="195"/>
      <c r="R288" s="80"/>
    </row>
    <row r="289" spans="1:18" x14ac:dyDescent="0.25">
      <c r="A289" s="185"/>
      <c r="B289" s="196"/>
      <c r="C289" s="196"/>
      <c r="D289" s="196"/>
      <c r="E289" s="196"/>
      <c r="F289" s="196"/>
      <c r="G289" s="196"/>
      <c r="H289" s="196"/>
      <c r="L289" s="195"/>
      <c r="R289" s="80"/>
    </row>
    <row r="290" spans="1:18" x14ac:dyDescent="0.25">
      <c r="A290" s="185"/>
      <c r="B290" s="196"/>
      <c r="C290" s="196"/>
      <c r="D290" s="196"/>
      <c r="E290" s="196"/>
      <c r="F290" s="196"/>
      <c r="G290" s="196"/>
      <c r="H290" s="196"/>
      <c r="L290" s="195"/>
      <c r="R290" s="80"/>
    </row>
    <row r="291" spans="1:18" x14ac:dyDescent="0.25">
      <c r="A291" s="185"/>
      <c r="B291" s="196"/>
      <c r="C291" s="196"/>
      <c r="D291" s="196"/>
      <c r="E291" s="196"/>
      <c r="F291" s="196"/>
      <c r="G291" s="196"/>
      <c r="H291" s="196"/>
      <c r="L291" s="195"/>
      <c r="R291" s="80"/>
    </row>
    <row r="292" spans="1:18" x14ac:dyDescent="0.25">
      <c r="A292" s="185"/>
      <c r="B292" s="196"/>
      <c r="C292" s="196"/>
      <c r="D292" s="196"/>
      <c r="E292" s="196"/>
      <c r="F292" s="196"/>
      <c r="G292" s="196"/>
      <c r="H292" s="196"/>
      <c r="L292" s="195"/>
      <c r="R292" s="80"/>
    </row>
    <row r="293" spans="1:18" x14ac:dyDescent="0.25">
      <c r="A293" s="185"/>
      <c r="B293" s="196"/>
      <c r="C293" s="196"/>
      <c r="D293" s="196"/>
      <c r="E293" s="196"/>
      <c r="F293" s="196"/>
      <c r="G293" s="196"/>
      <c r="H293" s="196"/>
      <c r="L293" s="195"/>
      <c r="R293" s="80"/>
    </row>
    <row r="294" spans="1:18" x14ac:dyDescent="0.25">
      <c r="A294" s="185"/>
      <c r="B294" s="196"/>
      <c r="C294" s="196"/>
      <c r="D294" s="196"/>
      <c r="E294" s="196"/>
      <c r="F294" s="196"/>
      <c r="G294" s="196"/>
      <c r="H294" s="196"/>
      <c r="L294" s="195"/>
      <c r="R294" s="80"/>
    </row>
    <row r="295" spans="1:18" x14ac:dyDescent="0.25">
      <c r="A295" s="185"/>
      <c r="B295" s="196"/>
      <c r="C295" s="196"/>
      <c r="D295" s="196"/>
      <c r="E295" s="196"/>
      <c r="F295" s="196"/>
      <c r="G295" s="196"/>
      <c r="H295" s="196"/>
      <c r="L295" s="195"/>
      <c r="R295" s="80"/>
    </row>
    <row r="296" spans="1:18" x14ac:dyDescent="0.25">
      <c r="A296" s="185"/>
      <c r="B296" s="196"/>
      <c r="C296" s="196"/>
      <c r="D296" s="196"/>
      <c r="E296" s="196"/>
      <c r="F296" s="196"/>
      <c r="G296" s="196"/>
      <c r="H296" s="196"/>
      <c r="L296" s="195"/>
      <c r="R296" s="80"/>
    </row>
    <row r="297" spans="1:18" x14ac:dyDescent="0.25">
      <c r="A297" s="185"/>
      <c r="B297" s="196"/>
      <c r="C297" s="196"/>
      <c r="D297" s="196"/>
      <c r="E297" s="196"/>
      <c r="F297" s="196"/>
      <c r="G297" s="196"/>
      <c r="H297" s="196"/>
      <c r="L297" s="195"/>
      <c r="R297" s="80"/>
    </row>
    <row r="298" spans="1:18" x14ac:dyDescent="0.25">
      <c r="A298" s="185"/>
      <c r="B298" s="196"/>
      <c r="C298" s="196"/>
      <c r="D298" s="196"/>
      <c r="E298" s="196"/>
      <c r="F298" s="196"/>
      <c r="G298" s="196"/>
      <c r="H298" s="196"/>
      <c r="L298" s="195"/>
      <c r="R298" s="80"/>
    </row>
    <row r="299" spans="1:18" x14ac:dyDescent="0.25">
      <c r="A299" s="185"/>
      <c r="B299" s="196"/>
      <c r="C299" s="196"/>
      <c r="D299" s="196"/>
      <c r="E299" s="196"/>
      <c r="F299" s="196"/>
      <c r="G299" s="196"/>
      <c r="H299" s="196"/>
      <c r="L299" s="195"/>
      <c r="R299" s="80"/>
    </row>
    <row r="300" spans="1:18" x14ac:dyDescent="0.25">
      <c r="A300" s="185"/>
      <c r="B300" s="196"/>
      <c r="C300" s="196"/>
      <c r="D300" s="196"/>
      <c r="E300" s="196"/>
      <c r="F300" s="196"/>
      <c r="G300" s="196"/>
      <c r="H300" s="196"/>
      <c r="L300" s="195"/>
      <c r="R300" s="80"/>
    </row>
    <row r="301" spans="1:18" x14ac:dyDescent="0.25">
      <c r="A301" s="185"/>
      <c r="B301" s="196"/>
      <c r="C301" s="196"/>
      <c r="D301" s="196"/>
      <c r="E301" s="196"/>
      <c r="F301" s="196"/>
      <c r="G301" s="196"/>
      <c r="H301" s="196"/>
      <c r="L301" s="195"/>
      <c r="R301" s="80"/>
    </row>
    <row r="302" spans="1:18" x14ac:dyDescent="0.25">
      <c r="A302" s="185"/>
      <c r="B302" s="196"/>
      <c r="C302" s="196"/>
      <c r="D302" s="196"/>
      <c r="E302" s="196"/>
      <c r="F302" s="196"/>
      <c r="G302" s="196"/>
      <c r="H302" s="196"/>
      <c r="L302" s="195"/>
      <c r="R302" s="80"/>
    </row>
    <row r="303" spans="1:18" x14ac:dyDescent="0.25">
      <c r="A303" s="185"/>
      <c r="B303" s="196"/>
      <c r="C303" s="196"/>
      <c r="D303" s="196"/>
      <c r="E303" s="196"/>
      <c r="F303" s="196"/>
      <c r="G303" s="196"/>
      <c r="H303" s="196"/>
      <c r="L303" s="195"/>
      <c r="R303" s="80"/>
    </row>
    <row r="304" spans="1:18" x14ac:dyDescent="0.25">
      <c r="A304" s="185"/>
      <c r="B304" s="196"/>
      <c r="C304" s="196"/>
      <c r="D304" s="196"/>
      <c r="E304" s="196"/>
      <c r="F304" s="196"/>
      <c r="G304" s="196"/>
      <c r="H304" s="196"/>
      <c r="L304" s="195"/>
      <c r="R304" s="80"/>
    </row>
    <row r="305" spans="1:18" x14ac:dyDescent="0.25">
      <c r="A305" s="185"/>
      <c r="B305" s="196"/>
      <c r="C305" s="196"/>
      <c r="D305" s="196"/>
      <c r="E305" s="196"/>
      <c r="F305" s="196"/>
      <c r="G305" s="196"/>
      <c r="H305" s="196"/>
      <c r="L305" s="195"/>
      <c r="R305" s="80"/>
    </row>
    <row r="306" spans="1:18" x14ac:dyDescent="0.25">
      <c r="A306" s="185"/>
      <c r="B306" s="196"/>
      <c r="C306" s="196"/>
      <c r="D306" s="196"/>
      <c r="E306" s="196"/>
      <c r="F306" s="196"/>
      <c r="G306" s="196"/>
      <c r="H306" s="196"/>
      <c r="L306" s="195"/>
      <c r="R306" s="80"/>
    </row>
    <row r="307" spans="1:18" x14ac:dyDescent="0.25">
      <c r="A307" s="185"/>
      <c r="B307" s="196"/>
      <c r="C307" s="196"/>
      <c r="D307" s="196"/>
      <c r="E307" s="196"/>
      <c r="F307" s="196"/>
      <c r="G307" s="196"/>
      <c r="H307" s="196"/>
      <c r="L307" s="195"/>
      <c r="R307" s="80"/>
    </row>
    <row r="308" spans="1:18" x14ac:dyDescent="0.25">
      <c r="A308" s="185"/>
      <c r="B308" s="196"/>
      <c r="C308" s="196"/>
      <c r="D308" s="196"/>
      <c r="E308" s="196"/>
      <c r="F308" s="196"/>
      <c r="G308" s="196"/>
      <c r="H308" s="196"/>
      <c r="L308" s="195"/>
      <c r="R308" s="80"/>
    </row>
    <row r="309" spans="1:18" x14ac:dyDescent="0.25">
      <c r="A309" s="185"/>
      <c r="B309" s="196"/>
      <c r="C309" s="196"/>
      <c r="D309" s="196"/>
      <c r="E309" s="196"/>
      <c r="F309" s="196"/>
      <c r="G309" s="196"/>
      <c r="H309" s="196"/>
      <c r="L309" s="195"/>
      <c r="R309" s="80"/>
    </row>
    <row r="310" spans="1:18" x14ac:dyDescent="0.25">
      <c r="A310" s="185"/>
      <c r="B310" s="196"/>
      <c r="C310" s="196"/>
      <c r="D310" s="196"/>
      <c r="E310" s="196"/>
      <c r="F310" s="196"/>
      <c r="G310" s="196"/>
      <c r="H310" s="196"/>
      <c r="L310" s="195"/>
      <c r="R310" s="80"/>
    </row>
    <row r="311" spans="1:18" x14ac:dyDescent="0.25">
      <c r="A311" s="185"/>
      <c r="B311" s="196"/>
      <c r="C311" s="196"/>
      <c r="D311" s="196"/>
      <c r="E311" s="196"/>
      <c r="F311" s="196"/>
      <c r="G311" s="196"/>
      <c r="H311" s="196"/>
      <c r="L311" s="195"/>
      <c r="R311" s="80"/>
    </row>
    <row r="312" spans="1:18" x14ac:dyDescent="0.25">
      <c r="A312" s="185"/>
      <c r="B312" s="196"/>
      <c r="C312" s="196"/>
      <c r="D312" s="196"/>
      <c r="E312" s="196"/>
      <c r="F312" s="196"/>
      <c r="G312" s="196"/>
      <c r="H312" s="196"/>
      <c r="L312" s="195"/>
      <c r="R312" s="80"/>
    </row>
    <row r="313" spans="1:18" x14ac:dyDescent="0.25">
      <c r="A313" s="185"/>
      <c r="B313" s="196"/>
      <c r="C313" s="196"/>
      <c r="D313" s="196"/>
      <c r="E313" s="196"/>
      <c r="F313" s="196"/>
      <c r="G313" s="196"/>
      <c r="H313" s="196"/>
      <c r="L313" s="195"/>
      <c r="R313" s="80"/>
    </row>
    <row r="314" spans="1:18" x14ac:dyDescent="0.25">
      <c r="A314" s="185"/>
      <c r="B314" s="196"/>
      <c r="C314" s="196"/>
      <c r="D314" s="196"/>
      <c r="E314" s="196"/>
      <c r="F314" s="196"/>
      <c r="G314" s="196"/>
      <c r="H314" s="196"/>
      <c r="L314" s="195"/>
      <c r="R314" s="80"/>
    </row>
    <row r="315" spans="1:18" x14ac:dyDescent="0.25">
      <c r="A315" s="185"/>
      <c r="B315" s="196"/>
      <c r="C315" s="196"/>
      <c r="D315" s="196"/>
      <c r="E315" s="196"/>
      <c r="F315" s="196"/>
      <c r="G315" s="196"/>
      <c r="H315" s="196"/>
      <c r="L315" s="195"/>
      <c r="R315" s="80"/>
    </row>
    <row r="316" spans="1:18" x14ac:dyDescent="0.25">
      <c r="A316" s="185"/>
      <c r="B316" s="196"/>
      <c r="C316" s="196"/>
      <c r="D316" s="196"/>
      <c r="E316" s="196"/>
      <c r="F316" s="196"/>
      <c r="G316" s="196"/>
      <c r="H316" s="196"/>
      <c r="L316" s="195"/>
      <c r="R316" s="80"/>
    </row>
    <row r="317" spans="1:18" x14ac:dyDescent="0.25">
      <c r="A317" s="185"/>
      <c r="B317" s="196"/>
      <c r="C317" s="196"/>
      <c r="D317" s="196"/>
      <c r="E317" s="196"/>
      <c r="F317" s="196"/>
      <c r="G317" s="196"/>
      <c r="H317" s="196"/>
      <c r="L317" s="195"/>
      <c r="R317" s="80"/>
    </row>
    <row r="318" spans="1:18" x14ac:dyDescent="0.25">
      <c r="A318" s="185"/>
      <c r="B318" s="196"/>
      <c r="C318" s="196"/>
      <c r="D318" s="196"/>
      <c r="E318" s="196"/>
      <c r="F318" s="196"/>
      <c r="G318" s="196"/>
      <c r="H318" s="196"/>
      <c r="L318" s="195"/>
      <c r="R318" s="80"/>
    </row>
    <row r="319" spans="1:18" x14ac:dyDescent="0.25">
      <c r="A319" s="185"/>
      <c r="B319" s="196"/>
      <c r="C319" s="196"/>
      <c r="D319" s="196"/>
      <c r="E319" s="196"/>
      <c r="F319" s="196"/>
      <c r="G319" s="196"/>
      <c r="H319" s="196"/>
      <c r="L319" s="195"/>
      <c r="R319" s="80"/>
    </row>
    <row r="320" spans="1:18" x14ac:dyDescent="0.25">
      <c r="A320" s="185"/>
      <c r="B320" s="196"/>
      <c r="C320" s="196"/>
      <c r="D320" s="196"/>
      <c r="E320" s="196"/>
      <c r="F320" s="196"/>
      <c r="G320" s="196"/>
      <c r="H320" s="196"/>
      <c r="L320" s="195"/>
      <c r="R320" s="80"/>
    </row>
    <row r="321" spans="1:18" x14ac:dyDescent="0.25">
      <c r="A321" s="185"/>
      <c r="B321" s="196"/>
      <c r="C321" s="196"/>
      <c r="D321" s="196"/>
      <c r="E321" s="196"/>
      <c r="F321" s="196"/>
      <c r="G321" s="196"/>
      <c r="H321" s="196"/>
      <c r="L321" s="195"/>
      <c r="R321" s="80"/>
    </row>
    <row r="322" spans="1:18" x14ac:dyDescent="0.25">
      <c r="A322" s="185"/>
      <c r="B322" s="196"/>
      <c r="C322" s="196"/>
      <c r="D322" s="196"/>
      <c r="E322" s="196"/>
      <c r="F322" s="196"/>
      <c r="G322" s="196"/>
      <c r="H322" s="196"/>
      <c r="L322" s="195"/>
      <c r="R322" s="80"/>
    </row>
    <row r="323" spans="1:18" x14ac:dyDescent="0.25">
      <c r="A323" s="185"/>
      <c r="B323" s="196"/>
      <c r="C323" s="196"/>
      <c r="D323" s="196"/>
      <c r="E323" s="196"/>
      <c r="F323" s="196"/>
      <c r="G323" s="196"/>
      <c r="H323" s="196"/>
      <c r="L323" s="195"/>
      <c r="R323" s="80"/>
    </row>
    <row r="324" spans="1:18" x14ac:dyDescent="0.25">
      <c r="A324" s="185"/>
      <c r="B324" s="196"/>
      <c r="C324" s="196"/>
      <c r="D324" s="196"/>
      <c r="E324" s="196"/>
      <c r="F324" s="196"/>
      <c r="G324" s="196"/>
      <c r="H324" s="196"/>
      <c r="L324" s="195"/>
      <c r="R324" s="80"/>
    </row>
    <row r="325" spans="1:18" x14ac:dyDescent="0.25">
      <c r="A325" s="185"/>
      <c r="B325" s="196"/>
      <c r="C325" s="196"/>
      <c r="D325" s="196"/>
      <c r="E325" s="196"/>
      <c r="F325" s="196"/>
      <c r="G325" s="196"/>
      <c r="H325" s="196"/>
      <c r="L325" s="195"/>
      <c r="R325" s="80"/>
    </row>
    <row r="326" spans="1:18" x14ac:dyDescent="0.25">
      <c r="A326" s="185"/>
      <c r="B326" s="196"/>
      <c r="C326" s="196"/>
      <c r="D326" s="196"/>
      <c r="E326" s="196"/>
      <c r="F326" s="196"/>
      <c r="G326" s="196"/>
      <c r="H326" s="196"/>
      <c r="L326" s="195"/>
      <c r="R326" s="80"/>
    </row>
    <row r="327" spans="1:18" x14ac:dyDescent="0.25">
      <c r="A327" s="185"/>
      <c r="B327" s="196"/>
      <c r="C327" s="196"/>
      <c r="D327" s="196"/>
      <c r="E327" s="196"/>
      <c r="F327" s="196"/>
      <c r="G327" s="196"/>
      <c r="H327" s="196"/>
      <c r="L327" s="195"/>
      <c r="R327" s="80"/>
    </row>
    <row r="328" spans="1:18" x14ac:dyDescent="0.25">
      <c r="A328" s="185"/>
      <c r="B328" s="196"/>
      <c r="C328" s="196"/>
      <c r="D328" s="196"/>
      <c r="E328" s="196"/>
      <c r="F328" s="196"/>
      <c r="G328" s="196"/>
      <c r="H328" s="196"/>
      <c r="L328" s="195"/>
      <c r="R328" s="80"/>
    </row>
    <row r="329" spans="1:18" x14ac:dyDescent="0.25">
      <c r="A329" s="185"/>
      <c r="B329" s="196"/>
      <c r="C329" s="196"/>
      <c r="D329" s="196"/>
      <c r="E329" s="196"/>
      <c r="F329" s="196"/>
      <c r="G329" s="196"/>
      <c r="H329" s="196"/>
      <c r="L329" s="195"/>
      <c r="R329" s="80"/>
    </row>
    <row r="330" spans="1:18" x14ac:dyDescent="0.25">
      <c r="A330" s="185"/>
      <c r="B330" s="196"/>
      <c r="C330" s="196"/>
      <c r="D330" s="196"/>
      <c r="E330" s="196"/>
      <c r="F330" s="196"/>
      <c r="G330" s="196"/>
      <c r="H330" s="196"/>
      <c r="L330" s="195"/>
      <c r="R330" s="80"/>
    </row>
    <row r="331" spans="1:18" x14ac:dyDescent="0.25">
      <c r="A331" s="185"/>
      <c r="B331" s="196"/>
      <c r="C331" s="196"/>
      <c r="D331" s="196"/>
      <c r="E331" s="196"/>
      <c r="F331" s="196"/>
      <c r="G331" s="196"/>
      <c r="H331" s="196"/>
      <c r="L331" s="195"/>
      <c r="R331" s="80"/>
    </row>
    <row r="332" spans="1:18" x14ac:dyDescent="0.25">
      <c r="A332" s="185"/>
      <c r="B332" s="196"/>
      <c r="C332" s="196"/>
      <c r="D332" s="196"/>
      <c r="E332" s="196"/>
      <c r="F332" s="196"/>
      <c r="G332" s="196"/>
      <c r="H332" s="196"/>
      <c r="L332" s="195"/>
      <c r="R332" s="80"/>
    </row>
    <row r="333" spans="1:18" x14ac:dyDescent="0.25">
      <c r="A333" s="185"/>
      <c r="B333" s="196"/>
      <c r="C333" s="196"/>
      <c r="D333" s="196"/>
      <c r="E333" s="196"/>
      <c r="F333" s="196"/>
      <c r="G333" s="196"/>
      <c r="H333" s="196"/>
      <c r="L333" s="195"/>
      <c r="R333" s="80"/>
    </row>
    <row r="334" spans="1:18" x14ac:dyDescent="0.25">
      <c r="A334" s="185"/>
      <c r="B334" s="196"/>
      <c r="C334" s="196"/>
      <c r="D334" s="196"/>
      <c r="E334" s="196"/>
      <c r="F334" s="196"/>
      <c r="G334" s="196"/>
      <c r="H334" s="196"/>
      <c r="L334" s="195"/>
      <c r="R334" s="80"/>
    </row>
    <row r="335" spans="1:18" x14ac:dyDescent="0.25">
      <c r="A335" s="185"/>
      <c r="B335" s="196"/>
      <c r="C335" s="196"/>
      <c r="D335" s="196"/>
      <c r="E335" s="196"/>
      <c r="F335" s="196"/>
      <c r="G335" s="196"/>
      <c r="H335" s="196"/>
      <c r="L335" s="195"/>
      <c r="R335" s="80"/>
    </row>
    <row r="336" spans="1:18" x14ac:dyDescent="0.25">
      <c r="A336" s="185"/>
      <c r="B336" s="196"/>
      <c r="C336" s="196"/>
      <c r="D336" s="196"/>
      <c r="E336" s="196"/>
      <c r="F336" s="196"/>
      <c r="G336" s="196"/>
      <c r="H336" s="196"/>
      <c r="L336" s="195"/>
      <c r="R336" s="80"/>
    </row>
    <row r="337" spans="1:18" x14ac:dyDescent="0.25">
      <c r="A337" s="185"/>
      <c r="B337" s="196"/>
      <c r="C337" s="196"/>
      <c r="D337" s="196"/>
      <c r="E337" s="196"/>
      <c r="F337" s="196"/>
      <c r="G337" s="196"/>
      <c r="H337" s="196"/>
      <c r="L337" s="195"/>
      <c r="R337" s="80"/>
    </row>
    <row r="338" spans="1:18" x14ac:dyDescent="0.25">
      <c r="A338" s="185"/>
      <c r="B338" s="196"/>
      <c r="C338" s="196"/>
      <c r="D338" s="196"/>
      <c r="E338" s="196"/>
      <c r="F338" s="196"/>
      <c r="G338" s="196"/>
      <c r="H338" s="196"/>
      <c r="L338" s="195"/>
      <c r="R338" s="80"/>
    </row>
    <row r="339" spans="1:18" x14ac:dyDescent="0.25">
      <c r="A339" s="185"/>
      <c r="B339" s="196"/>
      <c r="C339" s="196"/>
      <c r="D339" s="196"/>
      <c r="E339" s="196"/>
      <c r="F339" s="196"/>
      <c r="G339" s="196"/>
      <c r="H339" s="196"/>
      <c r="L339" s="195"/>
      <c r="R339" s="80"/>
    </row>
    <row r="340" spans="1:18" x14ac:dyDescent="0.25">
      <c r="A340" s="185"/>
      <c r="B340" s="196"/>
      <c r="C340" s="196"/>
      <c r="D340" s="196"/>
      <c r="E340" s="196"/>
      <c r="F340" s="196"/>
      <c r="G340" s="196"/>
      <c r="H340" s="196"/>
      <c r="L340" s="195"/>
      <c r="R340" s="80"/>
    </row>
    <row r="341" spans="1:18" x14ac:dyDescent="0.25">
      <c r="A341" s="185"/>
      <c r="B341" s="196"/>
      <c r="C341" s="196"/>
      <c r="D341" s="196"/>
      <c r="E341" s="196"/>
      <c r="F341" s="196"/>
      <c r="G341" s="196"/>
      <c r="H341" s="196"/>
      <c r="L341" s="195"/>
      <c r="R341" s="80"/>
    </row>
    <row r="342" spans="1:18" x14ac:dyDescent="0.25">
      <c r="A342" s="185"/>
      <c r="B342" s="196"/>
      <c r="C342" s="196"/>
      <c r="D342" s="196"/>
      <c r="E342" s="196"/>
      <c r="F342" s="196"/>
      <c r="G342" s="196"/>
      <c r="H342" s="196"/>
      <c r="L342" s="195"/>
      <c r="R342" s="80"/>
    </row>
    <row r="343" spans="1:18" x14ac:dyDescent="0.25">
      <c r="A343" s="185"/>
      <c r="B343" s="196"/>
      <c r="C343" s="196"/>
      <c r="D343" s="196"/>
      <c r="E343" s="196"/>
      <c r="F343" s="196"/>
      <c r="G343" s="196"/>
      <c r="H343" s="196"/>
      <c r="L343" s="195"/>
      <c r="R343" s="80"/>
    </row>
    <row r="344" spans="1:18" x14ac:dyDescent="0.25">
      <c r="A344" s="185"/>
      <c r="B344" s="196"/>
      <c r="C344" s="196"/>
      <c r="D344" s="196"/>
      <c r="E344" s="196"/>
      <c r="F344" s="196"/>
      <c r="G344" s="196"/>
      <c r="H344" s="196"/>
      <c r="L344" s="195"/>
      <c r="R344" s="80"/>
    </row>
    <row r="345" spans="1:18" x14ac:dyDescent="0.25">
      <c r="A345" s="185"/>
      <c r="B345" s="196"/>
      <c r="C345" s="196"/>
      <c r="D345" s="196"/>
      <c r="E345" s="196"/>
      <c r="F345" s="196"/>
      <c r="G345" s="196"/>
      <c r="H345" s="196"/>
      <c r="L345" s="195"/>
      <c r="R345" s="80"/>
    </row>
    <row r="346" spans="1:18" x14ac:dyDescent="0.25">
      <c r="A346" s="185"/>
      <c r="B346" s="196"/>
      <c r="C346" s="196"/>
      <c r="D346" s="196"/>
      <c r="E346" s="196"/>
      <c r="F346" s="196"/>
      <c r="G346" s="196"/>
      <c r="H346" s="196"/>
      <c r="L346" s="195"/>
      <c r="R346" s="80"/>
    </row>
    <row r="347" spans="1:18" x14ac:dyDescent="0.25">
      <c r="A347" s="185"/>
      <c r="B347" s="196"/>
      <c r="C347" s="196"/>
      <c r="D347" s="196"/>
      <c r="E347" s="196"/>
      <c r="F347" s="196"/>
      <c r="G347" s="196"/>
      <c r="H347" s="196"/>
      <c r="L347" s="195"/>
      <c r="R347" s="80"/>
    </row>
    <row r="348" spans="1:18" x14ac:dyDescent="0.25">
      <c r="A348" s="185"/>
      <c r="B348" s="196"/>
      <c r="C348" s="196"/>
      <c r="D348" s="196"/>
      <c r="E348" s="196"/>
      <c r="F348" s="196"/>
      <c r="G348" s="196"/>
      <c r="H348" s="196"/>
      <c r="L348" s="195"/>
      <c r="R348" s="80"/>
    </row>
    <row r="349" spans="1:18" x14ac:dyDescent="0.25">
      <c r="A349" s="185"/>
      <c r="B349" s="196"/>
      <c r="C349" s="196"/>
      <c r="D349" s="196"/>
      <c r="E349" s="196"/>
      <c r="F349" s="196"/>
      <c r="G349" s="196"/>
      <c r="H349" s="196"/>
      <c r="L349" s="195"/>
      <c r="R349" s="80"/>
    </row>
    <row r="350" spans="1:18" x14ac:dyDescent="0.25">
      <c r="A350" s="185"/>
      <c r="B350" s="196"/>
      <c r="C350" s="196"/>
      <c r="D350" s="196"/>
      <c r="E350" s="196"/>
      <c r="F350" s="196"/>
      <c r="G350" s="196"/>
      <c r="H350" s="196"/>
      <c r="L350" s="195"/>
      <c r="R350" s="80"/>
    </row>
    <row r="351" spans="1:18" x14ac:dyDescent="0.25">
      <c r="A351" s="185"/>
      <c r="B351" s="196"/>
      <c r="C351" s="196"/>
      <c r="D351" s="196"/>
      <c r="E351" s="196"/>
      <c r="F351" s="196"/>
      <c r="G351" s="196"/>
      <c r="H351" s="196"/>
      <c r="L351" s="195"/>
      <c r="R351" s="80"/>
    </row>
    <row r="352" spans="1:18" x14ac:dyDescent="0.25">
      <c r="A352" s="185"/>
      <c r="B352" s="196"/>
      <c r="C352" s="196"/>
      <c r="D352" s="196"/>
      <c r="E352" s="196"/>
      <c r="F352" s="196"/>
      <c r="G352" s="196"/>
      <c r="H352" s="196"/>
      <c r="L352" s="195"/>
      <c r="R352" s="80"/>
    </row>
    <row r="353" spans="1:18" x14ac:dyDescent="0.25">
      <c r="A353" s="185"/>
      <c r="B353" s="196"/>
      <c r="C353" s="196"/>
      <c r="D353" s="196"/>
      <c r="E353" s="196"/>
      <c r="F353" s="196"/>
      <c r="G353" s="196"/>
      <c r="H353" s="196"/>
      <c r="L353" s="195"/>
      <c r="R353" s="80"/>
    </row>
    <row r="354" spans="1:18" x14ac:dyDescent="0.25">
      <c r="A354" s="185"/>
      <c r="B354" s="196"/>
      <c r="C354" s="196"/>
      <c r="D354" s="196"/>
      <c r="E354" s="196"/>
      <c r="F354" s="196"/>
      <c r="G354" s="196"/>
      <c r="H354" s="196"/>
      <c r="L354" s="195"/>
      <c r="R354" s="80"/>
    </row>
    <row r="355" spans="1:18" x14ac:dyDescent="0.25">
      <c r="A355" s="185"/>
      <c r="B355" s="196"/>
      <c r="C355" s="196"/>
      <c r="D355" s="196"/>
      <c r="E355" s="196"/>
      <c r="F355" s="196"/>
      <c r="G355" s="196"/>
      <c r="H355" s="196"/>
      <c r="L355" s="195"/>
      <c r="R355" s="80"/>
    </row>
    <row r="356" spans="1:18" ht="15.75" customHeight="1" x14ac:dyDescent="0.25">
      <c r="A356" s="185"/>
      <c r="B356" s="196"/>
      <c r="C356" s="196"/>
      <c r="D356" s="196"/>
      <c r="E356" s="196"/>
      <c r="F356" s="196"/>
      <c r="G356" s="196"/>
      <c r="H356" s="196"/>
      <c r="L356" s="195"/>
      <c r="R356" s="80"/>
    </row>
    <row r="357" spans="1:18" ht="15.75" customHeight="1" x14ac:dyDescent="0.25">
      <c r="A357" s="185"/>
      <c r="B357" s="196"/>
      <c r="C357" s="196"/>
      <c r="D357" s="196"/>
      <c r="E357" s="196"/>
      <c r="F357" s="196"/>
      <c r="G357" s="196"/>
      <c r="H357" s="196"/>
      <c r="L357" s="195"/>
      <c r="R357" s="80"/>
    </row>
    <row r="358" spans="1:18" x14ac:dyDescent="0.25">
      <c r="A358" s="185"/>
      <c r="B358" s="196"/>
      <c r="C358" s="196"/>
      <c r="D358" s="196"/>
      <c r="E358" s="196"/>
      <c r="F358" s="196"/>
      <c r="G358" s="196"/>
      <c r="H358" s="196"/>
      <c r="L358" s="195"/>
      <c r="R358" s="80"/>
    </row>
    <row r="359" spans="1:18" x14ac:dyDescent="0.25">
      <c r="A359" s="185"/>
      <c r="B359" s="196"/>
      <c r="C359" s="196"/>
      <c r="D359" s="196"/>
      <c r="E359" s="196"/>
      <c r="F359" s="196"/>
      <c r="G359" s="196"/>
      <c r="H359" s="196"/>
      <c r="L359" s="195"/>
      <c r="R359" s="80"/>
    </row>
    <row r="360" spans="1:18" x14ac:dyDescent="0.25">
      <c r="A360" s="185"/>
      <c r="B360" s="196"/>
      <c r="C360" s="196"/>
      <c r="D360" s="196"/>
      <c r="E360" s="196"/>
      <c r="F360" s="196"/>
      <c r="G360" s="196"/>
      <c r="H360" s="196"/>
      <c r="L360" s="195"/>
      <c r="R360" s="80"/>
    </row>
    <row r="361" spans="1:18" ht="15" customHeight="1" x14ac:dyDescent="0.25">
      <c r="A361" s="185"/>
      <c r="B361" s="196"/>
      <c r="C361" s="196"/>
      <c r="D361" s="196"/>
      <c r="E361" s="196"/>
      <c r="F361" s="196"/>
      <c r="G361" s="196"/>
      <c r="H361" s="196"/>
      <c r="L361" s="195"/>
      <c r="R361" s="80"/>
    </row>
    <row r="362" spans="1:18" x14ac:dyDescent="0.25">
      <c r="A362" s="185"/>
      <c r="B362" s="196"/>
      <c r="C362" s="196"/>
      <c r="D362" s="196"/>
      <c r="E362" s="196"/>
      <c r="F362" s="196"/>
      <c r="G362" s="196"/>
      <c r="H362" s="196"/>
      <c r="L362" s="195"/>
      <c r="R362" s="80"/>
    </row>
    <row r="363" spans="1:18" x14ac:dyDescent="0.25">
      <c r="A363" s="185"/>
      <c r="B363" s="196"/>
      <c r="C363" s="196"/>
      <c r="D363" s="196"/>
      <c r="E363" s="196"/>
      <c r="F363" s="196"/>
      <c r="G363" s="196"/>
      <c r="H363" s="196"/>
      <c r="L363" s="195"/>
      <c r="R363" s="80"/>
    </row>
    <row r="364" spans="1:18" x14ac:dyDescent="0.25">
      <c r="A364" s="185"/>
      <c r="B364" s="196"/>
      <c r="C364" s="196"/>
      <c r="D364" s="196"/>
      <c r="E364" s="196"/>
      <c r="F364" s="196"/>
      <c r="G364" s="196"/>
      <c r="H364" s="196"/>
      <c r="L364" s="195"/>
      <c r="R364" s="80"/>
    </row>
    <row r="365" spans="1:18" x14ac:dyDescent="0.25">
      <c r="A365" s="185"/>
      <c r="B365" s="196"/>
      <c r="C365" s="196"/>
      <c r="D365" s="196"/>
      <c r="E365" s="196"/>
      <c r="F365" s="196"/>
      <c r="G365" s="196"/>
      <c r="H365" s="196"/>
      <c r="L365" s="195"/>
      <c r="R365" s="80"/>
    </row>
    <row r="366" spans="1:18" x14ac:dyDescent="0.25">
      <c r="A366" s="185"/>
      <c r="B366" s="196"/>
      <c r="C366" s="196"/>
      <c r="D366" s="196"/>
      <c r="E366" s="196"/>
      <c r="F366" s="196"/>
      <c r="G366" s="196"/>
      <c r="H366" s="196"/>
      <c r="L366" s="195"/>
      <c r="R366" s="80"/>
    </row>
    <row r="367" spans="1:18" x14ac:dyDescent="0.25">
      <c r="A367" s="185"/>
      <c r="B367" s="196"/>
      <c r="C367" s="196"/>
      <c r="D367" s="196"/>
      <c r="E367" s="196"/>
      <c r="F367" s="196"/>
      <c r="G367" s="196"/>
      <c r="H367" s="196"/>
      <c r="L367" s="195"/>
      <c r="R367" s="80"/>
    </row>
    <row r="368" spans="1:18" x14ac:dyDescent="0.25">
      <c r="A368" s="185"/>
      <c r="B368" s="196"/>
      <c r="C368" s="196"/>
      <c r="D368" s="196"/>
      <c r="E368" s="196"/>
      <c r="F368" s="196"/>
      <c r="G368" s="196"/>
      <c r="H368" s="196"/>
      <c r="L368" s="195"/>
      <c r="R368" s="80"/>
    </row>
    <row r="369" spans="1:18" x14ac:dyDescent="0.25">
      <c r="A369" s="185"/>
      <c r="B369" s="196"/>
      <c r="C369" s="196"/>
      <c r="D369" s="196"/>
      <c r="E369" s="196"/>
      <c r="F369" s="196"/>
      <c r="G369" s="196"/>
      <c r="H369" s="196"/>
      <c r="L369" s="195"/>
      <c r="R369" s="80"/>
    </row>
    <row r="370" spans="1:18" x14ac:dyDescent="0.25">
      <c r="A370" s="185"/>
      <c r="B370" s="196"/>
      <c r="C370" s="196"/>
      <c r="D370" s="196"/>
      <c r="E370" s="196"/>
      <c r="F370" s="196"/>
      <c r="G370" s="196"/>
      <c r="H370" s="196"/>
      <c r="L370" s="195"/>
      <c r="R370" s="80"/>
    </row>
    <row r="371" spans="1:18" x14ac:dyDescent="0.25">
      <c r="A371" s="185"/>
      <c r="B371" s="196"/>
      <c r="C371" s="196"/>
      <c r="D371" s="196"/>
      <c r="E371" s="196"/>
      <c r="F371" s="196"/>
      <c r="G371" s="196"/>
      <c r="H371" s="196"/>
      <c r="L371" s="195"/>
      <c r="R371" s="80"/>
    </row>
    <row r="372" spans="1:18" x14ac:dyDescent="0.25">
      <c r="A372" s="185"/>
      <c r="B372" s="196"/>
      <c r="C372" s="196"/>
      <c r="D372" s="196"/>
      <c r="E372" s="196"/>
      <c r="F372" s="196"/>
      <c r="G372" s="196"/>
      <c r="H372" s="196"/>
      <c r="L372" s="195"/>
      <c r="R372" s="80"/>
    </row>
    <row r="373" spans="1:18" x14ac:dyDescent="0.25">
      <c r="A373" s="185"/>
      <c r="B373" s="196"/>
      <c r="C373" s="196"/>
      <c r="D373" s="196"/>
      <c r="E373" s="196"/>
      <c r="F373" s="196"/>
      <c r="G373" s="196"/>
      <c r="H373" s="196"/>
      <c r="L373" s="195"/>
      <c r="R373" s="80"/>
    </row>
    <row r="374" spans="1:18" x14ac:dyDescent="0.25">
      <c r="A374" s="185"/>
      <c r="B374" s="196"/>
      <c r="C374" s="196"/>
      <c r="D374" s="196"/>
      <c r="E374" s="196"/>
      <c r="F374" s="196"/>
      <c r="G374" s="196"/>
      <c r="H374" s="196"/>
      <c r="L374" s="195"/>
      <c r="R374" s="80"/>
    </row>
    <row r="375" spans="1:18" x14ac:dyDescent="0.25">
      <c r="A375" s="185"/>
      <c r="B375" s="196"/>
      <c r="C375" s="196"/>
      <c r="D375" s="196"/>
      <c r="E375" s="196"/>
      <c r="F375" s="196"/>
      <c r="G375" s="196"/>
      <c r="H375" s="196"/>
      <c r="L375" s="195"/>
      <c r="R375" s="80"/>
    </row>
    <row r="376" spans="1:18" x14ac:dyDescent="0.25">
      <c r="A376" s="185"/>
      <c r="B376" s="196"/>
      <c r="C376" s="196"/>
      <c r="D376" s="196"/>
      <c r="E376" s="196"/>
      <c r="F376" s="196"/>
      <c r="G376" s="196"/>
      <c r="H376" s="196"/>
      <c r="L376" s="195"/>
      <c r="R376" s="80"/>
    </row>
    <row r="377" spans="1:18" x14ac:dyDescent="0.25">
      <c r="A377" s="185"/>
      <c r="B377" s="196"/>
      <c r="C377" s="196"/>
      <c r="D377" s="196"/>
      <c r="E377" s="196"/>
      <c r="F377" s="196"/>
      <c r="G377" s="196"/>
      <c r="H377" s="196"/>
      <c r="L377" s="195"/>
      <c r="R377" s="80"/>
    </row>
    <row r="378" spans="1:18" x14ac:dyDescent="0.25">
      <c r="A378" s="185"/>
      <c r="B378" s="196"/>
      <c r="C378" s="196"/>
      <c r="D378" s="196"/>
      <c r="E378" s="196"/>
      <c r="F378" s="196"/>
      <c r="G378" s="196"/>
      <c r="H378" s="196"/>
      <c r="L378" s="195"/>
      <c r="R378" s="80"/>
    </row>
    <row r="379" spans="1:18" x14ac:dyDescent="0.25">
      <c r="A379" s="185"/>
      <c r="B379" s="196"/>
      <c r="C379" s="196"/>
      <c r="D379" s="196"/>
      <c r="E379" s="196"/>
      <c r="F379" s="196"/>
      <c r="G379" s="196"/>
      <c r="H379" s="196"/>
      <c r="L379" s="195"/>
      <c r="R379" s="80"/>
    </row>
    <row r="380" spans="1:18" x14ac:dyDescent="0.25">
      <c r="A380" s="185"/>
      <c r="B380" s="196"/>
      <c r="C380" s="196"/>
      <c r="D380" s="196"/>
      <c r="E380" s="196"/>
      <c r="F380" s="196"/>
      <c r="G380" s="196"/>
      <c r="H380" s="196"/>
      <c r="L380" s="195"/>
      <c r="R380" s="80"/>
    </row>
    <row r="381" spans="1:18" x14ac:dyDescent="0.25">
      <c r="A381" s="185"/>
      <c r="B381" s="196"/>
      <c r="C381" s="196"/>
      <c r="D381" s="196"/>
      <c r="E381" s="196"/>
      <c r="F381" s="196"/>
      <c r="G381" s="196"/>
      <c r="H381" s="196"/>
      <c r="L381" s="195"/>
      <c r="R381" s="80"/>
    </row>
    <row r="382" spans="1:18" x14ac:dyDescent="0.25">
      <c r="A382" s="185"/>
      <c r="B382" s="196"/>
      <c r="C382" s="196"/>
      <c r="D382" s="196"/>
      <c r="E382" s="196"/>
      <c r="F382" s="196"/>
      <c r="G382" s="196"/>
      <c r="H382" s="196"/>
      <c r="L382" s="195"/>
      <c r="R382" s="80"/>
    </row>
    <row r="383" spans="1:18" x14ac:dyDescent="0.25">
      <c r="A383" s="185"/>
      <c r="B383" s="196"/>
      <c r="C383" s="196"/>
      <c r="D383" s="196"/>
      <c r="E383" s="196"/>
      <c r="F383" s="196"/>
      <c r="G383" s="196"/>
      <c r="H383" s="196"/>
      <c r="L383" s="195"/>
      <c r="R383" s="80"/>
    </row>
    <row r="384" spans="1:18" x14ac:dyDescent="0.25">
      <c r="A384" s="185"/>
      <c r="B384" s="196"/>
      <c r="C384" s="196"/>
      <c r="D384" s="196"/>
      <c r="E384" s="196"/>
      <c r="F384" s="196"/>
      <c r="G384" s="196"/>
      <c r="H384" s="196"/>
      <c r="L384" s="195"/>
      <c r="R384" s="80"/>
    </row>
    <row r="385" spans="1:18" x14ac:dyDescent="0.25">
      <c r="A385" s="185"/>
      <c r="B385" s="196"/>
      <c r="C385" s="196"/>
      <c r="D385" s="196"/>
      <c r="E385" s="196"/>
      <c r="F385" s="196"/>
      <c r="G385" s="196"/>
      <c r="H385" s="196"/>
      <c r="L385" s="195"/>
      <c r="R385" s="80"/>
    </row>
    <row r="386" spans="1:18" x14ac:dyDescent="0.25">
      <c r="A386" s="185"/>
      <c r="B386" s="196"/>
      <c r="C386" s="196"/>
      <c r="D386" s="196"/>
      <c r="E386" s="196"/>
      <c r="F386" s="196"/>
      <c r="G386" s="196"/>
      <c r="H386" s="196"/>
      <c r="L386" s="195"/>
      <c r="R386" s="80"/>
    </row>
    <row r="387" spans="1:18" x14ac:dyDescent="0.25">
      <c r="A387" s="185"/>
      <c r="B387" s="196"/>
      <c r="C387" s="196"/>
      <c r="D387" s="196"/>
      <c r="E387" s="196"/>
      <c r="F387" s="196"/>
      <c r="G387" s="196"/>
      <c r="H387" s="196"/>
      <c r="L387" s="195"/>
      <c r="R387" s="80"/>
    </row>
    <row r="388" spans="1:18" x14ac:dyDescent="0.25">
      <c r="A388" s="185"/>
      <c r="B388" s="196"/>
      <c r="C388" s="196"/>
      <c r="D388" s="196"/>
      <c r="E388" s="196"/>
      <c r="F388" s="196"/>
      <c r="G388" s="196"/>
      <c r="H388" s="196"/>
      <c r="L388" s="195"/>
      <c r="R388" s="80"/>
    </row>
    <row r="389" spans="1:18" x14ac:dyDescent="0.25">
      <c r="A389" s="185"/>
      <c r="B389" s="196"/>
      <c r="C389" s="196"/>
      <c r="D389" s="196"/>
      <c r="E389" s="196"/>
      <c r="F389" s="196"/>
      <c r="G389" s="196"/>
      <c r="H389" s="196"/>
      <c r="L389" s="195"/>
      <c r="R389" s="80"/>
    </row>
    <row r="390" spans="1:18" x14ac:dyDescent="0.25">
      <c r="A390" s="185"/>
      <c r="B390" s="196"/>
      <c r="C390" s="196"/>
      <c r="D390" s="196"/>
      <c r="E390" s="196"/>
      <c r="F390" s="196"/>
      <c r="G390" s="196"/>
      <c r="H390" s="196"/>
      <c r="L390" s="195"/>
      <c r="R390" s="80"/>
    </row>
    <row r="391" spans="1:18" x14ac:dyDescent="0.25">
      <c r="A391" s="185"/>
      <c r="B391" s="196"/>
      <c r="C391" s="196"/>
      <c r="D391" s="196"/>
      <c r="E391" s="196"/>
      <c r="F391" s="196"/>
      <c r="G391" s="196"/>
      <c r="H391" s="196"/>
      <c r="L391" s="195"/>
      <c r="R391" s="80"/>
    </row>
    <row r="392" spans="1:18" x14ac:dyDescent="0.25">
      <c r="A392" s="185"/>
      <c r="B392" s="196"/>
      <c r="C392" s="196"/>
      <c r="D392" s="196"/>
      <c r="E392" s="196"/>
      <c r="F392" s="196"/>
      <c r="G392" s="196"/>
      <c r="H392" s="196"/>
      <c r="L392" s="195"/>
      <c r="R392" s="80"/>
    </row>
    <row r="393" spans="1:18" ht="15.75" customHeight="1" x14ac:dyDescent="0.25">
      <c r="A393" s="185"/>
      <c r="B393" s="196"/>
      <c r="C393" s="196"/>
      <c r="D393" s="196"/>
      <c r="E393" s="196"/>
      <c r="F393" s="196"/>
      <c r="G393" s="196"/>
      <c r="H393" s="196"/>
      <c r="L393" s="195"/>
      <c r="R393" s="80"/>
    </row>
    <row r="394" spans="1:18" ht="15.75" customHeight="1" x14ac:dyDescent="0.25">
      <c r="A394" s="185"/>
      <c r="B394" s="196"/>
      <c r="C394" s="196"/>
      <c r="D394" s="196"/>
      <c r="E394" s="196"/>
      <c r="F394" s="196"/>
      <c r="G394" s="196"/>
      <c r="H394" s="196"/>
      <c r="L394" s="195"/>
      <c r="R394" s="80"/>
    </row>
    <row r="395" spans="1:18" x14ac:dyDescent="0.25">
      <c r="A395" s="185"/>
      <c r="B395" s="196"/>
      <c r="C395" s="196"/>
      <c r="D395" s="196"/>
      <c r="E395" s="196"/>
      <c r="F395" s="196"/>
      <c r="G395" s="196"/>
      <c r="H395" s="196"/>
      <c r="L395" s="195"/>
      <c r="R395" s="80"/>
    </row>
    <row r="396" spans="1:18" x14ac:dyDescent="0.25">
      <c r="A396" s="185"/>
      <c r="B396" s="196"/>
      <c r="C396" s="196"/>
      <c r="D396" s="196"/>
      <c r="E396" s="196"/>
      <c r="F396" s="196"/>
      <c r="G396" s="196"/>
      <c r="H396" s="196"/>
      <c r="L396" s="195"/>
      <c r="R396" s="80"/>
    </row>
    <row r="397" spans="1:18" x14ac:dyDescent="0.25">
      <c r="A397" s="185"/>
      <c r="B397" s="196"/>
      <c r="C397" s="196"/>
      <c r="D397" s="196"/>
      <c r="E397" s="196"/>
      <c r="F397" s="196"/>
      <c r="G397" s="196"/>
      <c r="H397" s="196"/>
      <c r="L397" s="195"/>
      <c r="R397" s="80"/>
    </row>
    <row r="398" spans="1:18" x14ac:dyDescent="0.25">
      <c r="A398" s="185"/>
      <c r="B398" s="196"/>
      <c r="C398" s="196"/>
      <c r="D398" s="196"/>
      <c r="E398" s="196"/>
      <c r="F398" s="196"/>
      <c r="G398" s="196"/>
      <c r="H398" s="196"/>
      <c r="L398" s="195"/>
      <c r="R398" s="80"/>
    </row>
    <row r="399" spans="1:18" x14ac:dyDescent="0.25">
      <c r="A399" s="185"/>
      <c r="B399" s="196"/>
      <c r="C399" s="196"/>
      <c r="D399" s="196"/>
      <c r="E399" s="196"/>
      <c r="F399" s="196"/>
      <c r="G399" s="196"/>
      <c r="H399" s="196"/>
      <c r="L399" s="195"/>
      <c r="R399" s="80"/>
    </row>
    <row r="400" spans="1:18" x14ac:dyDescent="0.25">
      <c r="A400" s="185"/>
      <c r="B400" s="196"/>
      <c r="C400" s="196"/>
      <c r="D400" s="196"/>
      <c r="E400" s="196"/>
      <c r="F400" s="196"/>
      <c r="G400" s="196"/>
      <c r="H400" s="196"/>
      <c r="L400" s="195"/>
      <c r="R400" s="80"/>
    </row>
    <row r="401" spans="1:18" x14ac:dyDescent="0.25">
      <c r="A401" s="185"/>
      <c r="B401" s="196"/>
      <c r="C401" s="196"/>
      <c r="D401" s="196"/>
      <c r="E401" s="196"/>
      <c r="F401" s="196"/>
      <c r="G401" s="196"/>
      <c r="H401" s="196"/>
      <c r="L401" s="195"/>
      <c r="R401" s="80"/>
    </row>
    <row r="402" spans="1:18" x14ac:dyDescent="0.25">
      <c r="A402" s="185"/>
      <c r="B402" s="196"/>
      <c r="C402" s="196"/>
      <c r="D402" s="196"/>
      <c r="E402" s="196"/>
      <c r="F402" s="196"/>
      <c r="G402" s="196"/>
      <c r="H402" s="196"/>
      <c r="L402" s="195"/>
      <c r="R402" s="80"/>
    </row>
    <row r="403" spans="1:18" x14ac:dyDescent="0.25">
      <c r="A403" s="185"/>
      <c r="B403" s="196"/>
      <c r="C403" s="196"/>
      <c r="D403" s="196"/>
      <c r="E403" s="196"/>
      <c r="F403" s="196"/>
      <c r="G403" s="196"/>
      <c r="H403" s="196"/>
      <c r="L403" s="195"/>
      <c r="R403" s="80"/>
    </row>
    <row r="404" spans="1:18" ht="15.75" customHeight="1" x14ac:dyDescent="0.25">
      <c r="A404" s="185"/>
      <c r="B404" s="196"/>
      <c r="C404" s="196"/>
      <c r="D404" s="196"/>
      <c r="E404" s="196"/>
      <c r="F404" s="196"/>
      <c r="G404" s="196"/>
      <c r="H404" s="196"/>
      <c r="L404" s="195"/>
      <c r="R404" s="80"/>
    </row>
    <row r="405" spans="1:18" x14ac:dyDescent="0.25">
      <c r="A405" s="185"/>
      <c r="B405" s="196"/>
      <c r="C405" s="196"/>
      <c r="D405" s="196"/>
      <c r="E405" s="196"/>
      <c r="F405" s="196"/>
      <c r="G405" s="196"/>
      <c r="H405" s="196"/>
      <c r="L405" s="195"/>
      <c r="R405" s="80"/>
    </row>
    <row r="406" spans="1:18" x14ac:dyDescent="0.25">
      <c r="A406" s="185"/>
      <c r="B406" s="196"/>
      <c r="C406" s="196"/>
      <c r="D406" s="196"/>
      <c r="E406" s="196"/>
      <c r="F406" s="196"/>
      <c r="G406" s="196"/>
      <c r="H406" s="196"/>
      <c r="L406" s="195"/>
      <c r="R406" s="80"/>
    </row>
    <row r="407" spans="1:18" x14ac:dyDescent="0.25">
      <c r="A407" s="185"/>
      <c r="B407" s="196"/>
      <c r="C407" s="196"/>
      <c r="D407" s="196"/>
      <c r="E407" s="196"/>
      <c r="F407" s="196"/>
      <c r="G407" s="196"/>
      <c r="H407" s="196"/>
      <c r="L407" s="195"/>
      <c r="R407" s="80"/>
    </row>
    <row r="408" spans="1:18" x14ac:dyDescent="0.25">
      <c r="A408" s="185"/>
      <c r="B408" s="196"/>
      <c r="C408" s="196"/>
      <c r="D408" s="196"/>
      <c r="E408" s="196"/>
      <c r="F408" s="196"/>
      <c r="G408" s="196"/>
      <c r="H408" s="196"/>
      <c r="L408" s="195"/>
      <c r="R408" s="80"/>
    </row>
    <row r="409" spans="1:18" x14ac:dyDescent="0.25">
      <c r="A409" s="185"/>
      <c r="B409" s="196"/>
      <c r="C409" s="196"/>
      <c r="D409" s="196"/>
      <c r="E409" s="196"/>
      <c r="F409" s="196"/>
      <c r="G409" s="196"/>
      <c r="H409" s="196"/>
      <c r="L409" s="195"/>
      <c r="R409" s="80"/>
    </row>
    <row r="410" spans="1:18" x14ac:dyDescent="0.25">
      <c r="A410" s="185"/>
      <c r="B410" s="196"/>
      <c r="C410" s="196"/>
      <c r="D410" s="196"/>
      <c r="E410" s="196"/>
      <c r="F410" s="196"/>
      <c r="G410" s="196"/>
      <c r="H410" s="196"/>
      <c r="L410" s="195"/>
      <c r="R410" s="80"/>
    </row>
    <row r="411" spans="1:18" x14ac:dyDescent="0.25">
      <c r="A411" s="185"/>
      <c r="B411" s="196"/>
      <c r="C411" s="196"/>
      <c r="D411" s="196"/>
      <c r="E411" s="196"/>
      <c r="F411" s="196"/>
      <c r="G411" s="196"/>
      <c r="H411" s="196"/>
      <c r="L411" s="195"/>
      <c r="R411" s="80"/>
    </row>
    <row r="412" spans="1:18" x14ac:dyDescent="0.25">
      <c r="A412" s="185"/>
      <c r="B412" s="196"/>
      <c r="C412" s="196"/>
      <c r="D412" s="196"/>
      <c r="E412" s="196"/>
      <c r="F412" s="196"/>
      <c r="G412" s="196"/>
      <c r="H412" s="196"/>
      <c r="L412" s="195"/>
      <c r="R412" s="80"/>
    </row>
    <row r="413" spans="1:18" x14ac:dyDescent="0.25">
      <c r="A413" s="185"/>
      <c r="B413" s="196"/>
      <c r="C413" s="196"/>
      <c r="D413" s="196"/>
      <c r="E413" s="196"/>
      <c r="F413" s="196"/>
      <c r="G413" s="196"/>
      <c r="H413" s="196"/>
      <c r="L413" s="195"/>
      <c r="R413" s="80"/>
    </row>
    <row r="414" spans="1:18" x14ac:dyDescent="0.25">
      <c r="A414" s="185"/>
      <c r="B414" s="196"/>
      <c r="C414" s="196"/>
      <c r="D414" s="196"/>
      <c r="E414" s="196"/>
      <c r="F414" s="196"/>
      <c r="G414" s="196"/>
      <c r="H414" s="196"/>
      <c r="L414" s="195"/>
      <c r="R414" s="80"/>
    </row>
    <row r="415" spans="1:18" x14ac:dyDescent="0.25">
      <c r="A415" s="185"/>
      <c r="B415" s="196"/>
      <c r="C415" s="196"/>
      <c r="D415" s="196"/>
      <c r="E415" s="196"/>
      <c r="F415" s="196"/>
      <c r="G415" s="196"/>
      <c r="H415" s="196"/>
      <c r="L415" s="195"/>
      <c r="R415" s="80"/>
    </row>
    <row r="416" spans="1:18" x14ac:dyDescent="0.25">
      <c r="A416" s="185"/>
      <c r="B416" s="196"/>
      <c r="C416" s="196"/>
      <c r="D416" s="196"/>
      <c r="E416" s="196"/>
      <c r="F416" s="196"/>
      <c r="G416" s="196"/>
      <c r="H416" s="196"/>
      <c r="L416" s="195"/>
      <c r="R416" s="80"/>
    </row>
    <row r="417" spans="1:18" x14ac:dyDescent="0.25">
      <c r="A417" s="185"/>
      <c r="B417" s="196"/>
      <c r="C417" s="196"/>
      <c r="D417" s="196"/>
      <c r="E417" s="196"/>
      <c r="F417" s="196"/>
      <c r="G417" s="196"/>
      <c r="H417" s="196"/>
      <c r="L417" s="195"/>
      <c r="R417" s="80"/>
    </row>
    <row r="418" spans="1:18" x14ac:dyDescent="0.25">
      <c r="A418" s="185"/>
      <c r="B418" s="196"/>
      <c r="C418" s="196"/>
      <c r="D418" s="196"/>
      <c r="E418" s="196"/>
      <c r="F418" s="196"/>
      <c r="G418" s="196"/>
      <c r="H418" s="196"/>
      <c r="L418" s="195"/>
      <c r="R418" s="80"/>
    </row>
    <row r="419" spans="1:18" x14ac:dyDescent="0.25">
      <c r="A419" s="185"/>
      <c r="B419" s="196"/>
      <c r="C419" s="196"/>
      <c r="D419" s="196"/>
      <c r="E419" s="196"/>
      <c r="F419" s="196"/>
      <c r="G419" s="196"/>
      <c r="H419" s="196"/>
      <c r="L419" s="195"/>
      <c r="R419" s="80"/>
    </row>
    <row r="420" spans="1:18" x14ac:dyDescent="0.25">
      <c r="A420" s="185"/>
      <c r="B420" s="196"/>
      <c r="C420" s="196"/>
      <c r="D420" s="196"/>
      <c r="E420" s="196"/>
      <c r="F420" s="196"/>
      <c r="G420" s="196"/>
      <c r="H420" s="196"/>
      <c r="L420" s="195"/>
      <c r="R420" s="80"/>
    </row>
    <row r="421" spans="1:18" x14ac:dyDescent="0.25">
      <c r="A421" s="185"/>
      <c r="B421" s="196"/>
      <c r="C421" s="196"/>
      <c r="D421" s="196"/>
      <c r="E421" s="196"/>
      <c r="F421" s="196"/>
      <c r="G421" s="196"/>
      <c r="H421" s="196"/>
      <c r="L421" s="195"/>
      <c r="R421" s="80"/>
    </row>
    <row r="422" spans="1:18" x14ac:dyDescent="0.25">
      <c r="A422" s="185"/>
      <c r="B422" s="196"/>
      <c r="C422" s="196"/>
      <c r="D422" s="196"/>
      <c r="E422" s="196"/>
      <c r="F422" s="196"/>
      <c r="G422" s="196"/>
      <c r="H422" s="196"/>
      <c r="L422" s="195"/>
      <c r="R422" s="80"/>
    </row>
    <row r="423" spans="1:18" x14ac:dyDescent="0.25">
      <c r="A423" s="185"/>
      <c r="B423" s="196"/>
      <c r="C423" s="196"/>
      <c r="D423" s="196"/>
      <c r="E423" s="196"/>
      <c r="F423" s="196"/>
      <c r="G423" s="196"/>
      <c r="H423" s="196"/>
      <c r="L423" s="195"/>
      <c r="R423" s="80"/>
    </row>
    <row r="424" spans="1:18" x14ac:dyDescent="0.25">
      <c r="A424" s="185"/>
      <c r="B424" s="196"/>
      <c r="C424" s="196"/>
      <c r="D424" s="196"/>
      <c r="E424" s="196"/>
      <c r="F424" s="196"/>
      <c r="G424" s="196"/>
      <c r="H424" s="196"/>
      <c r="L424" s="195"/>
      <c r="R424" s="80"/>
    </row>
    <row r="425" spans="1:18" x14ac:dyDescent="0.25">
      <c r="A425" s="185"/>
      <c r="B425" s="196"/>
      <c r="C425" s="196"/>
      <c r="D425" s="196"/>
      <c r="E425" s="196"/>
      <c r="F425" s="196"/>
      <c r="G425" s="196"/>
      <c r="H425" s="196"/>
      <c r="L425" s="195"/>
      <c r="R425" s="80"/>
    </row>
    <row r="426" spans="1:18" ht="15.75" customHeight="1" x14ac:dyDescent="0.25">
      <c r="A426" s="185"/>
      <c r="B426" s="196"/>
      <c r="C426" s="196"/>
      <c r="D426" s="196"/>
      <c r="E426" s="196"/>
      <c r="F426" s="196"/>
      <c r="G426" s="196"/>
      <c r="H426" s="196"/>
      <c r="L426" s="195"/>
      <c r="R426" s="80"/>
    </row>
    <row r="427" spans="1:18" ht="15.75" customHeight="1" x14ac:dyDescent="0.25">
      <c r="A427" s="185"/>
      <c r="B427" s="196"/>
      <c r="C427" s="196"/>
      <c r="D427" s="196"/>
      <c r="E427" s="196"/>
      <c r="F427" s="196"/>
      <c r="G427" s="196"/>
      <c r="H427" s="196"/>
      <c r="L427" s="195"/>
      <c r="R427" s="80"/>
    </row>
    <row r="428" spans="1:18" x14ac:dyDescent="0.25">
      <c r="A428" s="185"/>
      <c r="B428" s="196"/>
      <c r="C428" s="196"/>
      <c r="D428" s="196"/>
      <c r="E428" s="196"/>
      <c r="F428" s="196"/>
      <c r="G428" s="196"/>
      <c r="H428" s="196"/>
      <c r="L428" s="195"/>
      <c r="R428" s="80"/>
    </row>
    <row r="429" spans="1:18" x14ac:dyDescent="0.25">
      <c r="A429" s="185"/>
      <c r="B429" s="196"/>
      <c r="C429" s="196"/>
      <c r="D429" s="196"/>
      <c r="E429" s="196"/>
      <c r="F429" s="196"/>
      <c r="G429" s="196"/>
      <c r="H429" s="196"/>
      <c r="L429" s="195"/>
      <c r="R429" s="80"/>
    </row>
    <row r="430" spans="1:18" x14ac:dyDescent="0.25">
      <c r="A430" s="185"/>
      <c r="B430" s="196"/>
      <c r="C430" s="196"/>
      <c r="D430" s="196"/>
      <c r="E430" s="196"/>
      <c r="F430" s="196"/>
      <c r="G430" s="196"/>
      <c r="H430" s="196"/>
      <c r="L430" s="195"/>
      <c r="R430" s="80"/>
    </row>
    <row r="431" spans="1:18" x14ac:dyDescent="0.25">
      <c r="A431" s="185"/>
      <c r="B431" s="196"/>
      <c r="C431" s="196"/>
      <c r="D431" s="196"/>
      <c r="E431" s="196"/>
      <c r="F431" s="196"/>
      <c r="G431" s="196"/>
      <c r="H431" s="196"/>
      <c r="L431" s="195"/>
      <c r="R431" s="80"/>
    </row>
    <row r="432" spans="1:18" x14ac:dyDescent="0.25">
      <c r="A432" s="185"/>
      <c r="B432" s="196"/>
      <c r="C432" s="196"/>
      <c r="D432" s="196"/>
      <c r="E432" s="196"/>
      <c r="F432" s="196"/>
      <c r="G432" s="196"/>
      <c r="H432" s="196"/>
      <c r="L432" s="195"/>
      <c r="R432" s="80"/>
    </row>
    <row r="433" spans="1:18" x14ac:dyDescent="0.25">
      <c r="A433" s="185"/>
      <c r="B433" s="196"/>
      <c r="C433" s="196"/>
      <c r="D433" s="196"/>
      <c r="E433" s="196"/>
      <c r="F433" s="196"/>
      <c r="G433" s="196"/>
      <c r="H433" s="196"/>
      <c r="L433" s="195"/>
      <c r="R433" s="80"/>
    </row>
    <row r="434" spans="1:18" x14ac:dyDescent="0.25">
      <c r="A434" s="185"/>
      <c r="B434" s="196"/>
      <c r="C434" s="196"/>
      <c r="D434" s="196"/>
      <c r="E434" s="196"/>
      <c r="F434" s="196"/>
      <c r="G434" s="196"/>
      <c r="H434" s="196"/>
      <c r="L434" s="195"/>
      <c r="R434" s="80"/>
    </row>
    <row r="435" spans="1:18" x14ac:dyDescent="0.25">
      <c r="A435" s="185"/>
      <c r="B435" s="196"/>
      <c r="C435" s="196"/>
      <c r="D435" s="196"/>
      <c r="E435" s="196"/>
      <c r="F435" s="196"/>
      <c r="G435" s="196"/>
      <c r="H435" s="196"/>
      <c r="L435" s="195"/>
      <c r="R435" s="80"/>
    </row>
    <row r="436" spans="1:18" x14ac:dyDescent="0.25">
      <c r="A436" s="185"/>
      <c r="B436" s="196"/>
      <c r="C436" s="196"/>
      <c r="D436" s="196"/>
      <c r="E436" s="196"/>
      <c r="F436" s="196"/>
      <c r="G436" s="196"/>
      <c r="H436" s="196"/>
      <c r="L436" s="195"/>
      <c r="R436" s="80"/>
    </row>
    <row r="437" spans="1:18" x14ac:dyDescent="0.25">
      <c r="A437" s="185"/>
      <c r="B437" s="196"/>
      <c r="C437" s="196"/>
      <c r="D437" s="196"/>
      <c r="E437" s="196"/>
      <c r="F437" s="196"/>
      <c r="G437" s="196"/>
      <c r="H437" s="196"/>
      <c r="L437" s="195"/>
      <c r="R437" s="80"/>
    </row>
    <row r="438" spans="1:18" x14ac:dyDescent="0.25">
      <c r="A438" s="185"/>
      <c r="B438" s="196"/>
      <c r="C438" s="196"/>
      <c r="D438" s="196"/>
      <c r="E438" s="196"/>
      <c r="F438" s="196"/>
      <c r="G438" s="196"/>
      <c r="H438" s="196"/>
      <c r="L438" s="195"/>
      <c r="R438" s="80"/>
    </row>
    <row r="439" spans="1:18" x14ac:dyDescent="0.25">
      <c r="A439" s="185"/>
      <c r="B439" s="196"/>
      <c r="C439" s="196"/>
      <c r="D439" s="196"/>
      <c r="E439" s="196"/>
      <c r="F439" s="196"/>
      <c r="G439" s="196"/>
      <c r="H439" s="196"/>
      <c r="L439" s="195"/>
      <c r="R439" s="80"/>
    </row>
    <row r="440" spans="1:18" x14ac:dyDescent="0.25">
      <c r="A440" s="185"/>
      <c r="B440" s="196"/>
      <c r="C440" s="196"/>
      <c r="D440" s="196"/>
      <c r="E440" s="196"/>
      <c r="F440" s="196"/>
      <c r="G440" s="196"/>
      <c r="H440" s="196"/>
      <c r="L440" s="195"/>
      <c r="R440" s="80"/>
    </row>
    <row r="441" spans="1:18" x14ac:dyDescent="0.25">
      <c r="A441" s="185"/>
      <c r="B441" s="196"/>
      <c r="C441" s="196"/>
      <c r="D441" s="196"/>
      <c r="E441" s="196"/>
      <c r="F441" s="196"/>
      <c r="G441" s="196"/>
      <c r="H441" s="196"/>
      <c r="L441" s="195"/>
      <c r="R441" s="80"/>
    </row>
    <row r="442" spans="1:18" x14ac:dyDescent="0.25">
      <c r="A442" s="185"/>
      <c r="B442" s="196"/>
      <c r="C442" s="196"/>
      <c r="D442" s="196"/>
      <c r="E442" s="196"/>
      <c r="F442" s="196"/>
      <c r="G442" s="196"/>
      <c r="H442" s="196"/>
      <c r="L442" s="195"/>
      <c r="R442" s="80"/>
    </row>
    <row r="443" spans="1:18" ht="15.75" customHeight="1" x14ac:dyDescent="0.25">
      <c r="A443" s="185"/>
      <c r="B443" s="196"/>
      <c r="C443" s="196"/>
      <c r="D443" s="196"/>
      <c r="E443" s="196"/>
      <c r="F443" s="196"/>
      <c r="G443" s="196"/>
      <c r="H443" s="196"/>
      <c r="L443" s="195"/>
      <c r="R443" s="80"/>
    </row>
    <row r="444" spans="1:18" ht="15.75" customHeight="1" x14ac:dyDescent="0.25">
      <c r="A444" s="185"/>
      <c r="B444" s="196"/>
      <c r="C444" s="196"/>
      <c r="D444" s="196"/>
      <c r="E444" s="196"/>
      <c r="F444" s="196"/>
      <c r="G444" s="196"/>
      <c r="H444" s="196"/>
      <c r="L444" s="195"/>
      <c r="R444" s="80"/>
    </row>
    <row r="445" spans="1:18" x14ac:dyDescent="0.25">
      <c r="A445" s="185"/>
      <c r="B445" s="196"/>
      <c r="C445" s="196"/>
      <c r="D445" s="196"/>
      <c r="E445" s="196"/>
      <c r="F445" s="196"/>
      <c r="G445" s="196"/>
      <c r="H445" s="196"/>
      <c r="L445" s="195"/>
      <c r="R445" s="80"/>
    </row>
    <row r="446" spans="1:18" x14ac:dyDescent="0.25">
      <c r="A446" s="185"/>
      <c r="B446" s="196"/>
      <c r="C446" s="196"/>
      <c r="D446" s="196"/>
      <c r="E446" s="196"/>
      <c r="F446" s="196"/>
      <c r="G446" s="196"/>
      <c r="H446" s="196"/>
      <c r="L446" s="195"/>
      <c r="R446" s="80"/>
    </row>
    <row r="447" spans="1:18" x14ac:dyDescent="0.25">
      <c r="A447" s="185"/>
      <c r="B447" s="196"/>
      <c r="C447" s="196"/>
      <c r="D447" s="196"/>
      <c r="E447" s="196"/>
      <c r="F447" s="196"/>
      <c r="G447" s="196"/>
      <c r="H447" s="196"/>
      <c r="L447" s="195"/>
      <c r="R447" s="80"/>
    </row>
    <row r="448" spans="1:18" ht="15.75" customHeight="1" x14ac:dyDescent="0.25">
      <c r="A448" s="185"/>
      <c r="B448" s="196"/>
      <c r="C448" s="196"/>
      <c r="D448" s="196"/>
      <c r="E448" s="196"/>
      <c r="F448" s="196"/>
      <c r="G448" s="196"/>
      <c r="H448" s="196"/>
      <c r="L448" s="195"/>
      <c r="R448" s="80"/>
    </row>
    <row r="449" spans="1:18" x14ac:dyDescent="0.25">
      <c r="A449" s="185"/>
      <c r="B449" s="196"/>
      <c r="C449" s="196"/>
      <c r="D449" s="196"/>
      <c r="E449" s="196"/>
      <c r="F449" s="196"/>
      <c r="G449" s="196"/>
      <c r="H449" s="196"/>
      <c r="L449" s="195"/>
      <c r="R449" s="80"/>
    </row>
    <row r="450" spans="1:18" x14ac:dyDescent="0.25">
      <c r="A450" s="185"/>
      <c r="B450" s="196"/>
      <c r="C450" s="196"/>
      <c r="D450" s="196"/>
      <c r="E450" s="196"/>
      <c r="F450" s="196"/>
      <c r="G450" s="196"/>
      <c r="H450" s="196"/>
      <c r="L450" s="195"/>
      <c r="R450" s="80"/>
    </row>
    <row r="451" spans="1:18" x14ac:dyDescent="0.25">
      <c r="A451" s="185"/>
      <c r="B451" s="196"/>
      <c r="C451" s="196"/>
      <c r="D451" s="196"/>
      <c r="E451" s="196"/>
      <c r="F451" s="196"/>
      <c r="G451" s="196"/>
      <c r="H451" s="196"/>
      <c r="L451" s="195"/>
      <c r="R451" s="80"/>
    </row>
    <row r="452" spans="1:18" x14ac:dyDescent="0.25">
      <c r="A452" s="185"/>
      <c r="B452" s="196"/>
      <c r="C452" s="196"/>
      <c r="D452" s="196"/>
      <c r="E452" s="196"/>
      <c r="F452" s="196"/>
      <c r="G452" s="196"/>
      <c r="H452" s="196"/>
      <c r="L452" s="195"/>
      <c r="R452" s="80"/>
    </row>
    <row r="453" spans="1:18" x14ac:dyDescent="0.25">
      <c r="A453" s="185"/>
      <c r="B453" s="196"/>
      <c r="C453" s="196"/>
      <c r="D453" s="196"/>
      <c r="E453" s="196"/>
      <c r="F453" s="196"/>
      <c r="G453" s="196"/>
      <c r="H453" s="196"/>
      <c r="L453" s="195"/>
      <c r="R453" s="80"/>
    </row>
    <row r="454" spans="1:18" x14ac:dyDescent="0.25">
      <c r="A454" s="185"/>
      <c r="B454" s="196"/>
      <c r="C454" s="196"/>
      <c r="D454" s="196"/>
      <c r="E454" s="196"/>
      <c r="F454" s="196"/>
      <c r="G454" s="196"/>
      <c r="H454" s="196"/>
      <c r="L454" s="195"/>
      <c r="R454" s="80"/>
    </row>
    <row r="455" spans="1:18" x14ac:dyDescent="0.25">
      <c r="A455" s="185"/>
      <c r="B455" s="196"/>
      <c r="C455" s="196"/>
      <c r="D455" s="196"/>
      <c r="E455" s="196"/>
      <c r="F455" s="196"/>
      <c r="G455" s="196"/>
      <c r="H455" s="196"/>
      <c r="L455" s="195"/>
      <c r="R455" s="80"/>
    </row>
    <row r="456" spans="1:18" x14ac:dyDescent="0.25">
      <c r="A456" s="185"/>
      <c r="B456" s="196"/>
      <c r="C456" s="196"/>
      <c r="D456" s="196"/>
      <c r="E456" s="196"/>
      <c r="F456" s="196"/>
      <c r="G456" s="196"/>
      <c r="H456" s="196"/>
      <c r="L456" s="195"/>
      <c r="R456" s="80"/>
    </row>
    <row r="457" spans="1:18" x14ac:dyDescent="0.25">
      <c r="A457" s="185"/>
      <c r="B457" s="196"/>
      <c r="C457" s="196"/>
      <c r="D457" s="196"/>
      <c r="E457" s="196"/>
      <c r="F457" s="196"/>
      <c r="G457" s="196"/>
      <c r="H457" s="196"/>
      <c r="L457" s="195"/>
      <c r="R457" s="80"/>
    </row>
    <row r="458" spans="1:18" x14ac:dyDescent="0.25">
      <c r="A458" s="185"/>
      <c r="B458" s="196"/>
      <c r="C458" s="196"/>
      <c r="D458" s="196"/>
      <c r="E458" s="196"/>
      <c r="F458" s="196"/>
      <c r="G458" s="196"/>
      <c r="H458" s="196"/>
      <c r="L458" s="195"/>
      <c r="R458" s="80"/>
    </row>
    <row r="459" spans="1:18" x14ac:dyDescent="0.25">
      <c r="A459" s="185"/>
      <c r="B459" s="196"/>
      <c r="C459" s="196"/>
      <c r="D459" s="196"/>
      <c r="E459" s="196"/>
      <c r="F459" s="196"/>
      <c r="G459" s="196"/>
      <c r="H459" s="196"/>
      <c r="L459" s="195"/>
      <c r="R459" s="80"/>
    </row>
    <row r="460" spans="1:18" x14ac:dyDescent="0.25">
      <c r="A460" s="185"/>
      <c r="B460" s="196"/>
      <c r="C460" s="196"/>
      <c r="D460" s="196"/>
      <c r="E460" s="196"/>
      <c r="F460" s="196"/>
      <c r="G460" s="196"/>
      <c r="H460" s="196"/>
      <c r="L460" s="195"/>
      <c r="R460" s="80"/>
    </row>
    <row r="461" spans="1:18" x14ac:dyDescent="0.25">
      <c r="A461" s="185"/>
      <c r="B461" s="196"/>
      <c r="C461" s="196"/>
      <c r="D461" s="196"/>
      <c r="E461" s="196"/>
      <c r="F461" s="196"/>
      <c r="G461" s="196"/>
      <c r="H461" s="196"/>
      <c r="L461" s="195"/>
      <c r="R461" s="80"/>
    </row>
    <row r="462" spans="1:18" x14ac:dyDescent="0.25">
      <c r="A462" s="185"/>
      <c r="B462" s="196"/>
      <c r="C462" s="196"/>
      <c r="D462" s="196"/>
      <c r="E462" s="196"/>
      <c r="F462" s="196"/>
      <c r="G462" s="196"/>
      <c r="H462" s="196"/>
      <c r="L462" s="195"/>
      <c r="R462" s="80"/>
    </row>
    <row r="463" spans="1:18" x14ac:dyDescent="0.25">
      <c r="A463" s="185"/>
      <c r="B463" s="196"/>
      <c r="C463" s="196"/>
      <c r="D463" s="196"/>
      <c r="E463" s="196"/>
      <c r="F463" s="196"/>
      <c r="G463" s="196"/>
      <c r="H463" s="196"/>
      <c r="L463" s="195"/>
      <c r="R463" s="80"/>
    </row>
    <row r="464" spans="1:18" x14ac:dyDescent="0.25">
      <c r="A464" s="185"/>
      <c r="B464" s="196"/>
      <c r="C464" s="196"/>
      <c r="D464" s="196"/>
      <c r="E464" s="196"/>
      <c r="F464" s="196"/>
      <c r="G464" s="196"/>
      <c r="H464" s="196"/>
      <c r="L464" s="195"/>
      <c r="R464" s="80"/>
    </row>
    <row r="465" spans="1:18" x14ac:dyDescent="0.25">
      <c r="A465" s="185"/>
      <c r="B465" s="196"/>
      <c r="C465" s="196"/>
      <c r="D465" s="196"/>
      <c r="E465" s="196"/>
      <c r="F465" s="196"/>
      <c r="G465" s="196"/>
      <c r="H465" s="196"/>
      <c r="L465" s="195"/>
      <c r="R465" s="80"/>
    </row>
    <row r="466" spans="1:18" x14ac:dyDescent="0.25">
      <c r="A466" s="185"/>
      <c r="B466" s="196"/>
      <c r="C466" s="196"/>
      <c r="D466" s="196"/>
      <c r="E466" s="196"/>
      <c r="F466" s="196"/>
      <c r="G466" s="196"/>
      <c r="H466" s="196"/>
      <c r="L466" s="195"/>
      <c r="R466" s="80"/>
    </row>
    <row r="467" spans="1:18" x14ac:dyDescent="0.25">
      <c r="A467" s="185"/>
      <c r="B467" s="196"/>
      <c r="C467" s="196"/>
      <c r="D467" s="196"/>
      <c r="E467" s="196"/>
      <c r="F467" s="196"/>
      <c r="G467" s="196"/>
      <c r="H467" s="196"/>
      <c r="L467" s="195"/>
      <c r="R467" s="80"/>
    </row>
    <row r="468" spans="1:18" x14ac:dyDescent="0.25">
      <c r="A468" s="185"/>
      <c r="B468" s="196"/>
      <c r="C468" s="196"/>
      <c r="D468" s="196"/>
      <c r="E468" s="196"/>
      <c r="F468" s="196"/>
      <c r="G468" s="196"/>
      <c r="H468" s="196"/>
      <c r="L468" s="195"/>
      <c r="R468" s="80"/>
    </row>
    <row r="469" spans="1:18" x14ac:dyDescent="0.25">
      <c r="A469" s="185"/>
      <c r="B469" s="196"/>
      <c r="C469" s="196"/>
      <c r="D469" s="196"/>
      <c r="E469" s="196"/>
      <c r="F469" s="196"/>
      <c r="G469" s="196"/>
      <c r="H469" s="196"/>
      <c r="L469" s="195"/>
      <c r="R469" s="80"/>
    </row>
    <row r="470" spans="1:18" x14ac:dyDescent="0.25">
      <c r="A470" s="185"/>
      <c r="B470" s="196"/>
      <c r="C470" s="196"/>
      <c r="D470" s="196"/>
      <c r="E470" s="196"/>
      <c r="F470" s="196"/>
      <c r="G470" s="196"/>
      <c r="H470" s="196"/>
      <c r="L470" s="195"/>
      <c r="R470" s="80"/>
    </row>
    <row r="471" spans="1:18" x14ac:dyDescent="0.25">
      <c r="A471" s="185"/>
      <c r="B471" s="196"/>
      <c r="C471" s="196"/>
      <c r="D471" s="196"/>
      <c r="E471" s="196"/>
      <c r="F471" s="196"/>
      <c r="G471" s="196"/>
      <c r="H471" s="196"/>
      <c r="L471" s="195"/>
      <c r="R471" s="80"/>
    </row>
    <row r="472" spans="1:18" x14ac:dyDescent="0.25">
      <c r="A472" s="185"/>
      <c r="B472" s="196"/>
      <c r="C472" s="196"/>
      <c r="D472" s="196"/>
      <c r="E472" s="196"/>
      <c r="F472" s="196"/>
      <c r="G472" s="196"/>
      <c r="H472" s="196"/>
      <c r="L472" s="195"/>
      <c r="R472" s="80"/>
    </row>
    <row r="473" spans="1:18" x14ac:dyDescent="0.25">
      <c r="A473" s="185"/>
      <c r="B473" s="196"/>
      <c r="C473" s="196"/>
      <c r="D473" s="196"/>
      <c r="E473" s="196"/>
      <c r="F473" s="196"/>
      <c r="G473" s="196"/>
      <c r="H473" s="196"/>
      <c r="L473" s="195"/>
      <c r="R473" s="80"/>
    </row>
    <row r="474" spans="1:18" x14ac:dyDescent="0.25">
      <c r="A474" s="185"/>
      <c r="B474" s="196"/>
      <c r="C474" s="196"/>
      <c r="D474" s="196"/>
      <c r="E474" s="196"/>
      <c r="F474" s="196"/>
      <c r="G474" s="196"/>
      <c r="H474" s="196"/>
      <c r="L474" s="195"/>
      <c r="R474" s="80"/>
    </row>
  </sheetData>
  <mergeCells count="308">
    <mergeCell ref="A201:B201"/>
    <mergeCell ref="G200:I200"/>
    <mergeCell ref="G194:I194"/>
    <mergeCell ref="G164:I164"/>
    <mergeCell ref="G179:L179"/>
    <mergeCell ref="G143:I143"/>
    <mergeCell ref="G173:I173"/>
    <mergeCell ref="G126:I126"/>
    <mergeCell ref="G105:I105"/>
    <mergeCell ref="G195:L195"/>
    <mergeCell ref="G111:I111"/>
    <mergeCell ref="G187:L187"/>
    <mergeCell ref="G131:I131"/>
    <mergeCell ref="G135:I135"/>
    <mergeCell ref="G128:I128"/>
    <mergeCell ref="G161:L161"/>
    <mergeCell ref="G158:L158"/>
    <mergeCell ref="G159:I159"/>
    <mergeCell ref="A195:A197"/>
    <mergeCell ref="A161:A162"/>
    <mergeCell ref="G153:L153"/>
    <mergeCell ref="G133:I133"/>
    <mergeCell ref="G174:L174"/>
    <mergeCell ref="G136:L136"/>
    <mergeCell ref="G70:I70"/>
    <mergeCell ref="G32:I32"/>
    <mergeCell ref="G171:I171"/>
    <mergeCell ref="G198:I198"/>
    <mergeCell ref="G167:I167"/>
    <mergeCell ref="B195:B196"/>
    <mergeCell ref="G18:I18"/>
    <mergeCell ref="M32:N32"/>
    <mergeCell ref="M36:N36"/>
    <mergeCell ref="M66:N66"/>
    <mergeCell ref="M57:N57"/>
    <mergeCell ref="M96:N96"/>
    <mergeCell ref="G73:I73"/>
    <mergeCell ref="G118:I118"/>
    <mergeCell ref="G160:I160"/>
    <mergeCell ref="G43:L43"/>
    <mergeCell ref="G41:I41"/>
    <mergeCell ref="G63:I63"/>
    <mergeCell ref="M126:N126"/>
    <mergeCell ref="M27:N27"/>
    <mergeCell ref="M24:N24"/>
    <mergeCell ref="M22:N22"/>
    <mergeCell ref="M18:N18"/>
    <mergeCell ref="M88:N88"/>
    <mergeCell ref="M75:N75"/>
    <mergeCell ref="M34:N34"/>
    <mergeCell ref="M20:N20"/>
    <mergeCell ref="M91:N91"/>
    <mergeCell ref="M42:N42"/>
    <mergeCell ref="M70:N70"/>
    <mergeCell ref="M45:N45"/>
    <mergeCell ref="M68:N68"/>
    <mergeCell ref="M73:N73"/>
    <mergeCell ref="M81:N81"/>
    <mergeCell ref="M83:N83"/>
    <mergeCell ref="M63:N63"/>
    <mergeCell ref="G75:I75"/>
    <mergeCell ref="A2:A5"/>
    <mergeCell ref="G2:L2"/>
    <mergeCell ref="M2:Q2"/>
    <mergeCell ref="M15:N15"/>
    <mergeCell ref="G3:L4"/>
    <mergeCell ref="B2:F5"/>
    <mergeCell ref="B6:F6"/>
    <mergeCell ref="M3:Q4"/>
    <mergeCell ref="M8:N8"/>
    <mergeCell ref="M10:N10"/>
    <mergeCell ref="M13:N13"/>
    <mergeCell ref="G24:I24"/>
    <mergeCell ref="G22:I22"/>
    <mergeCell ref="G68:I68"/>
    <mergeCell ref="G36:I36"/>
    <mergeCell ref="G20:I20"/>
    <mergeCell ref="G48:I48"/>
    <mergeCell ref="G13:I13"/>
    <mergeCell ref="G8:I8"/>
    <mergeCell ref="G27:I27"/>
    <mergeCell ref="G10:I10"/>
    <mergeCell ref="G15:I15"/>
    <mergeCell ref="G34:I34"/>
    <mergeCell ref="M200:N200"/>
    <mergeCell ref="M171:N171"/>
    <mergeCell ref="M198:N198"/>
    <mergeCell ref="M173:N173"/>
    <mergeCell ref="A37:A38"/>
    <mergeCell ref="B37:B38"/>
    <mergeCell ref="G50:I50"/>
    <mergeCell ref="G58:L58"/>
    <mergeCell ref="A58:A59"/>
    <mergeCell ref="M143:N143"/>
    <mergeCell ref="M194:N194"/>
    <mergeCell ref="M167:N167"/>
    <mergeCell ref="M150:N150"/>
    <mergeCell ref="M157:N157"/>
    <mergeCell ref="M152:N152"/>
    <mergeCell ref="M164:N164"/>
    <mergeCell ref="M160:N160"/>
    <mergeCell ref="M116:N116"/>
    <mergeCell ref="M109:N109"/>
    <mergeCell ref="M101:N101"/>
    <mergeCell ref="M103:N103"/>
    <mergeCell ref="M118:N118"/>
    <mergeCell ref="M107:N107"/>
    <mergeCell ref="M105:N105"/>
    <mergeCell ref="M140:N140"/>
    <mergeCell ref="M135:N135"/>
    <mergeCell ref="G140:I140"/>
    <mergeCell ref="M131:N131"/>
    <mergeCell ref="M133:N133"/>
    <mergeCell ref="M86:N86"/>
    <mergeCell ref="C37:C38"/>
    <mergeCell ref="D37:D38"/>
    <mergeCell ref="D53:D54"/>
    <mergeCell ref="C58:C59"/>
    <mergeCell ref="G129:L129"/>
    <mergeCell ref="G81:I81"/>
    <mergeCell ref="M128:N128"/>
    <mergeCell ref="M122:N122"/>
    <mergeCell ref="M111:N111"/>
    <mergeCell ref="M98:N98"/>
    <mergeCell ref="M48:N48"/>
    <mergeCell ref="M52:N52"/>
    <mergeCell ref="G37:L37"/>
    <mergeCell ref="M78:N78"/>
    <mergeCell ref="M40:N40"/>
    <mergeCell ref="G78:I78"/>
    <mergeCell ref="G96:I96"/>
    <mergeCell ref="M50:N50"/>
    <mergeCell ref="G71:L71"/>
    <mergeCell ref="G103:I103"/>
    <mergeCell ref="C64:C65"/>
    <mergeCell ref="D64:D65"/>
    <mergeCell ref="A71:A72"/>
    <mergeCell ref="B71:B72"/>
    <mergeCell ref="G83:I83"/>
    <mergeCell ref="G88:I88"/>
    <mergeCell ref="A174:A175"/>
    <mergeCell ref="B174:B175"/>
    <mergeCell ref="A92:A93"/>
    <mergeCell ref="B92:B93"/>
    <mergeCell ref="A119:A120"/>
    <mergeCell ref="A136:A137"/>
    <mergeCell ref="A123:A124"/>
    <mergeCell ref="B123:B124"/>
    <mergeCell ref="A153:A154"/>
    <mergeCell ref="B153:B154"/>
    <mergeCell ref="A165:A166"/>
    <mergeCell ref="B165:B166"/>
    <mergeCell ref="B119:B120"/>
    <mergeCell ref="B136:B137"/>
    <mergeCell ref="A144:A145"/>
    <mergeCell ref="G98:I98"/>
    <mergeCell ref="A53:A54"/>
    <mergeCell ref="B53:B54"/>
    <mergeCell ref="G52:I52"/>
    <mergeCell ref="D58:D59"/>
    <mergeCell ref="B58:B59"/>
    <mergeCell ref="C53:C54"/>
    <mergeCell ref="G57:I57"/>
    <mergeCell ref="A64:A65"/>
    <mergeCell ref="B64:B65"/>
    <mergeCell ref="R63:T63"/>
    <mergeCell ref="R45:T45"/>
    <mergeCell ref="R98:T98"/>
    <mergeCell ref="R96:T96"/>
    <mergeCell ref="R81:T81"/>
    <mergeCell ref="R18:T18"/>
    <mergeCell ref="R20:T20"/>
    <mergeCell ref="R22:T22"/>
    <mergeCell ref="R24:T24"/>
    <mergeCell ref="R122:T122"/>
    <mergeCell ref="R105:T105"/>
    <mergeCell ref="R107:T107"/>
    <mergeCell ref="R200:T200"/>
    <mergeCell ref="R153:W153"/>
    <mergeCell ref="R157:T157"/>
    <mergeCell ref="R160:T160"/>
    <mergeCell ref="R161:W161"/>
    <mergeCell ref="R25:W25"/>
    <mergeCell ref="R27:T27"/>
    <mergeCell ref="R32:T32"/>
    <mergeCell ref="R34:T34"/>
    <mergeCell ref="R36:T36"/>
    <mergeCell ref="R152:T152"/>
    <mergeCell ref="R126:T126"/>
    <mergeCell ref="R128:T128"/>
    <mergeCell ref="R101:T101"/>
    <mergeCell ref="R103:T103"/>
    <mergeCell ref="R150:T150"/>
    <mergeCell ref="R91:T91"/>
    <mergeCell ref="R66:T66"/>
    <mergeCell ref="R68:T68"/>
    <mergeCell ref="R88:T88"/>
    <mergeCell ref="R86:T86"/>
    <mergeCell ref="A1:W1"/>
    <mergeCell ref="R111:T111"/>
    <mergeCell ref="R116:T116"/>
    <mergeCell ref="R118:T118"/>
    <mergeCell ref="R119:W119"/>
    <mergeCell ref="D119:D120"/>
    <mergeCell ref="R83:T83"/>
    <mergeCell ref="R42:T42"/>
    <mergeCell ref="R40:T40"/>
    <mergeCell ref="R2:W2"/>
    <mergeCell ref="R48:T48"/>
    <mergeCell ref="R50:T50"/>
    <mergeCell ref="R52:T52"/>
    <mergeCell ref="R3:W4"/>
    <mergeCell ref="R8:T8"/>
    <mergeCell ref="R10:T10"/>
    <mergeCell ref="R13:T13"/>
    <mergeCell ref="R15:T15"/>
    <mergeCell ref="R70:T70"/>
    <mergeCell ref="R73:T73"/>
    <mergeCell ref="R75:T75"/>
    <mergeCell ref="R78:T78"/>
    <mergeCell ref="R109:T109"/>
    <mergeCell ref="R57:T57"/>
    <mergeCell ref="R174:W174"/>
    <mergeCell ref="R179:W179"/>
    <mergeCell ref="R194:T194"/>
    <mergeCell ref="R195:W195"/>
    <mergeCell ref="R198:T198"/>
    <mergeCell ref="R131:T131"/>
    <mergeCell ref="R133:T133"/>
    <mergeCell ref="R135:T135"/>
    <mergeCell ref="R140:T140"/>
    <mergeCell ref="R164:T164"/>
    <mergeCell ref="R165:W165"/>
    <mergeCell ref="R167:T167"/>
    <mergeCell ref="R171:T171"/>
    <mergeCell ref="R173:T173"/>
    <mergeCell ref="R143:T143"/>
    <mergeCell ref="A16:A17"/>
    <mergeCell ref="B16:F17"/>
    <mergeCell ref="G16:L16"/>
    <mergeCell ref="C123:C124"/>
    <mergeCell ref="D123:D124"/>
    <mergeCell ref="E123:E124"/>
    <mergeCell ref="F123:F124"/>
    <mergeCell ref="G92:L92"/>
    <mergeCell ref="A25:A26"/>
    <mergeCell ref="B25:B26"/>
    <mergeCell ref="C71:C72"/>
    <mergeCell ref="D71:D72"/>
    <mergeCell ref="C92:C93"/>
    <mergeCell ref="D92:D93"/>
    <mergeCell ref="C119:C120"/>
    <mergeCell ref="G53:L53"/>
    <mergeCell ref="G66:I66"/>
    <mergeCell ref="G55:L55"/>
    <mergeCell ref="G40:I40"/>
    <mergeCell ref="G45:I45"/>
    <mergeCell ref="G42:I42"/>
    <mergeCell ref="G119:L119"/>
    <mergeCell ref="G107:I107"/>
    <mergeCell ref="G64:L64"/>
    <mergeCell ref="G11:L11"/>
    <mergeCell ref="G94:L94"/>
    <mergeCell ref="G155:L155"/>
    <mergeCell ref="C195:C196"/>
    <mergeCell ref="D195:D196"/>
    <mergeCell ref="C153:C154"/>
    <mergeCell ref="D153:D154"/>
    <mergeCell ref="C161:C162"/>
    <mergeCell ref="D161:D162"/>
    <mergeCell ref="C174:C175"/>
    <mergeCell ref="D174:D175"/>
    <mergeCell ref="C165:C166"/>
    <mergeCell ref="D165:D166"/>
    <mergeCell ref="G148:L148"/>
    <mergeCell ref="G165:L165"/>
    <mergeCell ref="G152:I152"/>
    <mergeCell ref="G157:I157"/>
    <mergeCell ref="G150:I150"/>
    <mergeCell ref="C129:C130"/>
    <mergeCell ref="C144:C145"/>
    <mergeCell ref="D144:D145"/>
    <mergeCell ref="D129:D130"/>
    <mergeCell ref="C136:C137"/>
    <mergeCell ref="D136:D137"/>
    <mergeCell ref="G189:L189"/>
    <mergeCell ref="G190:I190"/>
    <mergeCell ref="G191:L191"/>
    <mergeCell ref="G76:L76"/>
    <mergeCell ref="A76:A77"/>
    <mergeCell ref="B76:B77"/>
    <mergeCell ref="C76:C77"/>
    <mergeCell ref="D76:D77"/>
    <mergeCell ref="E76:F77"/>
    <mergeCell ref="G112:L112"/>
    <mergeCell ref="B161:B162"/>
    <mergeCell ref="B144:B145"/>
    <mergeCell ref="G91:I91"/>
    <mergeCell ref="G86:I86"/>
    <mergeCell ref="A129:A130"/>
    <mergeCell ref="B129:B130"/>
    <mergeCell ref="G146:L146"/>
    <mergeCell ref="G144:L144"/>
    <mergeCell ref="G116:I116"/>
    <mergeCell ref="G123:L123"/>
    <mergeCell ref="G122:I122"/>
    <mergeCell ref="G109:I109"/>
    <mergeCell ref="G101:I101"/>
  </mergeCells>
  <phoneticPr fontId="4" type="noConversion"/>
  <pageMargins left="0.7" right="0.7" top="0.75" bottom="0.75" header="0.3" footer="0.3"/>
  <pageSetup paperSize="9" orientation="portrait" r:id="rId1"/>
  <ignoredErrors>
    <ignoredError sqref="O104 O1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G542"/>
  <sheetViews>
    <sheetView topLeftCell="B28" zoomScale="70" zoomScaleNormal="70" workbookViewId="0">
      <selection activeCell="H39" sqref="H39"/>
    </sheetView>
  </sheetViews>
  <sheetFormatPr defaultRowHeight="15" x14ac:dyDescent="0.25"/>
  <cols>
    <col min="1" max="1" width="36.7109375" style="135" customWidth="1"/>
    <col min="2" max="2" width="6.7109375" style="195" customWidth="1"/>
    <col min="3" max="3" width="3.7109375" style="195" customWidth="1"/>
    <col min="4" max="4" width="6.7109375" style="195" customWidth="1"/>
    <col min="5" max="5" width="3.7109375" style="195" customWidth="1"/>
    <col min="6" max="6" width="6.7109375" style="195" customWidth="1"/>
    <col min="7" max="7" width="22.85546875" style="195" customWidth="1"/>
    <col min="8" max="8" width="32" style="195" customWidth="1"/>
    <col min="9" max="11" width="15.7109375" style="195" customWidth="1"/>
    <col min="12" max="12" width="15.7109375" style="196" customWidth="1"/>
    <col min="13" max="13" width="34.28515625" style="195" customWidth="1"/>
    <col min="14" max="14" width="26.140625" style="195" customWidth="1"/>
    <col min="15" max="15" width="15.7109375" style="195" customWidth="1"/>
    <col min="16" max="16" width="11.7109375" style="195" customWidth="1"/>
    <col min="17" max="17" width="15.7109375" style="195" customWidth="1"/>
    <col min="18" max="26" width="9.140625" style="80" hidden="1" customWidth="1"/>
    <col min="27" max="27" width="8.85546875" style="80" hidden="1" customWidth="1"/>
    <col min="28" max="28" width="16.85546875" style="80" customWidth="1"/>
    <col min="29" max="29" width="26.85546875" style="80" customWidth="1"/>
    <col min="30" max="30" width="15.85546875" style="80" customWidth="1"/>
    <col min="31" max="31" width="13.42578125" style="80" customWidth="1"/>
    <col min="32" max="16384" width="9.140625" style="80"/>
  </cols>
  <sheetData>
    <row r="1" spans="1:33" ht="15" customHeight="1" x14ac:dyDescent="0.25">
      <c r="A1" s="1631" t="s">
        <v>2234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2"/>
      <c r="R1" s="1632"/>
      <c r="S1" s="1632"/>
      <c r="T1" s="1632"/>
      <c r="U1" s="1632"/>
      <c r="V1" s="1632"/>
      <c r="W1" s="1632"/>
      <c r="X1" s="1632"/>
      <c r="Y1" s="1632"/>
      <c r="Z1" s="1632"/>
      <c r="AA1" s="1632"/>
      <c r="AB1" s="1632"/>
      <c r="AC1" s="1632"/>
      <c r="AD1" s="1632"/>
      <c r="AE1" s="1632"/>
      <c r="AF1" s="1632"/>
      <c r="AG1" s="1632"/>
    </row>
    <row r="2" spans="1:33" ht="15" customHeight="1" x14ac:dyDescent="0.25">
      <c r="A2" s="1643" t="s">
        <v>331</v>
      </c>
      <c r="B2" s="1529" t="s">
        <v>1786</v>
      </c>
      <c r="C2" s="1530"/>
      <c r="D2" s="1530"/>
      <c r="E2" s="1530"/>
      <c r="F2" s="1531"/>
      <c r="G2" s="1537" t="s">
        <v>1841</v>
      </c>
      <c r="H2" s="1538"/>
      <c r="I2" s="1538"/>
      <c r="J2" s="1538"/>
      <c r="K2" s="1538"/>
      <c r="L2" s="1539"/>
      <c r="M2" s="1489" t="s">
        <v>1842</v>
      </c>
      <c r="N2" s="1489"/>
      <c r="O2" s="1489"/>
      <c r="P2" s="1489"/>
      <c r="Q2" s="1489"/>
      <c r="R2" s="1649" t="s">
        <v>1843</v>
      </c>
      <c r="S2" s="1649"/>
      <c r="T2" s="1649"/>
      <c r="U2" s="1649"/>
      <c r="V2" s="1649"/>
      <c r="W2" s="1649" t="s">
        <v>1844</v>
      </c>
      <c r="X2" s="1649"/>
      <c r="Y2" s="1649"/>
      <c r="Z2" s="1649"/>
      <c r="AA2" s="1650"/>
      <c r="AB2" s="1489" t="s">
        <v>2535</v>
      </c>
      <c r="AC2" s="1489"/>
      <c r="AD2" s="1489"/>
      <c r="AE2" s="1489"/>
      <c r="AF2" s="1489"/>
      <c r="AG2" s="1489"/>
    </row>
    <row r="3" spans="1:33" ht="15" customHeight="1" x14ac:dyDescent="0.25">
      <c r="A3" s="1644"/>
      <c r="B3" s="1532"/>
      <c r="C3" s="1492"/>
      <c r="D3" s="1492"/>
      <c r="E3" s="1492"/>
      <c r="F3" s="1533"/>
      <c r="G3" s="1490" t="s">
        <v>1845</v>
      </c>
      <c r="H3" s="1489"/>
      <c r="I3" s="1489"/>
      <c r="J3" s="1489"/>
      <c r="K3" s="1489"/>
      <c r="L3" s="1489"/>
      <c r="M3" s="1490" t="s">
        <v>1846</v>
      </c>
      <c r="N3" s="1489"/>
      <c r="O3" s="1489"/>
      <c r="P3" s="1489"/>
      <c r="Q3" s="1489"/>
      <c r="R3" s="1651" t="s">
        <v>1847</v>
      </c>
      <c r="S3" s="1649"/>
      <c r="T3" s="1649"/>
      <c r="U3" s="1649"/>
      <c r="V3" s="1649"/>
      <c r="W3" s="1651" t="s">
        <v>1848</v>
      </c>
      <c r="X3" s="1649"/>
      <c r="Y3" s="1649"/>
      <c r="Z3" s="1649"/>
      <c r="AA3" s="1650"/>
      <c r="AB3" s="1490" t="s">
        <v>2536</v>
      </c>
      <c r="AC3" s="1489"/>
      <c r="AD3" s="1489"/>
      <c r="AE3" s="1489"/>
      <c r="AF3" s="1489"/>
      <c r="AG3" s="1489"/>
    </row>
    <row r="4" spans="1:33" x14ac:dyDescent="0.25">
      <c r="A4" s="1644"/>
      <c r="B4" s="1532"/>
      <c r="C4" s="1492"/>
      <c r="D4" s="1492"/>
      <c r="E4" s="1492"/>
      <c r="F4" s="1533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649"/>
      <c r="S4" s="1649"/>
      <c r="T4" s="1649"/>
      <c r="U4" s="1649"/>
      <c r="V4" s="1649"/>
      <c r="W4" s="1649"/>
      <c r="X4" s="1649"/>
      <c r="Y4" s="1649"/>
      <c r="Z4" s="1649"/>
      <c r="AA4" s="1650"/>
      <c r="AB4" s="1489"/>
      <c r="AC4" s="1489"/>
      <c r="AD4" s="1489"/>
      <c r="AE4" s="1489"/>
      <c r="AF4" s="1489"/>
      <c r="AG4" s="1489"/>
    </row>
    <row r="5" spans="1:33" ht="89.25" x14ac:dyDescent="0.25">
      <c r="A5" s="1645"/>
      <c r="B5" s="1534"/>
      <c r="C5" s="1535"/>
      <c r="D5" s="1535"/>
      <c r="E5" s="1535"/>
      <c r="F5" s="1536"/>
      <c r="G5" s="1" t="s">
        <v>1849</v>
      </c>
      <c r="H5" s="1" t="s">
        <v>1855</v>
      </c>
      <c r="I5" s="1" t="s">
        <v>1851</v>
      </c>
      <c r="J5" s="1" t="s">
        <v>1852</v>
      </c>
      <c r="K5" s="1" t="s">
        <v>1853</v>
      </c>
      <c r="L5" s="22" t="s">
        <v>1854</v>
      </c>
      <c r="M5" s="1" t="s">
        <v>1849</v>
      </c>
      <c r="N5" s="1" t="s">
        <v>1855</v>
      </c>
      <c r="O5" s="1" t="s">
        <v>1852</v>
      </c>
      <c r="P5" s="1" t="s">
        <v>1853</v>
      </c>
      <c r="Q5" s="1" t="s">
        <v>1854</v>
      </c>
      <c r="R5" s="11" t="s">
        <v>1849</v>
      </c>
      <c r="S5" s="11" t="s">
        <v>1855</v>
      </c>
      <c r="T5" s="11" t="s">
        <v>1852</v>
      </c>
      <c r="U5" s="11" t="s">
        <v>1853</v>
      </c>
      <c r="V5" s="11" t="s">
        <v>1854</v>
      </c>
      <c r="W5" s="11" t="s">
        <v>1849</v>
      </c>
      <c r="X5" s="11" t="s">
        <v>1855</v>
      </c>
      <c r="Y5" s="11" t="s">
        <v>1852</v>
      </c>
      <c r="Z5" s="11" t="s">
        <v>1853</v>
      </c>
      <c r="AA5" s="29" t="s">
        <v>1854</v>
      </c>
      <c r="AB5" s="1" t="s">
        <v>1849</v>
      </c>
      <c r="AC5" s="1" t="s">
        <v>1855</v>
      </c>
      <c r="AD5" s="1" t="s">
        <v>1851</v>
      </c>
      <c r="AE5" s="1" t="s">
        <v>1852</v>
      </c>
      <c r="AF5" s="1" t="s">
        <v>1853</v>
      </c>
      <c r="AG5" s="22" t="s">
        <v>1854</v>
      </c>
    </row>
    <row r="6" spans="1:33" x14ac:dyDescent="0.25">
      <c r="A6" s="155">
        <v>1</v>
      </c>
      <c r="B6" s="1537">
        <v>2</v>
      </c>
      <c r="C6" s="1538"/>
      <c r="D6" s="1538"/>
      <c r="E6" s="1538"/>
      <c r="F6" s="1539"/>
      <c r="G6" s="152">
        <v>3</v>
      </c>
      <c r="H6" s="1">
        <v>4</v>
      </c>
      <c r="I6" s="1">
        <v>5</v>
      </c>
      <c r="J6" s="1">
        <v>6</v>
      </c>
      <c r="K6" s="1">
        <v>7</v>
      </c>
      <c r="L6" s="22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20</v>
      </c>
      <c r="X6" s="11">
        <v>21</v>
      </c>
      <c r="Y6" s="11">
        <v>22</v>
      </c>
      <c r="Z6" s="11">
        <v>23</v>
      </c>
      <c r="AA6" s="29">
        <v>24</v>
      </c>
      <c r="AB6" s="1">
        <v>14</v>
      </c>
      <c r="AC6" s="1">
        <v>15</v>
      </c>
      <c r="AD6" s="1">
        <v>16</v>
      </c>
      <c r="AE6" s="1">
        <v>17</v>
      </c>
      <c r="AF6" s="1">
        <v>18</v>
      </c>
      <c r="AG6" s="22">
        <v>19</v>
      </c>
    </row>
    <row r="7" spans="1:33" s="437" customFormat="1" ht="12.75" customHeight="1" x14ac:dyDescent="0.25">
      <c r="A7" s="502" t="str">
        <f>'Расчет ЦП - общая форма'!C156</f>
        <v xml:space="preserve">ПС  35/6 кВ Микрорайонная </v>
      </c>
      <c r="B7" s="503">
        <f>'Расчет ЦП - общая форма'!D156</f>
        <v>6.3</v>
      </c>
      <c r="C7" s="504"/>
      <c r="D7" s="504"/>
      <c r="E7" s="504"/>
      <c r="F7" s="505"/>
      <c r="G7" s="1646" t="s">
        <v>2062</v>
      </c>
      <c r="H7" s="1646"/>
      <c r="I7" s="1646"/>
      <c r="J7" s="1646"/>
      <c r="K7" s="1646"/>
      <c r="L7" s="1623"/>
      <c r="N7" s="434"/>
      <c r="O7" s="416"/>
      <c r="P7" s="416"/>
      <c r="Q7" s="416"/>
      <c r="R7" s="420"/>
      <c r="S7" s="420"/>
      <c r="T7" s="420"/>
      <c r="U7" s="435"/>
      <c r="V7" s="420"/>
      <c r="W7" s="420"/>
      <c r="X7" s="420"/>
      <c r="Y7" s="420"/>
      <c r="Z7" s="420"/>
      <c r="AA7" s="436"/>
      <c r="AB7" s="1639"/>
      <c r="AC7" s="1639"/>
      <c r="AD7" s="1639"/>
      <c r="AE7" s="1639"/>
      <c r="AF7" s="1639"/>
      <c r="AG7" s="1641"/>
    </row>
    <row r="8" spans="1:33" s="437" customFormat="1" ht="60" x14ac:dyDescent="0.25">
      <c r="A8" s="502"/>
      <c r="B8" s="503"/>
      <c r="C8" s="504"/>
      <c r="D8" s="504"/>
      <c r="E8" s="504"/>
      <c r="F8" s="505"/>
      <c r="G8" s="439" t="s">
        <v>2402</v>
      </c>
      <c r="H8" s="438" t="s">
        <v>2403</v>
      </c>
      <c r="I8" s="439" t="s">
        <v>2499</v>
      </c>
      <c r="J8" s="438">
        <v>9.9000000000000005E-2</v>
      </c>
      <c r="K8" s="438"/>
      <c r="L8" s="438"/>
      <c r="M8" s="434"/>
      <c r="N8" s="866"/>
      <c r="O8" s="416"/>
      <c r="P8" s="416"/>
      <c r="Q8" s="416"/>
      <c r="R8" s="440"/>
      <c r="S8" s="441"/>
      <c r="T8" s="419"/>
      <c r="U8" s="441"/>
      <c r="V8" s="419"/>
      <c r="W8" s="440"/>
      <c r="X8" s="441"/>
      <c r="Y8" s="419"/>
      <c r="Z8" s="419"/>
      <c r="AA8" s="442"/>
      <c r="AB8" s="438"/>
      <c r="AC8" s="438"/>
      <c r="AD8" s="439"/>
      <c r="AE8" s="438"/>
      <c r="AF8" s="438"/>
      <c r="AG8" s="438"/>
    </row>
    <row r="9" spans="1:33" s="437" customFormat="1" x14ac:dyDescent="0.25">
      <c r="A9" s="1217"/>
      <c r="B9" s="1223"/>
      <c r="C9" s="1221"/>
      <c r="D9" s="1221"/>
      <c r="E9" s="1221"/>
      <c r="F9" s="1222"/>
      <c r="G9" s="1601" t="s">
        <v>3068</v>
      </c>
      <c r="H9" s="1602"/>
      <c r="I9" s="1602"/>
      <c r="J9" s="1602"/>
      <c r="K9" s="1602"/>
      <c r="L9" s="1603"/>
      <c r="M9" s="1087"/>
      <c r="N9" s="458"/>
      <c r="O9" s="453"/>
      <c r="P9" s="453"/>
      <c r="Q9" s="453"/>
      <c r="R9" s="440"/>
      <c r="S9" s="441"/>
      <c r="T9" s="419"/>
      <c r="U9" s="441"/>
      <c r="V9" s="419"/>
      <c r="W9" s="440"/>
      <c r="X9" s="441"/>
      <c r="Y9" s="419"/>
      <c r="Z9" s="419"/>
      <c r="AA9" s="442"/>
      <c r="AB9" s="459"/>
      <c r="AC9" s="426"/>
      <c r="AD9" s="439"/>
      <c r="AE9" s="438"/>
      <c r="AF9" s="438"/>
      <c r="AG9" s="438"/>
    </row>
    <row r="10" spans="1:33" s="437" customFormat="1" x14ac:dyDescent="0.25">
      <c r="A10" s="1217"/>
      <c r="B10" s="1223"/>
      <c r="C10" s="1221"/>
      <c r="D10" s="1221"/>
      <c r="E10" s="1221"/>
      <c r="F10" s="1222"/>
      <c r="G10" s="1518" t="s">
        <v>3481</v>
      </c>
      <c r="H10" s="1519"/>
      <c r="I10" s="1520"/>
      <c r="J10" s="1226">
        <v>1.5860000000000001</v>
      </c>
      <c r="K10" s="438"/>
      <c r="L10" s="438"/>
      <c r="M10" s="1087"/>
      <c r="N10" s="458"/>
      <c r="O10" s="453"/>
      <c r="P10" s="453"/>
      <c r="Q10" s="453"/>
      <c r="R10" s="440"/>
      <c r="S10" s="441"/>
      <c r="T10" s="419"/>
      <c r="U10" s="441"/>
      <c r="V10" s="419"/>
      <c r="W10" s="440"/>
      <c r="X10" s="441"/>
      <c r="Y10" s="419"/>
      <c r="Z10" s="419"/>
      <c r="AA10" s="442"/>
      <c r="AB10" s="459"/>
      <c r="AC10" s="426"/>
      <c r="AD10" s="439"/>
      <c r="AE10" s="438"/>
      <c r="AF10" s="438"/>
      <c r="AG10" s="438"/>
    </row>
    <row r="11" spans="1:33" ht="15.75" thickBot="1" x14ac:dyDescent="0.3">
      <c r="A11" s="506"/>
      <c r="B11" s="507"/>
      <c r="C11" s="508"/>
      <c r="D11" s="508"/>
      <c r="E11" s="508"/>
      <c r="F11" s="509"/>
      <c r="G11" s="1483" t="s">
        <v>1860</v>
      </c>
      <c r="H11" s="1483"/>
      <c r="I11" s="1484"/>
      <c r="J11" s="13">
        <f>SUM(J10)</f>
        <v>1.5860000000000001</v>
      </c>
      <c r="K11" s="14">
        <v>0.8</v>
      </c>
      <c r="L11" s="13">
        <f>J11/K11</f>
        <v>1.9824999999999999</v>
      </c>
      <c r="M11" s="1482" t="s">
        <v>1861</v>
      </c>
      <c r="N11" s="1484"/>
      <c r="O11" s="13">
        <f>SUM(O7:O7)</f>
        <v>0</v>
      </c>
      <c r="P11" s="14">
        <v>0.8</v>
      </c>
      <c r="Q11" s="13">
        <f>O11/P11</f>
        <v>0</v>
      </c>
      <c r="R11" s="1647" t="s">
        <v>1862</v>
      </c>
      <c r="S11" s="1648"/>
      <c r="T11" s="30">
        <f>SUM(T7:T7)</f>
        <v>0</v>
      </c>
      <c r="U11" s="31">
        <v>0.8</v>
      </c>
      <c r="V11" s="30">
        <f>T11/U11</f>
        <v>0</v>
      </c>
      <c r="W11" s="1647" t="s">
        <v>1863</v>
      </c>
      <c r="X11" s="1648"/>
      <c r="Y11" s="30">
        <f>SUM(Y7:Y7)</f>
        <v>0</v>
      </c>
      <c r="Z11" s="31">
        <v>0.8</v>
      </c>
      <c r="AA11" s="32">
        <f>Y11/Z11</f>
        <v>0</v>
      </c>
      <c r="AB11" s="1482" t="s">
        <v>1860</v>
      </c>
      <c r="AC11" s="1483"/>
      <c r="AD11" s="1484"/>
      <c r="AE11" s="13">
        <f>SUM(AE8)</f>
        <v>0</v>
      </c>
      <c r="AF11" s="14">
        <v>0.8</v>
      </c>
      <c r="AG11" s="13">
        <f>AE11/AF11</f>
        <v>0</v>
      </c>
    </row>
    <row r="12" spans="1:33" s="437" customFormat="1" ht="15.75" thickBot="1" x14ac:dyDescent="0.3">
      <c r="A12" s="1612" t="str">
        <f>'Расчет ЦП - общая форма'!C157</f>
        <v xml:space="preserve">ПС  35/10 кВ Барыково </v>
      </c>
      <c r="B12" s="1612">
        <f>'Расчет ЦП - общая форма'!D157</f>
        <v>2.5</v>
      </c>
      <c r="C12" s="1614" t="str">
        <f>'Расчет ЦП - общая форма'!E157</f>
        <v>+</v>
      </c>
      <c r="D12" s="1614">
        <f>'Расчет ЦП - общая форма'!F157</f>
        <v>2.5</v>
      </c>
      <c r="E12" s="511"/>
      <c r="F12" s="512"/>
      <c r="G12" s="1646" t="s">
        <v>1988</v>
      </c>
      <c r="H12" s="1646"/>
      <c r="I12" s="1646"/>
      <c r="J12" s="1646"/>
      <c r="K12" s="1646"/>
      <c r="L12" s="1623"/>
      <c r="M12" s="443"/>
      <c r="N12" s="443"/>
      <c r="O12" s="443"/>
      <c r="P12" s="443"/>
      <c r="Q12" s="444"/>
      <c r="R12" s="440"/>
      <c r="S12" s="441"/>
      <c r="T12" s="419"/>
      <c r="U12" s="419"/>
      <c r="V12" s="419"/>
      <c r="W12" s="440"/>
      <c r="X12" s="441"/>
      <c r="Y12" s="419"/>
      <c r="Z12" s="419"/>
      <c r="AA12" s="442"/>
      <c r="AB12" s="1639"/>
      <c r="AC12" s="1639"/>
      <c r="AD12" s="1639"/>
      <c r="AE12" s="1639"/>
      <c r="AF12" s="1639"/>
      <c r="AG12" s="1641"/>
    </row>
    <row r="13" spans="1:33" s="437" customFormat="1" ht="168.75" customHeight="1" x14ac:dyDescent="0.25">
      <c r="A13" s="1613"/>
      <c r="B13" s="1613"/>
      <c r="C13" s="1615"/>
      <c r="D13" s="1615"/>
      <c r="E13" s="502"/>
      <c r="F13" s="513"/>
      <c r="G13" s="445" t="s">
        <v>598</v>
      </c>
      <c r="H13" s="446" t="s">
        <v>599</v>
      </c>
      <c r="I13" s="446" t="s">
        <v>600</v>
      </c>
      <c r="J13" s="446">
        <v>0.03</v>
      </c>
      <c r="K13" s="446"/>
      <c r="L13" s="446"/>
      <c r="M13" s="1118"/>
      <c r="N13" s="1148"/>
      <c r="O13" s="447"/>
      <c r="P13" s="416"/>
      <c r="Q13" s="416"/>
      <c r="R13" s="448"/>
      <c r="S13" s="448"/>
      <c r="T13" s="448"/>
      <c r="U13" s="448"/>
      <c r="V13" s="448"/>
      <c r="W13" s="448"/>
      <c r="X13" s="448"/>
      <c r="Y13" s="448"/>
      <c r="Z13" s="448"/>
      <c r="AA13" s="449"/>
      <c r="AB13" s="445"/>
      <c r="AC13" s="446"/>
      <c r="AD13" s="446"/>
      <c r="AE13" s="446"/>
      <c r="AF13" s="446"/>
      <c r="AG13" s="446"/>
    </row>
    <row r="14" spans="1:33" s="437" customFormat="1" ht="30" x14ac:dyDescent="0.25">
      <c r="A14" s="1613"/>
      <c r="B14" s="1613"/>
      <c r="C14" s="1615"/>
      <c r="D14" s="1615"/>
      <c r="E14" s="502"/>
      <c r="F14" s="513"/>
      <c r="G14" s="445" t="s">
        <v>601</v>
      </c>
      <c r="H14" s="446" t="s">
        <v>602</v>
      </c>
      <c r="I14" s="446" t="s">
        <v>603</v>
      </c>
      <c r="J14" s="446">
        <v>0.03</v>
      </c>
      <c r="K14" s="446"/>
      <c r="L14" s="446"/>
      <c r="M14" s="1148"/>
      <c r="N14" s="1148"/>
      <c r="O14" s="416"/>
      <c r="P14" s="416"/>
      <c r="Q14" s="416"/>
      <c r="R14" s="420"/>
      <c r="S14" s="420"/>
      <c r="T14" s="420"/>
      <c r="U14" s="420"/>
      <c r="V14" s="420"/>
      <c r="W14" s="420"/>
      <c r="X14" s="420"/>
      <c r="Y14" s="420"/>
      <c r="Z14" s="420"/>
      <c r="AA14" s="436"/>
      <c r="AB14" s="445"/>
      <c r="AC14" s="446"/>
      <c r="AD14" s="446"/>
      <c r="AE14" s="446"/>
      <c r="AF14" s="446"/>
      <c r="AG14" s="446"/>
    </row>
    <row r="15" spans="1:33" s="437" customFormat="1" ht="30" x14ac:dyDescent="0.25">
      <c r="A15" s="1613"/>
      <c r="B15" s="1613"/>
      <c r="C15" s="1615"/>
      <c r="D15" s="1615"/>
      <c r="E15" s="502"/>
      <c r="F15" s="513"/>
      <c r="G15" s="439" t="s">
        <v>604</v>
      </c>
      <c r="H15" s="438" t="s">
        <v>605</v>
      </c>
      <c r="I15" s="438" t="s">
        <v>606</v>
      </c>
      <c r="J15" s="438">
        <v>0.03</v>
      </c>
      <c r="K15" s="438"/>
      <c r="L15" s="438"/>
      <c r="M15" s="703"/>
      <c r="N15" s="703"/>
      <c r="O15" s="416"/>
      <c r="P15" s="416"/>
      <c r="Q15" s="416"/>
      <c r="R15" s="420"/>
      <c r="S15" s="420"/>
      <c r="T15" s="420"/>
      <c r="U15" s="420"/>
      <c r="V15" s="420"/>
      <c r="W15" s="420"/>
      <c r="X15" s="420"/>
      <c r="Y15" s="420"/>
      <c r="Z15" s="420"/>
      <c r="AA15" s="436"/>
      <c r="AB15" s="439"/>
      <c r="AC15" s="438"/>
      <c r="AD15" s="438"/>
      <c r="AE15" s="438"/>
      <c r="AF15" s="438"/>
      <c r="AG15" s="438"/>
    </row>
    <row r="16" spans="1:33" s="437" customFormat="1" x14ac:dyDescent="0.25">
      <c r="A16" s="514"/>
      <c r="B16" s="514"/>
      <c r="C16" s="502"/>
      <c r="D16" s="502"/>
      <c r="E16" s="502"/>
      <c r="F16" s="513"/>
      <c r="G16" s="1602" t="s">
        <v>1987</v>
      </c>
      <c r="H16" s="1602"/>
      <c r="I16" s="1602"/>
      <c r="J16" s="1602"/>
      <c r="K16" s="1602"/>
      <c r="L16" s="1603"/>
      <c r="M16" s="450"/>
      <c r="N16" s="450"/>
      <c r="O16" s="450"/>
      <c r="P16" s="450"/>
      <c r="Q16" s="450"/>
      <c r="R16" s="420"/>
      <c r="S16" s="420"/>
      <c r="T16" s="420"/>
      <c r="U16" s="420"/>
      <c r="V16" s="420"/>
      <c r="W16" s="420"/>
      <c r="X16" s="420"/>
      <c r="Y16" s="420"/>
      <c r="Z16" s="420"/>
      <c r="AA16" s="436"/>
      <c r="AB16" s="1642"/>
      <c r="AC16" s="1642"/>
      <c r="AD16" s="1642"/>
      <c r="AE16" s="1642"/>
      <c r="AF16" s="1642"/>
      <c r="AG16" s="1640"/>
    </row>
    <row r="17" spans="1:33" s="437" customFormat="1" ht="30" x14ac:dyDescent="0.25">
      <c r="A17" s="514"/>
      <c r="B17" s="514"/>
      <c r="C17" s="502"/>
      <c r="D17" s="502"/>
      <c r="E17" s="502"/>
      <c r="F17" s="513"/>
      <c r="G17" s="445" t="s">
        <v>610</v>
      </c>
      <c r="H17" s="446" t="s">
        <v>608</v>
      </c>
      <c r="I17" s="446" t="s">
        <v>100</v>
      </c>
      <c r="J17" s="446">
        <v>1.7000000000000001E-2</v>
      </c>
      <c r="K17" s="446"/>
      <c r="L17" s="446"/>
      <c r="M17" s="416"/>
      <c r="N17" s="416"/>
      <c r="O17" s="416"/>
      <c r="P17" s="416"/>
      <c r="Q17" s="416"/>
      <c r="R17" s="420"/>
      <c r="S17" s="420"/>
      <c r="T17" s="420"/>
      <c r="U17" s="420"/>
      <c r="V17" s="420"/>
      <c r="W17" s="420"/>
      <c r="X17" s="420"/>
      <c r="Y17" s="420"/>
      <c r="Z17" s="420"/>
      <c r="AA17" s="436"/>
      <c r="AB17" s="445"/>
      <c r="AC17" s="446"/>
      <c r="AD17" s="446"/>
      <c r="AE17" s="446"/>
      <c r="AF17" s="446"/>
      <c r="AG17" s="446"/>
    </row>
    <row r="18" spans="1:33" s="437" customFormat="1" ht="30" x14ac:dyDescent="0.25">
      <c r="A18" s="514"/>
      <c r="B18" s="514"/>
      <c r="C18" s="502"/>
      <c r="D18" s="502"/>
      <c r="E18" s="502"/>
      <c r="F18" s="513"/>
      <c r="G18" s="451" t="s">
        <v>612</v>
      </c>
      <c r="H18" s="416" t="s">
        <v>608</v>
      </c>
      <c r="I18" s="446" t="s">
        <v>101</v>
      </c>
      <c r="J18" s="446">
        <v>1.7000000000000001E-2</v>
      </c>
      <c r="K18" s="446"/>
      <c r="L18" s="446"/>
      <c r="M18" s="447"/>
      <c r="N18" s="447"/>
      <c r="O18" s="447"/>
      <c r="P18" s="416"/>
      <c r="Q18" s="416"/>
      <c r="R18" s="420"/>
      <c r="S18" s="420"/>
      <c r="T18" s="420"/>
      <c r="U18" s="420"/>
      <c r="V18" s="420"/>
      <c r="W18" s="420"/>
      <c r="X18" s="420"/>
      <c r="Y18" s="420"/>
      <c r="Z18" s="420"/>
      <c r="AA18" s="436"/>
      <c r="AB18" s="451"/>
      <c r="AC18" s="416"/>
      <c r="AD18" s="446"/>
      <c r="AE18" s="446"/>
      <c r="AF18" s="446"/>
      <c r="AG18" s="446"/>
    </row>
    <row r="19" spans="1:33" s="437" customFormat="1" ht="30" x14ac:dyDescent="0.25">
      <c r="A19" s="514"/>
      <c r="B19" s="514"/>
      <c r="C19" s="502"/>
      <c r="D19" s="502"/>
      <c r="E19" s="502"/>
      <c r="F19" s="513"/>
      <c r="G19" s="451" t="s">
        <v>607</v>
      </c>
      <c r="H19" s="416" t="s">
        <v>608</v>
      </c>
      <c r="I19" s="446" t="s">
        <v>101</v>
      </c>
      <c r="J19" s="446">
        <v>1.7000000000000001E-2</v>
      </c>
      <c r="K19" s="446"/>
      <c r="L19" s="446"/>
      <c r="M19" s="447"/>
      <c r="N19" s="447"/>
      <c r="O19" s="447"/>
      <c r="P19" s="416"/>
      <c r="Q19" s="416"/>
      <c r="R19" s="420"/>
      <c r="S19" s="420"/>
      <c r="T19" s="420"/>
      <c r="U19" s="420"/>
      <c r="V19" s="420"/>
      <c r="W19" s="420"/>
      <c r="X19" s="420"/>
      <c r="Y19" s="420"/>
      <c r="Z19" s="420"/>
      <c r="AA19" s="436"/>
      <c r="AB19" s="451"/>
      <c r="AC19" s="416"/>
      <c r="AD19" s="446"/>
      <c r="AE19" s="446"/>
      <c r="AF19" s="446"/>
      <c r="AG19" s="446"/>
    </row>
    <row r="20" spans="1:33" s="437" customFormat="1" ht="30" x14ac:dyDescent="0.25">
      <c r="A20" s="402"/>
      <c r="B20" s="515"/>
      <c r="C20" s="516"/>
      <c r="D20" s="516"/>
      <c r="E20" s="516"/>
      <c r="F20" s="517"/>
      <c r="G20" s="445" t="s">
        <v>611</v>
      </c>
      <c r="H20" s="416" t="s">
        <v>608</v>
      </c>
      <c r="I20" s="446" t="s">
        <v>102</v>
      </c>
      <c r="J20" s="446">
        <v>1.7000000000000001E-2</v>
      </c>
      <c r="K20" s="416"/>
      <c r="L20" s="416"/>
      <c r="M20" s="447"/>
      <c r="N20" s="447"/>
      <c r="O20" s="447"/>
      <c r="P20" s="416"/>
      <c r="Q20" s="416"/>
      <c r="R20" s="299"/>
      <c r="S20" s="299"/>
      <c r="T20" s="299"/>
      <c r="U20" s="299"/>
      <c r="V20" s="299"/>
      <c r="W20" s="299"/>
      <c r="X20" s="299"/>
      <c r="Y20" s="299"/>
      <c r="Z20" s="299"/>
      <c r="AA20" s="452"/>
      <c r="AB20" s="445"/>
      <c r="AC20" s="416"/>
      <c r="AD20" s="446"/>
      <c r="AE20" s="446"/>
      <c r="AF20" s="416"/>
      <c r="AG20" s="416"/>
    </row>
    <row r="21" spans="1:33" s="437" customFormat="1" ht="30" x14ac:dyDescent="0.25">
      <c r="A21" s="514"/>
      <c r="B21" s="514"/>
      <c r="C21" s="502"/>
      <c r="D21" s="502"/>
      <c r="E21" s="502"/>
      <c r="F21" s="513"/>
      <c r="G21" s="451" t="s">
        <v>609</v>
      </c>
      <c r="H21" s="416" t="s">
        <v>608</v>
      </c>
      <c r="I21" s="446" t="s">
        <v>103</v>
      </c>
      <c r="J21" s="446">
        <v>1.7000000000000001E-2</v>
      </c>
      <c r="K21" s="416"/>
      <c r="L21" s="416"/>
      <c r="M21" s="447"/>
      <c r="N21" s="447"/>
      <c r="O21" s="447"/>
      <c r="P21" s="416"/>
      <c r="Q21" s="416"/>
      <c r="R21" s="299"/>
      <c r="S21" s="299"/>
      <c r="T21" s="299"/>
      <c r="U21" s="299"/>
      <c r="V21" s="299"/>
      <c r="W21" s="299"/>
      <c r="X21" s="435"/>
      <c r="Y21" s="420"/>
      <c r="Z21" s="420"/>
      <c r="AA21" s="436"/>
      <c r="AB21" s="451"/>
      <c r="AC21" s="416"/>
      <c r="AD21" s="446"/>
      <c r="AE21" s="446"/>
      <c r="AF21" s="416"/>
      <c r="AG21" s="416"/>
    </row>
    <row r="22" spans="1:33" s="437" customFormat="1" x14ac:dyDescent="0.25">
      <c r="A22" s="591"/>
      <c r="B22" s="591"/>
      <c r="C22" s="586"/>
      <c r="D22" s="586"/>
      <c r="E22" s="586"/>
      <c r="F22" s="592"/>
      <c r="G22" s="1602" t="s">
        <v>2061</v>
      </c>
      <c r="H22" s="1602"/>
      <c r="I22" s="1602"/>
      <c r="J22" s="1602"/>
      <c r="K22" s="1602"/>
      <c r="L22" s="1603"/>
      <c r="M22" s="447"/>
      <c r="N22" s="447"/>
      <c r="O22" s="447"/>
      <c r="P22" s="590"/>
      <c r="Q22" s="590"/>
      <c r="R22" s="454"/>
      <c r="S22" s="455"/>
      <c r="T22" s="456"/>
      <c r="U22" s="456"/>
      <c r="V22" s="456"/>
      <c r="W22" s="454"/>
      <c r="X22" s="441"/>
      <c r="Y22" s="419"/>
      <c r="Z22" s="419"/>
      <c r="AA22" s="442"/>
      <c r="AB22" s="588"/>
      <c r="AC22" s="589"/>
      <c r="AD22" s="589"/>
      <c r="AE22" s="438"/>
      <c r="AF22" s="453"/>
      <c r="AG22" s="453"/>
    </row>
    <row r="23" spans="1:33" s="437" customFormat="1" ht="75" x14ac:dyDescent="0.25">
      <c r="A23" s="514"/>
      <c r="B23" s="514"/>
      <c r="C23" s="502"/>
      <c r="D23" s="502"/>
      <c r="E23" s="502"/>
      <c r="F23" s="513"/>
      <c r="G23" s="445" t="s">
        <v>613</v>
      </c>
      <c r="H23" s="446" t="s">
        <v>614</v>
      </c>
      <c r="I23" s="446" t="s">
        <v>2311</v>
      </c>
      <c r="J23" s="438">
        <v>0.3</v>
      </c>
      <c r="K23" s="453"/>
      <c r="L23" s="453"/>
      <c r="M23" s="447"/>
      <c r="N23" s="447"/>
      <c r="O23" s="447"/>
      <c r="P23" s="416"/>
      <c r="Q23" s="416"/>
      <c r="R23" s="454"/>
      <c r="S23" s="455"/>
      <c r="T23" s="456"/>
      <c r="U23" s="456"/>
      <c r="V23" s="456"/>
      <c r="W23" s="454"/>
      <c r="X23" s="441"/>
      <c r="Y23" s="419"/>
      <c r="Z23" s="419"/>
      <c r="AA23" s="442"/>
      <c r="AB23" s="445"/>
      <c r="AC23" s="446"/>
      <c r="AD23" s="446"/>
      <c r="AE23" s="438"/>
      <c r="AF23" s="453"/>
      <c r="AG23" s="453"/>
    </row>
    <row r="24" spans="1:33" s="437" customFormat="1" x14ac:dyDescent="0.25">
      <c r="A24" s="675"/>
      <c r="B24" s="675"/>
      <c r="C24" s="676"/>
      <c r="D24" s="676"/>
      <c r="E24" s="676"/>
      <c r="F24" s="678"/>
      <c r="G24" s="1602" t="s">
        <v>2512</v>
      </c>
      <c r="H24" s="1602"/>
      <c r="I24" s="1602"/>
      <c r="J24" s="1602"/>
      <c r="K24" s="1602"/>
      <c r="L24" s="1603"/>
      <c r="M24" s="684"/>
      <c r="N24" s="685"/>
      <c r="O24" s="686"/>
      <c r="P24" s="453"/>
      <c r="Q24" s="453"/>
      <c r="R24" s="454"/>
      <c r="S24" s="455"/>
      <c r="T24" s="456"/>
      <c r="U24" s="456"/>
      <c r="V24" s="456"/>
      <c r="W24" s="454"/>
      <c r="X24" s="441"/>
      <c r="Y24" s="419"/>
      <c r="Z24" s="419"/>
      <c r="AA24" s="442"/>
      <c r="AB24" s="426"/>
      <c r="AC24" s="426"/>
      <c r="AD24" s="439"/>
      <c r="AE24" s="438"/>
      <c r="AF24" s="453"/>
      <c r="AG24" s="453"/>
    </row>
    <row r="25" spans="1:33" s="437" customFormat="1" ht="60" x14ac:dyDescent="0.25">
      <c r="A25" s="675"/>
      <c r="B25" s="675"/>
      <c r="C25" s="676"/>
      <c r="D25" s="676"/>
      <c r="E25" s="676"/>
      <c r="F25" s="678"/>
      <c r="G25" s="677" t="s">
        <v>2473</v>
      </c>
      <c r="H25" s="677" t="s">
        <v>2474</v>
      </c>
      <c r="I25" s="439" t="s">
        <v>2672</v>
      </c>
      <c r="J25" s="677">
        <f>0.57-0.3</f>
        <v>0.26999999999999996</v>
      </c>
      <c r="K25" s="453"/>
      <c r="L25" s="453"/>
      <c r="M25" s="684"/>
      <c r="N25" s="685"/>
      <c r="O25" s="686"/>
      <c r="P25" s="453"/>
      <c r="Q25" s="453"/>
      <c r="R25" s="454"/>
      <c r="S25" s="455"/>
      <c r="T25" s="456"/>
      <c r="U25" s="456"/>
      <c r="V25" s="456"/>
      <c r="W25" s="454"/>
      <c r="X25" s="441"/>
      <c r="Y25" s="419"/>
      <c r="Z25" s="419"/>
      <c r="AA25" s="442"/>
      <c r="AB25" s="426"/>
      <c r="AC25" s="426"/>
      <c r="AD25" s="439"/>
      <c r="AE25" s="438"/>
      <c r="AF25" s="453"/>
      <c r="AG25" s="453"/>
    </row>
    <row r="26" spans="1:33" s="437" customFormat="1" ht="75" x14ac:dyDescent="0.25">
      <c r="A26" s="700"/>
      <c r="B26" s="700"/>
      <c r="C26" s="701"/>
      <c r="D26" s="701"/>
      <c r="E26" s="701"/>
      <c r="F26" s="705"/>
      <c r="G26" s="703" t="s">
        <v>613</v>
      </c>
      <c r="H26" s="703" t="s">
        <v>2718</v>
      </c>
      <c r="I26" s="703" t="s">
        <v>2719</v>
      </c>
      <c r="J26" s="703">
        <v>7.0000000000000007E-2</v>
      </c>
      <c r="K26" s="703"/>
      <c r="L26" s="703"/>
      <c r="M26" s="684"/>
      <c r="N26" s="685"/>
      <c r="O26" s="686"/>
      <c r="P26" s="453"/>
      <c r="Q26" s="453"/>
      <c r="R26" s="454"/>
      <c r="S26" s="455"/>
      <c r="T26" s="456"/>
      <c r="U26" s="456"/>
      <c r="V26" s="456"/>
      <c r="W26" s="454"/>
      <c r="X26" s="441"/>
      <c r="Y26" s="419"/>
      <c r="Z26" s="419"/>
      <c r="AA26" s="442"/>
      <c r="AB26" s="426"/>
      <c r="AC26" s="426"/>
      <c r="AD26" s="439"/>
      <c r="AE26" s="438"/>
      <c r="AF26" s="453"/>
      <c r="AG26" s="453"/>
    </row>
    <row r="27" spans="1:33" s="437" customFormat="1" ht="135" x14ac:dyDescent="0.25">
      <c r="A27" s="811"/>
      <c r="B27" s="811"/>
      <c r="C27" s="809"/>
      <c r="D27" s="809"/>
      <c r="E27" s="809"/>
      <c r="F27" s="812"/>
      <c r="G27" s="810" t="s">
        <v>2762</v>
      </c>
      <c r="H27" s="810" t="s">
        <v>2763</v>
      </c>
      <c r="I27" s="838" t="s">
        <v>2964</v>
      </c>
      <c r="J27" s="810">
        <v>0.25</v>
      </c>
      <c r="K27" s="810"/>
      <c r="L27" s="810"/>
      <c r="M27" s="684"/>
      <c r="N27" s="685"/>
      <c r="O27" s="686"/>
      <c r="P27" s="453"/>
      <c r="Q27" s="453"/>
      <c r="R27" s="454"/>
      <c r="S27" s="455"/>
      <c r="T27" s="456"/>
      <c r="U27" s="456"/>
      <c r="V27" s="456"/>
      <c r="W27" s="454"/>
      <c r="X27" s="441"/>
      <c r="Y27" s="419"/>
      <c r="Z27" s="419"/>
      <c r="AA27" s="442"/>
      <c r="AB27" s="426"/>
      <c r="AC27" s="426"/>
      <c r="AD27" s="439"/>
      <c r="AE27" s="438"/>
      <c r="AF27" s="453"/>
      <c r="AG27" s="453"/>
    </row>
    <row r="28" spans="1:33" s="437" customFormat="1" x14ac:dyDescent="0.25">
      <c r="A28" s="1178"/>
      <c r="B28" s="1178"/>
      <c r="C28" s="1179"/>
      <c r="D28" s="1179"/>
      <c r="E28" s="1179"/>
      <c r="F28" s="1177"/>
      <c r="G28" s="1602" t="s">
        <v>3069</v>
      </c>
      <c r="H28" s="1602"/>
      <c r="I28" s="1602"/>
      <c r="J28" s="1602"/>
      <c r="K28" s="1602"/>
      <c r="L28" s="1603"/>
      <c r="M28" s="684"/>
      <c r="N28" s="685"/>
      <c r="O28" s="686"/>
      <c r="P28" s="453"/>
      <c r="Q28" s="453"/>
      <c r="R28" s="454"/>
      <c r="S28" s="455"/>
      <c r="T28" s="456"/>
      <c r="U28" s="456"/>
      <c r="V28" s="456"/>
      <c r="W28" s="454"/>
      <c r="X28" s="441"/>
      <c r="Y28" s="419"/>
      <c r="Z28" s="419"/>
      <c r="AA28" s="442"/>
      <c r="AB28" s="426"/>
      <c r="AC28" s="426"/>
      <c r="AD28" s="439"/>
      <c r="AE28" s="438"/>
      <c r="AF28" s="453"/>
      <c r="AG28" s="453"/>
    </row>
    <row r="29" spans="1:33" s="437" customFormat="1" ht="90" x14ac:dyDescent="0.25">
      <c r="A29" s="1178"/>
      <c r="B29" s="1178"/>
      <c r="C29" s="1179"/>
      <c r="D29" s="1179"/>
      <c r="E29" s="1179"/>
      <c r="F29" s="1177"/>
      <c r="G29" s="1180" t="s">
        <v>3302</v>
      </c>
      <c r="H29" s="1180" t="s">
        <v>3362</v>
      </c>
      <c r="I29" s="1180" t="s">
        <v>3434</v>
      </c>
      <c r="J29" s="453">
        <v>0.15</v>
      </c>
      <c r="K29" s="453"/>
      <c r="L29" s="453"/>
      <c r="M29" s="684"/>
      <c r="N29" s="685"/>
      <c r="O29" s="686"/>
      <c r="P29" s="453"/>
      <c r="Q29" s="453"/>
      <c r="R29" s="454"/>
      <c r="S29" s="455"/>
      <c r="T29" s="456"/>
      <c r="U29" s="456"/>
      <c r="V29" s="456"/>
      <c r="W29" s="454"/>
      <c r="X29" s="441"/>
      <c r="Y29" s="419"/>
      <c r="Z29" s="419"/>
      <c r="AA29" s="442"/>
      <c r="AB29" s="426"/>
      <c r="AC29" s="426"/>
      <c r="AD29" s="439"/>
      <c r="AE29" s="438"/>
      <c r="AF29" s="453"/>
      <c r="AG29" s="453"/>
    </row>
    <row r="30" spans="1:33" s="437" customFormat="1" x14ac:dyDescent="0.25">
      <c r="A30" s="1205"/>
      <c r="B30" s="1205"/>
      <c r="C30" s="1206"/>
      <c r="D30" s="1206"/>
      <c r="E30" s="1206"/>
      <c r="F30" s="1207"/>
      <c r="G30" s="1518" t="s">
        <v>3481</v>
      </c>
      <c r="H30" s="1519"/>
      <c r="I30" s="1520"/>
      <c r="J30" s="1225">
        <v>0.88600000000000001</v>
      </c>
      <c r="K30" s="1225"/>
      <c r="L30" s="1225"/>
      <c r="M30" s="684"/>
      <c r="N30" s="685"/>
      <c r="O30" s="686"/>
      <c r="P30" s="453"/>
      <c r="Q30" s="453"/>
      <c r="R30" s="454"/>
      <c r="S30" s="455"/>
      <c r="T30" s="456"/>
      <c r="U30" s="456"/>
      <c r="V30" s="456"/>
      <c r="W30" s="454"/>
      <c r="X30" s="441"/>
      <c r="Y30" s="419"/>
      <c r="Z30" s="419"/>
      <c r="AA30" s="442"/>
      <c r="AB30" s="426"/>
      <c r="AC30" s="426"/>
      <c r="AD30" s="439"/>
      <c r="AE30" s="438"/>
      <c r="AF30" s="453"/>
      <c r="AG30" s="453"/>
    </row>
    <row r="31" spans="1:33" ht="15.75" thickBot="1" x14ac:dyDescent="0.3">
      <c r="A31" s="518"/>
      <c r="B31" s="519"/>
      <c r="C31" s="506"/>
      <c r="D31" s="506"/>
      <c r="E31" s="506"/>
      <c r="F31" s="520"/>
      <c r="G31" s="1483" t="s">
        <v>1860</v>
      </c>
      <c r="H31" s="1483"/>
      <c r="I31" s="1484"/>
      <c r="J31" s="13">
        <f>SUM(J25:J30)</f>
        <v>1.6259999999999999</v>
      </c>
      <c r="K31" s="14">
        <v>0.8</v>
      </c>
      <c r="L31" s="13">
        <f>J31/K31</f>
        <v>2.0324999999999998</v>
      </c>
      <c r="M31" s="1485" t="s">
        <v>1861</v>
      </c>
      <c r="N31" s="1487"/>
      <c r="O31" s="21">
        <f>SUM(O13:O21)</f>
        <v>0</v>
      </c>
      <c r="P31" s="24">
        <v>0.8</v>
      </c>
      <c r="Q31" s="21">
        <f>O31/P31</f>
        <v>0</v>
      </c>
      <c r="R31" s="1647" t="s">
        <v>1862</v>
      </c>
      <c r="S31" s="1648"/>
      <c r="T31" s="30">
        <f>SUM(T13:T21)</f>
        <v>0</v>
      </c>
      <c r="U31" s="31">
        <v>0.8</v>
      </c>
      <c r="V31" s="30">
        <f>T31/U31</f>
        <v>0</v>
      </c>
      <c r="W31" s="1647" t="s">
        <v>1863</v>
      </c>
      <c r="X31" s="1648"/>
      <c r="Y31" s="30">
        <f>SUM(Y13:Y21)</f>
        <v>0</v>
      </c>
      <c r="Z31" s="31">
        <v>0.8</v>
      </c>
      <c r="AA31" s="32">
        <f>Y31/Z31</f>
        <v>0</v>
      </c>
      <c r="AB31" s="1483" t="s">
        <v>1860</v>
      </c>
      <c r="AC31" s="1483"/>
      <c r="AD31" s="1484"/>
      <c r="AE31" s="13">
        <f>SUM(AE13:AE15,AE17:AE23)</f>
        <v>0</v>
      </c>
      <c r="AF31" s="14">
        <v>0.8</v>
      </c>
      <c r="AG31" s="13">
        <f>AE31/AF31</f>
        <v>0</v>
      </c>
    </row>
    <row r="32" spans="1:33" s="437" customFormat="1" x14ac:dyDescent="0.25">
      <c r="A32" s="1612" t="str">
        <f>'Расчет ЦП - общая форма'!C158</f>
        <v xml:space="preserve">ПС  35/6 кВ Б.Городок </v>
      </c>
      <c r="B32" s="1612">
        <f>'Расчет ЦП - общая форма'!D158</f>
        <v>5.6</v>
      </c>
      <c r="C32" s="1614" t="str">
        <f>'Расчет ЦП - общая форма'!E158</f>
        <v>+</v>
      </c>
      <c r="D32" s="1614">
        <f>'Расчет ЦП - общая форма'!F158</f>
        <v>6.3</v>
      </c>
      <c r="E32" s="511"/>
      <c r="F32" s="512"/>
      <c r="G32" s="1646" t="s">
        <v>1989</v>
      </c>
      <c r="H32" s="1646"/>
      <c r="I32" s="1646"/>
      <c r="J32" s="1646"/>
      <c r="K32" s="1646"/>
      <c r="L32" s="1646"/>
      <c r="M32" s="756"/>
      <c r="N32" s="756"/>
      <c r="O32" s="450"/>
      <c r="P32" s="450"/>
      <c r="Q32" s="450"/>
      <c r="R32" s="440"/>
      <c r="S32" s="441"/>
      <c r="T32" s="419"/>
      <c r="U32" s="419"/>
      <c r="V32" s="419"/>
      <c r="W32" s="440"/>
      <c r="X32" s="455"/>
      <c r="Y32" s="419"/>
      <c r="Z32" s="419"/>
      <c r="AA32" s="442"/>
      <c r="AB32" s="1639"/>
      <c r="AC32" s="1639"/>
      <c r="AD32" s="1639"/>
      <c r="AE32" s="1639"/>
      <c r="AF32" s="1639"/>
      <c r="AG32" s="1639"/>
    </row>
    <row r="33" spans="1:33" s="437" customFormat="1" ht="86.25" customHeight="1" x14ac:dyDescent="0.25">
      <c r="A33" s="1613"/>
      <c r="B33" s="1613"/>
      <c r="C33" s="1615"/>
      <c r="D33" s="1615"/>
      <c r="E33" s="502"/>
      <c r="F33" s="513"/>
      <c r="G33" s="445" t="s">
        <v>1972</v>
      </c>
      <c r="H33" s="446" t="s">
        <v>1966</v>
      </c>
      <c r="I33" s="446" t="s">
        <v>1973</v>
      </c>
      <c r="J33" s="446">
        <v>0.02</v>
      </c>
      <c r="K33" s="446"/>
      <c r="L33" s="457"/>
      <c r="M33" s="756"/>
      <c r="N33" s="756"/>
      <c r="O33" s="447"/>
      <c r="P33" s="416"/>
      <c r="Q33" s="416"/>
      <c r="R33" s="420"/>
      <c r="S33" s="420"/>
      <c r="T33" s="420"/>
      <c r="U33" s="420"/>
      <c r="V33" s="420"/>
      <c r="W33" s="420"/>
      <c r="X33" s="420"/>
      <c r="Y33" s="420"/>
      <c r="Z33" s="420"/>
      <c r="AA33" s="436"/>
      <c r="AB33" s="445"/>
      <c r="AC33" s="446"/>
      <c r="AD33" s="446"/>
      <c r="AE33" s="446"/>
      <c r="AF33" s="446"/>
      <c r="AG33" s="457"/>
    </row>
    <row r="34" spans="1:33" s="437" customFormat="1" ht="24.75" customHeight="1" x14ac:dyDescent="0.25">
      <c r="A34" s="1613"/>
      <c r="B34" s="1613"/>
      <c r="C34" s="1615"/>
      <c r="D34" s="1615"/>
      <c r="E34" s="502"/>
      <c r="F34" s="513"/>
      <c r="G34" s="458" t="s">
        <v>1974</v>
      </c>
      <c r="H34" s="426" t="s">
        <v>1975</v>
      </c>
      <c r="I34" s="438" t="s">
        <v>1976</v>
      </c>
      <c r="J34" s="426">
        <v>2</v>
      </c>
      <c r="K34" s="438"/>
      <c r="L34" s="459"/>
      <c r="M34" s="757" t="s">
        <v>2810</v>
      </c>
      <c r="N34" s="757" t="s">
        <v>2811</v>
      </c>
      <c r="O34" s="447">
        <v>3.4000000000000002E-2</v>
      </c>
      <c r="P34" s="416"/>
      <c r="Q34" s="416"/>
      <c r="R34" s="420"/>
      <c r="S34" s="420"/>
      <c r="T34" s="420"/>
      <c r="U34" s="420"/>
      <c r="V34" s="420"/>
      <c r="W34" s="420"/>
      <c r="X34" s="420"/>
      <c r="Y34" s="420"/>
      <c r="Z34" s="420"/>
      <c r="AA34" s="436"/>
      <c r="AB34" s="458"/>
      <c r="AC34" s="426"/>
      <c r="AD34" s="438"/>
      <c r="AE34" s="426"/>
      <c r="AF34" s="438"/>
      <c r="AG34" s="459"/>
    </row>
    <row r="35" spans="1:33" s="437" customFormat="1" ht="15.75" thickBot="1" x14ac:dyDescent="0.3">
      <c r="A35" s="514"/>
      <c r="B35" s="514"/>
      <c r="C35" s="502"/>
      <c r="D35" s="502"/>
      <c r="E35" s="502"/>
      <c r="F35" s="513"/>
      <c r="G35" s="1602" t="s">
        <v>1988</v>
      </c>
      <c r="H35" s="1602"/>
      <c r="I35" s="1602"/>
      <c r="J35" s="1602"/>
      <c r="K35" s="1602"/>
      <c r="L35" s="1602"/>
      <c r="M35" s="1040"/>
      <c r="N35" s="1040"/>
      <c r="O35" s="450"/>
      <c r="P35" s="450"/>
      <c r="Q35" s="450"/>
      <c r="R35" s="435"/>
      <c r="S35" s="420"/>
      <c r="T35" s="420"/>
      <c r="U35" s="420"/>
      <c r="V35" s="420"/>
      <c r="W35" s="420"/>
      <c r="X35" s="420"/>
      <c r="Y35" s="420"/>
      <c r="Z35" s="420"/>
      <c r="AA35" s="436"/>
      <c r="AB35" s="1642"/>
      <c r="AC35" s="1642"/>
      <c r="AD35" s="1642"/>
      <c r="AE35" s="1642"/>
      <c r="AF35" s="1642"/>
      <c r="AG35" s="1642"/>
    </row>
    <row r="36" spans="1:33" s="437" customFormat="1" ht="51" x14ac:dyDescent="0.25">
      <c r="A36" s="514"/>
      <c r="B36" s="515"/>
      <c r="C36" s="516"/>
      <c r="D36" s="516"/>
      <c r="E36" s="516"/>
      <c r="F36" s="517"/>
      <c r="G36" s="451" t="s">
        <v>1965</v>
      </c>
      <c r="H36" s="416" t="s">
        <v>1966</v>
      </c>
      <c r="I36" s="416" t="s">
        <v>1967</v>
      </c>
      <c r="J36" s="416">
        <v>2.5000000000000001E-2</v>
      </c>
      <c r="K36" s="416"/>
      <c r="L36" s="460"/>
      <c r="M36" s="416"/>
      <c r="N36" s="416"/>
      <c r="O36" s="416"/>
      <c r="P36" s="416"/>
      <c r="Q36" s="416"/>
      <c r="R36" s="461"/>
      <c r="S36" s="448"/>
      <c r="T36" s="448"/>
      <c r="U36" s="448"/>
      <c r="V36" s="448"/>
      <c r="W36" s="448" t="s">
        <v>1968</v>
      </c>
      <c r="X36" s="299" t="s">
        <v>1969</v>
      </c>
      <c r="Y36" s="448">
        <v>7.5999999999999998E-2</v>
      </c>
      <c r="Z36" s="448"/>
      <c r="AA36" s="449"/>
      <c r="AB36" s="451"/>
      <c r="AC36" s="416"/>
      <c r="AD36" s="416"/>
      <c r="AE36" s="416"/>
      <c r="AF36" s="416"/>
      <c r="AG36" s="460"/>
    </row>
    <row r="37" spans="1:33" s="437" customFormat="1" x14ac:dyDescent="0.25">
      <c r="A37" s="514"/>
      <c r="B37" s="514"/>
      <c r="C37" s="502"/>
      <c r="D37" s="502"/>
      <c r="E37" s="502"/>
      <c r="F37" s="513"/>
      <c r="G37" s="451" t="s">
        <v>1970</v>
      </c>
      <c r="H37" s="416" t="s">
        <v>1966</v>
      </c>
      <c r="I37" s="416" t="s">
        <v>1971</v>
      </c>
      <c r="J37" s="416">
        <v>2.5000000000000001E-2</v>
      </c>
      <c r="K37" s="416"/>
      <c r="L37" s="460"/>
      <c r="M37" s="416"/>
      <c r="N37" s="416"/>
      <c r="O37" s="416"/>
      <c r="P37" s="416"/>
      <c r="Q37" s="416"/>
      <c r="R37" s="435"/>
      <c r="S37" s="420"/>
      <c r="T37" s="420"/>
      <c r="U37" s="420"/>
      <c r="V37" s="420"/>
      <c r="W37" s="420"/>
      <c r="X37" s="420"/>
      <c r="Y37" s="420"/>
      <c r="Z37" s="420"/>
      <c r="AA37" s="436"/>
      <c r="AB37" s="451"/>
      <c r="AC37" s="416"/>
      <c r="AD37" s="416"/>
      <c r="AE37" s="416"/>
      <c r="AF37" s="416"/>
      <c r="AG37" s="460"/>
    </row>
    <row r="38" spans="1:33" s="437" customFormat="1" x14ac:dyDescent="0.25">
      <c r="A38" s="591"/>
      <c r="B38" s="591"/>
      <c r="C38" s="586"/>
      <c r="D38" s="586"/>
      <c r="E38" s="586"/>
      <c r="F38" s="592"/>
      <c r="G38" s="1602" t="s">
        <v>2061</v>
      </c>
      <c r="H38" s="1602"/>
      <c r="I38" s="1602"/>
      <c r="J38" s="1602"/>
      <c r="K38" s="1602"/>
      <c r="L38" s="1602"/>
      <c r="M38" s="590"/>
      <c r="N38" s="590"/>
      <c r="O38" s="590"/>
      <c r="P38" s="590"/>
      <c r="Q38" s="590"/>
      <c r="R38" s="490"/>
      <c r="S38" s="441"/>
      <c r="T38" s="419"/>
      <c r="U38" s="419"/>
      <c r="V38" s="419"/>
      <c r="W38" s="440"/>
      <c r="X38" s="441"/>
      <c r="Y38" s="419"/>
      <c r="Z38" s="419"/>
      <c r="AA38" s="442"/>
      <c r="AB38" s="587"/>
      <c r="AC38" s="590"/>
      <c r="AD38" s="590"/>
      <c r="AE38" s="590"/>
      <c r="AF38" s="590"/>
      <c r="AG38" s="607"/>
    </row>
    <row r="39" spans="1:33" s="470" customFormat="1" ht="78.75" x14ac:dyDescent="0.25">
      <c r="A39" s="521"/>
      <c r="B39" s="521"/>
      <c r="C39" s="522"/>
      <c r="D39" s="522"/>
      <c r="E39" s="522"/>
      <c r="F39" s="523"/>
      <c r="G39" s="462" t="s">
        <v>39</v>
      </c>
      <c r="H39" s="463" t="s">
        <v>40</v>
      </c>
      <c r="I39" s="463" t="s">
        <v>2300</v>
      </c>
      <c r="J39" s="463">
        <v>0.03</v>
      </c>
      <c r="K39" s="463"/>
      <c r="L39" s="464"/>
      <c r="M39" s="463"/>
      <c r="N39" s="463"/>
      <c r="O39" s="463"/>
      <c r="P39" s="463"/>
      <c r="Q39" s="463"/>
      <c r="R39" s="465"/>
      <c r="S39" s="466"/>
      <c r="T39" s="467"/>
      <c r="U39" s="467"/>
      <c r="V39" s="467"/>
      <c r="W39" s="468"/>
      <c r="X39" s="466"/>
      <c r="Y39" s="467"/>
      <c r="Z39" s="467"/>
      <c r="AA39" s="469"/>
      <c r="AB39" s="462"/>
      <c r="AC39" s="463"/>
      <c r="AD39" s="463"/>
      <c r="AE39" s="463"/>
      <c r="AF39" s="463"/>
      <c r="AG39" s="464"/>
    </row>
    <row r="40" spans="1:33" s="470" customFormat="1" ht="63" x14ac:dyDescent="0.25">
      <c r="A40" s="521"/>
      <c r="B40" s="521"/>
      <c r="C40" s="522"/>
      <c r="D40" s="522"/>
      <c r="E40" s="522"/>
      <c r="F40" s="523"/>
      <c r="G40" s="451" t="s">
        <v>37</v>
      </c>
      <c r="H40" s="780" t="s">
        <v>38</v>
      </c>
      <c r="I40" s="463" t="s">
        <v>2299</v>
      </c>
      <c r="J40" s="416">
        <v>0.03</v>
      </c>
      <c r="K40" s="463"/>
      <c r="L40" s="464"/>
      <c r="M40" s="463"/>
      <c r="N40" s="463"/>
      <c r="O40" s="463"/>
      <c r="P40" s="463"/>
      <c r="Q40" s="463"/>
      <c r="R40" s="465"/>
      <c r="S40" s="466"/>
      <c r="T40" s="467"/>
      <c r="U40" s="467"/>
      <c r="V40" s="467"/>
      <c r="W40" s="468"/>
      <c r="X40" s="466"/>
      <c r="Y40" s="467"/>
      <c r="Z40" s="467"/>
      <c r="AA40" s="469"/>
      <c r="AB40" s="451"/>
      <c r="AC40" s="416"/>
      <c r="AD40" s="463"/>
      <c r="AE40" s="416"/>
      <c r="AF40" s="463"/>
      <c r="AG40" s="464"/>
    </row>
    <row r="41" spans="1:33" s="470" customFormat="1" ht="15.75" x14ac:dyDescent="0.25">
      <c r="A41" s="521"/>
      <c r="B41" s="521"/>
      <c r="C41" s="522"/>
      <c r="D41" s="522"/>
      <c r="E41" s="522"/>
      <c r="F41" s="523"/>
      <c r="G41" s="1602" t="s">
        <v>2512</v>
      </c>
      <c r="H41" s="1602"/>
      <c r="I41" s="1602"/>
      <c r="J41" s="1602"/>
      <c r="K41" s="1602"/>
      <c r="L41" s="1602"/>
      <c r="M41" s="464"/>
      <c r="N41" s="799"/>
      <c r="O41" s="800"/>
      <c r="P41" s="800"/>
      <c r="Q41" s="800"/>
      <c r="R41" s="465"/>
      <c r="S41" s="466"/>
      <c r="T41" s="467"/>
      <c r="U41" s="467"/>
      <c r="V41" s="467"/>
      <c r="W41" s="468"/>
      <c r="X41" s="466"/>
      <c r="Y41" s="467"/>
      <c r="Z41" s="467"/>
      <c r="AA41" s="469"/>
      <c r="AB41" s="710"/>
      <c r="AC41" s="710"/>
      <c r="AD41" s="799"/>
      <c r="AE41" s="453"/>
      <c r="AF41" s="800"/>
      <c r="AG41" s="464"/>
    </row>
    <row r="42" spans="1:33" s="470" customFormat="1" ht="75" x14ac:dyDescent="0.25">
      <c r="A42" s="521"/>
      <c r="B42" s="521"/>
      <c r="C42" s="522"/>
      <c r="D42" s="522"/>
      <c r="E42" s="522"/>
      <c r="F42" s="523"/>
      <c r="G42" s="781" t="s">
        <v>2803</v>
      </c>
      <c r="H42" s="781" t="s">
        <v>2804</v>
      </c>
      <c r="I42" s="799" t="s">
        <v>2864</v>
      </c>
      <c r="J42" s="447">
        <v>0.4</v>
      </c>
      <c r="K42" s="800"/>
      <c r="L42" s="464"/>
      <c r="M42" s="464"/>
      <c r="N42" s="799"/>
      <c r="O42" s="800"/>
      <c r="P42" s="800"/>
      <c r="Q42" s="800"/>
      <c r="R42" s="465"/>
      <c r="S42" s="466"/>
      <c r="T42" s="467"/>
      <c r="U42" s="467"/>
      <c r="V42" s="467"/>
      <c r="W42" s="468"/>
      <c r="X42" s="466"/>
      <c r="Y42" s="467"/>
      <c r="Z42" s="467"/>
      <c r="AA42" s="469"/>
      <c r="AB42" s="710"/>
      <c r="AC42" s="710"/>
      <c r="AD42" s="799"/>
      <c r="AE42" s="453"/>
      <c r="AF42" s="800"/>
      <c r="AG42" s="464"/>
    </row>
    <row r="43" spans="1:33" s="470" customFormat="1" ht="15.75" x14ac:dyDescent="0.25">
      <c r="A43" s="521"/>
      <c r="B43" s="521"/>
      <c r="C43" s="522"/>
      <c r="D43" s="522"/>
      <c r="E43" s="522"/>
      <c r="F43" s="523"/>
      <c r="G43" s="1602" t="s">
        <v>3069</v>
      </c>
      <c r="H43" s="1602"/>
      <c r="I43" s="1602"/>
      <c r="J43" s="1602"/>
      <c r="K43" s="1602"/>
      <c r="L43" s="1602"/>
      <c r="M43" s="464"/>
      <c r="N43" s="799"/>
      <c r="O43" s="800"/>
      <c r="P43" s="800"/>
      <c r="Q43" s="800"/>
      <c r="R43" s="465"/>
      <c r="S43" s="466"/>
      <c r="T43" s="467"/>
      <c r="U43" s="467"/>
      <c r="V43" s="467"/>
      <c r="W43" s="468"/>
      <c r="X43" s="466"/>
      <c r="Y43" s="467"/>
      <c r="Z43" s="467"/>
      <c r="AA43" s="469"/>
      <c r="AB43" s="710"/>
      <c r="AC43" s="710"/>
      <c r="AD43" s="799"/>
      <c r="AE43" s="453"/>
      <c r="AF43" s="800"/>
      <c r="AG43" s="464"/>
    </row>
    <row r="44" spans="1:33" s="470" customFormat="1" ht="120" x14ac:dyDescent="0.25">
      <c r="A44" s="521"/>
      <c r="B44" s="521"/>
      <c r="C44" s="522"/>
      <c r="D44" s="522"/>
      <c r="E44" s="522"/>
      <c r="F44" s="523"/>
      <c r="G44" s="1063" t="s">
        <v>3174</v>
      </c>
      <c r="H44" s="1063" t="s">
        <v>3175</v>
      </c>
      <c r="I44" s="799" t="s">
        <v>3192</v>
      </c>
      <c r="J44" s="1063">
        <f>0.02-0.015</f>
        <v>5.000000000000001E-3</v>
      </c>
      <c r="K44" s="800"/>
      <c r="L44" s="464"/>
      <c r="M44" s="464"/>
      <c r="N44" s="799"/>
      <c r="O44" s="800"/>
      <c r="P44" s="800"/>
      <c r="Q44" s="800"/>
      <c r="R44" s="465"/>
      <c r="S44" s="466"/>
      <c r="T44" s="467"/>
      <c r="U44" s="467"/>
      <c r="V44" s="467"/>
      <c r="W44" s="468"/>
      <c r="X44" s="466"/>
      <c r="Y44" s="467"/>
      <c r="Z44" s="467"/>
      <c r="AA44" s="469"/>
      <c r="AB44" s="710"/>
      <c r="AC44" s="710"/>
      <c r="AD44" s="799"/>
      <c r="AE44" s="453"/>
      <c r="AF44" s="800"/>
      <c r="AG44" s="464"/>
    </row>
    <row r="45" spans="1:33" s="470" customFormat="1" ht="78" customHeight="1" x14ac:dyDescent="0.25">
      <c r="A45" s="521"/>
      <c r="B45" s="521"/>
      <c r="C45" s="522"/>
      <c r="D45" s="522"/>
      <c r="E45" s="522"/>
      <c r="F45" s="523"/>
      <c r="G45" s="1109" t="s">
        <v>3273</v>
      </c>
      <c r="H45" s="1109" t="s">
        <v>3274</v>
      </c>
      <c r="I45" s="463" t="s">
        <v>3275</v>
      </c>
      <c r="J45" s="1109">
        <f>0.05-0.015</f>
        <v>3.5000000000000003E-2</v>
      </c>
      <c r="K45" s="463"/>
      <c r="L45" s="463"/>
      <c r="M45" s="464"/>
      <c r="N45" s="799"/>
      <c r="O45" s="800"/>
      <c r="P45" s="800"/>
      <c r="Q45" s="800"/>
      <c r="R45" s="465"/>
      <c r="S45" s="466"/>
      <c r="T45" s="467"/>
      <c r="U45" s="467"/>
      <c r="V45" s="467"/>
      <c r="W45" s="468"/>
      <c r="X45" s="466"/>
      <c r="Y45" s="467"/>
      <c r="Z45" s="467"/>
      <c r="AA45" s="469"/>
      <c r="AB45" s="710"/>
      <c r="AC45" s="710"/>
      <c r="AD45" s="799"/>
      <c r="AE45" s="453"/>
      <c r="AF45" s="800"/>
      <c r="AG45" s="464"/>
    </row>
    <row r="46" spans="1:33" s="470" customFormat="1" ht="19.5" customHeight="1" x14ac:dyDescent="0.25">
      <c r="A46" s="521"/>
      <c r="B46" s="521"/>
      <c r="C46" s="522"/>
      <c r="D46" s="522"/>
      <c r="E46" s="522"/>
      <c r="F46" s="523"/>
      <c r="G46" s="1598" t="s">
        <v>3481</v>
      </c>
      <c r="H46" s="1599"/>
      <c r="I46" s="1600"/>
      <c r="J46" s="1228">
        <v>1.262</v>
      </c>
      <c r="K46" s="1229"/>
      <c r="L46" s="1230"/>
      <c r="M46" s="464"/>
      <c r="N46" s="799"/>
      <c r="O46" s="800"/>
      <c r="P46" s="800"/>
      <c r="Q46" s="800"/>
      <c r="R46" s="465"/>
      <c r="S46" s="466"/>
      <c r="T46" s="467"/>
      <c r="U46" s="467"/>
      <c r="V46" s="467"/>
      <c r="W46" s="468"/>
      <c r="X46" s="466"/>
      <c r="Y46" s="467"/>
      <c r="Z46" s="467"/>
      <c r="AA46" s="469"/>
      <c r="AB46" s="710"/>
      <c r="AC46" s="710"/>
      <c r="AD46" s="799"/>
      <c r="AE46" s="453"/>
      <c r="AF46" s="800"/>
      <c r="AG46" s="464"/>
    </row>
    <row r="47" spans="1:33" ht="15.75" thickBot="1" x14ac:dyDescent="0.3">
      <c r="A47" s="519"/>
      <c r="B47" s="519"/>
      <c r="C47" s="506"/>
      <c r="D47" s="506"/>
      <c r="E47" s="506"/>
      <c r="F47" s="520"/>
      <c r="G47" s="1483" t="s">
        <v>1860</v>
      </c>
      <c r="H47" s="1483"/>
      <c r="I47" s="1484"/>
      <c r="J47" s="13">
        <f>SUM(J42:J46)</f>
        <v>1.702</v>
      </c>
      <c r="K47" s="14">
        <v>0.8</v>
      </c>
      <c r="L47" s="13">
        <f>J47/K47</f>
        <v>2.1274999999999999</v>
      </c>
      <c r="M47" s="1482" t="s">
        <v>1861</v>
      </c>
      <c r="N47" s="1484"/>
      <c r="O47" s="13">
        <f>SUM(O33:O40)</f>
        <v>3.4000000000000002E-2</v>
      </c>
      <c r="P47" s="14">
        <v>0.8</v>
      </c>
      <c r="Q47" s="13">
        <f>O47/P47</f>
        <v>4.2500000000000003E-2</v>
      </c>
      <c r="R47" s="1647" t="s">
        <v>1862</v>
      </c>
      <c r="S47" s="1648"/>
      <c r="T47" s="30">
        <f>SUM(T36:T37)</f>
        <v>0</v>
      </c>
      <c r="U47" s="31">
        <v>0.8</v>
      </c>
      <c r="V47" s="30">
        <f>T47/U47</f>
        <v>0</v>
      </c>
      <c r="W47" s="1647" t="s">
        <v>1863</v>
      </c>
      <c r="X47" s="1648"/>
      <c r="Y47" s="30">
        <f>SUM(Y36:Y37)</f>
        <v>7.5999999999999998E-2</v>
      </c>
      <c r="Z47" s="31">
        <v>0.8</v>
      </c>
      <c r="AA47" s="32">
        <f>Y47/Z47</f>
        <v>9.4999999999999987E-2</v>
      </c>
      <c r="AB47" s="1483" t="s">
        <v>1860</v>
      </c>
      <c r="AC47" s="1483"/>
      <c r="AD47" s="1484"/>
      <c r="AE47" s="13">
        <f>SUM(AE36:AE40)</f>
        <v>0</v>
      </c>
      <c r="AF47" s="14">
        <v>0.8</v>
      </c>
      <c r="AG47" s="13">
        <f>AE47/AF47</f>
        <v>0</v>
      </c>
    </row>
    <row r="48" spans="1:33" s="437" customFormat="1" ht="15" customHeight="1" thickBot="1" x14ac:dyDescent="0.3">
      <c r="A48" s="1612" t="str">
        <f>'Расчет ЦП - общая форма'!C159</f>
        <v xml:space="preserve">ПС 35/10 кВ Вега </v>
      </c>
      <c r="B48" s="1612">
        <f>'Расчет ЦП - общая форма'!D159</f>
        <v>2.5</v>
      </c>
      <c r="C48" s="1614" t="str">
        <f>'Расчет ЦП - общая форма'!E159</f>
        <v>+</v>
      </c>
      <c r="D48" s="1614">
        <f>'Расчет ЦП - общая форма'!F159</f>
        <v>2.5</v>
      </c>
      <c r="E48" s="511"/>
      <c r="F48" s="512"/>
      <c r="G48" s="1646" t="s">
        <v>1989</v>
      </c>
      <c r="H48" s="1646"/>
      <c r="I48" s="1646"/>
      <c r="J48" s="1646"/>
      <c r="K48" s="1646"/>
      <c r="L48" s="1646"/>
      <c r="M48" s="446"/>
      <c r="N48" s="446"/>
      <c r="O48" s="446"/>
      <c r="P48" s="471"/>
      <c r="Q48" s="444"/>
      <c r="R48" s="440"/>
      <c r="S48" s="441"/>
      <c r="T48" s="419"/>
      <c r="U48" s="419"/>
      <c r="V48" s="419"/>
      <c r="W48" s="440"/>
      <c r="X48" s="441"/>
      <c r="Y48" s="419"/>
      <c r="Z48" s="419"/>
      <c r="AA48" s="442"/>
      <c r="AB48" s="1639"/>
      <c r="AC48" s="1639"/>
      <c r="AD48" s="1639"/>
      <c r="AE48" s="1639"/>
      <c r="AF48" s="1639"/>
      <c r="AG48" s="1639"/>
    </row>
    <row r="49" spans="1:33" s="437" customFormat="1" ht="24.75" customHeight="1" x14ac:dyDescent="0.25">
      <c r="A49" s="1613"/>
      <c r="B49" s="1613"/>
      <c r="C49" s="1615"/>
      <c r="D49" s="1615"/>
      <c r="E49" s="502"/>
      <c r="F49" s="513"/>
      <c r="G49" s="451" t="s">
        <v>665</v>
      </c>
      <c r="H49" s="416" t="s">
        <v>666</v>
      </c>
      <c r="I49" s="416" t="s">
        <v>667</v>
      </c>
      <c r="J49" s="416">
        <v>8.5000000000000006E-2</v>
      </c>
      <c r="K49" s="416"/>
      <c r="L49" s="416"/>
      <c r="M49" s="416" t="s">
        <v>673</v>
      </c>
      <c r="N49" s="416" t="s">
        <v>674</v>
      </c>
      <c r="O49" s="416">
        <v>5.33E-2</v>
      </c>
      <c r="P49" s="416"/>
      <c r="Q49" s="416"/>
      <c r="R49" s="448" t="s">
        <v>668</v>
      </c>
      <c r="S49" s="448" t="s">
        <v>669</v>
      </c>
      <c r="T49" s="448">
        <v>1</v>
      </c>
      <c r="U49" s="448"/>
      <c r="V49" s="448"/>
      <c r="W49" s="448"/>
      <c r="X49" s="448"/>
      <c r="Y49" s="448"/>
      <c r="Z49" s="448"/>
      <c r="AA49" s="449"/>
      <c r="AB49" s="451"/>
      <c r="AC49" s="416"/>
      <c r="AD49" s="416"/>
      <c r="AE49" s="416"/>
      <c r="AF49" s="416"/>
      <c r="AG49" s="416"/>
    </row>
    <row r="50" spans="1:33" s="437" customFormat="1" ht="19.5" customHeight="1" x14ac:dyDescent="0.25">
      <c r="A50" s="1613"/>
      <c r="B50" s="1613"/>
      <c r="C50" s="1615"/>
      <c r="D50" s="1615"/>
      <c r="E50" s="502"/>
      <c r="F50" s="513"/>
      <c r="G50" s="1603" t="s">
        <v>1987</v>
      </c>
      <c r="H50" s="1622"/>
      <c r="I50" s="1622"/>
      <c r="J50" s="1622"/>
      <c r="K50" s="1622"/>
      <c r="L50" s="1622"/>
      <c r="M50" s="416" t="s">
        <v>675</v>
      </c>
      <c r="N50" s="416" t="s">
        <v>674</v>
      </c>
      <c r="O50" s="416">
        <v>5.2999999999999999E-2</v>
      </c>
      <c r="P50" s="450"/>
      <c r="Q50" s="450"/>
      <c r="R50" s="420"/>
      <c r="S50" s="420"/>
      <c r="T50" s="420"/>
      <c r="U50" s="420"/>
      <c r="V50" s="420"/>
      <c r="W50" s="420"/>
      <c r="X50" s="420"/>
      <c r="Y50" s="420"/>
      <c r="Z50" s="420"/>
      <c r="AA50" s="436"/>
      <c r="AB50" s="1640"/>
      <c r="AC50" s="1637"/>
      <c r="AD50" s="1637"/>
      <c r="AE50" s="1637"/>
      <c r="AF50" s="1637"/>
      <c r="AG50" s="1637"/>
    </row>
    <row r="51" spans="1:33" s="437" customFormat="1" ht="34.5" customHeight="1" x14ac:dyDescent="0.25">
      <c r="A51" s="1613"/>
      <c r="B51" s="1613"/>
      <c r="C51" s="1615"/>
      <c r="D51" s="1615"/>
      <c r="E51" s="502"/>
      <c r="F51" s="513"/>
      <c r="G51" s="451" t="s">
        <v>670</v>
      </c>
      <c r="H51" s="416" t="s">
        <v>671</v>
      </c>
      <c r="I51" s="416" t="s">
        <v>672</v>
      </c>
      <c r="J51" s="416">
        <v>0.1</v>
      </c>
      <c r="K51" s="416"/>
      <c r="L51" s="416"/>
      <c r="M51" s="416" t="s">
        <v>676</v>
      </c>
      <c r="N51" s="416" t="s">
        <v>674</v>
      </c>
      <c r="O51" s="416">
        <v>5.2999999999999999E-2</v>
      </c>
      <c r="P51" s="416"/>
      <c r="Q51" s="416"/>
      <c r="R51" s="299"/>
      <c r="S51" s="299"/>
      <c r="T51" s="299"/>
      <c r="U51" s="299"/>
      <c r="V51" s="420"/>
      <c r="W51" s="420"/>
      <c r="X51" s="420"/>
      <c r="Y51" s="420"/>
      <c r="Z51" s="420"/>
      <c r="AA51" s="436"/>
      <c r="AB51" s="451"/>
      <c r="AC51" s="416"/>
      <c r="AD51" s="416"/>
      <c r="AE51" s="416"/>
      <c r="AF51" s="416"/>
      <c r="AG51" s="416"/>
    </row>
    <row r="52" spans="1:33" s="437" customFormat="1" ht="16.5" customHeight="1" x14ac:dyDescent="0.25">
      <c r="A52" s="1613"/>
      <c r="B52" s="1613"/>
      <c r="C52" s="1615"/>
      <c r="D52" s="1615"/>
      <c r="E52" s="502"/>
      <c r="F52" s="513"/>
      <c r="G52" s="1603" t="s">
        <v>2062</v>
      </c>
      <c r="H52" s="1622"/>
      <c r="I52" s="1622"/>
      <c r="J52" s="1622"/>
      <c r="K52" s="1622"/>
      <c r="L52" s="1622"/>
      <c r="M52" s="416"/>
      <c r="N52" s="416"/>
      <c r="O52" s="416"/>
      <c r="P52" s="416"/>
      <c r="Q52" s="416"/>
      <c r="R52" s="299"/>
      <c r="S52" s="299"/>
      <c r="T52" s="299"/>
      <c r="U52" s="299"/>
      <c r="V52" s="420"/>
      <c r="W52" s="420"/>
      <c r="X52" s="420"/>
      <c r="Y52" s="420"/>
      <c r="Z52" s="420"/>
      <c r="AA52" s="436"/>
      <c r="AB52" s="1640"/>
      <c r="AC52" s="1637"/>
      <c r="AD52" s="1637"/>
      <c r="AE52" s="1637"/>
      <c r="AF52" s="1637"/>
      <c r="AG52" s="1637"/>
    </row>
    <row r="53" spans="1:33" s="437" customFormat="1" ht="62.25" customHeight="1" x14ac:dyDescent="0.25">
      <c r="A53" s="1613"/>
      <c r="B53" s="1613"/>
      <c r="C53" s="1615"/>
      <c r="D53" s="1615"/>
      <c r="E53" s="502"/>
      <c r="F53" s="513"/>
      <c r="G53" s="451" t="s">
        <v>2043</v>
      </c>
      <c r="H53" s="416" t="s">
        <v>2044</v>
      </c>
      <c r="I53" s="416" t="s">
        <v>2273</v>
      </c>
      <c r="J53" s="416">
        <v>0.22</v>
      </c>
      <c r="K53" s="416"/>
      <c r="L53" s="416"/>
      <c r="M53" s="416" t="s">
        <v>677</v>
      </c>
      <c r="N53" s="416" t="s">
        <v>678</v>
      </c>
      <c r="O53" s="416">
        <v>0.24</v>
      </c>
      <c r="P53" s="416"/>
      <c r="Q53" s="416"/>
      <c r="R53" s="299"/>
      <c r="S53" s="299"/>
      <c r="T53" s="299"/>
      <c r="U53" s="299"/>
      <c r="V53" s="420"/>
      <c r="W53" s="420"/>
      <c r="X53" s="420"/>
      <c r="Y53" s="420"/>
      <c r="Z53" s="420"/>
      <c r="AA53" s="436"/>
      <c r="AB53" s="451"/>
      <c r="AC53" s="416"/>
      <c r="AD53" s="416"/>
      <c r="AE53" s="416"/>
      <c r="AF53" s="416"/>
      <c r="AG53" s="416"/>
    </row>
    <row r="54" spans="1:33" s="437" customFormat="1" ht="57" customHeight="1" x14ac:dyDescent="0.25">
      <c r="A54" s="1613"/>
      <c r="B54" s="1613"/>
      <c r="C54" s="1615"/>
      <c r="D54" s="1615"/>
      <c r="E54" s="502"/>
      <c r="F54" s="513"/>
      <c r="G54" s="451" t="s">
        <v>31</v>
      </c>
      <c r="H54" s="416" t="s">
        <v>32</v>
      </c>
      <c r="I54" s="416" t="s">
        <v>2315</v>
      </c>
      <c r="J54" s="447">
        <v>0.2</v>
      </c>
      <c r="K54" s="416"/>
      <c r="L54" s="416"/>
      <c r="M54" s="416" t="s">
        <v>679</v>
      </c>
      <c r="N54" s="416" t="s">
        <v>680</v>
      </c>
      <c r="O54" s="416">
        <v>0.22500000000000001</v>
      </c>
      <c r="P54" s="416"/>
      <c r="Q54" s="416"/>
      <c r="R54" s="299"/>
      <c r="S54" s="299"/>
      <c r="T54" s="299"/>
      <c r="U54" s="299"/>
      <c r="V54" s="420"/>
      <c r="W54" s="420"/>
      <c r="X54" s="420"/>
      <c r="Y54" s="420"/>
      <c r="Z54" s="420"/>
      <c r="AA54" s="436"/>
      <c r="AB54" s="451"/>
      <c r="AC54" s="416"/>
      <c r="AD54" s="416"/>
      <c r="AE54" s="447"/>
      <c r="AF54" s="416"/>
      <c r="AG54" s="416"/>
    </row>
    <row r="55" spans="1:33" s="437" customFormat="1" ht="60" x14ac:dyDescent="0.25">
      <c r="A55" s="1613"/>
      <c r="B55" s="1613"/>
      <c r="C55" s="1615"/>
      <c r="D55" s="1615"/>
      <c r="E55" s="502"/>
      <c r="F55" s="513"/>
      <c r="G55" s="451" t="s">
        <v>801</v>
      </c>
      <c r="H55" s="416" t="s">
        <v>802</v>
      </c>
      <c r="I55" s="416" t="s">
        <v>2501</v>
      </c>
      <c r="J55" s="416">
        <v>1</v>
      </c>
      <c r="K55" s="416"/>
      <c r="L55" s="416"/>
      <c r="M55" s="416" t="s">
        <v>681</v>
      </c>
      <c r="N55" s="416" t="s">
        <v>682</v>
      </c>
      <c r="O55" s="416">
        <v>0.2</v>
      </c>
      <c r="P55" s="416"/>
      <c r="Q55" s="416"/>
      <c r="R55" s="299"/>
      <c r="S55" s="299"/>
      <c r="T55" s="299"/>
      <c r="U55" s="299"/>
      <c r="V55" s="420"/>
      <c r="W55" s="420"/>
      <c r="X55" s="420"/>
      <c r="Y55" s="420"/>
      <c r="Z55" s="420"/>
      <c r="AA55" s="436"/>
      <c r="AB55" s="416"/>
      <c r="AC55" s="416"/>
      <c r="AD55" s="416"/>
      <c r="AE55" s="416"/>
      <c r="AF55" s="416"/>
      <c r="AG55" s="416"/>
    </row>
    <row r="56" spans="1:33" s="437" customFormat="1" ht="60" x14ac:dyDescent="0.25">
      <c r="A56" s="1613"/>
      <c r="B56" s="1613"/>
      <c r="C56" s="1615"/>
      <c r="D56" s="1615"/>
      <c r="E56" s="502"/>
      <c r="F56" s="513"/>
      <c r="G56" s="1603" t="s">
        <v>3068</v>
      </c>
      <c r="H56" s="1622"/>
      <c r="I56" s="1622"/>
      <c r="J56" s="1622"/>
      <c r="K56" s="1622"/>
      <c r="L56" s="1622"/>
      <c r="M56" s="416" t="s">
        <v>104</v>
      </c>
      <c r="N56" s="416" t="s">
        <v>105</v>
      </c>
      <c r="O56" s="416">
        <v>7.4999999999999997E-2</v>
      </c>
      <c r="P56" s="416"/>
      <c r="Q56" s="416"/>
      <c r="R56" s="299"/>
      <c r="S56" s="299"/>
      <c r="T56" s="299"/>
      <c r="U56" s="299"/>
      <c r="V56" s="420"/>
      <c r="W56" s="420"/>
      <c r="X56" s="420"/>
      <c r="Y56" s="420"/>
      <c r="Z56" s="420"/>
      <c r="AA56" s="436"/>
      <c r="AB56" s="451"/>
      <c r="AC56" s="416"/>
      <c r="AD56" s="416"/>
      <c r="AE56" s="416"/>
      <c r="AF56" s="416"/>
      <c r="AG56" s="416"/>
    </row>
    <row r="57" spans="1:33" s="437" customFormat="1" ht="24.75" customHeight="1" x14ac:dyDescent="0.25">
      <c r="A57" s="1613"/>
      <c r="B57" s="1613"/>
      <c r="C57" s="1615"/>
      <c r="D57" s="1615"/>
      <c r="E57" s="502"/>
      <c r="F57" s="513"/>
      <c r="G57" s="1598" t="s">
        <v>3481</v>
      </c>
      <c r="H57" s="1599"/>
      <c r="I57" s="1600"/>
      <c r="J57" s="1228">
        <v>0.50900000000000001</v>
      </c>
      <c r="K57" s="1229"/>
      <c r="L57" s="1230"/>
      <c r="M57" s="416" t="s">
        <v>1984</v>
      </c>
      <c r="N57" s="416" t="s">
        <v>554</v>
      </c>
      <c r="O57" s="416">
        <v>0.05</v>
      </c>
      <c r="P57" s="416"/>
      <c r="Q57" s="416"/>
      <c r="R57" s="454"/>
      <c r="S57" s="455"/>
      <c r="T57" s="456"/>
      <c r="U57" s="456"/>
      <c r="V57" s="419"/>
      <c r="W57" s="440"/>
      <c r="X57" s="441"/>
      <c r="Y57" s="419"/>
      <c r="Z57" s="419"/>
      <c r="AA57" s="442"/>
      <c r="AB57" s="451"/>
      <c r="AC57" s="416"/>
      <c r="AD57" s="416"/>
      <c r="AE57" s="416"/>
      <c r="AF57" s="416"/>
      <c r="AG57" s="416"/>
    </row>
    <row r="58" spans="1:33" s="437" customFormat="1" ht="27" customHeight="1" x14ac:dyDescent="0.25">
      <c r="A58" s="1613"/>
      <c r="B58" s="1613"/>
      <c r="C58" s="1615"/>
      <c r="D58" s="1615"/>
      <c r="E58" s="502"/>
      <c r="F58" s="513"/>
      <c r="G58" s="451"/>
      <c r="H58" s="416"/>
      <c r="I58" s="416"/>
      <c r="J58" s="416"/>
      <c r="K58" s="416"/>
      <c r="L58" s="416"/>
      <c r="M58" s="416"/>
      <c r="N58" s="416"/>
      <c r="O58" s="447"/>
      <c r="P58" s="416"/>
      <c r="Q58" s="416"/>
      <c r="R58" s="454"/>
      <c r="S58" s="455"/>
      <c r="T58" s="456"/>
      <c r="U58" s="456"/>
      <c r="V58" s="419"/>
      <c r="W58" s="440"/>
      <c r="X58" s="441"/>
      <c r="Y58" s="419"/>
      <c r="Z58" s="419"/>
      <c r="AA58" s="442"/>
      <c r="AB58" s="451"/>
      <c r="AC58" s="416"/>
      <c r="AD58" s="416"/>
      <c r="AE58" s="416"/>
      <c r="AF58" s="416"/>
      <c r="AG58" s="416"/>
    </row>
    <row r="59" spans="1:33" ht="15.75" thickBot="1" x14ac:dyDescent="0.3">
      <c r="A59" s="519"/>
      <c r="B59" s="519"/>
      <c r="C59" s="506"/>
      <c r="D59" s="506"/>
      <c r="E59" s="506"/>
      <c r="F59" s="520"/>
      <c r="G59" s="1484" t="s">
        <v>1860</v>
      </c>
      <c r="H59" s="1517"/>
      <c r="I59" s="1517"/>
      <c r="J59" s="13">
        <f>SUM(J57)</f>
        <v>0.50900000000000001</v>
      </c>
      <c r="K59" s="14">
        <v>0.8</v>
      </c>
      <c r="L59" s="13">
        <f>J59/K59</f>
        <v>0.63624999999999998</v>
      </c>
      <c r="M59" s="1517" t="s">
        <v>1861</v>
      </c>
      <c r="N59" s="1517"/>
      <c r="O59" s="13">
        <f>SUM(O48:O58)</f>
        <v>0.94930000000000003</v>
      </c>
      <c r="P59" s="14">
        <v>0.8</v>
      </c>
      <c r="Q59" s="13">
        <f>O59/P59</f>
        <v>1.186625</v>
      </c>
      <c r="R59" s="1647" t="s">
        <v>1862</v>
      </c>
      <c r="S59" s="1648"/>
      <c r="T59" s="30">
        <f>SUM(T49:T56)</f>
        <v>1</v>
      </c>
      <c r="U59" s="31">
        <v>0.8</v>
      </c>
      <c r="V59" s="30">
        <f>T59/U59</f>
        <v>1.25</v>
      </c>
      <c r="W59" s="1647" t="s">
        <v>1863</v>
      </c>
      <c r="X59" s="1648"/>
      <c r="Y59" s="30">
        <f>SUM(Y49:Y56)</f>
        <v>0</v>
      </c>
      <c r="Z59" s="31">
        <v>0.8</v>
      </c>
      <c r="AA59" s="32">
        <f>Y59/Z59</f>
        <v>0</v>
      </c>
      <c r="AB59" s="1484" t="s">
        <v>1860</v>
      </c>
      <c r="AC59" s="1517"/>
      <c r="AD59" s="1517"/>
      <c r="AE59" s="13">
        <f>SUM(AE51:AE57)</f>
        <v>0</v>
      </c>
      <c r="AF59" s="14">
        <v>0.8</v>
      </c>
      <c r="AG59" s="13">
        <f>AE59/AF59</f>
        <v>0</v>
      </c>
    </row>
    <row r="60" spans="1:33" ht="26.25" customHeight="1" x14ac:dyDescent="0.25">
      <c r="A60" s="510" t="str">
        <f>'Расчет ЦП - общая форма'!C160</f>
        <v xml:space="preserve"> ПС 35/10 кВ Волга </v>
      </c>
      <c r="B60" s="510">
        <f>'Расчет ЦП - общая форма'!D160</f>
        <v>6.3</v>
      </c>
      <c r="C60" s="511" t="str">
        <f>'Расчет ЦП - общая форма'!E160</f>
        <v>+</v>
      </c>
      <c r="D60" s="511">
        <f>'Расчет ЦП - общая форма'!F160</f>
        <v>6.3</v>
      </c>
      <c r="E60" s="511"/>
      <c r="F60" s="512"/>
      <c r="G60" s="104"/>
      <c r="H60" s="9"/>
      <c r="I60" s="9"/>
      <c r="J60" s="9"/>
      <c r="K60" s="9"/>
      <c r="L60" s="51"/>
      <c r="M60" s="194"/>
      <c r="N60" s="194"/>
      <c r="O60" s="194"/>
      <c r="P60" s="194"/>
      <c r="Q60" s="194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104"/>
      <c r="AC60" s="9"/>
      <c r="AD60" s="9"/>
      <c r="AE60" s="9"/>
      <c r="AF60" s="9"/>
      <c r="AG60" s="51"/>
    </row>
    <row r="61" spans="1:33" ht="15.75" thickBot="1" x14ac:dyDescent="0.3">
      <c r="A61" s="519"/>
      <c r="B61" s="519"/>
      <c r="C61" s="506"/>
      <c r="D61" s="506"/>
      <c r="E61" s="506"/>
      <c r="F61" s="520"/>
      <c r="G61" s="1484" t="s">
        <v>1860</v>
      </c>
      <c r="H61" s="1517"/>
      <c r="I61" s="1517"/>
      <c r="J61" s="13">
        <f>SUM(J60)</f>
        <v>0</v>
      </c>
      <c r="K61" s="14">
        <v>0.8</v>
      </c>
      <c r="L61" s="13">
        <f>J61/K61</f>
        <v>0</v>
      </c>
      <c r="M61" s="1517" t="s">
        <v>1861</v>
      </c>
      <c r="N61" s="1517"/>
      <c r="O61" s="13">
        <f>SUM(O48:O58)</f>
        <v>0.94930000000000003</v>
      </c>
      <c r="P61" s="14">
        <v>0.8</v>
      </c>
      <c r="Q61" s="13">
        <f>O61/P61</f>
        <v>1.186625</v>
      </c>
      <c r="R61" s="1647" t="s">
        <v>1862</v>
      </c>
      <c r="S61" s="1648"/>
      <c r="T61" s="30">
        <f>SUM(T60:T60)</f>
        <v>0</v>
      </c>
      <c r="U61" s="31">
        <v>0.8</v>
      </c>
      <c r="V61" s="30">
        <f>T61/U61</f>
        <v>0</v>
      </c>
      <c r="W61" s="1647" t="s">
        <v>1863</v>
      </c>
      <c r="X61" s="1648"/>
      <c r="Y61" s="30">
        <f>SUM(Y60:Y60)</f>
        <v>0</v>
      </c>
      <c r="Z61" s="31">
        <v>0.8</v>
      </c>
      <c r="AA61" s="32">
        <f>Y61/Z61</f>
        <v>0</v>
      </c>
      <c r="AB61" s="1484" t="s">
        <v>1860</v>
      </c>
      <c r="AC61" s="1517"/>
      <c r="AD61" s="1517"/>
      <c r="AE61" s="13">
        <f>SUM(AE60)</f>
        <v>0</v>
      </c>
      <c r="AF61" s="14">
        <v>0.8</v>
      </c>
      <c r="AG61" s="13">
        <f>AE61/AF61</f>
        <v>0</v>
      </c>
    </row>
    <row r="62" spans="1:33" s="437" customFormat="1" ht="15.75" thickBot="1" x14ac:dyDescent="0.3">
      <c r="A62" s="1612" t="str">
        <f>'Расчет ЦП - общая форма'!C161</f>
        <v xml:space="preserve">ПС 35/10 кВ Ильинское </v>
      </c>
      <c r="B62" s="1612">
        <f>'Расчет ЦП - общая форма'!D161</f>
        <v>4</v>
      </c>
      <c r="C62" s="1614" t="str">
        <f>'Расчет ЦП - общая форма'!E161</f>
        <v>+</v>
      </c>
      <c r="D62" s="1614">
        <f>'Расчет ЦП - общая форма'!F161</f>
        <v>2.5</v>
      </c>
      <c r="E62" s="511"/>
      <c r="F62" s="512"/>
      <c r="G62" s="1623" t="s">
        <v>2061</v>
      </c>
      <c r="H62" s="1624"/>
      <c r="I62" s="1624"/>
      <c r="J62" s="1624"/>
      <c r="K62" s="1624"/>
      <c r="L62" s="1624"/>
      <c r="M62" s="471"/>
      <c r="N62" s="471"/>
      <c r="O62" s="471"/>
      <c r="P62" s="471"/>
      <c r="Q62" s="471"/>
      <c r="R62" s="454"/>
      <c r="S62" s="455"/>
      <c r="T62" s="456"/>
      <c r="U62" s="419"/>
      <c r="V62" s="419"/>
      <c r="W62" s="440"/>
      <c r="X62" s="441"/>
      <c r="Y62" s="419"/>
      <c r="Z62" s="419"/>
      <c r="AA62" s="442"/>
      <c r="AB62" s="1638"/>
      <c r="AC62" s="1638"/>
      <c r="AD62" s="1638"/>
      <c r="AE62" s="1638"/>
      <c r="AF62" s="1638"/>
      <c r="AG62" s="1638"/>
    </row>
    <row r="63" spans="1:33" s="437" customFormat="1" ht="57" customHeight="1" x14ac:dyDescent="0.25">
      <c r="A63" s="1613"/>
      <c r="B63" s="1613"/>
      <c r="C63" s="1615"/>
      <c r="D63" s="1615"/>
      <c r="E63" s="502"/>
      <c r="F63" s="513"/>
      <c r="G63" s="451" t="s">
        <v>107</v>
      </c>
      <c r="H63" s="416" t="s">
        <v>108</v>
      </c>
      <c r="I63" s="416" t="s">
        <v>2322</v>
      </c>
      <c r="J63" s="416">
        <v>0.2</v>
      </c>
      <c r="K63" s="416"/>
      <c r="L63" s="416"/>
      <c r="M63" s="415" t="s">
        <v>109</v>
      </c>
      <c r="N63" s="643" t="s">
        <v>110</v>
      </c>
      <c r="O63" s="416">
        <v>2.5000000000000001E-2</v>
      </c>
      <c r="P63" s="416"/>
      <c r="Q63" s="416"/>
      <c r="R63" s="299" t="s">
        <v>555</v>
      </c>
      <c r="S63" s="299" t="s">
        <v>556</v>
      </c>
      <c r="T63" s="299">
        <v>0.05</v>
      </c>
      <c r="U63" s="448"/>
      <c r="V63" s="448"/>
      <c r="W63" s="448"/>
      <c r="X63" s="448"/>
      <c r="Y63" s="448"/>
      <c r="Z63" s="448"/>
      <c r="AA63" s="449"/>
      <c r="AB63" s="416"/>
      <c r="AC63" s="416"/>
      <c r="AD63" s="416"/>
      <c r="AE63" s="416"/>
      <c r="AF63" s="416"/>
      <c r="AG63" s="416"/>
    </row>
    <row r="64" spans="1:33" s="437" customFormat="1" ht="24.75" customHeight="1" x14ac:dyDescent="0.25">
      <c r="A64" s="514"/>
      <c r="B64" s="514"/>
      <c r="C64" s="502"/>
      <c r="D64" s="502"/>
      <c r="E64" s="502"/>
      <c r="F64" s="513"/>
      <c r="G64" s="1623" t="s">
        <v>2512</v>
      </c>
      <c r="H64" s="1624"/>
      <c r="I64" s="1624"/>
      <c r="J64" s="1624"/>
      <c r="K64" s="1624"/>
      <c r="L64" s="1624"/>
      <c r="M64" s="416" t="s">
        <v>2045</v>
      </c>
      <c r="N64" s="416" t="s">
        <v>2046</v>
      </c>
      <c r="O64" s="416">
        <v>0.05</v>
      </c>
      <c r="P64" s="416"/>
      <c r="Q64" s="416"/>
      <c r="R64" s="299"/>
      <c r="S64" s="299"/>
      <c r="T64" s="299"/>
      <c r="U64" s="299"/>
      <c r="V64" s="299"/>
      <c r="W64" s="299"/>
      <c r="X64" s="299"/>
      <c r="Y64" s="299"/>
      <c r="Z64" s="299"/>
      <c r="AA64" s="452"/>
      <c r="AB64" s="416"/>
      <c r="AC64" s="416"/>
      <c r="AD64" s="416"/>
      <c r="AE64" s="416"/>
      <c r="AF64" s="416"/>
      <c r="AG64" s="416"/>
    </row>
    <row r="65" spans="1:33" s="437" customFormat="1" ht="74.25" customHeight="1" x14ac:dyDescent="0.25">
      <c r="A65" s="737"/>
      <c r="B65" s="737"/>
      <c r="C65" s="738"/>
      <c r="D65" s="738"/>
      <c r="E65" s="738"/>
      <c r="F65" s="739"/>
      <c r="G65" s="458" t="s">
        <v>2782</v>
      </c>
      <c r="H65" s="453" t="s">
        <v>2783</v>
      </c>
      <c r="I65" s="453" t="s">
        <v>2784</v>
      </c>
      <c r="J65" s="453">
        <f>0.06-0.015</f>
        <v>4.4999999999999998E-2</v>
      </c>
      <c r="K65" s="453"/>
      <c r="L65" s="453"/>
      <c r="M65" s="453"/>
      <c r="N65" s="453"/>
      <c r="O65" s="453"/>
      <c r="P65" s="453"/>
      <c r="Q65" s="453"/>
      <c r="R65" s="454"/>
      <c r="S65" s="455"/>
      <c r="T65" s="456"/>
      <c r="U65" s="456"/>
      <c r="V65" s="456"/>
      <c r="W65" s="454"/>
      <c r="X65" s="455"/>
      <c r="Y65" s="456"/>
      <c r="Z65" s="456"/>
      <c r="AA65" s="489"/>
      <c r="AB65" s="453"/>
      <c r="AC65" s="453"/>
      <c r="AD65" s="453"/>
      <c r="AE65" s="453"/>
      <c r="AF65" s="453"/>
      <c r="AG65" s="453"/>
    </row>
    <row r="66" spans="1:33" s="437" customFormat="1" ht="24" customHeight="1" x14ac:dyDescent="0.25">
      <c r="A66" s="1205"/>
      <c r="B66" s="1205"/>
      <c r="C66" s="1206"/>
      <c r="D66" s="1206"/>
      <c r="E66" s="1206"/>
      <c r="F66" s="1207"/>
      <c r="G66" s="1623" t="s">
        <v>3069</v>
      </c>
      <c r="H66" s="1624"/>
      <c r="I66" s="1624"/>
      <c r="J66" s="1624"/>
      <c r="K66" s="1624"/>
      <c r="L66" s="1624"/>
      <c r="M66" s="453"/>
      <c r="N66" s="453"/>
      <c r="O66" s="453"/>
      <c r="P66" s="453"/>
      <c r="Q66" s="453"/>
      <c r="R66" s="454"/>
      <c r="S66" s="455"/>
      <c r="T66" s="456"/>
      <c r="U66" s="456"/>
      <c r="V66" s="456"/>
      <c r="W66" s="454"/>
      <c r="X66" s="455"/>
      <c r="Y66" s="456"/>
      <c r="Z66" s="456"/>
      <c r="AA66" s="489"/>
      <c r="AB66" s="453"/>
      <c r="AC66" s="453"/>
      <c r="AD66" s="453"/>
      <c r="AE66" s="453"/>
      <c r="AF66" s="453"/>
      <c r="AG66" s="453"/>
    </row>
    <row r="67" spans="1:33" s="437" customFormat="1" ht="29.25" customHeight="1" x14ac:dyDescent="0.25">
      <c r="A67" s="1205"/>
      <c r="B67" s="1205"/>
      <c r="C67" s="1206"/>
      <c r="D67" s="1206"/>
      <c r="E67" s="1206"/>
      <c r="F67" s="1207"/>
      <c r="G67" s="1598" t="s">
        <v>3481</v>
      </c>
      <c r="H67" s="1599"/>
      <c r="I67" s="1600"/>
      <c r="J67" s="1228">
        <v>0.27500000000000002</v>
      </c>
      <c r="K67" s="1229"/>
      <c r="L67" s="1230"/>
      <c r="M67" s="453"/>
      <c r="N67" s="453"/>
      <c r="O67" s="453"/>
      <c r="P67" s="453"/>
      <c r="Q67" s="453"/>
      <c r="R67" s="454"/>
      <c r="S67" s="455"/>
      <c r="T67" s="456"/>
      <c r="U67" s="456"/>
      <c r="V67" s="456"/>
      <c r="W67" s="454"/>
      <c r="X67" s="455"/>
      <c r="Y67" s="456"/>
      <c r="Z67" s="456"/>
      <c r="AA67" s="489"/>
      <c r="AB67" s="453"/>
      <c r="AC67" s="453"/>
      <c r="AD67" s="453"/>
      <c r="AE67" s="453"/>
      <c r="AF67" s="453"/>
      <c r="AG67" s="453"/>
    </row>
    <row r="68" spans="1:33" ht="21" customHeight="1" thickBot="1" x14ac:dyDescent="0.3">
      <c r="A68" s="519"/>
      <c r="B68" s="519"/>
      <c r="C68" s="506"/>
      <c r="D68" s="506"/>
      <c r="E68" s="506"/>
      <c r="F68" s="520"/>
      <c r="G68" s="1484" t="s">
        <v>1860</v>
      </c>
      <c r="H68" s="1517"/>
      <c r="I68" s="1517"/>
      <c r="J68" s="13">
        <f>SUM(J65:J67)</f>
        <v>0.32</v>
      </c>
      <c r="K68" s="14">
        <v>0.8</v>
      </c>
      <c r="L68" s="13">
        <f>J68/K68</f>
        <v>0.39999999999999997</v>
      </c>
      <c r="M68" s="1517" t="s">
        <v>1861</v>
      </c>
      <c r="N68" s="1517"/>
      <c r="O68" s="13">
        <f>SUM(O63:O64)</f>
        <v>7.5000000000000011E-2</v>
      </c>
      <c r="P68" s="14">
        <v>0.8</v>
      </c>
      <c r="Q68" s="13">
        <f>O68/P68</f>
        <v>9.3750000000000014E-2</v>
      </c>
      <c r="R68" s="1652" t="s">
        <v>1862</v>
      </c>
      <c r="S68" s="1653"/>
      <c r="T68" s="33">
        <f>SUM(T63:T64)</f>
        <v>0.05</v>
      </c>
      <c r="U68" s="34">
        <v>0.8</v>
      </c>
      <c r="V68" s="33">
        <f>T68/U68</f>
        <v>6.25E-2</v>
      </c>
      <c r="W68" s="1652" t="s">
        <v>1863</v>
      </c>
      <c r="X68" s="1653"/>
      <c r="Y68" s="33">
        <f>SUM(Y63:Y64)</f>
        <v>0</v>
      </c>
      <c r="Z68" s="34">
        <v>0.8</v>
      </c>
      <c r="AA68" s="101">
        <f>Y68/Z68</f>
        <v>0</v>
      </c>
      <c r="AB68" s="1517" t="s">
        <v>1860</v>
      </c>
      <c r="AC68" s="1517"/>
      <c r="AD68" s="1517"/>
      <c r="AE68" s="13">
        <f>SUM(AE63:AE64)</f>
        <v>0</v>
      </c>
      <c r="AF68" s="14">
        <v>0.8</v>
      </c>
      <c r="AG68" s="13">
        <f>AE68/AF68</f>
        <v>0</v>
      </c>
    </row>
    <row r="69" spans="1:33" s="437" customFormat="1" ht="15.75" thickBot="1" x14ac:dyDescent="0.3">
      <c r="A69" s="1612" t="str">
        <f>'Расчет ЦП - общая форма'!C162</f>
        <v xml:space="preserve">ПС  35/10 кВ Калязин </v>
      </c>
      <c r="B69" s="1612">
        <f>'Расчет ЦП - общая форма'!D162</f>
        <v>6.3</v>
      </c>
      <c r="C69" s="1614" t="str">
        <f>'Расчет ЦП - общая форма'!E162</f>
        <v>+</v>
      </c>
      <c r="D69" s="1614">
        <f>'Расчет ЦП - общая форма'!F162</f>
        <v>6.3</v>
      </c>
      <c r="E69" s="511"/>
      <c r="F69" s="512"/>
      <c r="G69" s="1623" t="s">
        <v>2543</v>
      </c>
      <c r="H69" s="1624"/>
      <c r="I69" s="1624"/>
      <c r="J69" s="1624"/>
      <c r="K69" s="1624"/>
      <c r="L69" s="1624"/>
      <c r="M69" s="471"/>
      <c r="N69" s="471"/>
      <c r="O69" s="471"/>
      <c r="P69" s="471"/>
      <c r="Q69" s="471"/>
      <c r="R69" s="440"/>
      <c r="S69" s="441"/>
      <c r="T69" s="419"/>
      <c r="U69" s="419"/>
      <c r="V69" s="419"/>
      <c r="W69" s="440"/>
      <c r="X69" s="441"/>
      <c r="Y69" s="419"/>
      <c r="Z69" s="419"/>
      <c r="AA69" s="442"/>
      <c r="AB69" s="1638"/>
      <c r="AC69" s="1638"/>
      <c r="AD69" s="1638"/>
      <c r="AE69" s="1638"/>
      <c r="AF69" s="1638"/>
      <c r="AG69" s="1638"/>
    </row>
    <row r="70" spans="1:33" s="437" customFormat="1" ht="55.5" customHeight="1" x14ac:dyDescent="0.25">
      <c r="A70" s="1613"/>
      <c r="B70" s="1613"/>
      <c r="C70" s="1615"/>
      <c r="D70" s="1615"/>
      <c r="E70" s="502"/>
      <c r="F70" s="513"/>
      <c r="G70" s="596" t="s">
        <v>1891</v>
      </c>
      <c r="H70" s="599" t="s">
        <v>1212</v>
      </c>
      <c r="I70" s="599" t="s">
        <v>1213</v>
      </c>
      <c r="J70" s="599">
        <v>3.0000000000000001E-3</v>
      </c>
      <c r="K70" s="415"/>
      <c r="L70" s="415"/>
      <c r="M70" s="415" t="s">
        <v>686</v>
      </c>
      <c r="N70" s="415" t="s">
        <v>687</v>
      </c>
      <c r="O70" s="415">
        <v>2.4E-2</v>
      </c>
      <c r="P70" s="472"/>
      <c r="Q70" s="472"/>
      <c r="R70" s="448"/>
      <c r="S70" s="448"/>
      <c r="T70" s="448"/>
      <c r="U70" s="448"/>
      <c r="V70" s="448"/>
      <c r="W70" s="448" t="s">
        <v>688</v>
      </c>
      <c r="X70" s="448" t="s">
        <v>689</v>
      </c>
      <c r="Y70" s="448">
        <v>4</v>
      </c>
      <c r="Z70" s="448"/>
      <c r="AA70" s="449"/>
      <c r="AB70" s="415"/>
      <c r="AC70" s="415"/>
      <c r="AD70" s="415"/>
      <c r="AE70" s="415"/>
      <c r="AF70" s="415"/>
      <c r="AG70" s="415"/>
    </row>
    <row r="71" spans="1:33" s="437" customFormat="1" ht="55.5" customHeight="1" x14ac:dyDescent="0.25">
      <c r="A71" s="595"/>
      <c r="B71" s="595"/>
      <c r="C71" s="597"/>
      <c r="D71" s="597"/>
      <c r="E71" s="597"/>
      <c r="F71" s="601"/>
      <c r="G71" s="596" t="s">
        <v>1891</v>
      </c>
      <c r="H71" s="599" t="s">
        <v>1216</v>
      </c>
      <c r="I71" s="599" t="s">
        <v>1217</v>
      </c>
      <c r="J71" s="599">
        <v>2E-3</v>
      </c>
      <c r="K71" s="598"/>
      <c r="L71" s="598"/>
      <c r="M71" s="415" t="s">
        <v>693</v>
      </c>
      <c r="N71" s="415" t="s">
        <v>1197</v>
      </c>
      <c r="O71" s="415">
        <v>0.09</v>
      </c>
      <c r="P71" s="472"/>
      <c r="Q71" s="472"/>
      <c r="R71" s="420"/>
      <c r="S71" s="420"/>
      <c r="T71" s="420"/>
      <c r="U71" s="420"/>
      <c r="V71" s="420"/>
      <c r="W71" s="420"/>
      <c r="X71" s="420"/>
      <c r="Y71" s="420"/>
      <c r="Z71" s="420"/>
      <c r="AA71" s="436"/>
      <c r="AB71" s="599"/>
      <c r="AC71" s="599"/>
      <c r="AD71" s="599"/>
      <c r="AE71" s="599"/>
      <c r="AF71" s="599"/>
      <c r="AG71" s="599"/>
    </row>
    <row r="72" spans="1:33" s="437" customFormat="1" ht="20.25" customHeight="1" x14ac:dyDescent="0.25">
      <c r="A72" s="595"/>
      <c r="B72" s="595"/>
      <c r="C72" s="597"/>
      <c r="D72" s="597"/>
      <c r="E72" s="597"/>
      <c r="F72" s="601"/>
      <c r="G72" s="1623" t="s">
        <v>1989</v>
      </c>
      <c r="H72" s="1624"/>
      <c r="I72" s="1624"/>
      <c r="J72" s="1624"/>
      <c r="K72" s="1624"/>
      <c r="L72" s="1624"/>
      <c r="M72" s="599"/>
      <c r="N72" s="599"/>
      <c r="O72" s="599"/>
      <c r="P72" s="472"/>
      <c r="Q72" s="472"/>
      <c r="R72" s="420"/>
      <c r="S72" s="420"/>
      <c r="T72" s="420"/>
      <c r="U72" s="420"/>
      <c r="V72" s="420"/>
      <c r="W72" s="420"/>
      <c r="X72" s="420"/>
      <c r="Y72" s="420"/>
      <c r="Z72" s="420"/>
      <c r="AA72" s="436"/>
      <c r="AB72" s="599"/>
      <c r="AC72" s="599"/>
      <c r="AD72" s="599"/>
      <c r="AE72" s="599"/>
      <c r="AF72" s="599"/>
      <c r="AG72" s="599"/>
    </row>
    <row r="73" spans="1:33" s="437" customFormat="1" ht="55.5" customHeight="1" x14ac:dyDescent="0.25">
      <c r="A73" s="595"/>
      <c r="B73" s="595"/>
      <c r="C73" s="597"/>
      <c r="D73" s="597"/>
      <c r="E73" s="597"/>
      <c r="F73" s="601"/>
      <c r="G73" s="596" t="s">
        <v>683</v>
      </c>
      <c r="H73" s="599" t="s">
        <v>684</v>
      </c>
      <c r="I73" s="599" t="s">
        <v>685</v>
      </c>
      <c r="J73" s="599">
        <v>7.2999999999999995E-2</v>
      </c>
      <c r="K73" s="599"/>
      <c r="L73" s="599"/>
      <c r="M73" s="415" t="s">
        <v>1205</v>
      </c>
      <c r="N73" s="415" t="s">
        <v>1206</v>
      </c>
      <c r="O73" s="415">
        <v>4.2000000000000003E-2</v>
      </c>
      <c r="P73" s="472"/>
      <c r="Q73" s="472"/>
      <c r="R73" s="420"/>
      <c r="S73" s="420"/>
      <c r="T73" s="420"/>
      <c r="U73" s="420"/>
      <c r="V73" s="420"/>
      <c r="W73" s="420"/>
      <c r="X73" s="420"/>
      <c r="Y73" s="420"/>
      <c r="Z73" s="420"/>
      <c r="AA73" s="436"/>
      <c r="AB73" s="599"/>
      <c r="AC73" s="599"/>
      <c r="AD73" s="599"/>
      <c r="AE73" s="599"/>
      <c r="AF73" s="599"/>
      <c r="AG73" s="599"/>
    </row>
    <row r="74" spans="1:33" s="437" customFormat="1" ht="16.5" customHeight="1" x14ac:dyDescent="0.25">
      <c r="A74" s="514"/>
      <c r="B74" s="514"/>
      <c r="C74" s="502"/>
      <c r="D74" s="502"/>
      <c r="E74" s="502"/>
      <c r="F74" s="513"/>
      <c r="G74" s="1603" t="s">
        <v>1987</v>
      </c>
      <c r="H74" s="1622"/>
      <c r="I74" s="1622"/>
      <c r="J74" s="1622"/>
      <c r="K74" s="1622"/>
      <c r="L74" s="1622"/>
      <c r="M74" s="415" t="s">
        <v>1210</v>
      </c>
      <c r="N74" s="415" t="s">
        <v>1211</v>
      </c>
      <c r="O74" s="415">
        <v>0.12</v>
      </c>
      <c r="P74" s="450"/>
      <c r="Q74" s="450"/>
      <c r="R74" s="420"/>
      <c r="S74" s="420"/>
      <c r="T74" s="420"/>
      <c r="U74" s="420"/>
      <c r="V74" s="420"/>
      <c r="W74" s="420"/>
      <c r="X74" s="420"/>
      <c r="Y74" s="420"/>
      <c r="Z74" s="420"/>
      <c r="AA74" s="436"/>
      <c r="AB74" s="1637"/>
      <c r="AC74" s="1637"/>
      <c r="AD74" s="1637"/>
      <c r="AE74" s="1637"/>
      <c r="AF74" s="1637"/>
      <c r="AG74" s="1637"/>
    </row>
    <row r="75" spans="1:33" s="437" customFormat="1" ht="30" x14ac:dyDescent="0.25">
      <c r="A75" s="514"/>
      <c r="B75" s="524"/>
      <c r="C75" s="525"/>
      <c r="D75" s="525"/>
      <c r="E75" s="525"/>
      <c r="F75" s="526"/>
      <c r="G75" s="498" t="s">
        <v>690</v>
      </c>
      <c r="H75" s="415" t="s">
        <v>691</v>
      </c>
      <c r="I75" s="415" t="s">
        <v>692</v>
      </c>
      <c r="J75" s="415">
        <v>0.2</v>
      </c>
      <c r="K75" s="415"/>
      <c r="L75" s="415"/>
      <c r="M75" s="416" t="s">
        <v>1214</v>
      </c>
      <c r="N75" s="416" t="s">
        <v>1215</v>
      </c>
      <c r="O75" s="416">
        <v>9.8000000000000004E-2</v>
      </c>
      <c r="P75" s="472"/>
      <c r="Q75" s="472"/>
      <c r="R75" s="420"/>
      <c r="S75" s="420"/>
      <c r="T75" s="420"/>
      <c r="U75" s="420"/>
      <c r="V75" s="420"/>
      <c r="W75" s="420"/>
      <c r="X75" s="420"/>
      <c r="Y75" s="420"/>
      <c r="Z75" s="420"/>
      <c r="AA75" s="436"/>
      <c r="AB75" s="415"/>
      <c r="AC75" s="415"/>
      <c r="AD75" s="415"/>
      <c r="AE75" s="415"/>
      <c r="AF75" s="415"/>
      <c r="AG75" s="415"/>
    </row>
    <row r="76" spans="1:33" s="437" customFormat="1" ht="42" customHeight="1" x14ac:dyDescent="0.25">
      <c r="A76" s="514"/>
      <c r="B76" s="524"/>
      <c r="C76" s="525"/>
      <c r="D76" s="525"/>
      <c r="E76" s="525"/>
      <c r="F76" s="526"/>
      <c r="G76" s="498" t="s">
        <v>1198</v>
      </c>
      <c r="H76" s="415" t="s">
        <v>1199</v>
      </c>
      <c r="I76" s="415" t="s">
        <v>1200</v>
      </c>
      <c r="J76" s="415">
        <v>2.4E-2</v>
      </c>
      <c r="K76" s="415"/>
      <c r="L76" s="415"/>
      <c r="M76" s="415" t="s">
        <v>1218</v>
      </c>
      <c r="N76" s="415" t="s">
        <v>1219</v>
      </c>
      <c r="O76" s="415">
        <v>6.7000000000000004E-2</v>
      </c>
      <c r="P76" s="472"/>
      <c r="Q76" s="472"/>
      <c r="R76" s="420"/>
      <c r="S76" s="420"/>
      <c r="T76" s="420"/>
      <c r="U76" s="420"/>
      <c r="V76" s="420"/>
      <c r="W76" s="420"/>
      <c r="X76" s="420"/>
      <c r="Y76" s="420"/>
      <c r="Z76" s="420"/>
      <c r="AA76" s="436"/>
      <c r="AB76" s="415"/>
      <c r="AC76" s="415"/>
      <c r="AD76" s="415"/>
      <c r="AE76" s="415"/>
      <c r="AF76" s="415"/>
      <c r="AG76" s="415"/>
    </row>
    <row r="77" spans="1:33" s="437" customFormat="1" ht="84.75" customHeight="1" x14ac:dyDescent="0.25">
      <c r="A77" s="514"/>
      <c r="B77" s="524"/>
      <c r="C77" s="525"/>
      <c r="D77" s="525"/>
      <c r="E77" s="525"/>
      <c r="F77" s="526"/>
      <c r="G77" s="498" t="s">
        <v>1202</v>
      </c>
      <c r="H77" s="416" t="s">
        <v>1203</v>
      </c>
      <c r="I77" s="415" t="s">
        <v>1204</v>
      </c>
      <c r="J77" s="415">
        <v>0.5</v>
      </c>
      <c r="K77" s="415"/>
      <c r="L77" s="415"/>
      <c r="M77" s="415" t="s">
        <v>1218</v>
      </c>
      <c r="N77" s="415" t="s">
        <v>111</v>
      </c>
      <c r="O77" s="415">
        <v>4.2000000000000003E-2</v>
      </c>
      <c r="P77" s="472"/>
      <c r="Q77" s="472"/>
      <c r="R77" s="420"/>
      <c r="S77" s="420"/>
      <c r="T77" s="420"/>
      <c r="U77" s="420"/>
      <c r="V77" s="420"/>
      <c r="W77" s="420"/>
      <c r="X77" s="420"/>
      <c r="Y77" s="420"/>
      <c r="Z77" s="420"/>
      <c r="AA77" s="436"/>
      <c r="AB77" s="415"/>
      <c r="AC77" s="416"/>
      <c r="AD77" s="415"/>
      <c r="AE77" s="415"/>
      <c r="AF77" s="415"/>
      <c r="AG77" s="415"/>
    </row>
    <row r="78" spans="1:33" s="437" customFormat="1" ht="55.5" customHeight="1" x14ac:dyDescent="0.25">
      <c r="A78" s="514"/>
      <c r="B78" s="524"/>
      <c r="C78" s="525"/>
      <c r="D78" s="525"/>
      <c r="E78" s="525"/>
      <c r="F78" s="526"/>
      <c r="G78" s="498" t="s">
        <v>1207</v>
      </c>
      <c r="H78" s="415" t="s">
        <v>1208</v>
      </c>
      <c r="I78" s="415" t="s">
        <v>1209</v>
      </c>
      <c r="J78" s="415">
        <v>0.74</v>
      </c>
      <c r="K78" s="415"/>
      <c r="L78" s="415"/>
      <c r="M78" s="416" t="s">
        <v>112</v>
      </c>
      <c r="N78" s="416" t="s">
        <v>113</v>
      </c>
      <c r="O78" s="415">
        <v>0.02</v>
      </c>
      <c r="P78" s="472"/>
      <c r="Q78" s="472"/>
      <c r="R78" s="420"/>
      <c r="S78" s="420"/>
      <c r="T78" s="420"/>
      <c r="U78" s="420"/>
      <c r="V78" s="420"/>
      <c r="W78" s="420"/>
      <c r="X78" s="420"/>
      <c r="Y78" s="420"/>
      <c r="Z78" s="420"/>
      <c r="AA78" s="436"/>
      <c r="AB78" s="415"/>
      <c r="AC78" s="415"/>
      <c r="AD78" s="415"/>
      <c r="AE78" s="415"/>
      <c r="AF78" s="415"/>
      <c r="AG78" s="415"/>
    </row>
    <row r="79" spans="1:33" s="437" customFormat="1" ht="60" customHeight="1" x14ac:dyDescent="0.25">
      <c r="A79" s="514"/>
      <c r="B79" s="524"/>
      <c r="C79" s="525"/>
      <c r="D79" s="525"/>
      <c r="E79" s="525"/>
      <c r="F79" s="526"/>
      <c r="G79" s="498" t="s">
        <v>693</v>
      </c>
      <c r="H79" s="415" t="s">
        <v>1201</v>
      </c>
      <c r="I79" s="415" t="s">
        <v>114</v>
      </c>
      <c r="J79" s="415">
        <v>7.0000000000000007E-2</v>
      </c>
      <c r="K79" s="415"/>
      <c r="L79" s="415"/>
      <c r="M79" s="620" t="s">
        <v>1218</v>
      </c>
      <c r="N79" s="671" t="s">
        <v>2556</v>
      </c>
      <c r="O79" s="623">
        <v>5.5E-2</v>
      </c>
      <c r="P79" s="415"/>
      <c r="Q79" s="415"/>
      <c r="R79" s="420"/>
      <c r="S79" s="420"/>
      <c r="T79" s="420"/>
      <c r="U79" s="420"/>
      <c r="V79" s="420"/>
      <c r="W79" s="420"/>
      <c r="X79" s="420"/>
      <c r="Y79" s="420"/>
      <c r="Z79" s="420"/>
      <c r="AA79" s="436"/>
      <c r="AB79" s="415"/>
      <c r="AC79" s="415"/>
      <c r="AD79" s="415"/>
      <c r="AE79" s="415"/>
      <c r="AF79" s="415"/>
      <c r="AG79" s="415"/>
    </row>
    <row r="80" spans="1:33" s="437" customFormat="1" ht="17.25" customHeight="1" x14ac:dyDescent="0.25">
      <c r="A80" s="636"/>
      <c r="B80" s="524"/>
      <c r="C80" s="525"/>
      <c r="D80" s="525"/>
      <c r="E80" s="525"/>
      <c r="F80" s="526"/>
      <c r="G80" s="1603" t="s">
        <v>2061</v>
      </c>
      <c r="H80" s="1622"/>
      <c r="I80" s="1622"/>
      <c r="J80" s="1622"/>
      <c r="K80" s="1622"/>
      <c r="L80" s="1622"/>
      <c r="M80" s="780" t="s">
        <v>2881</v>
      </c>
      <c r="N80" s="780" t="s">
        <v>2882</v>
      </c>
      <c r="O80" s="643">
        <v>1.25</v>
      </c>
      <c r="P80" s="643"/>
      <c r="Q80" s="643"/>
      <c r="R80" s="440"/>
      <c r="S80" s="441"/>
      <c r="T80" s="419"/>
      <c r="U80" s="419"/>
      <c r="V80" s="419"/>
      <c r="W80" s="440"/>
      <c r="X80" s="441"/>
      <c r="Y80" s="419"/>
      <c r="Z80" s="419"/>
      <c r="AA80" s="442"/>
      <c r="AB80" s="643"/>
      <c r="AC80" s="643"/>
      <c r="AD80" s="643"/>
      <c r="AE80" s="643"/>
      <c r="AF80" s="643"/>
      <c r="AG80" s="643"/>
    </row>
    <row r="81" spans="1:33" s="437" customFormat="1" ht="60" customHeight="1" x14ac:dyDescent="0.25">
      <c r="A81" s="514"/>
      <c r="B81" s="524"/>
      <c r="C81" s="525"/>
      <c r="D81" s="525"/>
      <c r="E81" s="525"/>
      <c r="F81" s="526"/>
      <c r="G81" s="635" t="s">
        <v>2020</v>
      </c>
      <c r="H81" s="416" t="s">
        <v>2019</v>
      </c>
      <c r="I81" s="643" t="s">
        <v>2288</v>
      </c>
      <c r="J81" s="415">
        <v>0.5</v>
      </c>
      <c r="K81" s="415"/>
      <c r="L81" s="415"/>
      <c r="M81" s="793"/>
      <c r="N81" s="793"/>
      <c r="O81" s="415"/>
      <c r="P81" s="415"/>
      <c r="Q81" s="415"/>
      <c r="R81" s="440"/>
      <c r="S81" s="441"/>
      <c r="T81" s="419"/>
      <c r="U81" s="419"/>
      <c r="V81" s="419"/>
      <c r="W81" s="440"/>
      <c r="X81" s="441"/>
      <c r="Y81" s="419"/>
      <c r="Z81" s="419"/>
      <c r="AA81" s="442"/>
      <c r="AB81" s="416"/>
      <c r="AC81" s="416"/>
      <c r="AD81" s="415"/>
      <c r="AE81" s="415"/>
      <c r="AF81" s="415"/>
      <c r="AG81" s="415"/>
    </row>
    <row r="82" spans="1:33" s="437" customFormat="1" ht="60" customHeight="1" x14ac:dyDescent="0.25">
      <c r="A82" s="811"/>
      <c r="B82" s="524"/>
      <c r="C82" s="525"/>
      <c r="D82" s="525"/>
      <c r="E82" s="525"/>
      <c r="F82" s="526"/>
      <c r="G82" s="810" t="s">
        <v>2892</v>
      </c>
      <c r="H82" s="810" t="s">
        <v>2893</v>
      </c>
      <c r="I82" s="176" t="s">
        <v>2901</v>
      </c>
      <c r="J82" s="643">
        <v>0.03</v>
      </c>
      <c r="K82" s="820"/>
      <c r="L82" s="820"/>
      <c r="M82" s="810"/>
      <c r="N82" s="810"/>
      <c r="O82" s="643"/>
      <c r="P82" s="643"/>
      <c r="Q82" s="643"/>
      <c r="R82" s="440"/>
      <c r="S82" s="441"/>
      <c r="T82" s="419"/>
      <c r="U82" s="419"/>
      <c r="V82" s="419"/>
      <c r="W82" s="440"/>
      <c r="X82" s="441"/>
      <c r="Y82" s="419"/>
      <c r="Z82" s="419"/>
      <c r="AA82" s="442"/>
      <c r="AB82" s="710"/>
      <c r="AC82" s="710"/>
      <c r="AD82" s="819"/>
      <c r="AE82" s="820"/>
      <c r="AF82" s="820"/>
      <c r="AG82" s="820"/>
    </row>
    <row r="83" spans="1:33" s="437" customFormat="1" ht="18.75" customHeight="1" x14ac:dyDescent="0.25">
      <c r="A83" s="1205"/>
      <c r="B83" s="524"/>
      <c r="C83" s="525"/>
      <c r="D83" s="525"/>
      <c r="E83" s="525"/>
      <c r="F83" s="526"/>
      <c r="G83" s="1603" t="s">
        <v>3069</v>
      </c>
      <c r="H83" s="1622"/>
      <c r="I83" s="1622"/>
      <c r="J83" s="1622"/>
      <c r="K83" s="1622"/>
      <c r="L83" s="1622"/>
      <c r="M83" s="607"/>
      <c r="N83" s="458"/>
      <c r="O83" s="820"/>
      <c r="P83" s="820"/>
      <c r="Q83" s="820"/>
      <c r="R83" s="440"/>
      <c r="S83" s="441"/>
      <c r="T83" s="419"/>
      <c r="U83" s="419"/>
      <c r="V83" s="419"/>
      <c r="W83" s="440"/>
      <c r="X83" s="441"/>
      <c r="Y83" s="419"/>
      <c r="Z83" s="419"/>
      <c r="AA83" s="442"/>
      <c r="AB83" s="710"/>
      <c r="AC83" s="710"/>
      <c r="AD83" s="819"/>
      <c r="AE83" s="820"/>
      <c r="AF83" s="820"/>
      <c r="AG83" s="820"/>
    </row>
    <row r="84" spans="1:33" s="437" customFormat="1" ht="60" customHeight="1" x14ac:dyDescent="0.25">
      <c r="A84" s="1205"/>
      <c r="B84" s="524"/>
      <c r="C84" s="525"/>
      <c r="D84" s="525"/>
      <c r="E84" s="525"/>
      <c r="F84" s="526"/>
      <c r="G84" s="1598" t="s">
        <v>3481</v>
      </c>
      <c r="H84" s="1599"/>
      <c r="I84" s="1600"/>
      <c r="J84" s="1228">
        <v>0.41199999999999998</v>
      </c>
      <c r="K84" s="1229"/>
      <c r="L84" s="1230"/>
      <c r="M84" s="607"/>
      <c r="N84" s="458"/>
      <c r="O84" s="820"/>
      <c r="P84" s="820"/>
      <c r="Q84" s="820"/>
      <c r="R84" s="440"/>
      <c r="S84" s="441"/>
      <c r="T84" s="419"/>
      <c r="U84" s="419"/>
      <c r="V84" s="419"/>
      <c r="W84" s="440"/>
      <c r="X84" s="441"/>
      <c r="Y84" s="419"/>
      <c r="Z84" s="419"/>
      <c r="AA84" s="442"/>
      <c r="AB84" s="710"/>
      <c r="AC84" s="710"/>
      <c r="AD84" s="819"/>
      <c r="AE84" s="820"/>
      <c r="AF84" s="820"/>
      <c r="AG84" s="820"/>
    </row>
    <row r="85" spans="1:33" ht="15.75" thickBot="1" x14ac:dyDescent="0.3">
      <c r="A85" s="519"/>
      <c r="B85" s="519"/>
      <c r="C85" s="506"/>
      <c r="D85" s="506"/>
      <c r="E85" s="506"/>
      <c r="F85" s="520"/>
      <c r="G85" s="1483" t="s">
        <v>1860</v>
      </c>
      <c r="H85" s="1483"/>
      <c r="I85" s="1484"/>
      <c r="J85" s="13">
        <f>SUM(J84)</f>
        <v>0.41199999999999998</v>
      </c>
      <c r="K85" s="14">
        <v>0.8</v>
      </c>
      <c r="L85" s="13">
        <f>J85/K85</f>
        <v>0.5149999999999999</v>
      </c>
      <c r="M85" s="1482" t="s">
        <v>1861</v>
      </c>
      <c r="N85" s="1484"/>
      <c r="O85" s="13">
        <f>SUM(O70:O81)</f>
        <v>1.8080000000000001</v>
      </c>
      <c r="P85" s="14">
        <v>0.8</v>
      </c>
      <c r="Q85" s="13">
        <f>O85/P85</f>
        <v>2.2599999999999998</v>
      </c>
      <c r="R85" s="1647" t="s">
        <v>1862</v>
      </c>
      <c r="S85" s="1648"/>
      <c r="T85" s="30">
        <f>SUM(T70:T79)</f>
        <v>0</v>
      </c>
      <c r="U85" s="31">
        <v>0.8</v>
      </c>
      <c r="V85" s="30">
        <f>T85/U85</f>
        <v>0</v>
      </c>
      <c r="W85" s="1647" t="s">
        <v>1863</v>
      </c>
      <c r="X85" s="1648"/>
      <c r="Y85" s="30">
        <f>SUM(Y70:Y79)</f>
        <v>4</v>
      </c>
      <c r="Z85" s="31">
        <v>0.8</v>
      </c>
      <c r="AA85" s="32">
        <f>Y85/Z85</f>
        <v>5</v>
      </c>
      <c r="AB85" s="1483" t="s">
        <v>1860</v>
      </c>
      <c r="AC85" s="1483"/>
      <c r="AD85" s="1484"/>
      <c r="AE85" s="13">
        <f>SUM(AE75:AE81)</f>
        <v>0</v>
      </c>
      <c r="AF85" s="14">
        <v>0.8</v>
      </c>
      <c r="AG85" s="13">
        <f>AE85/AF85</f>
        <v>0</v>
      </c>
    </row>
    <row r="86" spans="1:33" ht="36.75" customHeight="1" x14ac:dyDescent="0.25">
      <c r="A86" s="527" t="str">
        <f>'Расчет ЦП - общая форма'!C163</f>
        <v xml:space="preserve">ПС 35/10 кВ Кимры </v>
      </c>
      <c r="B86" s="510">
        <f>'Расчет ЦП - общая форма'!D163</f>
        <v>16</v>
      </c>
      <c r="C86" s="511" t="str">
        <f>'Расчет ЦП - общая форма'!E163</f>
        <v>+</v>
      </c>
      <c r="D86" s="511">
        <f>'Расчет ЦП - общая форма'!F163</f>
        <v>16</v>
      </c>
      <c r="E86" s="511"/>
      <c r="F86" s="512"/>
      <c r="G86" s="104"/>
      <c r="H86" s="9"/>
      <c r="I86" s="9"/>
      <c r="J86" s="9"/>
      <c r="K86" s="9"/>
      <c r="L86" s="51"/>
      <c r="M86" s="36"/>
      <c r="N86" s="9"/>
      <c r="O86" s="9"/>
      <c r="P86" s="9"/>
      <c r="Q86" s="9"/>
      <c r="R86" s="27" t="s">
        <v>557</v>
      </c>
      <c r="S86" s="27" t="s">
        <v>558</v>
      </c>
      <c r="T86" s="27">
        <v>0.03</v>
      </c>
      <c r="U86" s="27"/>
      <c r="V86" s="27"/>
      <c r="W86" s="27"/>
      <c r="X86" s="27"/>
      <c r="Y86" s="27"/>
      <c r="Z86" s="27"/>
      <c r="AA86" s="28"/>
      <c r="AB86" s="9"/>
      <c r="AC86" s="9"/>
      <c r="AD86" s="9"/>
      <c r="AE86" s="9"/>
      <c r="AF86" s="9"/>
      <c r="AG86" s="51"/>
    </row>
    <row r="87" spans="1:33" ht="15.75" thickBot="1" x14ac:dyDescent="0.3">
      <c r="A87" s="528"/>
      <c r="B87" s="519"/>
      <c r="C87" s="506"/>
      <c r="D87" s="506"/>
      <c r="E87" s="506"/>
      <c r="F87" s="520"/>
      <c r="G87" s="1483" t="s">
        <v>1860</v>
      </c>
      <c r="H87" s="1483"/>
      <c r="I87" s="1484"/>
      <c r="J87" s="13">
        <f>SUM(J86:J86)</f>
        <v>0</v>
      </c>
      <c r="K87" s="14">
        <v>0.8</v>
      </c>
      <c r="L87" s="13">
        <f>J87/K87</f>
        <v>0</v>
      </c>
      <c r="M87" s="1485" t="s">
        <v>1861</v>
      </c>
      <c r="N87" s="1487"/>
      <c r="O87" s="21">
        <f>SUM(O86:O86)</f>
        <v>0</v>
      </c>
      <c r="P87" s="24">
        <v>0.8</v>
      </c>
      <c r="Q87" s="21">
        <f>O87/P87</f>
        <v>0</v>
      </c>
      <c r="R87" s="1647" t="s">
        <v>1862</v>
      </c>
      <c r="S87" s="1648"/>
      <c r="T87" s="30">
        <f>SUM(T86:T86)</f>
        <v>0.03</v>
      </c>
      <c r="U87" s="31">
        <v>0.8</v>
      </c>
      <c r="V87" s="30">
        <f>T87/U87</f>
        <v>3.7499999999999999E-2</v>
      </c>
      <c r="W87" s="1647" t="s">
        <v>1863</v>
      </c>
      <c r="X87" s="1648"/>
      <c r="Y87" s="30">
        <f>SUM(Y86:Y86)</f>
        <v>0</v>
      </c>
      <c r="Z87" s="31">
        <v>0.8</v>
      </c>
      <c r="AA87" s="32">
        <f>Y87/Z87</f>
        <v>0</v>
      </c>
      <c r="AB87" s="1482" t="s">
        <v>1860</v>
      </c>
      <c r="AC87" s="1483"/>
      <c r="AD87" s="1484"/>
      <c r="AE87" s="13">
        <f>SUM(AE86:AE86)</f>
        <v>0</v>
      </c>
      <c r="AF87" s="14">
        <v>0.8</v>
      </c>
      <c r="AG87" s="13">
        <f>AE87/AF87</f>
        <v>0</v>
      </c>
    </row>
    <row r="88" spans="1:33" ht="16.5" customHeight="1" x14ac:dyDescent="0.25">
      <c r="A88" s="527" t="str">
        <f>'Расчет ЦП - общая форма'!C164</f>
        <v xml:space="preserve"> ПС 35/10 кВ Козьмодемьяновская </v>
      </c>
      <c r="B88" s="510">
        <f>'Расчет ЦП - общая форма'!D164</f>
        <v>2.5</v>
      </c>
      <c r="C88" s="511" t="str">
        <f>'Расчет ЦП - общая форма'!E164</f>
        <v>+</v>
      </c>
      <c r="D88" s="511">
        <f>'Расчет ЦП - общая форма'!F164</f>
        <v>2.5</v>
      </c>
      <c r="E88" s="511"/>
      <c r="F88" s="512"/>
      <c r="G88" s="1620" t="s">
        <v>2061</v>
      </c>
      <c r="H88" s="1621"/>
      <c r="I88" s="1621"/>
      <c r="J88" s="1621"/>
      <c r="K88" s="1621"/>
      <c r="L88" s="1621"/>
      <c r="M88" s="148"/>
      <c r="N88" s="148"/>
      <c r="O88" s="148"/>
      <c r="P88" s="1"/>
      <c r="Q88" s="1"/>
      <c r="R88" s="27"/>
      <c r="S88" s="27"/>
      <c r="T88" s="27"/>
      <c r="U88" s="27"/>
      <c r="V88" s="27"/>
      <c r="W88" s="27"/>
      <c r="X88" s="27"/>
      <c r="Y88" s="27"/>
      <c r="Z88" s="27"/>
      <c r="AA88" s="28"/>
      <c r="AB88" s="17"/>
      <c r="AC88" s="17"/>
      <c r="AD88" s="17"/>
      <c r="AE88" s="17"/>
      <c r="AF88" s="17"/>
      <c r="AG88" s="73"/>
    </row>
    <row r="89" spans="1:33" ht="72" customHeight="1" x14ac:dyDescent="0.25">
      <c r="A89" s="594"/>
      <c r="B89" s="591"/>
      <c r="C89" s="586"/>
      <c r="D89" s="586"/>
      <c r="E89" s="586"/>
      <c r="F89" s="592"/>
      <c r="G89" s="1" t="s">
        <v>2181</v>
      </c>
      <c r="H89" s="1" t="s">
        <v>42</v>
      </c>
      <c r="I89" s="1" t="s">
        <v>2416</v>
      </c>
      <c r="J89" s="1">
        <v>0.05</v>
      </c>
      <c r="K89" s="1"/>
      <c r="L89" s="22"/>
      <c r="M89" s="608"/>
      <c r="N89" s="609"/>
      <c r="O89" s="610"/>
      <c r="P89" s="24"/>
      <c r="Q89" s="24"/>
      <c r="R89" s="110"/>
      <c r="S89" s="111"/>
      <c r="T89" s="39"/>
      <c r="U89" s="39"/>
      <c r="V89" s="39"/>
      <c r="W89" s="110"/>
      <c r="X89" s="111"/>
      <c r="Y89" s="39"/>
      <c r="Z89" s="39"/>
      <c r="AA89" s="611"/>
      <c r="AB89" s="585"/>
      <c r="AC89" s="40"/>
      <c r="AD89" s="41"/>
      <c r="AE89" s="128"/>
      <c r="AF89" s="128"/>
      <c r="AG89" s="69"/>
    </row>
    <row r="90" spans="1:33" ht="15.75" thickBot="1" x14ac:dyDescent="0.3">
      <c r="A90" s="528"/>
      <c r="B90" s="519"/>
      <c r="C90" s="506"/>
      <c r="D90" s="506"/>
      <c r="E90" s="506"/>
      <c r="F90" s="520"/>
      <c r="G90" s="1486" t="s">
        <v>1860</v>
      </c>
      <c r="H90" s="1486"/>
      <c r="I90" s="1487"/>
      <c r="J90" s="21">
        <f>SUM(0)</f>
        <v>0</v>
      </c>
      <c r="K90" s="24">
        <v>0.8</v>
      </c>
      <c r="L90" s="21">
        <f>J90/K90</f>
        <v>0</v>
      </c>
      <c r="M90" s="1485" t="s">
        <v>1861</v>
      </c>
      <c r="N90" s="1487"/>
      <c r="O90" s="21">
        <f>SUM(O88)</f>
        <v>0</v>
      </c>
      <c r="P90" s="24">
        <v>0.8</v>
      </c>
      <c r="Q90" s="21">
        <f>O90/P90</f>
        <v>0</v>
      </c>
      <c r="R90" s="1647" t="s">
        <v>1862</v>
      </c>
      <c r="S90" s="1648"/>
      <c r="T90" s="30">
        <f>SUM(T88:T88)</f>
        <v>0</v>
      </c>
      <c r="U90" s="31">
        <v>0.8</v>
      </c>
      <c r="V90" s="30">
        <f>T90/U90</f>
        <v>0</v>
      </c>
      <c r="W90" s="1647" t="s">
        <v>1863</v>
      </c>
      <c r="X90" s="1648"/>
      <c r="Y90" s="30">
        <f>SUM(Y88:Y88)</f>
        <v>0</v>
      </c>
      <c r="Z90" s="31">
        <v>0.8</v>
      </c>
      <c r="AA90" s="32">
        <f>Y90/Z90</f>
        <v>0</v>
      </c>
      <c r="AB90" s="1485" t="s">
        <v>1860</v>
      </c>
      <c r="AC90" s="1486"/>
      <c r="AD90" s="1487"/>
      <c r="AE90" s="21">
        <f>SUM(AE88:AE88)</f>
        <v>0</v>
      </c>
      <c r="AF90" s="24">
        <v>0.8</v>
      </c>
      <c r="AG90" s="21">
        <f>AE90/AF90</f>
        <v>0</v>
      </c>
    </row>
    <row r="91" spans="1:33" ht="15.75" thickBot="1" x14ac:dyDescent="0.3">
      <c r="A91" s="529"/>
      <c r="B91" s="530"/>
      <c r="C91" s="511"/>
      <c r="D91" s="511"/>
      <c r="E91" s="511"/>
      <c r="F91" s="512"/>
      <c r="G91" s="1567"/>
      <c r="H91" s="1567"/>
      <c r="I91" s="1567"/>
      <c r="J91" s="1567"/>
      <c r="K91" s="1567"/>
      <c r="L91" s="1568"/>
      <c r="M91" s="131"/>
      <c r="N91" s="132"/>
      <c r="O91" s="73"/>
      <c r="P91" s="73"/>
      <c r="Q91" s="73"/>
      <c r="R91" s="110"/>
      <c r="S91" s="111"/>
      <c r="T91" s="138"/>
      <c r="U91" s="39"/>
      <c r="V91" s="138"/>
      <c r="W91" s="110"/>
      <c r="X91" s="111"/>
      <c r="Y91" s="138"/>
      <c r="Z91" s="39"/>
      <c r="AA91" s="139"/>
      <c r="AB91" s="1569" t="s">
        <v>1989</v>
      </c>
      <c r="AC91" s="1570"/>
      <c r="AD91" s="1570"/>
      <c r="AE91" s="1570"/>
      <c r="AF91" s="1570"/>
      <c r="AG91" s="1571"/>
    </row>
    <row r="92" spans="1:33" s="437" customFormat="1" ht="69" customHeight="1" x14ac:dyDescent="0.25">
      <c r="A92" s="531" t="str">
        <f>'Расчет ЦП - общая форма'!C165</f>
        <v xml:space="preserve">ПС  35/10 кВ Курортная </v>
      </c>
      <c r="B92" s="514">
        <f>'Расчет ЦП - общая форма'!D165</f>
        <v>4</v>
      </c>
      <c r="C92" s="502" t="str">
        <f>'Расчет ЦП - общая форма'!E165</f>
        <v>+</v>
      </c>
      <c r="D92" s="502">
        <f>'Расчет ЦП - общая форма'!F165</f>
        <v>4</v>
      </c>
      <c r="E92" s="502"/>
      <c r="F92" s="513"/>
      <c r="G92" s="499"/>
      <c r="H92" s="473"/>
      <c r="I92" s="474"/>
      <c r="J92" s="473"/>
      <c r="K92" s="473"/>
      <c r="L92" s="473"/>
      <c r="M92" s="446" t="s">
        <v>628</v>
      </c>
      <c r="N92" s="446" t="s">
        <v>629</v>
      </c>
      <c r="O92" s="446">
        <v>0.09</v>
      </c>
      <c r="P92" s="446"/>
      <c r="Q92" s="446"/>
      <c r="R92" s="448"/>
      <c r="S92" s="448"/>
      <c r="T92" s="448"/>
      <c r="U92" s="448"/>
      <c r="V92" s="448"/>
      <c r="W92" s="448"/>
      <c r="X92" s="448"/>
      <c r="Y92" s="448"/>
      <c r="Z92" s="448"/>
      <c r="AA92" s="449"/>
      <c r="AB92" s="475" t="s">
        <v>626</v>
      </c>
      <c r="AC92" s="475" t="s">
        <v>627</v>
      </c>
      <c r="AD92" s="476" t="s">
        <v>2528</v>
      </c>
      <c r="AE92" s="475">
        <v>0.02</v>
      </c>
      <c r="AF92" s="475"/>
      <c r="AG92" s="475"/>
    </row>
    <row r="93" spans="1:33" s="437" customFormat="1" x14ac:dyDescent="0.25">
      <c r="A93" s="531"/>
      <c r="B93" s="514"/>
      <c r="C93" s="502"/>
      <c r="D93" s="502"/>
      <c r="E93" s="502"/>
      <c r="F93" s="513"/>
      <c r="G93" s="1544" t="s">
        <v>1987</v>
      </c>
      <c r="H93" s="1544"/>
      <c r="I93" s="1544"/>
      <c r="J93" s="1544"/>
      <c r="K93" s="1544"/>
      <c r="L93" s="1545"/>
      <c r="M93" s="446"/>
      <c r="N93" s="446"/>
      <c r="O93" s="446"/>
      <c r="P93" s="446"/>
      <c r="Q93" s="446"/>
      <c r="R93" s="420"/>
      <c r="S93" s="420"/>
      <c r="T93" s="420"/>
      <c r="U93" s="420"/>
      <c r="V93" s="420"/>
      <c r="W93" s="420"/>
      <c r="X93" s="420"/>
      <c r="Y93" s="420"/>
      <c r="Z93" s="420"/>
      <c r="AA93" s="477"/>
      <c r="AB93" s="478"/>
      <c r="AC93" s="478"/>
      <c r="AD93" s="478"/>
      <c r="AE93" s="478"/>
      <c r="AF93" s="478"/>
      <c r="AG93" s="478"/>
    </row>
    <row r="94" spans="1:33" s="437" customFormat="1" ht="53.25" customHeight="1" x14ac:dyDescent="0.25">
      <c r="A94" s="531"/>
      <c r="B94" s="514"/>
      <c r="C94" s="502"/>
      <c r="D94" s="502"/>
      <c r="E94" s="502"/>
      <c r="F94" s="513"/>
      <c r="G94" s="451" t="s">
        <v>630</v>
      </c>
      <c r="H94" s="416" t="s">
        <v>631</v>
      </c>
      <c r="I94" s="416" t="s">
        <v>632</v>
      </c>
      <c r="J94" s="446">
        <v>0.13600000000000001</v>
      </c>
      <c r="K94" s="446"/>
      <c r="L94" s="446"/>
      <c r="M94" s="453" t="s">
        <v>2563</v>
      </c>
      <c r="N94" s="453" t="s">
        <v>2622</v>
      </c>
      <c r="O94" s="637">
        <f>0.082-0.05</f>
        <v>3.2000000000000001E-2</v>
      </c>
      <c r="P94" s="446"/>
      <c r="Q94" s="446"/>
      <c r="R94" s="420"/>
      <c r="S94" s="420"/>
      <c r="T94" s="420"/>
      <c r="U94" s="420"/>
      <c r="V94" s="420"/>
      <c r="W94" s="420"/>
      <c r="X94" s="420"/>
      <c r="Y94" s="420"/>
      <c r="Z94" s="420"/>
      <c r="AA94" s="477"/>
      <c r="AB94" s="478"/>
      <c r="AC94" s="478"/>
      <c r="AD94" s="478"/>
      <c r="AE94" s="478"/>
      <c r="AF94" s="478"/>
      <c r="AG94" s="478"/>
    </row>
    <row r="95" spans="1:33" s="437" customFormat="1" ht="60" x14ac:dyDescent="0.25">
      <c r="A95" s="531"/>
      <c r="B95" s="514"/>
      <c r="C95" s="502"/>
      <c r="D95" s="502"/>
      <c r="E95" s="502"/>
      <c r="F95" s="513"/>
      <c r="G95" s="635" t="s">
        <v>2640</v>
      </c>
      <c r="H95" s="416" t="s">
        <v>634</v>
      </c>
      <c r="I95" s="637" t="s">
        <v>2639</v>
      </c>
      <c r="J95" s="446">
        <v>0.125</v>
      </c>
      <c r="K95" s="446"/>
      <c r="L95" s="446"/>
      <c r="M95" s="416"/>
      <c r="N95" s="416"/>
      <c r="O95" s="446"/>
      <c r="P95" s="446"/>
      <c r="Q95" s="446"/>
      <c r="R95" s="420"/>
      <c r="S95" s="420"/>
      <c r="T95" s="420"/>
      <c r="U95" s="420"/>
      <c r="V95" s="420"/>
      <c r="W95" s="420"/>
      <c r="X95" s="420"/>
      <c r="Y95" s="420"/>
      <c r="Z95" s="420"/>
      <c r="AA95" s="477"/>
      <c r="AB95" s="478"/>
      <c r="AC95" s="478"/>
      <c r="AD95" s="478"/>
      <c r="AE95" s="478"/>
      <c r="AF95" s="478"/>
      <c r="AG95" s="478"/>
    </row>
    <row r="96" spans="1:33" ht="15.75" thickBot="1" x14ac:dyDescent="0.3">
      <c r="A96" s="532"/>
      <c r="B96" s="533"/>
      <c r="C96" s="534"/>
      <c r="D96" s="534"/>
      <c r="E96" s="534"/>
      <c r="F96" s="535"/>
      <c r="G96" s="1486" t="s">
        <v>1860</v>
      </c>
      <c r="H96" s="1486"/>
      <c r="I96" s="1487"/>
      <c r="J96" s="21">
        <f>SUM(0)</f>
        <v>0</v>
      </c>
      <c r="K96" s="24">
        <v>0.8</v>
      </c>
      <c r="L96" s="21">
        <f>J96/K96</f>
        <v>0</v>
      </c>
      <c r="M96" s="1485" t="s">
        <v>1861</v>
      </c>
      <c r="N96" s="1487"/>
      <c r="O96" s="21">
        <f>SUM(O92:O95)</f>
        <v>0.122</v>
      </c>
      <c r="P96" s="24">
        <v>0.8</v>
      </c>
      <c r="Q96" s="21">
        <f>O96/P96</f>
        <v>0.1525</v>
      </c>
      <c r="R96" s="1647" t="s">
        <v>1862</v>
      </c>
      <c r="S96" s="1648"/>
      <c r="T96" s="30">
        <f>SUM(T92:T95)</f>
        <v>0</v>
      </c>
      <c r="U96" s="31">
        <v>0.8</v>
      </c>
      <c r="V96" s="30">
        <f>T96/U96</f>
        <v>0</v>
      </c>
      <c r="W96" s="1647" t="s">
        <v>1863</v>
      </c>
      <c r="X96" s="1648"/>
      <c r="Y96" s="30">
        <f>SUM(Y92:Y95)</f>
        <v>0</v>
      </c>
      <c r="Z96" s="31">
        <v>0.8</v>
      </c>
      <c r="AA96" s="32">
        <f>Y96/Z96</f>
        <v>0</v>
      </c>
      <c r="AB96" s="1485" t="s">
        <v>1860</v>
      </c>
      <c r="AC96" s="1486"/>
      <c r="AD96" s="1487"/>
      <c r="AE96" s="21">
        <f>SUM(AE92)</f>
        <v>0.02</v>
      </c>
      <c r="AF96" s="24">
        <v>0.8</v>
      </c>
      <c r="AG96" s="21">
        <f>AE96/AF96</f>
        <v>2.4999999999999998E-2</v>
      </c>
    </row>
    <row r="97" spans="1:33" s="437" customFormat="1" ht="15.75" thickBot="1" x14ac:dyDescent="0.3">
      <c r="A97" s="502"/>
      <c r="B97" s="514"/>
      <c r="C97" s="502"/>
      <c r="D97" s="502"/>
      <c r="E97" s="502"/>
      <c r="F97" s="513"/>
      <c r="G97" s="1499" t="s">
        <v>1989</v>
      </c>
      <c r="H97" s="1499"/>
      <c r="I97" s="1499"/>
      <c r="J97" s="1499"/>
      <c r="K97" s="1499"/>
      <c r="L97" s="1500"/>
      <c r="M97" s="479"/>
      <c r="N97" s="480"/>
      <c r="O97" s="481"/>
      <c r="P97" s="481"/>
      <c r="Q97" s="481"/>
      <c r="R97" s="440"/>
      <c r="S97" s="441"/>
      <c r="T97" s="419"/>
      <c r="U97" s="419"/>
      <c r="V97" s="419"/>
      <c r="W97" s="440"/>
      <c r="X97" s="441"/>
      <c r="Y97" s="419"/>
      <c r="Z97" s="419"/>
      <c r="AA97" s="440"/>
      <c r="AB97" s="478"/>
      <c r="AC97" s="478"/>
      <c r="AD97" s="478"/>
      <c r="AE97" s="478"/>
      <c r="AF97" s="478"/>
      <c r="AG97" s="478"/>
    </row>
    <row r="98" spans="1:33" s="437" customFormat="1" ht="63" customHeight="1" x14ac:dyDescent="0.25">
      <c r="A98" s="502" t="str">
        <f>'Расчет ЦП - общая форма'!C166</f>
        <v xml:space="preserve"> ПС 35/10 кВ Маяк </v>
      </c>
      <c r="B98" s="514">
        <f>'Расчет ЦП - общая форма'!D166</f>
        <v>6.3</v>
      </c>
      <c r="C98" s="502" t="str">
        <f>'Расчет ЦП - общая форма'!E166</f>
        <v>+</v>
      </c>
      <c r="D98" s="502">
        <f>'Расчет ЦП - общая форма'!F166</f>
        <v>6.3</v>
      </c>
      <c r="E98" s="502"/>
      <c r="F98" s="513"/>
      <c r="G98" s="439" t="s">
        <v>559</v>
      </c>
      <c r="H98" s="438" t="s">
        <v>560</v>
      </c>
      <c r="I98" s="438" t="s">
        <v>561</v>
      </c>
      <c r="J98" s="438">
        <v>0.77</v>
      </c>
      <c r="K98" s="438"/>
      <c r="L98" s="438"/>
      <c r="M98" s="446" t="s">
        <v>115</v>
      </c>
      <c r="N98" s="446" t="s">
        <v>116</v>
      </c>
      <c r="O98" s="446">
        <v>3.5000000000000003E-2</v>
      </c>
      <c r="P98" s="446"/>
      <c r="Q98" s="446"/>
      <c r="R98" s="448"/>
      <c r="S98" s="448"/>
      <c r="T98" s="448"/>
      <c r="U98" s="448"/>
      <c r="V98" s="448"/>
      <c r="W98" s="448" t="s">
        <v>562</v>
      </c>
      <c r="X98" s="448"/>
      <c r="Y98" s="448">
        <v>2.5</v>
      </c>
      <c r="Z98" s="448"/>
      <c r="AA98" s="482"/>
      <c r="AB98" s="478"/>
      <c r="AC98" s="478"/>
      <c r="AD98" s="478"/>
      <c r="AE98" s="478"/>
      <c r="AF98" s="478"/>
      <c r="AG98" s="478"/>
    </row>
    <row r="99" spans="1:33" s="437" customFormat="1" ht="21" customHeight="1" x14ac:dyDescent="0.25">
      <c r="A99" s="502"/>
      <c r="B99" s="514"/>
      <c r="C99" s="502"/>
      <c r="D99" s="502"/>
      <c r="E99" s="502"/>
      <c r="F99" s="513"/>
      <c r="G99" s="1548" t="s">
        <v>2353</v>
      </c>
      <c r="H99" s="1548"/>
      <c r="I99" s="1548"/>
      <c r="J99" s="1548"/>
      <c r="K99" s="1548"/>
      <c r="L99" s="1548"/>
      <c r="M99" s="446"/>
      <c r="N99" s="446"/>
      <c r="O99" s="446"/>
      <c r="P99" s="446"/>
      <c r="Q99" s="446"/>
      <c r="R99" s="420"/>
      <c r="S99" s="420"/>
      <c r="T99" s="420"/>
      <c r="U99" s="420"/>
      <c r="V99" s="420"/>
      <c r="W99" s="420"/>
      <c r="X99" s="420"/>
      <c r="Y99" s="420"/>
      <c r="Z99" s="420"/>
      <c r="AA99" s="477"/>
      <c r="AB99" s="1607" t="s">
        <v>1988</v>
      </c>
      <c r="AC99" s="1608"/>
      <c r="AD99" s="1608"/>
      <c r="AE99" s="1608"/>
      <c r="AF99" s="1608"/>
      <c r="AG99" s="1609"/>
    </row>
    <row r="100" spans="1:33" s="437" customFormat="1" ht="45" customHeight="1" x14ac:dyDescent="0.25">
      <c r="A100" s="502"/>
      <c r="B100" s="514"/>
      <c r="C100" s="502"/>
      <c r="D100" s="502"/>
      <c r="E100" s="502"/>
      <c r="F100" s="513"/>
      <c r="G100" s="451" t="s">
        <v>563</v>
      </c>
      <c r="H100" s="416" t="s">
        <v>564</v>
      </c>
      <c r="I100" s="416" t="s">
        <v>565</v>
      </c>
      <c r="J100" s="416">
        <v>0.74</v>
      </c>
      <c r="K100" s="438"/>
      <c r="L100" s="438"/>
      <c r="M100" s="446"/>
      <c r="N100" s="446"/>
      <c r="O100" s="446"/>
      <c r="P100" s="446"/>
      <c r="Q100" s="446"/>
      <c r="R100" s="420"/>
      <c r="S100" s="420"/>
      <c r="T100" s="420"/>
      <c r="U100" s="420"/>
      <c r="V100" s="420"/>
      <c r="W100" s="420"/>
      <c r="X100" s="420"/>
      <c r="Y100" s="420"/>
      <c r="Z100" s="420"/>
      <c r="AA100" s="436"/>
      <c r="AB100" s="475" t="s">
        <v>2531</v>
      </c>
      <c r="AC100" s="475" t="s">
        <v>2532</v>
      </c>
      <c r="AD100" s="475" t="s">
        <v>2533</v>
      </c>
      <c r="AE100" s="475">
        <v>1.25</v>
      </c>
      <c r="AF100" s="475"/>
      <c r="AG100" s="475"/>
    </row>
    <row r="101" spans="1:33" ht="24" customHeight="1" thickBot="1" x14ac:dyDescent="0.3">
      <c r="A101" s="506"/>
      <c r="B101" s="519"/>
      <c r="C101" s="506"/>
      <c r="D101" s="506"/>
      <c r="E101" s="506"/>
      <c r="F101" s="520"/>
      <c r="G101" s="1483" t="s">
        <v>1860</v>
      </c>
      <c r="H101" s="1483"/>
      <c r="I101" s="1484"/>
      <c r="J101" s="13">
        <f>SUM(0)</f>
        <v>0</v>
      </c>
      <c r="K101" s="14">
        <v>0.8</v>
      </c>
      <c r="L101" s="13">
        <f>J101/K101</f>
        <v>0</v>
      </c>
      <c r="M101" s="1482" t="s">
        <v>1861</v>
      </c>
      <c r="N101" s="1484"/>
      <c r="O101" s="13">
        <f>SUM(O98:O100)</f>
        <v>3.5000000000000003E-2</v>
      </c>
      <c r="P101" s="14">
        <v>0.8</v>
      </c>
      <c r="Q101" s="13">
        <f>O101/P101</f>
        <v>4.3750000000000004E-2</v>
      </c>
      <c r="R101" s="1647" t="s">
        <v>1862</v>
      </c>
      <c r="S101" s="1648"/>
      <c r="T101" s="30">
        <f>SUM(T98:T100)</f>
        <v>0</v>
      </c>
      <c r="U101" s="31">
        <v>0.8</v>
      </c>
      <c r="V101" s="30">
        <f>T101/U101</f>
        <v>0</v>
      </c>
      <c r="W101" s="1647" t="s">
        <v>1863</v>
      </c>
      <c r="X101" s="1648"/>
      <c r="Y101" s="30">
        <f>SUM(Y98:Y100)</f>
        <v>2.5</v>
      </c>
      <c r="Z101" s="31">
        <v>0.8</v>
      </c>
      <c r="AA101" s="32">
        <f>Y101/Z101</f>
        <v>3.125</v>
      </c>
      <c r="AB101" s="1482" t="s">
        <v>1860</v>
      </c>
      <c r="AC101" s="1483"/>
      <c r="AD101" s="1484"/>
      <c r="AE101" s="13" t="e">
        <f>SUM(#REF!)</f>
        <v>#REF!</v>
      </c>
      <c r="AF101" s="14">
        <v>0.8</v>
      </c>
      <c r="AG101" s="13" t="e">
        <f>AE101/AF101</f>
        <v>#REF!</v>
      </c>
    </row>
    <row r="102" spans="1:33" ht="24" customHeight="1" x14ac:dyDescent="0.25">
      <c r="A102" s="1610" t="str">
        <f>'Расчет ЦП - общая форма'!C167</f>
        <v xml:space="preserve"> ПС 35/10 кВ Микрорайонная </v>
      </c>
      <c r="B102" s="1612">
        <f>'Расчет ЦП - общая форма'!D167</f>
        <v>4</v>
      </c>
      <c r="C102" s="1614" t="str">
        <f>'Расчет ЦП - общая форма'!E167</f>
        <v>+</v>
      </c>
      <c r="D102" s="1614">
        <f>'Расчет ЦП - общая форма'!F167</f>
        <v>4</v>
      </c>
      <c r="E102" s="1614"/>
      <c r="F102" s="1610"/>
      <c r="G102" s="1616" t="s">
        <v>2061</v>
      </c>
      <c r="H102" s="1616"/>
      <c r="I102" s="1616"/>
      <c r="J102" s="1616"/>
      <c r="K102" s="1616"/>
      <c r="L102" s="1617"/>
      <c r="M102" s="653"/>
      <c r="N102" s="310"/>
      <c r="O102" s="69"/>
      <c r="P102" s="69"/>
      <c r="Q102" s="69"/>
      <c r="R102" s="110"/>
      <c r="S102" s="111"/>
      <c r="T102" s="138"/>
      <c r="U102" s="39"/>
      <c r="V102" s="138"/>
      <c r="W102" s="110"/>
      <c r="X102" s="111"/>
      <c r="Y102" s="138"/>
      <c r="Z102" s="39"/>
      <c r="AA102" s="139"/>
      <c r="AB102" s="585"/>
      <c r="AC102" s="40"/>
      <c r="AD102" s="41"/>
      <c r="AE102" s="160"/>
      <c r="AF102" s="128"/>
      <c r="AG102" s="160"/>
    </row>
    <row r="103" spans="1:33" ht="69" customHeight="1" x14ac:dyDescent="0.25">
      <c r="A103" s="1611"/>
      <c r="B103" s="1613"/>
      <c r="C103" s="1615"/>
      <c r="D103" s="1615"/>
      <c r="E103" s="1615"/>
      <c r="F103" s="1611"/>
      <c r="G103" s="1" t="s">
        <v>2195</v>
      </c>
      <c r="H103" s="1" t="s">
        <v>2196</v>
      </c>
      <c r="I103" s="1" t="s">
        <v>2297</v>
      </c>
      <c r="J103" s="1">
        <v>0.04</v>
      </c>
      <c r="K103" s="1"/>
      <c r="L103" s="22"/>
      <c r="M103" s="22"/>
      <c r="N103" s="22"/>
      <c r="O103" s="22"/>
      <c r="P103" s="22"/>
      <c r="Q103" s="22"/>
      <c r="R103" s="11" t="s">
        <v>566</v>
      </c>
      <c r="S103" s="11" t="s">
        <v>567</v>
      </c>
      <c r="T103" s="11">
        <v>7.0000000000000007E-2</v>
      </c>
      <c r="U103" s="11"/>
      <c r="V103" s="11"/>
      <c r="W103" s="11"/>
      <c r="X103" s="11"/>
      <c r="Y103" s="11"/>
      <c r="Z103" s="11"/>
      <c r="AA103" s="11"/>
      <c r="AB103" s="1"/>
      <c r="AC103" s="1"/>
      <c r="AD103" s="1"/>
      <c r="AE103" s="1"/>
      <c r="AF103" s="1"/>
      <c r="AG103" s="22"/>
    </row>
    <row r="104" spans="1:33" ht="28.5" customHeight="1" x14ac:dyDescent="0.25">
      <c r="A104" s="898"/>
      <c r="B104" s="888"/>
      <c r="C104" s="887"/>
      <c r="D104" s="887"/>
      <c r="E104" s="887"/>
      <c r="F104" s="892"/>
      <c r="G104" s="1548" t="s">
        <v>3068</v>
      </c>
      <c r="H104" s="1548"/>
      <c r="I104" s="1548"/>
      <c r="J104" s="1548"/>
      <c r="K104" s="1548"/>
      <c r="L104" s="1548"/>
      <c r="M104" s="1"/>
      <c r="N104" s="1"/>
      <c r="O104" s="1"/>
      <c r="P104" s="1"/>
      <c r="Q104" s="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"/>
      <c r="AC104" s="1"/>
      <c r="AD104" s="1"/>
      <c r="AE104" s="1"/>
      <c r="AF104" s="1"/>
      <c r="AG104" s="22"/>
    </row>
    <row r="105" spans="1:33" ht="35.25" customHeight="1" x14ac:dyDescent="0.25">
      <c r="A105" s="897"/>
      <c r="B105" s="888"/>
      <c r="C105" s="887"/>
      <c r="D105" s="887"/>
      <c r="E105" s="899"/>
      <c r="F105" s="900"/>
      <c r="G105" s="9" t="s">
        <v>3005</v>
      </c>
      <c r="H105" s="9" t="s">
        <v>3006</v>
      </c>
      <c r="I105" s="9" t="s">
        <v>3067</v>
      </c>
      <c r="J105" s="9">
        <v>0.03</v>
      </c>
      <c r="K105" s="1"/>
      <c r="L105" s="22"/>
      <c r="M105" s="1"/>
      <c r="N105" s="1"/>
      <c r="O105" s="1"/>
      <c r="P105" s="1"/>
      <c r="Q105" s="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"/>
      <c r="AC105" s="1"/>
      <c r="AD105" s="1"/>
      <c r="AE105" s="1"/>
      <c r="AF105" s="1"/>
      <c r="AG105" s="22"/>
    </row>
    <row r="106" spans="1:33" ht="15.75" thickBot="1" x14ac:dyDescent="0.3">
      <c r="A106" s="528"/>
      <c r="B106" s="507"/>
      <c r="C106" s="508"/>
      <c r="D106" s="508"/>
      <c r="E106" s="508"/>
      <c r="F106" s="509"/>
      <c r="G106" s="1483" t="s">
        <v>1860</v>
      </c>
      <c r="H106" s="1483"/>
      <c r="I106" s="1484"/>
      <c r="J106" s="13">
        <f>SUM(J105)</f>
        <v>0.03</v>
      </c>
      <c r="K106" s="14">
        <v>0.8</v>
      </c>
      <c r="L106" s="13">
        <f>J106/K106</f>
        <v>3.7499999999999999E-2</v>
      </c>
      <c r="M106" s="1482" t="s">
        <v>1861</v>
      </c>
      <c r="N106" s="1484"/>
      <c r="O106" s="13">
        <f>SUM(O103:O103)</f>
        <v>0</v>
      </c>
      <c r="P106" s="14">
        <v>0.8</v>
      </c>
      <c r="Q106" s="13">
        <f>O106/P106</f>
        <v>0</v>
      </c>
      <c r="R106" s="1647" t="s">
        <v>1862</v>
      </c>
      <c r="S106" s="1648"/>
      <c r="T106" s="30">
        <f>SUM(T103:T103)</f>
        <v>7.0000000000000007E-2</v>
      </c>
      <c r="U106" s="31">
        <v>0.8</v>
      </c>
      <c r="V106" s="30">
        <f>T106/U106</f>
        <v>8.7500000000000008E-2</v>
      </c>
      <c r="W106" s="1647" t="s">
        <v>1863</v>
      </c>
      <c r="X106" s="1648"/>
      <c r="Y106" s="30">
        <f>SUM(Y103:Y103)</f>
        <v>0</v>
      </c>
      <c r="Z106" s="31">
        <v>0.8</v>
      </c>
      <c r="AA106" s="32">
        <f>Y106/Z106</f>
        <v>0</v>
      </c>
      <c r="AB106" s="1485" t="s">
        <v>1860</v>
      </c>
      <c r="AC106" s="1486"/>
      <c r="AD106" s="1487"/>
      <c r="AE106" s="21">
        <f>SUM(AE103:AE103)</f>
        <v>0</v>
      </c>
      <c r="AF106" s="24">
        <v>0.8</v>
      </c>
      <c r="AG106" s="21">
        <f>AE106/AF106</f>
        <v>0</v>
      </c>
    </row>
    <row r="107" spans="1:33" s="437" customFormat="1" x14ac:dyDescent="0.25">
      <c r="A107" s="529"/>
      <c r="B107" s="536"/>
      <c r="C107" s="536"/>
      <c r="D107" s="536"/>
      <c r="E107" s="536"/>
      <c r="F107" s="537"/>
      <c r="G107" s="1499" t="s">
        <v>1987</v>
      </c>
      <c r="H107" s="1499"/>
      <c r="I107" s="1499"/>
      <c r="J107" s="1499"/>
      <c r="K107" s="1499"/>
      <c r="L107" s="1500"/>
      <c r="M107" s="479"/>
      <c r="N107" s="480"/>
      <c r="O107" s="481"/>
      <c r="P107" s="481"/>
      <c r="Q107" s="481"/>
      <c r="R107" s="440"/>
      <c r="S107" s="441"/>
      <c r="T107" s="419"/>
      <c r="U107" s="419"/>
      <c r="V107" s="419"/>
      <c r="W107" s="440"/>
      <c r="X107" s="441"/>
      <c r="Y107" s="419"/>
      <c r="Z107" s="419"/>
      <c r="AA107" s="440"/>
      <c r="AB107" s="1636"/>
      <c r="AC107" s="1636"/>
      <c r="AD107" s="1636"/>
      <c r="AE107" s="1636"/>
      <c r="AF107" s="1636"/>
      <c r="AG107" s="1636"/>
    </row>
    <row r="108" spans="1:33" s="437" customFormat="1" ht="65.25" customHeight="1" x14ac:dyDescent="0.25">
      <c r="A108" s="531" t="str">
        <f>'Расчет ЦП - общая форма'!C168</f>
        <v>ПС 35/10 кВ Нагорское</v>
      </c>
      <c r="B108" s="502">
        <f>'Расчет ЦП - общая форма'!D168</f>
        <v>2.5</v>
      </c>
      <c r="C108" s="502" t="str">
        <f>'Расчет ЦП - общая форма'!E168</f>
        <v>+</v>
      </c>
      <c r="D108" s="502">
        <f>'Расчет ЦП - общая форма'!F168</f>
        <v>1.8</v>
      </c>
      <c r="E108" s="502"/>
      <c r="F108" s="513"/>
      <c r="G108" s="458" t="s">
        <v>1247</v>
      </c>
      <c r="H108" s="453" t="s">
        <v>1248</v>
      </c>
      <c r="I108" s="612" t="s">
        <v>2325</v>
      </c>
      <c r="J108" s="453">
        <f>0.03-0.006</f>
        <v>2.4E-2</v>
      </c>
      <c r="K108" s="438"/>
      <c r="L108" s="438"/>
      <c r="M108" s="416"/>
      <c r="N108" s="416"/>
      <c r="O108" s="416"/>
      <c r="P108" s="416"/>
      <c r="Q108" s="416"/>
      <c r="R108" s="484"/>
      <c r="S108" s="485"/>
      <c r="T108" s="486"/>
      <c r="U108" s="419"/>
      <c r="V108" s="419"/>
      <c r="W108" s="440"/>
      <c r="X108" s="441"/>
      <c r="Y108" s="419"/>
      <c r="Z108" s="419"/>
      <c r="AA108" s="440"/>
      <c r="AB108" s="416"/>
      <c r="AC108" s="416"/>
      <c r="AD108" s="483"/>
      <c r="AE108" s="416"/>
      <c r="AF108" s="416"/>
      <c r="AG108" s="416"/>
    </row>
    <row r="109" spans="1:33" s="437" customFormat="1" ht="16.5" customHeight="1" x14ac:dyDescent="0.25">
      <c r="A109" s="531"/>
      <c r="B109" s="502"/>
      <c r="C109" s="502"/>
      <c r="D109" s="502"/>
      <c r="E109" s="502"/>
      <c r="F109" s="513"/>
      <c r="G109" s="1548" t="s">
        <v>2062</v>
      </c>
      <c r="H109" s="1548"/>
      <c r="I109" s="1548"/>
      <c r="J109" s="1548"/>
      <c r="K109" s="1548"/>
      <c r="L109" s="1548"/>
      <c r="M109" s="416"/>
      <c r="N109" s="416"/>
      <c r="O109" s="416"/>
      <c r="P109" s="416"/>
      <c r="Q109" s="416"/>
      <c r="R109" s="484"/>
      <c r="S109" s="485"/>
      <c r="T109" s="486"/>
      <c r="U109" s="419"/>
      <c r="V109" s="419"/>
      <c r="W109" s="440"/>
      <c r="X109" s="441"/>
      <c r="Y109" s="419"/>
      <c r="Z109" s="419"/>
      <c r="AA109" s="440"/>
      <c r="AB109" s="1636"/>
      <c r="AC109" s="1636"/>
      <c r="AD109" s="1636"/>
      <c r="AE109" s="1636"/>
      <c r="AF109" s="1636"/>
      <c r="AG109" s="1636"/>
    </row>
    <row r="110" spans="1:33" s="437" customFormat="1" ht="65.25" customHeight="1" x14ac:dyDescent="0.25">
      <c r="A110" s="593"/>
      <c r="B110" s="586"/>
      <c r="C110" s="586"/>
      <c r="D110" s="586"/>
      <c r="E110" s="586"/>
      <c r="F110" s="592"/>
      <c r="G110" s="445" t="s">
        <v>615</v>
      </c>
      <c r="H110" s="446" t="s">
        <v>616</v>
      </c>
      <c r="I110" s="590" t="s">
        <v>2266</v>
      </c>
      <c r="J110" s="416">
        <v>0.25</v>
      </c>
      <c r="K110" s="446"/>
      <c r="L110" s="446"/>
      <c r="M110" s="590"/>
      <c r="N110" s="590"/>
      <c r="O110" s="590"/>
      <c r="P110" s="590"/>
      <c r="Q110" s="590"/>
      <c r="R110" s="484"/>
      <c r="S110" s="485"/>
      <c r="T110" s="486"/>
      <c r="U110" s="419"/>
      <c r="V110" s="419"/>
      <c r="W110" s="440"/>
      <c r="X110" s="441"/>
      <c r="Y110" s="419"/>
      <c r="Z110" s="419"/>
      <c r="AA110" s="440"/>
      <c r="AB110" s="590"/>
      <c r="AC110" s="590"/>
      <c r="AD110" s="590"/>
      <c r="AE110" s="590"/>
      <c r="AF110" s="590"/>
      <c r="AG110" s="590"/>
    </row>
    <row r="111" spans="1:33" s="437" customFormat="1" ht="56.25" customHeight="1" x14ac:dyDescent="0.25">
      <c r="A111" s="531"/>
      <c r="B111" s="502"/>
      <c r="C111" s="502"/>
      <c r="D111" s="502"/>
      <c r="E111" s="502"/>
      <c r="F111" s="513"/>
      <c r="G111" s="661" t="s">
        <v>2434</v>
      </c>
      <c r="H111" s="492" t="s">
        <v>2435</v>
      </c>
      <c r="I111" s="488" t="s">
        <v>2506</v>
      </c>
      <c r="J111" s="453">
        <v>2.5000000000000001E-2</v>
      </c>
      <c r="K111" s="438"/>
      <c r="L111" s="438"/>
      <c r="M111" s="416"/>
      <c r="N111" s="416"/>
      <c r="O111" s="416"/>
      <c r="P111" s="416"/>
      <c r="Q111" s="416"/>
      <c r="R111" s="484"/>
      <c r="S111" s="485"/>
      <c r="T111" s="486"/>
      <c r="U111" s="419"/>
      <c r="V111" s="419"/>
      <c r="W111" s="440"/>
      <c r="X111" s="441"/>
      <c r="Y111" s="419"/>
      <c r="Z111" s="419"/>
      <c r="AA111" s="440"/>
      <c r="AB111" s="487"/>
      <c r="AC111" s="487"/>
      <c r="AD111" s="483"/>
      <c r="AE111" s="416"/>
      <c r="AF111" s="416"/>
      <c r="AG111" s="416"/>
    </row>
    <row r="112" spans="1:33" s="437" customFormat="1" ht="21" customHeight="1" x14ac:dyDescent="0.25">
      <c r="A112" s="1220"/>
      <c r="B112" s="1217"/>
      <c r="C112" s="1217"/>
      <c r="D112" s="1217"/>
      <c r="E112" s="1217"/>
      <c r="F112" s="1215"/>
      <c r="G112" s="1548" t="s">
        <v>3068</v>
      </c>
      <c r="H112" s="1548"/>
      <c r="I112" s="1548"/>
      <c r="J112" s="1548"/>
      <c r="K112" s="1548"/>
      <c r="L112" s="1548"/>
      <c r="M112" s="607"/>
      <c r="N112" s="458"/>
      <c r="O112" s="453"/>
      <c r="P112" s="453"/>
      <c r="Q112" s="453"/>
      <c r="R112" s="484"/>
      <c r="S112" s="485"/>
      <c r="T112" s="486"/>
      <c r="U112" s="419"/>
      <c r="V112" s="419"/>
      <c r="W112" s="440"/>
      <c r="X112" s="441"/>
      <c r="Y112" s="419"/>
      <c r="Z112" s="419"/>
      <c r="AA112" s="440"/>
      <c r="AB112" s="1239"/>
      <c r="AC112" s="1240"/>
      <c r="AD112" s="488"/>
      <c r="AE112" s="453"/>
      <c r="AF112" s="453"/>
      <c r="AG112" s="453"/>
    </row>
    <row r="113" spans="1:33" s="437" customFormat="1" ht="38.25" customHeight="1" x14ac:dyDescent="0.25">
      <c r="A113" s="1220"/>
      <c r="B113" s="1217"/>
      <c r="C113" s="1217"/>
      <c r="D113" s="1217"/>
      <c r="E113" s="1217"/>
      <c r="F113" s="1215"/>
      <c r="G113" s="1604" t="s">
        <v>3481</v>
      </c>
      <c r="H113" s="1605"/>
      <c r="I113" s="1606"/>
      <c r="J113" s="1225">
        <v>0.35199999999999998</v>
      </c>
      <c r="K113" s="438"/>
      <c r="L113" s="438"/>
      <c r="M113" s="607"/>
      <c r="N113" s="458"/>
      <c r="O113" s="453"/>
      <c r="P113" s="453"/>
      <c r="Q113" s="453"/>
      <c r="R113" s="484"/>
      <c r="S113" s="485"/>
      <c r="T113" s="486"/>
      <c r="U113" s="419"/>
      <c r="V113" s="419"/>
      <c r="W113" s="440"/>
      <c r="X113" s="441"/>
      <c r="Y113" s="419"/>
      <c r="Z113" s="419"/>
      <c r="AA113" s="440"/>
      <c r="AB113" s="1239"/>
      <c r="AC113" s="1240"/>
      <c r="AD113" s="488"/>
      <c r="AE113" s="453"/>
      <c r="AF113" s="453"/>
      <c r="AG113" s="453"/>
    </row>
    <row r="114" spans="1:33" ht="22.5" customHeight="1" thickBot="1" x14ac:dyDescent="0.3">
      <c r="A114" s="532"/>
      <c r="B114" s="506"/>
      <c r="C114" s="506"/>
      <c r="D114" s="506"/>
      <c r="E114" s="506"/>
      <c r="F114" s="520"/>
      <c r="G114" s="1486" t="s">
        <v>1860</v>
      </c>
      <c r="H114" s="1486"/>
      <c r="I114" s="1487"/>
      <c r="J114" s="21">
        <f>SUM(J113)</f>
        <v>0.35199999999999998</v>
      </c>
      <c r="K114" s="24">
        <v>0.8</v>
      </c>
      <c r="L114" s="21">
        <f>J114/K114</f>
        <v>0.43999999999999995</v>
      </c>
      <c r="M114" s="1485" t="s">
        <v>1861</v>
      </c>
      <c r="N114" s="1487"/>
      <c r="O114" s="220">
        <f>SUM(O107:O108)</f>
        <v>0</v>
      </c>
      <c r="P114" s="24">
        <v>0.8</v>
      </c>
      <c r="Q114" s="21">
        <f>O114/P114</f>
        <v>0</v>
      </c>
      <c r="R114" s="1652" t="s">
        <v>1862</v>
      </c>
      <c r="S114" s="1653"/>
      <c r="T114" s="33" t="e">
        <f>SUM(#REF!)</f>
        <v>#REF!</v>
      </c>
      <c r="U114" s="34">
        <v>0.8</v>
      </c>
      <c r="V114" s="33" t="e">
        <f>T114/U114</f>
        <v>#REF!</v>
      </c>
      <c r="W114" s="1652" t="s">
        <v>1863</v>
      </c>
      <c r="X114" s="1653"/>
      <c r="Y114" s="33" t="e">
        <f>SUM(#REF!)</f>
        <v>#REF!</v>
      </c>
      <c r="Z114" s="34">
        <v>0.8</v>
      </c>
      <c r="AA114" s="101" t="e">
        <f>Y114/Z114</f>
        <v>#REF!</v>
      </c>
      <c r="AB114" s="1485" t="s">
        <v>1860</v>
      </c>
      <c r="AC114" s="1486"/>
      <c r="AD114" s="1487"/>
      <c r="AE114" s="21">
        <f>SUM(AE108:AE108,AE111)</f>
        <v>0</v>
      </c>
      <c r="AF114" s="24">
        <v>0.8</v>
      </c>
      <c r="AG114" s="21">
        <f>AE114/AF114</f>
        <v>0</v>
      </c>
    </row>
    <row r="115" spans="1:33" s="437" customFormat="1" ht="15.75" thickBot="1" x14ac:dyDescent="0.3">
      <c r="A115" s="529"/>
      <c r="B115" s="511"/>
      <c r="C115" s="511"/>
      <c r="D115" s="511"/>
      <c r="E115" s="511"/>
      <c r="F115" s="512"/>
      <c r="G115" s="1499" t="s">
        <v>1988</v>
      </c>
      <c r="H115" s="1499"/>
      <c r="I115" s="1499"/>
      <c r="J115" s="1499"/>
      <c r="K115" s="1499"/>
      <c r="L115" s="1500"/>
      <c r="M115" s="479"/>
      <c r="N115" s="480"/>
      <c r="O115" s="481"/>
      <c r="P115" s="481"/>
      <c r="Q115" s="481"/>
      <c r="R115" s="440"/>
      <c r="S115" s="441"/>
      <c r="T115" s="419"/>
      <c r="U115" s="419"/>
      <c r="V115" s="419"/>
      <c r="W115" s="440"/>
      <c r="X115" s="441"/>
      <c r="Y115" s="419"/>
      <c r="Z115" s="419"/>
      <c r="AA115" s="442"/>
      <c r="AB115" s="1625"/>
      <c r="AC115" s="1626"/>
      <c r="AD115" s="1626"/>
      <c r="AE115" s="1626"/>
      <c r="AF115" s="1626"/>
      <c r="AG115" s="1627"/>
    </row>
    <row r="116" spans="1:33" s="437" customFormat="1" ht="36.75" customHeight="1" x14ac:dyDescent="0.25">
      <c r="A116" s="531" t="str">
        <f>'Расчет ЦП - общая форма'!C169</f>
        <v>ПС 35/10 кВ Неклюдово</v>
      </c>
      <c r="B116" s="502">
        <f>'Расчет ЦП - общая форма'!D169</f>
        <v>1.6</v>
      </c>
      <c r="C116" s="502" t="str">
        <f>'Расчет ЦП - общая форма'!E169</f>
        <v>+</v>
      </c>
      <c r="D116" s="502">
        <f>'Расчет ЦП - общая форма'!F169</f>
        <v>1.6</v>
      </c>
      <c r="E116" s="502"/>
      <c r="F116" s="513"/>
      <c r="G116" s="445" t="s">
        <v>568</v>
      </c>
      <c r="H116" s="446" t="s">
        <v>569</v>
      </c>
      <c r="I116" s="446" t="s">
        <v>570</v>
      </c>
      <c r="J116" s="446">
        <v>0.06</v>
      </c>
      <c r="K116" s="446"/>
      <c r="L116" s="446"/>
      <c r="M116" s="446"/>
      <c r="N116" s="446"/>
      <c r="O116" s="446"/>
      <c r="P116" s="446"/>
      <c r="Q116" s="446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9"/>
      <c r="AB116" s="446"/>
      <c r="AC116" s="446"/>
      <c r="AD116" s="446"/>
      <c r="AE116" s="446"/>
      <c r="AF116" s="446"/>
      <c r="AG116" s="446"/>
    </row>
    <row r="117" spans="1:33" s="437" customFormat="1" ht="20.25" customHeight="1" x14ac:dyDescent="0.25">
      <c r="A117" s="1220"/>
      <c r="B117" s="1217"/>
      <c r="C117" s="1217"/>
      <c r="D117" s="1217"/>
      <c r="E117" s="1217"/>
      <c r="F117" s="1215"/>
      <c r="G117" s="1548" t="s">
        <v>3068</v>
      </c>
      <c r="H117" s="1548"/>
      <c r="I117" s="1548"/>
      <c r="J117" s="1548"/>
      <c r="K117" s="1548"/>
      <c r="L117" s="1548"/>
      <c r="M117" s="459"/>
      <c r="N117" s="439"/>
      <c r="O117" s="438"/>
      <c r="P117" s="438"/>
      <c r="Q117" s="438"/>
      <c r="R117" s="440"/>
      <c r="S117" s="441"/>
      <c r="T117" s="419"/>
      <c r="U117" s="419"/>
      <c r="V117" s="419"/>
      <c r="W117" s="440"/>
      <c r="X117" s="441"/>
      <c r="Y117" s="419"/>
      <c r="Z117" s="419"/>
      <c r="AA117" s="442"/>
      <c r="AB117" s="459"/>
      <c r="AC117" s="426"/>
      <c r="AD117" s="439"/>
      <c r="AE117" s="438"/>
      <c r="AF117" s="438"/>
      <c r="AG117" s="438"/>
    </row>
    <row r="118" spans="1:33" s="437" customFormat="1" ht="36.75" customHeight="1" x14ac:dyDescent="0.25">
      <c r="A118" s="1220"/>
      <c r="B118" s="1217"/>
      <c r="C118" s="1217"/>
      <c r="D118" s="1217"/>
      <c r="E118" s="1217"/>
      <c r="F118" s="1215"/>
      <c r="G118" s="1518" t="s">
        <v>3481</v>
      </c>
      <c r="H118" s="1519"/>
      <c r="I118" s="1520"/>
      <c r="J118" s="1226">
        <v>0.98099999999999998</v>
      </c>
      <c r="K118" s="438"/>
      <c r="L118" s="438"/>
      <c r="M118" s="459"/>
      <c r="N118" s="439"/>
      <c r="O118" s="438"/>
      <c r="P118" s="438"/>
      <c r="Q118" s="438"/>
      <c r="R118" s="440"/>
      <c r="S118" s="441"/>
      <c r="T118" s="419"/>
      <c r="U118" s="419"/>
      <c r="V118" s="419"/>
      <c r="W118" s="440"/>
      <c r="X118" s="441"/>
      <c r="Y118" s="419"/>
      <c r="Z118" s="419"/>
      <c r="AA118" s="442"/>
      <c r="AB118" s="459"/>
      <c r="AC118" s="426"/>
      <c r="AD118" s="439"/>
      <c r="AE118" s="438"/>
      <c r="AF118" s="438"/>
      <c r="AG118" s="438"/>
    </row>
    <row r="119" spans="1:33" ht="24" customHeight="1" thickBot="1" x14ac:dyDescent="0.3">
      <c r="A119" s="532"/>
      <c r="B119" s="506"/>
      <c r="C119" s="506"/>
      <c r="D119" s="506"/>
      <c r="E119" s="506"/>
      <c r="F119" s="520"/>
      <c r="G119" s="1483" t="s">
        <v>1860</v>
      </c>
      <c r="H119" s="1483"/>
      <c r="I119" s="1484"/>
      <c r="J119" s="13">
        <f>SUM(J118)</f>
        <v>0.98099999999999998</v>
      </c>
      <c r="K119" s="14">
        <v>0.8</v>
      </c>
      <c r="L119" s="13">
        <f>J119/K119</f>
        <v>1.2262499999999998</v>
      </c>
      <c r="M119" s="1482" t="s">
        <v>1861</v>
      </c>
      <c r="N119" s="1484"/>
      <c r="O119" s="13">
        <f>SUM(O116:O116)</f>
        <v>0</v>
      </c>
      <c r="P119" s="14">
        <v>0.8</v>
      </c>
      <c r="Q119" s="13">
        <f>O119/P119</f>
        <v>0</v>
      </c>
      <c r="R119" s="1647" t="s">
        <v>1862</v>
      </c>
      <c r="S119" s="1648"/>
      <c r="T119" s="30">
        <f>SUM(T116:T116)</f>
        <v>0</v>
      </c>
      <c r="U119" s="31">
        <v>0.8</v>
      </c>
      <c r="V119" s="30">
        <f>T119/U119</f>
        <v>0</v>
      </c>
      <c r="W119" s="1647" t="s">
        <v>1863</v>
      </c>
      <c r="X119" s="1648"/>
      <c r="Y119" s="30">
        <f>SUM(Y116:Y116)</f>
        <v>0</v>
      </c>
      <c r="Z119" s="31">
        <v>0.8</v>
      </c>
      <c r="AA119" s="32">
        <f>Y119/Z119</f>
        <v>0</v>
      </c>
      <c r="AB119" s="1482" t="s">
        <v>1860</v>
      </c>
      <c r="AC119" s="1483"/>
      <c r="AD119" s="1484"/>
      <c r="AE119" s="13">
        <f>SUM(AE116:AE116)</f>
        <v>0</v>
      </c>
      <c r="AF119" s="14">
        <v>0.8</v>
      </c>
      <c r="AG119" s="13">
        <f>AE119/AF119</f>
        <v>0</v>
      </c>
    </row>
    <row r="120" spans="1:33" s="437" customFormat="1" ht="15.75" thickBot="1" x14ac:dyDescent="0.3">
      <c r="A120" s="512"/>
      <c r="B120" s="511"/>
      <c r="C120" s="511"/>
      <c r="D120" s="511"/>
      <c r="E120" s="511"/>
      <c r="F120" s="512"/>
      <c r="G120" s="1499" t="s">
        <v>1988</v>
      </c>
      <c r="H120" s="1499"/>
      <c r="I120" s="1499"/>
      <c r="J120" s="1499"/>
      <c r="K120" s="1499"/>
      <c r="L120" s="1500"/>
      <c r="M120" s="479"/>
      <c r="N120" s="480"/>
      <c r="O120" s="481"/>
      <c r="P120" s="481"/>
      <c r="Q120" s="481"/>
      <c r="R120" s="440"/>
      <c r="S120" s="441"/>
      <c r="T120" s="419"/>
      <c r="U120" s="419"/>
      <c r="V120" s="419"/>
      <c r="W120" s="440"/>
      <c r="X120" s="441"/>
      <c r="Y120" s="419"/>
      <c r="Z120" s="419"/>
      <c r="AA120" s="442"/>
      <c r="AB120" s="1625"/>
      <c r="AC120" s="1626"/>
      <c r="AD120" s="1626"/>
      <c r="AE120" s="1626"/>
      <c r="AF120" s="1626"/>
      <c r="AG120" s="1627"/>
    </row>
    <row r="121" spans="1:33" s="437" customFormat="1" ht="45" x14ac:dyDescent="0.25">
      <c r="A121" s="513" t="str">
        <f>'Расчет ЦП - общая форма'!C170</f>
        <v>ПС 35/10 кВ Нерль</v>
      </c>
      <c r="B121" s="502">
        <f>'Расчет ЦП - общая форма'!D170</f>
        <v>4</v>
      </c>
      <c r="C121" s="502" t="str">
        <f>'Расчет ЦП - общая форма'!E170</f>
        <v>+</v>
      </c>
      <c r="D121" s="502">
        <f>'Расчет ЦП - общая форма'!F170</f>
        <v>2.5</v>
      </c>
      <c r="E121" s="502"/>
      <c r="F121" s="513"/>
      <c r="G121" s="445" t="s">
        <v>1273</v>
      </c>
      <c r="H121" s="446" t="s">
        <v>1274</v>
      </c>
      <c r="I121" s="446" t="s">
        <v>1275</v>
      </c>
      <c r="J121" s="446">
        <v>0.19500000000000001</v>
      </c>
      <c r="K121" s="446"/>
      <c r="L121" s="446"/>
      <c r="M121" s="446" t="s">
        <v>1276</v>
      </c>
      <c r="N121" s="446" t="s">
        <v>1277</v>
      </c>
      <c r="O121" s="446">
        <v>0.55000000000000004</v>
      </c>
      <c r="P121" s="446"/>
      <c r="Q121" s="446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9"/>
      <c r="AB121" s="446"/>
      <c r="AC121" s="446"/>
      <c r="AD121" s="446"/>
      <c r="AE121" s="446"/>
      <c r="AF121" s="446"/>
      <c r="AG121" s="446"/>
    </row>
    <row r="122" spans="1:33" s="437" customFormat="1" ht="20.25" customHeight="1" x14ac:dyDescent="0.25">
      <c r="A122" s="513"/>
      <c r="B122" s="502"/>
      <c r="C122" s="502"/>
      <c r="D122" s="502"/>
      <c r="E122" s="502"/>
      <c r="F122" s="513"/>
      <c r="G122" s="1548" t="s">
        <v>2675</v>
      </c>
      <c r="H122" s="1548"/>
      <c r="I122" s="1548"/>
      <c r="J122" s="1548"/>
      <c r="K122" s="1548"/>
      <c r="L122" s="1548"/>
      <c r="M122" s="416" t="s">
        <v>1918</v>
      </c>
      <c r="N122" s="416" t="s">
        <v>1278</v>
      </c>
      <c r="O122" s="416">
        <v>0.05</v>
      </c>
      <c r="P122" s="416"/>
      <c r="Q122" s="416"/>
      <c r="R122" s="299"/>
      <c r="S122" s="299"/>
      <c r="T122" s="299"/>
      <c r="U122" s="299"/>
      <c r="V122" s="299"/>
      <c r="W122" s="299"/>
      <c r="X122" s="299"/>
      <c r="Y122" s="299"/>
      <c r="Z122" s="299"/>
      <c r="AA122" s="452"/>
      <c r="AB122" s="478"/>
      <c r="AC122" s="478"/>
      <c r="AD122" s="478"/>
      <c r="AE122" s="416"/>
      <c r="AF122" s="416"/>
      <c r="AG122" s="416"/>
    </row>
    <row r="123" spans="1:33" s="437" customFormat="1" ht="20.25" customHeight="1" x14ac:dyDescent="0.25">
      <c r="A123" s="513"/>
      <c r="B123" s="502"/>
      <c r="C123" s="502"/>
      <c r="D123" s="502"/>
      <c r="E123" s="502"/>
      <c r="F123" s="513"/>
      <c r="G123" s="1607"/>
      <c r="H123" s="1608"/>
      <c r="I123" s="1609"/>
      <c r="J123" s="416"/>
      <c r="K123" s="416"/>
      <c r="L123" s="416"/>
      <c r="M123" s="416" t="s">
        <v>2358</v>
      </c>
      <c r="N123" s="866" t="s">
        <v>2359</v>
      </c>
      <c r="O123" s="416">
        <v>0.1</v>
      </c>
      <c r="P123" s="453"/>
      <c r="Q123" s="453"/>
      <c r="R123" s="454"/>
      <c r="S123" s="455"/>
      <c r="T123" s="456"/>
      <c r="U123" s="456"/>
      <c r="V123" s="456"/>
      <c r="W123" s="454"/>
      <c r="X123" s="455"/>
      <c r="Y123" s="456"/>
      <c r="Z123" s="456"/>
      <c r="AA123" s="489"/>
      <c r="AB123" s="416"/>
      <c r="AC123" s="416"/>
      <c r="AD123" s="416"/>
      <c r="AE123" s="416"/>
      <c r="AF123" s="416"/>
      <c r="AG123" s="416"/>
    </row>
    <row r="124" spans="1:33" s="437" customFormat="1" ht="20.25" customHeight="1" x14ac:dyDescent="0.25">
      <c r="A124" s="868"/>
      <c r="B124" s="865"/>
      <c r="C124" s="865"/>
      <c r="D124" s="865"/>
      <c r="E124" s="865"/>
      <c r="F124" s="868"/>
      <c r="G124" s="1548" t="s">
        <v>3068</v>
      </c>
      <c r="H124" s="1548"/>
      <c r="I124" s="1548"/>
      <c r="J124" s="1548"/>
      <c r="K124" s="1548"/>
      <c r="L124" s="1548"/>
      <c r="M124" s="866" t="s">
        <v>3034</v>
      </c>
      <c r="N124" s="866" t="s">
        <v>3035</v>
      </c>
      <c r="O124" s="866">
        <f>0.05-0.015</f>
        <v>3.5000000000000003E-2</v>
      </c>
      <c r="P124" s="453"/>
      <c r="Q124" s="453"/>
      <c r="R124" s="454"/>
      <c r="S124" s="455"/>
      <c r="T124" s="456"/>
      <c r="U124" s="456"/>
      <c r="V124" s="456"/>
      <c r="W124" s="454"/>
      <c r="X124" s="455"/>
      <c r="Y124" s="456"/>
      <c r="Z124" s="456"/>
      <c r="AA124" s="489"/>
      <c r="AB124" s="607"/>
      <c r="AC124" s="710"/>
      <c r="AD124" s="458"/>
      <c r="AE124" s="453"/>
      <c r="AF124" s="453"/>
      <c r="AG124" s="453"/>
    </row>
    <row r="125" spans="1:33" s="437" customFormat="1" ht="20.25" customHeight="1" x14ac:dyDescent="0.25">
      <c r="A125" s="1215"/>
      <c r="B125" s="1217"/>
      <c r="C125" s="1217"/>
      <c r="D125" s="1217"/>
      <c r="E125" s="1217"/>
      <c r="F125" s="1215"/>
      <c r="G125" s="1518" t="s">
        <v>3481</v>
      </c>
      <c r="H125" s="1519"/>
      <c r="I125" s="1520"/>
      <c r="J125" s="1225">
        <v>0.94199999999999995</v>
      </c>
      <c r="K125" s="1225"/>
      <c r="L125" s="1225"/>
      <c r="M125" s="607"/>
      <c r="N125" s="458"/>
      <c r="O125" s="453"/>
      <c r="P125" s="453"/>
      <c r="Q125" s="453"/>
      <c r="R125" s="454"/>
      <c r="S125" s="455"/>
      <c r="T125" s="456"/>
      <c r="U125" s="456"/>
      <c r="V125" s="456"/>
      <c r="W125" s="454"/>
      <c r="X125" s="455"/>
      <c r="Y125" s="456"/>
      <c r="Z125" s="456"/>
      <c r="AA125" s="489"/>
      <c r="AB125" s="607"/>
      <c r="AC125" s="710"/>
      <c r="AD125" s="458"/>
      <c r="AE125" s="453"/>
      <c r="AF125" s="453"/>
      <c r="AG125" s="453"/>
    </row>
    <row r="126" spans="1:33" ht="16.5" customHeight="1" thickBot="1" x14ac:dyDescent="0.3">
      <c r="A126" s="520"/>
      <c r="B126" s="506"/>
      <c r="C126" s="506"/>
      <c r="D126" s="506"/>
      <c r="E126" s="506"/>
      <c r="F126" s="520"/>
      <c r="G126" s="1483" t="s">
        <v>1860</v>
      </c>
      <c r="H126" s="1483"/>
      <c r="I126" s="1484"/>
      <c r="J126" s="13">
        <f>SUM(J123:J125)</f>
        <v>0.94199999999999995</v>
      </c>
      <c r="K126" s="14">
        <v>0.8</v>
      </c>
      <c r="L126" s="13">
        <f>J126/K126</f>
        <v>1.1774999999999998</v>
      </c>
      <c r="M126" s="1482" t="s">
        <v>1861</v>
      </c>
      <c r="N126" s="1484"/>
      <c r="O126" s="13">
        <f>SUM(O121:O124)</f>
        <v>0.7350000000000001</v>
      </c>
      <c r="P126" s="14">
        <v>0.8</v>
      </c>
      <c r="Q126" s="13">
        <f>O126/P126</f>
        <v>0.91875000000000007</v>
      </c>
      <c r="R126" s="1647" t="s">
        <v>1862</v>
      </c>
      <c r="S126" s="1648"/>
      <c r="T126" s="30">
        <f>SUM(T121:T122)</f>
        <v>0</v>
      </c>
      <c r="U126" s="31">
        <v>0.8</v>
      </c>
      <c r="V126" s="30">
        <f>T126/U126</f>
        <v>0</v>
      </c>
      <c r="W126" s="1647" t="s">
        <v>1863</v>
      </c>
      <c r="X126" s="1648"/>
      <c r="Y126" s="30">
        <f>SUM(Y121:Y122)</f>
        <v>0</v>
      </c>
      <c r="Z126" s="31">
        <v>0.8</v>
      </c>
      <c r="AA126" s="32">
        <f>Y126/Z126</f>
        <v>0</v>
      </c>
      <c r="AB126" s="1482" t="s">
        <v>1860</v>
      </c>
      <c r="AC126" s="1483"/>
      <c r="AD126" s="1484"/>
      <c r="AE126" s="13">
        <f>SUM(AE121:AE122)</f>
        <v>0</v>
      </c>
      <c r="AF126" s="14">
        <v>0.8</v>
      </c>
      <c r="AG126" s="13">
        <f>AE126/AF126</f>
        <v>0</v>
      </c>
    </row>
    <row r="127" spans="1:33" s="437" customFormat="1" ht="19.5" customHeight="1" thickBot="1" x14ac:dyDescent="0.3">
      <c r="A127" s="1618" t="str">
        <f>'Расчет ЦП - общая форма'!C171</f>
        <v xml:space="preserve">ПС 35/10 кВ Плутково  </v>
      </c>
      <c r="B127" s="1612">
        <f>'Расчет ЦП - общая форма'!D171</f>
        <v>2.5</v>
      </c>
      <c r="C127" s="1614" t="str">
        <f>'Расчет ЦП - общая форма'!E171</f>
        <v>+</v>
      </c>
      <c r="D127" s="1614">
        <f>'Расчет ЦП - общая форма'!F171</f>
        <v>2.5</v>
      </c>
      <c r="E127" s="511"/>
      <c r="F127" s="512"/>
      <c r="G127" s="1516" t="s">
        <v>1987</v>
      </c>
      <c r="H127" s="1554"/>
      <c r="I127" s="1554"/>
      <c r="J127" s="1554"/>
      <c r="K127" s="1554"/>
      <c r="L127" s="1554"/>
      <c r="M127" s="446" t="s">
        <v>1207</v>
      </c>
      <c r="N127" s="446" t="s">
        <v>1250</v>
      </c>
      <c r="O127" s="446">
        <v>0.74</v>
      </c>
      <c r="P127" s="446"/>
      <c r="Q127" s="446"/>
      <c r="R127" s="440"/>
      <c r="S127" s="441"/>
      <c r="T127" s="419"/>
      <c r="U127" s="419"/>
      <c r="V127" s="419"/>
      <c r="W127" s="440"/>
      <c r="X127" s="441"/>
      <c r="Y127" s="419"/>
      <c r="Z127" s="419"/>
      <c r="AA127" s="442"/>
      <c r="AB127" s="1635"/>
      <c r="AC127" s="1635"/>
      <c r="AD127" s="1635"/>
      <c r="AE127" s="1635"/>
      <c r="AF127" s="1635"/>
      <c r="AG127" s="1635"/>
    </row>
    <row r="128" spans="1:33" s="437" customFormat="1" ht="54.75" customHeight="1" x14ac:dyDescent="0.25">
      <c r="A128" s="1619"/>
      <c r="B128" s="1613"/>
      <c r="C128" s="1615"/>
      <c r="D128" s="1615"/>
      <c r="E128" s="502"/>
      <c r="F128" s="513"/>
      <c r="G128" s="451" t="s">
        <v>1253</v>
      </c>
      <c r="H128" s="416" t="s">
        <v>1254</v>
      </c>
      <c r="I128" s="416" t="s">
        <v>1249</v>
      </c>
      <c r="J128" s="416">
        <v>0.1</v>
      </c>
      <c r="K128" s="416"/>
      <c r="L128" s="416"/>
      <c r="M128" s="416" t="s">
        <v>1255</v>
      </c>
      <c r="N128" s="866" t="s">
        <v>1256</v>
      </c>
      <c r="O128" s="416">
        <v>0.03</v>
      </c>
      <c r="P128" s="416"/>
      <c r="Q128" s="416"/>
      <c r="R128" s="448" t="s">
        <v>1251</v>
      </c>
      <c r="S128" s="448" t="s">
        <v>1252</v>
      </c>
      <c r="T128" s="448">
        <v>0.2</v>
      </c>
      <c r="U128" s="448"/>
      <c r="V128" s="448"/>
      <c r="W128" s="448"/>
      <c r="X128" s="448"/>
      <c r="Y128" s="448"/>
      <c r="Z128" s="448"/>
      <c r="AA128" s="449"/>
      <c r="AB128" s="416"/>
      <c r="AC128" s="416"/>
      <c r="AD128" s="416"/>
      <c r="AE128" s="416"/>
      <c r="AF128" s="416"/>
      <c r="AG128" s="416"/>
    </row>
    <row r="129" spans="1:33" s="437" customFormat="1" ht="59.25" customHeight="1" x14ac:dyDescent="0.25">
      <c r="A129" s="538"/>
      <c r="B129" s="514"/>
      <c r="C129" s="502"/>
      <c r="D129" s="502"/>
      <c r="E129" s="502"/>
      <c r="F129" s="513"/>
      <c r="G129" s="451" t="s">
        <v>1259</v>
      </c>
      <c r="H129" s="416" t="s">
        <v>1254</v>
      </c>
      <c r="I129" s="416" t="s">
        <v>1260</v>
      </c>
      <c r="J129" s="416">
        <v>0.1</v>
      </c>
      <c r="K129" s="416"/>
      <c r="L129" s="416"/>
      <c r="M129" s="416" t="s">
        <v>1255</v>
      </c>
      <c r="N129" s="416" t="s">
        <v>1261</v>
      </c>
      <c r="O129" s="416">
        <v>0.65</v>
      </c>
      <c r="P129" s="416"/>
      <c r="Q129" s="416"/>
      <c r="R129" s="420" t="s">
        <v>1257</v>
      </c>
      <c r="S129" s="420" t="s">
        <v>1258</v>
      </c>
      <c r="T129" s="420">
        <v>0.115</v>
      </c>
      <c r="U129" s="420"/>
      <c r="V129" s="420"/>
      <c r="W129" s="420"/>
      <c r="X129" s="420"/>
      <c r="Y129" s="420"/>
      <c r="Z129" s="420"/>
      <c r="AA129" s="436"/>
      <c r="AB129" s="416"/>
      <c r="AC129" s="416"/>
      <c r="AD129" s="416"/>
      <c r="AE129" s="416"/>
      <c r="AF129" s="416"/>
      <c r="AG129" s="416"/>
    </row>
    <row r="130" spans="1:33" s="437" customFormat="1" ht="66.75" customHeight="1" x14ac:dyDescent="0.25">
      <c r="A130" s="538"/>
      <c r="B130" s="514"/>
      <c r="C130" s="502"/>
      <c r="D130" s="502"/>
      <c r="E130" s="502"/>
      <c r="F130" s="513"/>
      <c r="G130" s="451" t="s">
        <v>117</v>
      </c>
      <c r="H130" s="416" t="s">
        <v>118</v>
      </c>
      <c r="I130" s="483" t="s">
        <v>2335</v>
      </c>
      <c r="J130" s="447">
        <v>0.1</v>
      </c>
      <c r="K130" s="416"/>
      <c r="L130" s="416"/>
      <c r="M130" s="416" t="s">
        <v>1263</v>
      </c>
      <c r="N130" s="866" t="s">
        <v>1264</v>
      </c>
      <c r="O130" s="416">
        <v>0.182</v>
      </c>
      <c r="P130" s="416"/>
      <c r="Q130" s="416"/>
      <c r="R130" s="420" t="s">
        <v>1262</v>
      </c>
      <c r="S130" s="420" t="s">
        <v>1258</v>
      </c>
      <c r="T130" s="420">
        <v>0.115</v>
      </c>
      <c r="U130" s="420"/>
      <c r="V130" s="420"/>
      <c r="W130" s="420"/>
      <c r="X130" s="420"/>
      <c r="Y130" s="420"/>
      <c r="Z130" s="420"/>
      <c r="AA130" s="436"/>
      <c r="AB130" s="416"/>
      <c r="AC130" s="416"/>
      <c r="AD130" s="483"/>
      <c r="AE130" s="447"/>
      <c r="AF130" s="416"/>
      <c r="AG130" s="416"/>
    </row>
    <row r="131" spans="1:33" s="437" customFormat="1" ht="24" customHeight="1" x14ac:dyDescent="0.25">
      <c r="A131" s="538"/>
      <c r="B131" s="514"/>
      <c r="C131" s="502"/>
      <c r="D131" s="502"/>
      <c r="E131" s="502"/>
      <c r="F131" s="513"/>
      <c r="G131" s="1545" t="s">
        <v>2061</v>
      </c>
      <c r="H131" s="1548"/>
      <c r="I131" s="1548"/>
      <c r="J131" s="1548"/>
      <c r="K131" s="1548"/>
      <c r="L131" s="1548"/>
      <c r="M131" s="416" t="s">
        <v>1266</v>
      </c>
      <c r="N131" s="416" t="s">
        <v>1267</v>
      </c>
      <c r="O131" s="416">
        <v>0.23</v>
      </c>
      <c r="P131" s="416"/>
      <c r="Q131" s="416"/>
      <c r="R131" s="420"/>
      <c r="S131" s="420"/>
      <c r="T131" s="420"/>
      <c r="U131" s="420"/>
      <c r="V131" s="420"/>
      <c r="W131" s="420"/>
      <c r="X131" s="420"/>
      <c r="Y131" s="420"/>
      <c r="Z131" s="420"/>
      <c r="AA131" s="436"/>
      <c r="AB131" s="1636"/>
      <c r="AC131" s="1636"/>
      <c r="AD131" s="1636"/>
      <c r="AE131" s="1636"/>
      <c r="AF131" s="1636"/>
      <c r="AG131" s="1636"/>
    </row>
    <row r="132" spans="1:33" s="437" customFormat="1" ht="59.25" customHeight="1" x14ac:dyDescent="0.25">
      <c r="A132" s="538"/>
      <c r="B132" s="514"/>
      <c r="C132" s="502"/>
      <c r="D132" s="502"/>
      <c r="E132" s="502"/>
      <c r="F132" s="513"/>
      <c r="G132" s="451" t="s">
        <v>807</v>
      </c>
      <c r="H132" s="416" t="s">
        <v>808</v>
      </c>
      <c r="I132" s="416" t="s">
        <v>2292</v>
      </c>
      <c r="J132" s="447">
        <v>0.04</v>
      </c>
      <c r="K132" s="416"/>
      <c r="L132" s="416"/>
      <c r="M132" s="447" t="s">
        <v>2021</v>
      </c>
      <c r="N132" s="447" t="s">
        <v>2022</v>
      </c>
      <c r="O132" s="447">
        <v>0.1</v>
      </c>
      <c r="P132" s="416"/>
      <c r="Q132" s="416"/>
      <c r="R132" s="299" t="s">
        <v>1263</v>
      </c>
      <c r="S132" s="299" t="s">
        <v>1265</v>
      </c>
      <c r="T132" s="299">
        <v>0.182</v>
      </c>
      <c r="U132" s="299"/>
      <c r="V132" s="299"/>
      <c r="W132" s="299"/>
      <c r="X132" s="299"/>
      <c r="Y132" s="299"/>
      <c r="Z132" s="299"/>
      <c r="AA132" s="452"/>
      <c r="AB132" s="416"/>
      <c r="AC132" s="416"/>
      <c r="AD132" s="416"/>
      <c r="AE132" s="447"/>
      <c r="AF132" s="416"/>
      <c r="AG132" s="416"/>
    </row>
    <row r="133" spans="1:33" s="437" customFormat="1" ht="57" customHeight="1" x14ac:dyDescent="0.25">
      <c r="A133" s="538"/>
      <c r="B133" s="514"/>
      <c r="C133" s="502"/>
      <c r="D133" s="502"/>
      <c r="E133" s="502"/>
      <c r="F133" s="513"/>
      <c r="G133" s="451" t="s">
        <v>33</v>
      </c>
      <c r="H133" s="416" t="s">
        <v>34</v>
      </c>
      <c r="I133" s="416" t="s">
        <v>2316</v>
      </c>
      <c r="J133" s="447">
        <v>0.2</v>
      </c>
      <c r="K133" s="416"/>
      <c r="L133" s="416"/>
      <c r="M133" s="416" t="s">
        <v>799</v>
      </c>
      <c r="N133" s="416" t="s">
        <v>800</v>
      </c>
      <c r="O133" s="447">
        <v>0.1</v>
      </c>
      <c r="P133" s="416"/>
      <c r="Q133" s="416"/>
      <c r="R133" s="454"/>
      <c r="S133" s="455"/>
      <c r="T133" s="456"/>
      <c r="U133" s="456"/>
      <c r="V133" s="456"/>
      <c r="W133" s="454"/>
      <c r="X133" s="455"/>
      <c r="Y133" s="456"/>
      <c r="Z133" s="456"/>
      <c r="AA133" s="489"/>
      <c r="AB133" s="416"/>
      <c r="AC133" s="416"/>
      <c r="AD133" s="416"/>
      <c r="AE133" s="447"/>
      <c r="AF133" s="416"/>
      <c r="AG133" s="416"/>
    </row>
    <row r="134" spans="1:33" s="437" customFormat="1" ht="33" customHeight="1" x14ac:dyDescent="0.25">
      <c r="A134" s="538"/>
      <c r="B134" s="514"/>
      <c r="C134" s="502"/>
      <c r="D134" s="502"/>
      <c r="E134" s="502"/>
      <c r="F134" s="513"/>
      <c r="G134" s="1545" t="s">
        <v>2512</v>
      </c>
      <c r="H134" s="1548"/>
      <c r="I134" s="1548"/>
      <c r="J134" s="1548"/>
      <c r="K134" s="1548"/>
      <c r="L134" s="1548"/>
      <c r="M134" s="416" t="s">
        <v>6</v>
      </c>
      <c r="N134" s="416" t="s">
        <v>8</v>
      </c>
      <c r="O134" s="447">
        <v>0.23</v>
      </c>
      <c r="P134" s="416"/>
      <c r="Q134" s="416"/>
      <c r="R134" s="454"/>
      <c r="S134" s="455"/>
      <c r="T134" s="456"/>
      <c r="U134" s="456"/>
      <c r="V134" s="456"/>
      <c r="W134" s="454"/>
      <c r="X134" s="455"/>
      <c r="Y134" s="456"/>
      <c r="Z134" s="456"/>
      <c r="AA134" s="489"/>
      <c r="AB134" s="416"/>
      <c r="AC134" s="416"/>
      <c r="AD134" s="416"/>
      <c r="AE134" s="416"/>
      <c r="AF134" s="416"/>
      <c r="AG134" s="416"/>
    </row>
    <row r="135" spans="1:33" s="437" customFormat="1" ht="60.75" customHeight="1" x14ac:dyDescent="0.25">
      <c r="A135" s="538"/>
      <c r="B135" s="514"/>
      <c r="C135" s="502"/>
      <c r="D135" s="502"/>
      <c r="E135" s="502"/>
      <c r="F135" s="513"/>
      <c r="G135" s="703" t="s">
        <v>2643</v>
      </c>
      <c r="H135" s="703" t="s">
        <v>2722</v>
      </c>
      <c r="I135" s="703" t="s">
        <v>2723</v>
      </c>
      <c r="J135" s="447">
        <v>0.04</v>
      </c>
      <c r="K135" s="416"/>
      <c r="L135" s="416"/>
      <c r="M135" s="416" t="s">
        <v>6</v>
      </c>
      <c r="N135" s="416" t="s">
        <v>7</v>
      </c>
      <c r="O135" s="447">
        <v>0.24</v>
      </c>
      <c r="P135" s="416"/>
      <c r="Q135" s="416"/>
      <c r="R135" s="454"/>
      <c r="S135" s="455"/>
      <c r="T135" s="456"/>
      <c r="U135" s="456"/>
      <c r="V135" s="456"/>
      <c r="W135" s="454"/>
      <c r="X135" s="455"/>
      <c r="Y135" s="456"/>
      <c r="Z135" s="456"/>
      <c r="AA135" s="489"/>
      <c r="AB135" s="416"/>
      <c r="AC135" s="416"/>
      <c r="AD135" s="416"/>
      <c r="AE135" s="416"/>
      <c r="AF135" s="416"/>
      <c r="AG135" s="416"/>
    </row>
    <row r="136" spans="1:33" s="437" customFormat="1" ht="60.75" customHeight="1" x14ac:dyDescent="0.25">
      <c r="A136" s="538"/>
      <c r="B136" s="514"/>
      <c r="C136" s="502"/>
      <c r="D136" s="502"/>
      <c r="E136" s="502"/>
      <c r="F136" s="513"/>
      <c r="G136" s="719" t="s">
        <v>2696</v>
      </c>
      <c r="H136" s="719" t="s">
        <v>2697</v>
      </c>
      <c r="I136" s="719" t="s">
        <v>2739</v>
      </c>
      <c r="J136" s="416">
        <v>0.4</v>
      </c>
      <c r="K136" s="416"/>
      <c r="L136" s="416"/>
      <c r="M136" s="416" t="s">
        <v>15</v>
      </c>
      <c r="N136" s="671" t="s">
        <v>16</v>
      </c>
      <c r="O136" s="447">
        <v>0.2</v>
      </c>
      <c r="P136" s="416"/>
      <c r="Q136" s="416"/>
      <c r="R136" s="454"/>
      <c r="S136" s="455"/>
      <c r="T136" s="456"/>
      <c r="U136" s="456"/>
      <c r="V136" s="456"/>
      <c r="W136" s="454"/>
      <c r="X136" s="455"/>
      <c r="Y136" s="456"/>
      <c r="Z136" s="456"/>
      <c r="AA136" s="489"/>
      <c r="AB136" s="416"/>
      <c r="AC136" s="416"/>
      <c r="AD136" s="416"/>
      <c r="AE136" s="416"/>
      <c r="AF136" s="416"/>
      <c r="AG136" s="416"/>
    </row>
    <row r="137" spans="1:33" s="437" customFormat="1" ht="27" customHeight="1" x14ac:dyDescent="0.25">
      <c r="A137" s="538"/>
      <c r="B137" s="514"/>
      <c r="C137" s="502"/>
      <c r="D137" s="502"/>
      <c r="E137" s="502"/>
      <c r="F137" s="513"/>
      <c r="G137" s="1545" t="s">
        <v>3068</v>
      </c>
      <c r="H137" s="1548"/>
      <c r="I137" s="1548"/>
      <c r="J137" s="1548"/>
      <c r="K137" s="1548"/>
      <c r="L137" s="1548"/>
      <c r="M137" s="671"/>
      <c r="N137" s="671"/>
      <c r="O137" s="447"/>
      <c r="P137" s="416"/>
      <c r="Q137" s="416"/>
      <c r="R137" s="454"/>
      <c r="S137" s="455"/>
      <c r="T137" s="456"/>
      <c r="U137" s="456"/>
      <c r="V137" s="456"/>
      <c r="W137" s="454"/>
      <c r="X137" s="455"/>
      <c r="Y137" s="456"/>
      <c r="Z137" s="456"/>
      <c r="AA137" s="489"/>
      <c r="AB137" s="416"/>
      <c r="AC137" s="416"/>
      <c r="AD137" s="416"/>
      <c r="AE137" s="416"/>
      <c r="AF137" s="416"/>
      <c r="AG137" s="416"/>
    </row>
    <row r="138" spans="1:33" s="437" customFormat="1" ht="60.75" customHeight="1" x14ac:dyDescent="0.25">
      <c r="A138" s="538"/>
      <c r="B138" s="514"/>
      <c r="C138" s="502"/>
      <c r="D138" s="502"/>
      <c r="E138" s="502"/>
      <c r="F138" s="513"/>
      <c r="G138" s="1518" t="s">
        <v>3481</v>
      </c>
      <c r="H138" s="1519"/>
      <c r="I138" s="1520"/>
      <c r="J138" s="1233">
        <v>0.48899999999999999</v>
      </c>
      <c r="K138" s="416"/>
      <c r="L138" s="416"/>
      <c r="M138" s="693"/>
      <c r="N138" s="693"/>
      <c r="O138" s="447"/>
      <c r="P138" s="416"/>
      <c r="Q138" s="416"/>
      <c r="R138" s="454"/>
      <c r="S138" s="455"/>
      <c r="T138" s="456"/>
      <c r="U138" s="456"/>
      <c r="V138" s="456"/>
      <c r="W138" s="454"/>
      <c r="X138" s="455"/>
      <c r="Y138" s="456"/>
      <c r="Z138" s="456"/>
      <c r="AA138" s="489"/>
      <c r="AB138" s="416"/>
      <c r="AC138" s="416"/>
      <c r="AD138" s="416"/>
      <c r="AE138" s="416"/>
      <c r="AF138" s="416"/>
      <c r="AG138" s="416"/>
    </row>
    <row r="139" spans="1:33" ht="15.75" thickBot="1" x14ac:dyDescent="0.3">
      <c r="A139" s="528"/>
      <c r="B139" s="519"/>
      <c r="C139" s="506"/>
      <c r="D139" s="506"/>
      <c r="E139" s="506"/>
      <c r="F139" s="520"/>
      <c r="G139" s="1483" t="s">
        <v>1860</v>
      </c>
      <c r="H139" s="1483"/>
      <c r="I139" s="1484"/>
      <c r="J139" s="13">
        <f>SUM(J135:J138)</f>
        <v>0.92900000000000005</v>
      </c>
      <c r="K139" s="14">
        <v>0.8</v>
      </c>
      <c r="L139" s="13">
        <f>J139/K139</f>
        <v>1.1612499999999999</v>
      </c>
      <c r="M139" s="1482" t="s">
        <v>1861</v>
      </c>
      <c r="N139" s="1484"/>
      <c r="O139" s="13">
        <f>SUM(O127:O138)</f>
        <v>2.702</v>
      </c>
      <c r="P139" s="14">
        <v>0.8</v>
      </c>
      <c r="Q139" s="13">
        <f>O139/P139</f>
        <v>3.3774999999999999</v>
      </c>
      <c r="R139" s="1647" t="s">
        <v>1862</v>
      </c>
      <c r="S139" s="1648"/>
      <c r="T139" s="30">
        <f>SUM(T128:T132)</f>
        <v>0.61199999999999999</v>
      </c>
      <c r="U139" s="31">
        <v>0.8</v>
      </c>
      <c r="V139" s="30">
        <f>T139/U139</f>
        <v>0.7649999999999999</v>
      </c>
      <c r="W139" s="1647" t="s">
        <v>1863</v>
      </c>
      <c r="X139" s="1648"/>
      <c r="Y139" s="30">
        <f>SUM(Y128:Y132)</f>
        <v>0</v>
      </c>
      <c r="Z139" s="31">
        <v>0.8</v>
      </c>
      <c r="AA139" s="32">
        <f>Y139/Z139</f>
        <v>0</v>
      </c>
      <c r="AB139" s="1482" t="s">
        <v>1860</v>
      </c>
      <c r="AC139" s="1483"/>
      <c r="AD139" s="1484"/>
      <c r="AE139" s="13">
        <f>SUM(AE128:AE134)</f>
        <v>0</v>
      </c>
      <c r="AF139" s="14">
        <v>0.8</v>
      </c>
      <c r="AG139" s="13">
        <f>AE139/AF139</f>
        <v>0</v>
      </c>
    </row>
    <row r="140" spans="1:33" x14ac:dyDescent="0.25">
      <c r="A140" s="527" t="str">
        <f>'Расчет ЦП - общая форма'!C172</f>
        <v xml:space="preserve">ПС 35/10 кВ Савцино </v>
      </c>
      <c r="B140" s="510">
        <f>'Расчет ЦП - общая форма'!D172</f>
        <v>2.5</v>
      </c>
      <c r="C140" s="511" t="str">
        <f>'Расчет ЦП - общая форма'!E172</f>
        <v>+</v>
      </c>
      <c r="D140" s="511">
        <f>'Расчет ЦП - общая форма'!F172</f>
        <v>2.5</v>
      </c>
      <c r="E140" s="511"/>
      <c r="F140" s="512"/>
      <c r="G140" s="43"/>
      <c r="H140" s="17"/>
      <c r="I140" s="17"/>
      <c r="J140" s="17"/>
      <c r="K140" s="17"/>
      <c r="L140" s="73"/>
      <c r="M140" s="17"/>
      <c r="N140" s="17"/>
      <c r="O140" s="17"/>
      <c r="P140" s="17"/>
      <c r="Q140" s="17"/>
      <c r="R140" s="27"/>
      <c r="S140" s="27"/>
      <c r="T140" s="27"/>
      <c r="U140" s="27"/>
      <c r="V140" s="27"/>
      <c r="W140" s="27"/>
      <c r="X140" s="27"/>
      <c r="Y140" s="27"/>
      <c r="Z140" s="27"/>
      <c r="AA140" s="28"/>
      <c r="AB140" s="17"/>
      <c r="AC140" s="17"/>
      <c r="AD140" s="17"/>
      <c r="AE140" s="17"/>
      <c r="AF140" s="17"/>
      <c r="AG140" s="73"/>
    </row>
    <row r="141" spans="1:33" ht="15.75" thickBot="1" x14ac:dyDescent="0.3">
      <c r="A141" s="528"/>
      <c r="B141" s="519"/>
      <c r="C141" s="506"/>
      <c r="D141" s="506"/>
      <c r="E141" s="506"/>
      <c r="F141" s="520"/>
      <c r="G141" s="1483" t="s">
        <v>1860</v>
      </c>
      <c r="H141" s="1483"/>
      <c r="I141" s="1484"/>
      <c r="J141" s="13">
        <f>SUM(J140:J140)</f>
        <v>0</v>
      </c>
      <c r="K141" s="14">
        <v>0.8</v>
      </c>
      <c r="L141" s="13">
        <f>J141/K141</f>
        <v>0</v>
      </c>
      <c r="M141" s="1482" t="s">
        <v>1861</v>
      </c>
      <c r="N141" s="1484"/>
      <c r="O141" s="13">
        <f>SUM(O140:O140)</f>
        <v>0</v>
      </c>
      <c r="P141" s="14">
        <v>0.8</v>
      </c>
      <c r="Q141" s="13">
        <f>O141/P141</f>
        <v>0</v>
      </c>
      <c r="R141" s="1647" t="s">
        <v>1862</v>
      </c>
      <c r="S141" s="1648"/>
      <c r="T141" s="30">
        <f>SUM(T140:T140)</f>
        <v>0</v>
      </c>
      <c r="U141" s="31">
        <v>0.8</v>
      </c>
      <c r="V141" s="30">
        <f>T141/U141</f>
        <v>0</v>
      </c>
      <c r="W141" s="1647" t="s">
        <v>1863</v>
      </c>
      <c r="X141" s="1648"/>
      <c r="Y141" s="30">
        <f>SUM(Y140:Y140)</f>
        <v>0</v>
      </c>
      <c r="Z141" s="31">
        <v>0.8</v>
      </c>
      <c r="AA141" s="32">
        <f>Y141/Z141</f>
        <v>0</v>
      </c>
      <c r="AB141" s="1482" t="s">
        <v>1860</v>
      </c>
      <c r="AC141" s="1483"/>
      <c r="AD141" s="1484"/>
      <c r="AE141" s="13">
        <f>SUM(AE140:AE140)</f>
        <v>0</v>
      </c>
      <c r="AF141" s="14">
        <v>0.8</v>
      </c>
      <c r="AG141" s="13">
        <f>AE141/AF141</f>
        <v>0</v>
      </c>
    </row>
    <row r="142" spans="1:33" x14ac:dyDescent="0.25">
      <c r="A142" s="527" t="str">
        <f>'Расчет ЦП - общая форма'!C173</f>
        <v xml:space="preserve">ПС 35/10 кВ Сотское </v>
      </c>
      <c r="B142" s="510">
        <f>'Расчет ЦП - общая форма'!D173</f>
        <v>1.6</v>
      </c>
      <c r="C142" s="511" t="str">
        <f>'Расчет ЦП - общая форма'!E173</f>
        <v>+</v>
      </c>
      <c r="D142" s="511">
        <f>'Расчет ЦП - общая форма'!F173</f>
        <v>2.5</v>
      </c>
      <c r="E142" s="511"/>
      <c r="F142" s="512"/>
      <c r="G142" s="43"/>
      <c r="H142" s="17"/>
      <c r="I142" s="17"/>
      <c r="J142" s="17"/>
      <c r="K142" s="17"/>
      <c r="L142" s="73"/>
      <c r="M142" s="17"/>
      <c r="N142" s="17"/>
      <c r="O142" s="17"/>
      <c r="P142" s="17"/>
      <c r="Q142" s="17"/>
      <c r="R142" s="27"/>
      <c r="S142" s="27"/>
      <c r="T142" s="27"/>
      <c r="U142" s="27"/>
      <c r="V142" s="27"/>
      <c r="W142" s="27"/>
      <c r="X142" s="27"/>
      <c r="Y142" s="27"/>
      <c r="Z142" s="27"/>
      <c r="AA142" s="28"/>
      <c r="AB142" s="17"/>
      <c r="AC142" s="17"/>
      <c r="AD142" s="17"/>
      <c r="AE142" s="17"/>
      <c r="AF142" s="17"/>
      <c r="AG142" s="73"/>
    </row>
    <row r="143" spans="1:33" ht="15.75" thickBot="1" x14ac:dyDescent="0.3">
      <c r="A143" s="528"/>
      <c r="B143" s="519"/>
      <c r="C143" s="506"/>
      <c r="D143" s="506"/>
      <c r="E143" s="506"/>
      <c r="F143" s="520"/>
      <c r="G143" s="1483" t="s">
        <v>1860</v>
      </c>
      <c r="H143" s="1483"/>
      <c r="I143" s="1484"/>
      <c r="J143" s="13">
        <f>SUM(J142:J142)</f>
        <v>0</v>
      </c>
      <c r="K143" s="14">
        <v>0.8</v>
      </c>
      <c r="L143" s="13">
        <f>J143/K143</f>
        <v>0</v>
      </c>
      <c r="M143" s="1482" t="s">
        <v>1861</v>
      </c>
      <c r="N143" s="1484"/>
      <c r="O143" s="13">
        <f>SUM(O142:O142)</f>
        <v>0</v>
      </c>
      <c r="P143" s="14">
        <v>0.8</v>
      </c>
      <c r="Q143" s="13">
        <f>O143/P143</f>
        <v>0</v>
      </c>
      <c r="R143" s="1647" t="s">
        <v>1862</v>
      </c>
      <c r="S143" s="1648"/>
      <c r="T143" s="30">
        <f>SUM(T142:T142)</f>
        <v>0</v>
      </c>
      <c r="U143" s="31">
        <v>0.8</v>
      </c>
      <c r="V143" s="30">
        <f>T143/U143</f>
        <v>0</v>
      </c>
      <c r="W143" s="1647" t="s">
        <v>1863</v>
      </c>
      <c r="X143" s="1648"/>
      <c r="Y143" s="30">
        <f>SUM(Y142:Y142)</f>
        <v>0</v>
      </c>
      <c r="Z143" s="31">
        <v>0.8</v>
      </c>
      <c r="AA143" s="32">
        <f>Y143/Z143</f>
        <v>0</v>
      </c>
      <c r="AB143" s="1482" t="s">
        <v>1860</v>
      </c>
      <c r="AC143" s="1483"/>
      <c r="AD143" s="1484"/>
      <c r="AE143" s="13">
        <f>SUM(AE142:AE142)</f>
        <v>0</v>
      </c>
      <c r="AF143" s="14">
        <v>0.8</v>
      </c>
      <c r="AG143" s="13">
        <f>AE143/AF143</f>
        <v>0</v>
      </c>
    </row>
    <row r="144" spans="1:33" x14ac:dyDescent="0.25">
      <c r="A144" s="527" t="str">
        <f>'Расчет ЦП - общая форма'!C174</f>
        <v xml:space="preserve">ПС 35/10 кВ Стоянцы </v>
      </c>
      <c r="B144" s="510">
        <f>'Расчет ЦП - общая форма'!D174</f>
        <v>2.5</v>
      </c>
      <c r="C144" s="511" t="str">
        <f>'Расчет ЦП - общая форма'!E174</f>
        <v>+</v>
      </c>
      <c r="D144" s="511">
        <f>'Расчет ЦП - общая форма'!F174</f>
        <v>2.5</v>
      </c>
      <c r="E144" s="511"/>
      <c r="F144" s="512"/>
      <c r="G144" s="43"/>
      <c r="H144" s="17"/>
      <c r="I144" s="17"/>
      <c r="J144" s="17"/>
      <c r="K144" s="17"/>
      <c r="L144" s="73"/>
      <c r="M144" s="17"/>
      <c r="N144" s="17"/>
      <c r="O144" s="17"/>
      <c r="P144" s="17"/>
      <c r="Q144" s="17"/>
      <c r="R144" s="27"/>
      <c r="S144" s="27"/>
      <c r="T144" s="27"/>
      <c r="U144" s="27"/>
      <c r="V144" s="27"/>
      <c r="W144" s="27"/>
      <c r="X144" s="27"/>
      <c r="Y144" s="27"/>
      <c r="Z144" s="27"/>
      <c r="AA144" s="28"/>
      <c r="AB144" s="17"/>
      <c r="AC144" s="17"/>
      <c r="AD144" s="17"/>
      <c r="AE144" s="17"/>
      <c r="AF144" s="17"/>
      <c r="AG144" s="73"/>
    </row>
    <row r="145" spans="1:33" ht="15.75" thickBot="1" x14ac:dyDescent="0.3">
      <c r="A145" s="528"/>
      <c r="B145" s="519"/>
      <c r="C145" s="506"/>
      <c r="D145" s="506"/>
      <c r="E145" s="506"/>
      <c r="F145" s="520"/>
      <c r="G145" s="1483" t="s">
        <v>1860</v>
      </c>
      <c r="H145" s="1483"/>
      <c r="I145" s="1484"/>
      <c r="J145" s="13">
        <f>SUM(J144:J144)</f>
        <v>0</v>
      </c>
      <c r="K145" s="14">
        <v>0.8</v>
      </c>
      <c r="L145" s="13">
        <f>J145/K145</f>
        <v>0</v>
      </c>
      <c r="M145" s="1482" t="s">
        <v>1861</v>
      </c>
      <c r="N145" s="1484"/>
      <c r="O145" s="13">
        <f>SUM(O144:O144)</f>
        <v>0</v>
      </c>
      <c r="P145" s="14">
        <v>0.8</v>
      </c>
      <c r="Q145" s="13">
        <f>O145/P145</f>
        <v>0</v>
      </c>
      <c r="R145" s="1647" t="s">
        <v>1862</v>
      </c>
      <c r="S145" s="1648"/>
      <c r="T145" s="30">
        <f>SUM(T144:T144)</f>
        <v>0</v>
      </c>
      <c r="U145" s="31">
        <v>0.8</v>
      </c>
      <c r="V145" s="30">
        <f>T145/U145</f>
        <v>0</v>
      </c>
      <c r="W145" s="1647" t="s">
        <v>1863</v>
      </c>
      <c r="X145" s="1648"/>
      <c r="Y145" s="30">
        <f>SUM(Y144:Y144)</f>
        <v>0</v>
      </c>
      <c r="Z145" s="31">
        <v>0.8</v>
      </c>
      <c r="AA145" s="32">
        <f>Y145/Z145</f>
        <v>0</v>
      </c>
      <c r="AB145" s="1482" t="s">
        <v>1860</v>
      </c>
      <c r="AC145" s="1483"/>
      <c r="AD145" s="1484"/>
      <c r="AE145" s="13">
        <f>SUM(AE144:AE144)</f>
        <v>0</v>
      </c>
      <c r="AF145" s="14">
        <v>0.8</v>
      </c>
      <c r="AG145" s="13">
        <f>AE145/AF145</f>
        <v>0</v>
      </c>
    </row>
    <row r="146" spans="1:33" s="437" customFormat="1" ht="15.75" thickBot="1" x14ac:dyDescent="0.3">
      <c r="A146" s="539"/>
      <c r="B146" s="530"/>
      <c r="C146" s="511"/>
      <c r="D146" s="511"/>
      <c r="E146" s="511"/>
      <c r="F146" s="512"/>
      <c r="G146" s="1516" t="s">
        <v>1987</v>
      </c>
      <c r="H146" s="1554"/>
      <c r="I146" s="1554"/>
      <c r="J146" s="1554"/>
      <c r="K146" s="1554"/>
      <c r="L146" s="1554"/>
      <c r="M146" s="416" t="s">
        <v>1269</v>
      </c>
      <c r="N146" s="1131" t="s">
        <v>1270</v>
      </c>
      <c r="O146" s="416">
        <v>0.03</v>
      </c>
      <c r="P146" s="446"/>
      <c r="Q146" s="446"/>
      <c r="R146" s="440"/>
      <c r="S146" s="441"/>
      <c r="T146" s="419"/>
      <c r="U146" s="419"/>
      <c r="V146" s="419"/>
      <c r="W146" s="440"/>
      <c r="X146" s="441"/>
      <c r="Y146" s="419"/>
      <c r="Z146" s="419"/>
      <c r="AA146" s="442"/>
      <c r="AB146" s="1635"/>
      <c r="AC146" s="1635"/>
      <c r="AD146" s="1635"/>
      <c r="AE146" s="1635"/>
      <c r="AF146" s="1635"/>
      <c r="AG146" s="1635"/>
    </row>
    <row r="147" spans="1:33" s="437" customFormat="1" ht="57.75" customHeight="1" x14ac:dyDescent="0.25">
      <c r="A147" s="538" t="str">
        <f>'Расчет ЦП - общая форма'!C175</f>
        <v xml:space="preserve">ПС 35/10 кВ Уланово </v>
      </c>
      <c r="B147" s="514">
        <f>'Расчет ЦП - общая форма'!D175</f>
        <v>1.6</v>
      </c>
      <c r="C147" s="502" t="str">
        <f>'Расчет ЦП - общая форма'!E175</f>
        <v>+</v>
      </c>
      <c r="D147" s="502">
        <f>'Расчет ЦП - общая форма'!F175</f>
        <v>1.6</v>
      </c>
      <c r="E147" s="502"/>
      <c r="F147" s="513"/>
      <c r="G147" s="451" t="s">
        <v>1268</v>
      </c>
      <c r="H147" s="416" t="s">
        <v>2340</v>
      </c>
      <c r="I147" s="416" t="s">
        <v>2339</v>
      </c>
      <c r="J147" s="416">
        <v>0.05</v>
      </c>
      <c r="K147" s="416"/>
      <c r="L147" s="416"/>
      <c r="M147" s="416" t="s">
        <v>1271</v>
      </c>
      <c r="N147" s="416" t="s">
        <v>1272</v>
      </c>
      <c r="O147" s="416">
        <v>2.5000000000000001E-2</v>
      </c>
      <c r="P147" s="416"/>
      <c r="Q147" s="416"/>
      <c r="R147" s="448"/>
      <c r="S147" s="448"/>
      <c r="T147" s="448"/>
      <c r="U147" s="448"/>
      <c r="V147" s="448"/>
      <c r="W147" s="448"/>
      <c r="X147" s="448"/>
      <c r="Y147" s="448"/>
      <c r="Z147" s="448"/>
      <c r="AA147" s="449"/>
      <c r="AB147" s="416"/>
      <c r="AC147" s="416"/>
      <c r="AD147" s="416"/>
      <c r="AE147" s="416"/>
      <c r="AF147" s="416"/>
      <c r="AG147" s="416"/>
    </row>
    <row r="148" spans="1:33" s="437" customFormat="1" ht="30" x14ac:dyDescent="0.25">
      <c r="A148" s="538"/>
      <c r="B148" s="514"/>
      <c r="C148" s="502"/>
      <c r="D148" s="502"/>
      <c r="E148" s="502"/>
      <c r="F148" s="513"/>
      <c r="G148" s="1545" t="s">
        <v>2512</v>
      </c>
      <c r="H148" s="1548"/>
      <c r="I148" s="1548"/>
      <c r="J148" s="1548"/>
      <c r="K148" s="1548"/>
      <c r="L148" s="1548"/>
      <c r="M148" s="416" t="s">
        <v>1425</v>
      </c>
      <c r="N148" s="416" t="s">
        <v>1426</v>
      </c>
      <c r="O148" s="416">
        <v>0.02</v>
      </c>
      <c r="P148" s="416"/>
      <c r="Q148" s="416"/>
      <c r="R148" s="420"/>
      <c r="S148" s="420"/>
      <c r="T148" s="420"/>
      <c r="U148" s="420"/>
      <c r="V148" s="420"/>
      <c r="W148" s="420"/>
      <c r="X148" s="420"/>
      <c r="Y148" s="420"/>
      <c r="Z148" s="420"/>
      <c r="AA148" s="436"/>
      <c r="AB148" s="416"/>
      <c r="AC148" s="416"/>
      <c r="AD148" s="416"/>
      <c r="AE148" s="416"/>
      <c r="AF148" s="416"/>
      <c r="AG148" s="416"/>
    </row>
    <row r="149" spans="1:33" s="437" customFormat="1" ht="66" customHeight="1" x14ac:dyDescent="0.25">
      <c r="A149" s="538"/>
      <c r="B149" s="514"/>
      <c r="C149" s="502"/>
      <c r="D149" s="502"/>
      <c r="E149" s="502"/>
      <c r="F149" s="513"/>
      <c r="G149" s="1607"/>
      <c r="H149" s="1608"/>
      <c r="I149" s="1609"/>
      <c r="J149" s="416"/>
      <c r="K149" s="416"/>
      <c r="L149" s="416"/>
      <c r="M149" s="416" t="s">
        <v>45</v>
      </c>
      <c r="N149" s="849" t="s">
        <v>46</v>
      </c>
      <c r="O149" s="416">
        <v>0.45</v>
      </c>
      <c r="P149" s="416"/>
      <c r="Q149" s="416"/>
      <c r="R149" s="299"/>
      <c r="S149" s="299"/>
      <c r="T149" s="299"/>
      <c r="U149" s="299"/>
      <c r="V149" s="299"/>
      <c r="W149" s="299"/>
      <c r="X149" s="299"/>
      <c r="Y149" s="299"/>
      <c r="Z149" s="299"/>
      <c r="AA149" s="452"/>
      <c r="AB149" s="416"/>
      <c r="AC149" s="416"/>
      <c r="AD149" s="416"/>
      <c r="AE149" s="416"/>
      <c r="AF149" s="416"/>
      <c r="AG149" s="416"/>
    </row>
    <row r="150" spans="1:33" s="437" customFormat="1" ht="66" customHeight="1" x14ac:dyDescent="0.25">
      <c r="A150" s="850"/>
      <c r="B150" s="851"/>
      <c r="C150" s="848"/>
      <c r="D150" s="848"/>
      <c r="E150" s="848"/>
      <c r="F150" s="853"/>
      <c r="G150" s="1545" t="s">
        <v>3069</v>
      </c>
      <c r="H150" s="1548"/>
      <c r="I150" s="1548"/>
      <c r="J150" s="1548"/>
      <c r="K150" s="1548"/>
      <c r="L150" s="1548"/>
      <c r="M150" s="1148"/>
      <c r="N150" s="1148"/>
      <c r="O150" s="849"/>
      <c r="P150" s="453"/>
      <c r="Q150" s="453"/>
      <c r="R150" s="454"/>
      <c r="S150" s="455"/>
      <c r="T150" s="456"/>
      <c r="U150" s="456"/>
      <c r="V150" s="456"/>
      <c r="W150" s="454"/>
      <c r="X150" s="455"/>
      <c r="Y150" s="456"/>
      <c r="Z150" s="456"/>
      <c r="AA150" s="489"/>
      <c r="AB150" s="607"/>
      <c r="AC150" s="710"/>
      <c r="AD150" s="458"/>
      <c r="AE150" s="453"/>
      <c r="AF150" s="453"/>
      <c r="AG150" s="453"/>
    </row>
    <row r="151" spans="1:33" s="437" customFormat="1" ht="66" customHeight="1" x14ac:dyDescent="0.25">
      <c r="A151" s="1068"/>
      <c r="B151" s="1069"/>
      <c r="C151" s="1070"/>
      <c r="D151" s="1070"/>
      <c r="E151" s="1070"/>
      <c r="F151" s="1071"/>
      <c r="G151" s="1118" t="s">
        <v>2994</v>
      </c>
      <c r="H151" s="1118" t="s">
        <v>2995</v>
      </c>
      <c r="I151" s="1118" t="s">
        <v>3297</v>
      </c>
      <c r="J151" s="1118">
        <v>0</v>
      </c>
      <c r="K151" s="453"/>
      <c r="L151" s="453"/>
      <c r="M151" s="607"/>
      <c r="N151" s="458"/>
      <c r="O151" s="453"/>
      <c r="P151" s="453"/>
      <c r="Q151" s="453"/>
      <c r="R151" s="454"/>
      <c r="S151" s="455"/>
      <c r="T151" s="456"/>
      <c r="U151" s="456"/>
      <c r="V151" s="456"/>
      <c r="W151" s="454"/>
      <c r="X151" s="455"/>
      <c r="Y151" s="456"/>
      <c r="Z151" s="456"/>
      <c r="AA151" s="489"/>
      <c r="AB151" s="607"/>
      <c r="AC151" s="710"/>
      <c r="AD151" s="458"/>
      <c r="AE151" s="453"/>
      <c r="AF151" s="453"/>
      <c r="AG151" s="453"/>
    </row>
    <row r="152" spans="1:33" s="437" customFormat="1" ht="66" customHeight="1" x14ac:dyDescent="0.25">
      <c r="A152" s="1160"/>
      <c r="B152" s="1158"/>
      <c r="C152" s="1159"/>
      <c r="D152" s="1159"/>
      <c r="E152" s="1159"/>
      <c r="F152" s="1157"/>
      <c r="G152" s="1161" t="s">
        <v>3344</v>
      </c>
      <c r="H152" s="1161" t="s">
        <v>3345</v>
      </c>
      <c r="I152" s="458" t="s">
        <v>3385</v>
      </c>
      <c r="J152" s="1161">
        <f>0.15-0.015</f>
        <v>0.13500000000000001</v>
      </c>
      <c r="K152" s="453"/>
      <c r="L152" s="453"/>
      <c r="M152" s="607"/>
      <c r="N152" s="458"/>
      <c r="O152" s="453"/>
      <c r="P152" s="453"/>
      <c r="Q152" s="453"/>
      <c r="R152" s="454"/>
      <c r="S152" s="455"/>
      <c r="T152" s="456"/>
      <c r="U152" s="456"/>
      <c r="V152" s="456"/>
      <c r="W152" s="454"/>
      <c r="X152" s="455"/>
      <c r="Y152" s="456"/>
      <c r="Z152" s="456"/>
      <c r="AA152" s="489"/>
      <c r="AB152" s="607"/>
      <c r="AC152" s="710"/>
      <c r="AD152" s="458"/>
      <c r="AE152" s="453"/>
      <c r="AF152" s="453"/>
      <c r="AG152" s="453"/>
    </row>
    <row r="153" spans="1:33" s="437" customFormat="1" ht="66" customHeight="1" x14ac:dyDescent="0.25">
      <c r="A153" s="1218"/>
      <c r="B153" s="1216"/>
      <c r="C153" s="1217"/>
      <c r="D153" s="1217"/>
      <c r="E153" s="1217"/>
      <c r="F153" s="1215"/>
      <c r="G153" s="1518" t="s">
        <v>3481</v>
      </c>
      <c r="H153" s="1519"/>
      <c r="I153" s="1520"/>
      <c r="J153" s="1233">
        <v>0.16800000000000001</v>
      </c>
      <c r="K153" s="453"/>
      <c r="L153" s="453"/>
      <c r="M153" s="607"/>
      <c r="N153" s="458"/>
      <c r="O153" s="453"/>
      <c r="P153" s="453"/>
      <c r="Q153" s="453"/>
      <c r="R153" s="454"/>
      <c r="S153" s="455"/>
      <c r="T153" s="456"/>
      <c r="U153" s="456"/>
      <c r="V153" s="456"/>
      <c r="W153" s="454"/>
      <c r="X153" s="455"/>
      <c r="Y153" s="456"/>
      <c r="Z153" s="456"/>
      <c r="AA153" s="489"/>
      <c r="AB153" s="607"/>
      <c r="AC153" s="710"/>
      <c r="AD153" s="458"/>
      <c r="AE153" s="453"/>
      <c r="AF153" s="453"/>
      <c r="AG153" s="453"/>
    </row>
    <row r="154" spans="1:33" ht="15.75" thickBot="1" x14ac:dyDescent="0.3">
      <c r="A154" s="528"/>
      <c r="B154" s="519"/>
      <c r="C154" s="506"/>
      <c r="D154" s="506"/>
      <c r="E154" s="506"/>
      <c r="F154" s="520"/>
      <c r="G154" s="1486" t="s">
        <v>1860</v>
      </c>
      <c r="H154" s="1486"/>
      <c r="I154" s="1487"/>
      <c r="J154" s="21">
        <f>SUM(J149:J153)</f>
        <v>0.30300000000000005</v>
      </c>
      <c r="K154" s="24">
        <v>0.8</v>
      </c>
      <c r="L154" s="21">
        <f>J154/K154</f>
        <v>0.37875000000000003</v>
      </c>
      <c r="M154" s="1485" t="s">
        <v>1861</v>
      </c>
      <c r="N154" s="1487"/>
      <c r="O154" s="21">
        <f>SUM(O146:O150)</f>
        <v>0.52500000000000002</v>
      </c>
      <c r="P154" s="24">
        <v>0.8</v>
      </c>
      <c r="Q154" s="21">
        <f>O154/P154</f>
        <v>0.65625</v>
      </c>
      <c r="R154" s="1652" t="s">
        <v>1862</v>
      </c>
      <c r="S154" s="1653"/>
      <c r="T154" s="33">
        <f>SUM(T147:T149)</f>
        <v>0</v>
      </c>
      <c r="U154" s="34">
        <v>0.8</v>
      </c>
      <c r="V154" s="33">
        <f>T154/U154</f>
        <v>0</v>
      </c>
      <c r="W154" s="1652" t="s">
        <v>1863</v>
      </c>
      <c r="X154" s="1653"/>
      <c r="Y154" s="33">
        <f>SUM(Y147:Y149)</f>
        <v>0</v>
      </c>
      <c r="Z154" s="34">
        <v>0.8</v>
      </c>
      <c r="AA154" s="101">
        <f>Y154/Z154</f>
        <v>0</v>
      </c>
      <c r="AB154" s="1485" t="s">
        <v>1860</v>
      </c>
      <c r="AC154" s="1486"/>
      <c r="AD154" s="1487"/>
      <c r="AE154" s="21">
        <f>SUM(AE147:AE149)</f>
        <v>0</v>
      </c>
      <c r="AF154" s="24">
        <v>0.8</v>
      </c>
      <c r="AG154" s="21">
        <f>AE154/AF154</f>
        <v>0</v>
      </c>
    </row>
    <row r="155" spans="1:33" x14ac:dyDescent="0.25">
      <c r="A155" s="527" t="str">
        <f>'Расчет ЦП - общая форма'!C176</f>
        <v xml:space="preserve">ПС 35/10 кВ Уницы </v>
      </c>
      <c r="B155" s="510">
        <f>'Расчет ЦП - общая форма'!D176</f>
        <v>4</v>
      </c>
      <c r="C155" s="511" t="str">
        <f>'Расчет ЦП - общая форма'!E176</f>
        <v>+</v>
      </c>
      <c r="D155" s="511">
        <f>'Расчет ЦП - общая форма'!F176</f>
        <v>4</v>
      </c>
      <c r="E155" s="511"/>
      <c r="F155" s="512"/>
      <c r="G155" s="43"/>
      <c r="H155" s="17"/>
      <c r="I155" s="17"/>
      <c r="J155" s="17"/>
      <c r="K155" s="17"/>
      <c r="L155" s="73"/>
      <c r="M155" s="17"/>
      <c r="N155" s="17"/>
      <c r="O155" s="17"/>
      <c r="P155" s="17"/>
      <c r="Q155" s="17"/>
      <c r="R155" s="27"/>
      <c r="S155" s="27"/>
      <c r="T155" s="27"/>
      <c r="U155" s="27"/>
      <c r="V155" s="27"/>
      <c r="W155" s="27"/>
      <c r="X155" s="27"/>
      <c r="Y155" s="27"/>
      <c r="Z155" s="27"/>
      <c r="AA155" s="28"/>
      <c r="AB155" s="17"/>
      <c r="AC155" s="17"/>
      <c r="AD155" s="17"/>
      <c r="AE155" s="17"/>
      <c r="AF155" s="17"/>
      <c r="AG155" s="73"/>
    </row>
    <row r="156" spans="1:33" ht="15.75" thickBot="1" x14ac:dyDescent="0.3">
      <c r="A156" s="528"/>
      <c r="B156" s="519"/>
      <c r="C156" s="506"/>
      <c r="D156" s="506"/>
      <c r="E156" s="506"/>
      <c r="F156" s="520"/>
      <c r="G156" s="1483" t="s">
        <v>1860</v>
      </c>
      <c r="H156" s="1483"/>
      <c r="I156" s="1484"/>
      <c r="J156" s="13">
        <f>SUM(J155:J155)</f>
        <v>0</v>
      </c>
      <c r="K156" s="14">
        <v>0.8</v>
      </c>
      <c r="L156" s="13">
        <f>J156/K156</f>
        <v>0</v>
      </c>
      <c r="M156" s="1482" t="s">
        <v>1861</v>
      </c>
      <c r="N156" s="1484"/>
      <c r="O156" s="13">
        <f>SUM(O155:O155)</f>
        <v>0</v>
      </c>
      <c r="P156" s="14">
        <v>0.8</v>
      </c>
      <c r="Q156" s="13">
        <f>O156/P156</f>
        <v>0</v>
      </c>
      <c r="R156" s="1647" t="s">
        <v>1862</v>
      </c>
      <c r="S156" s="1648"/>
      <c r="T156" s="30">
        <f>SUM(T155:T155)</f>
        <v>0</v>
      </c>
      <c r="U156" s="31">
        <v>0.8</v>
      </c>
      <c r="V156" s="30">
        <f>T156/U156</f>
        <v>0</v>
      </c>
      <c r="W156" s="1647" t="s">
        <v>1863</v>
      </c>
      <c r="X156" s="1648"/>
      <c r="Y156" s="30">
        <f>SUM(Y155:Y155)</f>
        <v>0</v>
      </c>
      <c r="Z156" s="31">
        <v>0.8</v>
      </c>
      <c r="AA156" s="32">
        <f>Y156/Z156</f>
        <v>0</v>
      </c>
      <c r="AB156" s="1482" t="s">
        <v>1860</v>
      </c>
      <c r="AC156" s="1483"/>
      <c r="AD156" s="1484"/>
      <c r="AE156" s="13">
        <f>SUM(AE155:AE155)</f>
        <v>0</v>
      </c>
      <c r="AF156" s="14">
        <v>0.8</v>
      </c>
      <c r="AG156" s="13">
        <f>AE156/AF156</f>
        <v>0</v>
      </c>
    </row>
    <row r="157" spans="1:33" x14ac:dyDescent="0.25">
      <c r="A157" s="527" t="str">
        <f>'Расчет ЦП - общая форма'!C177</f>
        <v xml:space="preserve">ПС 35/10 кВ Фенево </v>
      </c>
      <c r="B157" s="510">
        <f>'Расчет ЦП - общая форма'!D177</f>
        <v>2.5</v>
      </c>
      <c r="C157" s="511" t="str">
        <f>'Расчет ЦП - общая форма'!E177</f>
        <v>+</v>
      </c>
      <c r="D157" s="511">
        <f>'Расчет ЦП - общая форма'!F177</f>
        <v>2.5</v>
      </c>
      <c r="E157" s="511"/>
      <c r="F157" s="512"/>
      <c r="G157" s="43"/>
      <c r="H157" s="17"/>
      <c r="I157" s="17"/>
      <c r="J157" s="17"/>
      <c r="K157" s="17"/>
      <c r="L157" s="73"/>
      <c r="M157" s="17"/>
      <c r="N157" s="17"/>
      <c r="O157" s="17"/>
      <c r="P157" s="17"/>
      <c r="Q157" s="17"/>
      <c r="R157" s="27"/>
      <c r="S157" s="27"/>
      <c r="T157" s="27"/>
      <c r="U157" s="27"/>
      <c r="V157" s="27"/>
      <c r="W157" s="27"/>
      <c r="X157" s="27"/>
      <c r="Y157" s="27"/>
      <c r="Z157" s="27"/>
      <c r="AA157" s="28"/>
      <c r="AB157" s="17"/>
      <c r="AC157" s="17"/>
      <c r="AD157" s="17"/>
      <c r="AE157" s="17"/>
      <c r="AF157" s="17"/>
      <c r="AG157" s="73"/>
    </row>
    <row r="158" spans="1:33" ht="15.75" thickBot="1" x14ac:dyDescent="0.3">
      <c r="A158" s="528"/>
      <c r="B158" s="519"/>
      <c r="C158" s="506"/>
      <c r="D158" s="506"/>
      <c r="E158" s="506"/>
      <c r="F158" s="520"/>
      <c r="G158" s="1483" t="s">
        <v>1860</v>
      </c>
      <c r="H158" s="1483"/>
      <c r="I158" s="1484"/>
      <c r="J158" s="13">
        <f>SUM(J157:J157)</f>
        <v>0</v>
      </c>
      <c r="K158" s="14">
        <v>0.8</v>
      </c>
      <c r="L158" s="13">
        <f>J158/K158</f>
        <v>0</v>
      </c>
      <c r="M158" s="1482" t="s">
        <v>1861</v>
      </c>
      <c r="N158" s="1484"/>
      <c r="O158" s="13">
        <f>SUM(O157:O157)</f>
        <v>0</v>
      </c>
      <c r="P158" s="14">
        <v>0.8</v>
      </c>
      <c r="Q158" s="13">
        <f>O158/P158</f>
        <v>0</v>
      </c>
      <c r="R158" s="1647" t="s">
        <v>1862</v>
      </c>
      <c r="S158" s="1648"/>
      <c r="T158" s="30">
        <f>SUM(T157:T157)</f>
        <v>0</v>
      </c>
      <c r="U158" s="31">
        <v>0.8</v>
      </c>
      <c r="V158" s="30">
        <f>T158/U158</f>
        <v>0</v>
      </c>
      <c r="W158" s="1647" t="s">
        <v>1863</v>
      </c>
      <c r="X158" s="1648"/>
      <c r="Y158" s="30">
        <f>SUM(Y157:Y157)</f>
        <v>0</v>
      </c>
      <c r="Z158" s="31">
        <v>0.8</v>
      </c>
      <c r="AA158" s="32">
        <f>Y158/Z158</f>
        <v>0</v>
      </c>
      <c r="AB158" s="1482" t="s">
        <v>1860</v>
      </c>
      <c r="AC158" s="1483"/>
      <c r="AD158" s="1484"/>
      <c r="AE158" s="13">
        <f>SUM(AE157:AE157)</f>
        <v>0</v>
      </c>
      <c r="AF158" s="14">
        <v>0.8</v>
      </c>
      <c r="AG158" s="13">
        <f>AE158/AF158</f>
        <v>0</v>
      </c>
    </row>
    <row r="159" spans="1:33" s="437" customFormat="1" ht="15.75" thickBot="1" x14ac:dyDescent="0.3">
      <c r="A159" s="512"/>
      <c r="B159" s="511"/>
      <c r="C159" s="511"/>
      <c r="D159" s="511"/>
      <c r="E159" s="511"/>
      <c r="F159" s="512"/>
      <c r="G159" s="1499" t="s">
        <v>1989</v>
      </c>
      <c r="H159" s="1499"/>
      <c r="I159" s="1499"/>
      <c r="J159" s="1499"/>
      <c r="K159" s="1499"/>
      <c r="L159" s="1500"/>
      <c r="M159" s="479"/>
      <c r="N159" s="480"/>
      <c r="O159" s="481"/>
      <c r="P159" s="481"/>
      <c r="Q159" s="481"/>
      <c r="R159" s="440"/>
      <c r="S159" s="441"/>
      <c r="T159" s="419"/>
      <c r="U159" s="419"/>
      <c r="V159" s="419"/>
      <c r="W159" s="440"/>
      <c r="X159" s="441"/>
      <c r="Y159" s="419"/>
      <c r="Z159" s="419"/>
      <c r="AA159" s="442"/>
      <c r="AB159" s="1625"/>
      <c r="AC159" s="1626"/>
      <c r="AD159" s="1626"/>
      <c r="AE159" s="1626"/>
      <c r="AF159" s="1626"/>
      <c r="AG159" s="1627"/>
    </row>
    <row r="160" spans="1:33" s="437" customFormat="1" ht="39.75" customHeight="1" x14ac:dyDescent="0.25">
      <c r="A160" s="513" t="str">
        <f>'Расчет ЦП - общая форма'!C178</f>
        <v xml:space="preserve">ПС 35/10 кВ Фролово </v>
      </c>
      <c r="B160" s="502">
        <f>'Расчет ЦП - общая форма'!D178</f>
        <v>2.5</v>
      </c>
      <c r="C160" s="502" t="str">
        <f>'Расчет ЦП - общая форма'!E178</f>
        <v>+</v>
      </c>
      <c r="D160" s="502">
        <f>'Расчет ЦП - общая форма'!F178</f>
        <v>2.5</v>
      </c>
      <c r="E160" s="502"/>
      <c r="F160" s="513"/>
      <c r="G160" s="445" t="s">
        <v>652</v>
      </c>
      <c r="H160" s="446" t="s">
        <v>653</v>
      </c>
      <c r="I160" s="446" t="s">
        <v>654</v>
      </c>
      <c r="J160" s="446">
        <v>5.2999999999999999E-2</v>
      </c>
      <c r="K160" s="446"/>
      <c r="L160" s="446"/>
      <c r="M160" s="446"/>
      <c r="N160" s="446"/>
      <c r="O160" s="446"/>
      <c r="P160" s="446"/>
      <c r="Q160" s="446"/>
      <c r="R160" s="448" t="s">
        <v>655</v>
      </c>
      <c r="S160" s="448" t="s">
        <v>656</v>
      </c>
      <c r="T160" s="448">
        <v>0.06</v>
      </c>
      <c r="U160" s="448"/>
      <c r="V160" s="448"/>
      <c r="W160" s="448"/>
      <c r="X160" s="448"/>
      <c r="Y160" s="448"/>
      <c r="Z160" s="448"/>
      <c r="AA160" s="449"/>
      <c r="AB160" s="446"/>
      <c r="AC160" s="446"/>
      <c r="AD160" s="446"/>
      <c r="AE160" s="446"/>
      <c r="AF160" s="446"/>
      <c r="AG160" s="446"/>
    </row>
    <row r="161" spans="1:33" s="437" customFormat="1" x14ac:dyDescent="0.25">
      <c r="A161" s="513"/>
      <c r="B161" s="502"/>
      <c r="C161" s="502"/>
      <c r="D161" s="502"/>
      <c r="E161" s="502"/>
      <c r="F161" s="513"/>
      <c r="G161" s="1544" t="s">
        <v>1987</v>
      </c>
      <c r="H161" s="1544"/>
      <c r="I161" s="1544"/>
      <c r="J161" s="1544"/>
      <c r="K161" s="1544"/>
      <c r="L161" s="1545"/>
      <c r="M161" s="446"/>
      <c r="N161" s="446"/>
      <c r="O161" s="446"/>
      <c r="P161" s="446"/>
      <c r="Q161" s="446"/>
      <c r="R161" s="420"/>
      <c r="S161" s="420"/>
      <c r="T161" s="420"/>
      <c r="U161" s="420"/>
      <c r="V161" s="420"/>
      <c r="W161" s="420"/>
      <c r="X161" s="420"/>
      <c r="Y161" s="420"/>
      <c r="Z161" s="420"/>
      <c r="AA161" s="436"/>
      <c r="AB161" s="1607"/>
      <c r="AC161" s="1608"/>
      <c r="AD161" s="1608"/>
      <c r="AE161" s="1608"/>
      <c r="AF161" s="1608"/>
      <c r="AG161" s="1609"/>
    </row>
    <row r="162" spans="1:33" s="437" customFormat="1" ht="54" customHeight="1" x14ac:dyDescent="0.25">
      <c r="A162" s="513"/>
      <c r="B162" s="502"/>
      <c r="C162" s="502"/>
      <c r="D162" s="502"/>
      <c r="E162" s="502"/>
      <c r="F162" s="513"/>
      <c r="G162" s="451" t="s">
        <v>657</v>
      </c>
      <c r="H162" s="416" t="s">
        <v>658</v>
      </c>
      <c r="I162" s="446" t="s">
        <v>659</v>
      </c>
      <c r="J162" s="446">
        <v>0.12</v>
      </c>
      <c r="K162" s="446"/>
      <c r="L162" s="446"/>
      <c r="M162" s="416"/>
      <c r="N162" s="416"/>
      <c r="O162" s="416"/>
      <c r="P162" s="446"/>
      <c r="Q162" s="446"/>
      <c r="R162" s="420" t="s">
        <v>660</v>
      </c>
      <c r="S162" s="420" t="s">
        <v>661</v>
      </c>
      <c r="T162" s="420">
        <v>0.06</v>
      </c>
      <c r="U162" s="420"/>
      <c r="V162" s="420"/>
      <c r="W162" s="420"/>
      <c r="X162" s="420"/>
      <c r="Y162" s="420"/>
      <c r="Z162" s="420"/>
      <c r="AA162" s="436"/>
      <c r="AB162" s="416"/>
      <c r="AC162" s="416"/>
      <c r="AD162" s="446"/>
      <c r="AE162" s="446"/>
      <c r="AF162" s="446"/>
      <c r="AG162" s="446"/>
    </row>
    <row r="163" spans="1:33" s="437" customFormat="1" ht="54" customHeight="1" x14ac:dyDescent="0.25">
      <c r="A163" s="648"/>
      <c r="B163" s="642"/>
      <c r="C163" s="642"/>
      <c r="D163" s="642"/>
      <c r="E163" s="642"/>
      <c r="F163" s="648"/>
      <c r="G163" s="637" t="s">
        <v>2640</v>
      </c>
      <c r="H163" s="637" t="s">
        <v>634</v>
      </c>
      <c r="I163" s="650" t="s">
        <v>2639</v>
      </c>
      <c r="J163" s="637">
        <v>0.125</v>
      </c>
      <c r="K163" s="640"/>
      <c r="L163" s="640"/>
      <c r="M163" s="637"/>
      <c r="N163" s="637"/>
      <c r="O163" s="637"/>
      <c r="P163" s="640"/>
      <c r="Q163" s="640"/>
      <c r="R163" s="420"/>
      <c r="S163" s="420"/>
      <c r="T163" s="420"/>
      <c r="U163" s="420"/>
      <c r="V163" s="420"/>
      <c r="W163" s="420"/>
      <c r="X163" s="420"/>
      <c r="Y163" s="420"/>
      <c r="Z163" s="420"/>
      <c r="AA163" s="436"/>
      <c r="AB163" s="641"/>
      <c r="AC163" s="634"/>
      <c r="AD163" s="638"/>
      <c r="AE163" s="638"/>
      <c r="AF163" s="638"/>
      <c r="AG163" s="639"/>
    </row>
    <row r="164" spans="1:33" s="437" customFormat="1" ht="18.75" customHeight="1" x14ac:dyDescent="0.25">
      <c r="A164" s="513"/>
      <c r="B164" s="502"/>
      <c r="C164" s="502"/>
      <c r="D164" s="502"/>
      <c r="E164" s="502"/>
      <c r="F164" s="513"/>
      <c r="G164" s="1544" t="s">
        <v>2061</v>
      </c>
      <c r="H164" s="1544"/>
      <c r="I164" s="1544"/>
      <c r="J164" s="1544"/>
      <c r="K164" s="1544"/>
      <c r="L164" s="1545"/>
      <c r="M164" s="416"/>
      <c r="N164" s="416"/>
      <c r="O164" s="416"/>
      <c r="P164" s="446"/>
      <c r="Q164" s="446"/>
      <c r="R164" s="420"/>
      <c r="S164" s="420"/>
      <c r="T164" s="420"/>
      <c r="U164" s="420"/>
      <c r="V164" s="420"/>
      <c r="W164" s="420"/>
      <c r="X164" s="420"/>
      <c r="Y164" s="420"/>
      <c r="Z164" s="420"/>
      <c r="AA164" s="436"/>
      <c r="AB164" s="1607"/>
      <c r="AC164" s="1608"/>
      <c r="AD164" s="1608"/>
      <c r="AE164" s="1608"/>
      <c r="AF164" s="1608"/>
      <c r="AG164" s="1609"/>
    </row>
    <row r="165" spans="1:33" s="437" customFormat="1" ht="60" x14ac:dyDescent="0.25">
      <c r="A165" s="513"/>
      <c r="B165" s="502"/>
      <c r="C165" s="502"/>
      <c r="D165" s="502"/>
      <c r="E165" s="502"/>
      <c r="F165" s="513"/>
      <c r="G165" s="451" t="s">
        <v>664</v>
      </c>
      <c r="H165" s="416" t="s">
        <v>663</v>
      </c>
      <c r="I165" s="483" t="s">
        <v>2240</v>
      </c>
      <c r="J165" s="446">
        <v>0.02</v>
      </c>
      <c r="K165" s="446"/>
      <c r="L165" s="446"/>
      <c r="M165" s="416" t="s">
        <v>662</v>
      </c>
      <c r="N165" s="416" t="s">
        <v>663</v>
      </c>
      <c r="O165" s="416">
        <v>0.03</v>
      </c>
      <c r="P165" s="446"/>
      <c r="Q165" s="446"/>
      <c r="R165" s="420"/>
      <c r="S165" s="420"/>
      <c r="T165" s="420"/>
      <c r="U165" s="420"/>
      <c r="V165" s="420"/>
      <c r="W165" s="420"/>
      <c r="X165" s="420"/>
      <c r="Y165" s="420"/>
      <c r="Z165" s="420"/>
      <c r="AA165" s="436"/>
      <c r="AB165" s="416"/>
      <c r="AC165" s="416"/>
      <c r="AD165" s="483"/>
      <c r="AE165" s="446"/>
      <c r="AF165" s="446"/>
      <c r="AG165" s="446"/>
    </row>
    <row r="166" spans="1:33" s="437" customFormat="1" x14ac:dyDescent="0.25">
      <c r="A166" s="1215"/>
      <c r="B166" s="1217"/>
      <c r="C166" s="1217"/>
      <c r="D166" s="1217"/>
      <c r="E166" s="1217"/>
      <c r="F166" s="1215"/>
      <c r="G166" s="1544" t="s">
        <v>3069</v>
      </c>
      <c r="H166" s="1544"/>
      <c r="I166" s="1544"/>
      <c r="J166" s="1544"/>
      <c r="K166" s="1544"/>
      <c r="L166" s="1545"/>
      <c r="M166" s="607"/>
      <c r="N166" s="458"/>
      <c r="O166" s="453"/>
      <c r="P166" s="438"/>
      <c r="Q166" s="438"/>
      <c r="R166" s="440"/>
      <c r="S166" s="441"/>
      <c r="T166" s="419"/>
      <c r="U166" s="419"/>
      <c r="V166" s="419"/>
      <c r="W166" s="440"/>
      <c r="X166" s="441"/>
      <c r="Y166" s="419"/>
      <c r="Z166" s="419"/>
      <c r="AA166" s="442"/>
      <c r="AB166" s="607"/>
      <c r="AC166" s="710"/>
      <c r="AD166" s="488"/>
      <c r="AE166" s="438"/>
      <c r="AF166" s="438"/>
      <c r="AG166" s="438"/>
    </row>
    <row r="167" spans="1:33" s="437" customFormat="1" ht="56.25" customHeight="1" x14ac:dyDescent="0.25">
      <c r="A167" s="1215"/>
      <c r="B167" s="1217"/>
      <c r="C167" s="1217"/>
      <c r="D167" s="1217"/>
      <c r="E167" s="1217"/>
      <c r="F167" s="1215"/>
      <c r="G167" s="1518" t="s">
        <v>3481</v>
      </c>
      <c r="H167" s="1519"/>
      <c r="I167" s="1520"/>
      <c r="J167" s="1233">
        <v>0.40799999999999997</v>
      </c>
      <c r="K167" s="438"/>
      <c r="L167" s="438"/>
      <c r="M167" s="607"/>
      <c r="N167" s="458"/>
      <c r="O167" s="453"/>
      <c r="P167" s="438"/>
      <c r="Q167" s="438"/>
      <c r="R167" s="440"/>
      <c r="S167" s="441"/>
      <c r="T167" s="419"/>
      <c r="U167" s="419"/>
      <c r="V167" s="419"/>
      <c r="W167" s="440"/>
      <c r="X167" s="441"/>
      <c r="Y167" s="419"/>
      <c r="Z167" s="419"/>
      <c r="AA167" s="442"/>
      <c r="AB167" s="607"/>
      <c r="AC167" s="710"/>
      <c r="AD167" s="488"/>
      <c r="AE167" s="438"/>
      <c r="AF167" s="438"/>
      <c r="AG167" s="438"/>
    </row>
    <row r="168" spans="1:33" ht="15.75" thickBot="1" x14ac:dyDescent="0.3">
      <c r="A168" s="520"/>
      <c r="B168" s="506"/>
      <c r="C168" s="506"/>
      <c r="D168" s="506"/>
      <c r="E168" s="506"/>
      <c r="F168" s="520"/>
      <c r="G168" s="1483" t="s">
        <v>1860</v>
      </c>
      <c r="H168" s="1483"/>
      <c r="I168" s="1484"/>
      <c r="J168" s="13">
        <f>SUM(J167)</f>
        <v>0.40799999999999997</v>
      </c>
      <c r="K168" s="14">
        <v>0.8</v>
      </c>
      <c r="L168" s="13">
        <f>J168/K168</f>
        <v>0.5099999999999999</v>
      </c>
      <c r="M168" s="1482" t="s">
        <v>1861</v>
      </c>
      <c r="N168" s="1484"/>
      <c r="O168" s="13">
        <f>SUM(O160:O165)</f>
        <v>0.03</v>
      </c>
      <c r="P168" s="14">
        <v>0.8</v>
      </c>
      <c r="Q168" s="13">
        <f>O168/P168</f>
        <v>3.7499999999999999E-2</v>
      </c>
      <c r="R168" s="1647" t="s">
        <v>1862</v>
      </c>
      <c r="S168" s="1648"/>
      <c r="T168" s="30">
        <f>SUM(T160:T165)</f>
        <v>0.12</v>
      </c>
      <c r="U168" s="31">
        <v>0.8</v>
      </c>
      <c r="V168" s="30">
        <f>T168/U168</f>
        <v>0.15</v>
      </c>
      <c r="W168" s="1647" t="s">
        <v>1863</v>
      </c>
      <c r="X168" s="1648"/>
      <c r="Y168" s="30">
        <f>SUM(Y160:Y165)</f>
        <v>0</v>
      </c>
      <c r="Z168" s="31">
        <v>0.8</v>
      </c>
      <c r="AA168" s="32">
        <f>Y168/Z168</f>
        <v>0</v>
      </c>
      <c r="AB168" s="1482" t="s">
        <v>1860</v>
      </c>
      <c r="AC168" s="1483"/>
      <c r="AD168" s="1484"/>
      <c r="AE168" s="13">
        <f>SUM(AE162:AE165)</f>
        <v>0</v>
      </c>
      <c r="AF168" s="14">
        <v>0.8</v>
      </c>
      <c r="AG168" s="13">
        <f>AE168/AF168</f>
        <v>0</v>
      </c>
    </row>
    <row r="169" spans="1:33" ht="27" customHeight="1" x14ac:dyDescent="0.25">
      <c r="A169" s="540" t="str">
        <f>'Расчет ЦП - общая форма'!C179</f>
        <v xml:space="preserve"> ПС 110/10 кВ Зарница </v>
      </c>
      <c r="B169" s="511">
        <f>'Расчет ЦП - общая форма'!D179</f>
        <v>10</v>
      </c>
      <c r="C169" s="511" t="str">
        <f>'Расчет ЦП - общая форма'!E179</f>
        <v>+</v>
      </c>
      <c r="D169" s="511">
        <f>'Расчет ЦП - общая форма'!F179</f>
        <v>10</v>
      </c>
      <c r="E169" s="511"/>
      <c r="F169" s="512"/>
      <c r="G169" s="43"/>
      <c r="H169" s="17"/>
      <c r="I169" s="17"/>
      <c r="J169" s="17"/>
      <c r="K169" s="17"/>
      <c r="L169" s="73"/>
      <c r="M169" s="143" t="s">
        <v>109</v>
      </c>
      <c r="N169" s="135" t="s">
        <v>110</v>
      </c>
      <c r="O169" s="1">
        <v>2.5000000000000001E-2</v>
      </c>
      <c r="P169" s="17"/>
      <c r="Q169" s="17"/>
      <c r="R169" s="27"/>
      <c r="S169" s="27"/>
      <c r="T169" s="27"/>
      <c r="U169" s="27"/>
      <c r="V169" s="27"/>
      <c r="W169" s="27"/>
      <c r="X169" s="27"/>
      <c r="Y169" s="27"/>
      <c r="Z169" s="27"/>
      <c r="AA169" s="28"/>
      <c r="AB169" s="17"/>
      <c r="AC169" s="17"/>
      <c r="AD169" s="17"/>
      <c r="AE169" s="17"/>
      <c r="AF169" s="17"/>
      <c r="AG169" s="73"/>
    </row>
    <row r="170" spans="1:33" ht="15.75" thickBot="1" x14ac:dyDescent="0.3">
      <c r="A170" s="541"/>
      <c r="B170" s="506"/>
      <c r="C170" s="506"/>
      <c r="D170" s="506"/>
      <c r="E170" s="506"/>
      <c r="F170" s="520"/>
      <c r="G170" s="1482" t="s">
        <v>1860</v>
      </c>
      <c r="H170" s="1483"/>
      <c r="I170" s="1484"/>
      <c r="J170" s="13">
        <f>SUM(J169:J169)</f>
        <v>0</v>
      </c>
      <c r="K170" s="14">
        <v>0.8</v>
      </c>
      <c r="L170" s="13">
        <f>J170/K170</f>
        <v>0</v>
      </c>
      <c r="M170" s="1485" t="s">
        <v>1861</v>
      </c>
      <c r="N170" s="1487"/>
      <c r="O170" s="21">
        <f>SUM(O169:O169)</f>
        <v>2.5000000000000001E-2</v>
      </c>
      <c r="P170" s="14">
        <v>0.8</v>
      </c>
      <c r="Q170" s="13">
        <f>O170/P170</f>
        <v>3.125E-2</v>
      </c>
      <c r="R170" s="1652" t="s">
        <v>1862</v>
      </c>
      <c r="S170" s="1653"/>
      <c r="T170" s="33">
        <f>SUM(T169:T169)</f>
        <v>0</v>
      </c>
      <c r="U170" s="31">
        <v>0.8</v>
      </c>
      <c r="V170" s="30">
        <f>T170/U170</f>
        <v>0</v>
      </c>
      <c r="W170" s="1647" t="s">
        <v>1863</v>
      </c>
      <c r="X170" s="1648"/>
      <c r="Y170" s="30">
        <f>SUM(Y169:Y169)</f>
        <v>0</v>
      </c>
      <c r="Z170" s="31">
        <v>0.8</v>
      </c>
      <c r="AA170" s="32">
        <f>Y170/Z170</f>
        <v>0</v>
      </c>
      <c r="AB170" s="1485" t="s">
        <v>1860</v>
      </c>
      <c r="AC170" s="1486"/>
      <c r="AD170" s="1487"/>
      <c r="AE170" s="21">
        <f>SUM(AE169:AE169)</f>
        <v>0</v>
      </c>
      <c r="AF170" s="24">
        <v>0.8</v>
      </c>
      <c r="AG170" s="13">
        <f>AE170/AF170</f>
        <v>0</v>
      </c>
    </row>
    <row r="171" spans="1:33" ht="16.5" customHeight="1" x14ac:dyDescent="0.25">
      <c r="A171" s="527" t="str">
        <f>'Расчет ЦП - общая форма'!C180</f>
        <v xml:space="preserve">ПС 110/10 кВ Зобнино </v>
      </c>
      <c r="B171" s="510">
        <f>'Расчет ЦП - общая форма'!D180</f>
        <v>2.5</v>
      </c>
      <c r="C171" s="511" t="str">
        <f>'Расчет ЦП - общая форма'!E180</f>
        <v>+</v>
      </c>
      <c r="D171" s="511">
        <f>'Расчет ЦП - общая форма'!F180</f>
        <v>2.5</v>
      </c>
      <c r="E171" s="511"/>
      <c r="F171" s="512"/>
      <c r="G171" s="1654" t="s">
        <v>2512</v>
      </c>
      <c r="H171" s="1654"/>
      <c r="I171" s="1654"/>
      <c r="J171" s="1654"/>
      <c r="K171" s="1654"/>
      <c r="L171" s="1558"/>
      <c r="M171" s="17"/>
      <c r="N171" s="17"/>
      <c r="O171" s="17"/>
      <c r="P171" s="17"/>
      <c r="Q171" s="17"/>
      <c r="R171" s="27"/>
      <c r="S171" s="27"/>
      <c r="T171" s="27"/>
      <c r="U171" s="27"/>
      <c r="V171" s="27"/>
      <c r="W171" s="27"/>
      <c r="X171" s="27"/>
      <c r="Y171" s="27"/>
      <c r="Z171" s="27"/>
      <c r="AA171" s="28"/>
      <c r="AB171" s="17"/>
      <c r="AC171" s="17"/>
      <c r="AD171" s="17"/>
      <c r="AE171" s="17"/>
      <c r="AF171" s="17"/>
      <c r="AG171" s="73"/>
    </row>
    <row r="172" spans="1:33" ht="59.25" customHeight="1" x14ac:dyDescent="0.25">
      <c r="A172" s="683"/>
      <c r="B172" s="675"/>
      <c r="C172" s="676"/>
      <c r="D172" s="676"/>
      <c r="E172" s="676"/>
      <c r="F172" s="678"/>
      <c r="G172" s="1" t="s">
        <v>2218</v>
      </c>
      <c r="H172" s="1" t="s">
        <v>2581</v>
      </c>
      <c r="I172" s="1" t="s">
        <v>2671</v>
      </c>
      <c r="J172" s="1">
        <v>0.06</v>
      </c>
      <c r="K172" s="1"/>
      <c r="L172" s="22"/>
      <c r="M172" s="1"/>
      <c r="N172" s="1"/>
      <c r="O172" s="1"/>
      <c r="P172" s="1"/>
      <c r="Q172" s="1"/>
      <c r="R172" s="110"/>
      <c r="S172" s="111"/>
      <c r="T172" s="39"/>
      <c r="U172" s="39"/>
      <c r="V172" s="39"/>
      <c r="W172" s="110"/>
      <c r="X172" s="111"/>
      <c r="Y172" s="39"/>
      <c r="Z172" s="39"/>
      <c r="AA172" s="611"/>
      <c r="AB172" s="585"/>
      <c r="AC172" s="40"/>
      <c r="AD172" s="41"/>
      <c r="AE172" s="128"/>
      <c r="AF172" s="128"/>
      <c r="AG172" s="69"/>
    </row>
    <row r="173" spans="1:33" ht="15.75" thickBot="1" x14ac:dyDescent="0.3">
      <c r="A173" s="528"/>
      <c r="B173" s="519"/>
      <c r="C173" s="506"/>
      <c r="D173" s="506"/>
      <c r="E173" s="506"/>
      <c r="F173" s="520"/>
      <c r="G173" s="1483" t="s">
        <v>1860</v>
      </c>
      <c r="H173" s="1483"/>
      <c r="I173" s="1484"/>
      <c r="J173" s="13">
        <f>SUM(J172)</f>
        <v>0.06</v>
      </c>
      <c r="K173" s="14">
        <v>0.8</v>
      </c>
      <c r="L173" s="13">
        <f>J173/K173</f>
        <v>7.4999999999999997E-2</v>
      </c>
      <c r="M173" s="1482" t="s">
        <v>1861</v>
      </c>
      <c r="N173" s="1484"/>
      <c r="O173" s="13">
        <f>SUM(O171:O171)</f>
        <v>0</v>
      </c>
      <c r="P173" s="14">
        <v>0.8</v>
      </c>
      <c r="Q173" s="13">
        <f>O173/P173</f>
        <v>0</v>
      </c>
      <c r="R173" s="1647" t="s">
        <v>1862</v>
      </c>
      <c r="S173" s="1648"/>
      <c r="T173" s="30">
        <f>SUM(T171:T171)</f>
        <v>0</v>
      </c>
      <c r="U173" s="31">
        <v>0.8</v>
      </c>
      <c r="V173" s="30">
        <f>T173/U173</f>
        <v>0</v>
      </c>
      <c r="W173" s="1647" t="s">
        <v>1863</v>
      </c>
      <c r="X173" s="1648"/>
      <c r="Y173" s="30">
        <f>SUM(Y171:Y171)</f>
        <v>0</v>
      </c>
      <c r="Z173" s="31">
        <v>0.8</v>
      </c>
      <c r="AA173" s="32">
        <f>Y173/Z173</f>
        <v>0</v>
      </c>
      <c r="AB173" s="1482" t="s">
        <v>1860</v>
      </c>
      <c r="AC173" s="1483"/>
      <c r="AD173" s="1484"/>
      <c r="AE173" s="13">
        <f>SUM(AE171:AE171)</f>
        <v>0</v>
      </c>
      <c r="AF173" s="14">
        <v>0.8</v>
      </c>
      <c r="AG173" s="13">
        <f>AE173/AF173</f>
        <v>0</v>
      </c>
    </row>
    <row r="174" spans="1:33" ht="27.75" customHeight="1" x14ac:dyDescent="0.25">
      <c r="A174" s="527" t="str">
        <f>'Расчет ЦП - общая форма'!C181</f>
        <v xml:space="preserve">ПС 110/10 кВ Инякино </v>
      </c>
      <c r="B174" s="510">
        <f>'Расчет ЦП - общая форма'!D181</f>
        <v>25</v>
      </c>
      <c r="C174" s="511" t="str">
        <f>'Расчет ЦП - общая форма'!E181</f>
        <v>+</v>
      </c>
      <c r="D174" s="511">
        <f>'Расчет ЦП - общая форма'!F181</f>
        <v>25</v>
      </c>
      <c r="E174" s="511"/>
      <c r="F174" s="512"/>
      <c r="G174" s="43"/>
      <c r="H174" s="17"/>
      <c r="I174" s="17"/>
      <c r="J174" s="17"/>
      <c r="K174" s="17"/>
      <c r="L174" s="73"/>
      <c r="M174" s="17"/>
      <c r="N174" s="17"/>
      <c r="O174" s="17"/>
      <c r="P174" s="17"/>
      <c r="Q174" s="17"/>
      <c r="R174" s="27"/>
      <c r="S174" s="27"/>
      <c r="T174" s="27"/>
      <c r="U174" s="27"/>
      <c r="V174" s="27"/>
      <c r="W174" s="27"/>
      <c r="X174" s="27"/>
      <c r="Y174" s="27"/>
      <c r="Z174" s="27"/>
      <c r="AA174" s="28"/>
      <c r="AB174" s="17"/>
      <c r="AC174" s="17"/>
      <c r="AD174" s="17"/>
      <c r="AE174" s="17"/>
      <c r="AF174" s="17"/>
      <c r="AG174" s="73"/>
    </row>
    <row r="175" spans="1:33" ht="15.75" thickBot="1" x14ac:dyDescent="0.3">
      <c r="A175" s="528"/>
      <c r="B175" s="519"/>
      <c r="C175" s="506"/>
      <c r="D175" s="506"/>
      <c r="E175" s="506"/>
      <c r="F175" s="520"/>
      <c r="G175" s="1486" t="s">
        <v>1860</v>
      </c>
      <c r="H175" s="1486"/>
      <c r="I175" s="1487"/>
      <c r="J175" s="21">
        <f>SUM(J174:J174)</f>
        <v>0</v>
      </c>
      <c r="K175" s="24">
        <v>0.8</v>
      </c>
      <c r="L175" s="21">
        <f>J175/K175</f>
        <v>0</v>
      </c>
      <c r="M175" s="1485" t="s">
        <v>1861</v>
      </c>
      <c r="N175" s="1487"/>
      <c r="O175" s="21">
        <f>SUM(O174:O174)</f>
        <v>0</v>
      </c>
      <c r="P175" s="24">
        <v>0.8</v>
      </c>
      <c r="Q175" s="21">
        <f>O175/P175</f>
        <v>0</v>
      </c>
      <c r="R175" s="1652" t="s">
        <v>1862</v>
      </c>
      <c r="S175" s="1653"/>
      <c r="T175" s="33">
        <f>SUM(T174:T174)</f>
        <v>0</v>
      </c>
      <c r="U175" s="34">
        <v>0.8</v>
      </c>
      <c r="V175" s="33">
        <f>T175/U175</f>
        <v>0</v>
      </c>
      <c r="W175" s="1652" t="s">
        <v>1863</v>
      </c>
      <c r="X175" s="1653"/>
      <c r="Y175" s="33">
        <f>SUM(Y174:Y174)</f>
        <v>0</v>
      </c>
      <c r="Z175" s="34">
        <v>0.8</v>
      </c>
      <c r="AA175" s="101">
        <f>Y175/Z175</f>
        <v>0</v>
      </c>
      <c r="AB175" s="1485" t="s">
        <v>1860</v>
      </c>
      <c r="AC175" s="1486"/>
      <c r="AD175" s="1487"/>
      <c r="AE175" s="21">
        <f>SUM(AE174:AE174)</f>
        <v>0</v>
      </c>
      <c r="AF175" s="24">
        <v>0.8</v>
      </c>
      <c r="AG175" s="21">
        <f>AE175/AF175</f>
        <v>0</v>
      </c>
    </row>
    <row r="176" spans="1:33" x14ac:dyDescent="0.25">
      <c r="A176" s="527" t="str">
        <f>'Расчет ЦП - общая форма'!C182</f>
        <v xml:space="preserve"> ПС 110/35/10 кВ Василево </v>
      </c>
      <c r="B176" s="510">
        <f>'Расчет ЦП - общая форма'!D182</f>
        <v>6.3</v>
      </c>
      <c r="C176" s="511" t="str">
        <f>'Расчет ЦП - общая форма'!E182</f>
        <v>+</v>
      </c>
      <c r="D176" s="511">
        <f>'Расчет ЦП - общая форма'!F182</f>
        <v>6.3</v>
      </c>
      <c r="E176" s="511"/>
      <c r="F176" s="512"/>
      <c r="G176" s="43"/>
      <c r="H176" s="17"/>
      <c r="I176" s="17"/>
      <c r="J176" s="17"/>
      <c r="K176" s="17"/>
      <c r="L176" s="73"/>
      <c r="M176" s="17"/>
      <c r="N176" s="17"/>
      <c r="O176" s="17"/>
      <c r="P176" s="17"/>
      <c r="Q176" s="17"/>
      <c r="R176" s="27"/>
      <c r="S176" s="27"/>
      <c r="T176" s="27"/>
      <c r="U176" s="27"/>
      <c r="V176" s="27"/>
      <c r="W176" s="27"/>
      <c r="X176" s="27"/>
      <c r="Y176" s="27"/>
      <c r="Z176" s="27"/>
      <c r="AA176" s="28"/>
      <c r="AB176" s="17"/>
      <c r="AC176" s="17"/>
      <c r="AD176" s="17"/>
      <c r="AE176" s="17"/>
      <c r="AF176" s="17"/>
      <c r="AG176" s="73"/>
    </row>
    <row r="177" spans="1:33" ht="15.75" thickBot="1" x14ac:dyDescent="0.3">
      <c r="A177" s="528"/>
      <c r="B177" s="519"/>
      <c r="C177" s="506"/>
      <c r="D177" s="506"/>
      <c r="E177" s="506"/>
      <c r="F177" s="520"/>
      <c r="G177" s="1483" t="s">
        <v>1860</v>
      </c>
      <c r="H177" s="1483"/>
      <c r="I177" s="1484"/>
      <c r="J177" s="13">
        <f>SUM(J176:J176)</f>
        <v>0</v>
      </c>
      <c r="K177" s="14">
        <v>0.8</v>
      </c>
      <c r="L177" s="13">
        <f>J177/K177</f>
        <v>0</v>
      </c>
      <c r="M177" s="1482" t="s">
        <v>1861</v>
      </c>
      <c r="N177" s="1484"/>
      <c r="O177" s="13">
        <f>SUM(O176:O176)</f>
        <v>0</v>
      </c>
      <c r="P177" s="14">
        <v>0.8</v>
      </c>
      <c r="Q177" s="13">
        <f>O177/P177</f>
        <v>0</v>
      </c>
      <c r="R177" s="1647" t="s">
        <v>1862</v>
      </c>
      <c r="S177" s="1648"/>
      <c r="T177" s="30">
        <f>SUM(T176:T176)</f>
        <v>0</v>
      </c>
      <c r="U177" s="31">
        <v>0.8</v>
      </c>
      <c r="V177" s="30">
        <f>T177/U177</f>
        <v>0</v>
      </c>
      <c r="W177" s="1647" t="s">
        <v>1863</v>
      </c>
      <c r="X177" s="1648"/>
      <c r="Y177" s="30">
        <f>SUM(Y176:Y176)</f>
        <v>0</v>
      </c>
      <c r="Z177" s="31">
        <v>0.8</v>
      </c>
      <c r="AA177" s="32">
        <f>Y177/Z177</f>
        <v>0</v>
      </c>
      <c r="AB177" s="1482" t="s">
        <v>1860</v>
      </c>
      <c r="AC177" s="1483"/>
      <c r="AD177" s="1484"/>
      <c r="AE177" s="13">
        <f>SUM(AE176:AE176)</f>
        <v>0</v>
      </c>
      <c r="AF177" s="14">
        <v>0.8</v>
      </c>
      <c r="AG177" s="13">
        <f>AE177/AF177</f>
        <v>0</v>
      </c>
    </row>
    <row r="178" spans="1:33" s="437" customFormat="1" ht="15.75" thickBot="1" x14ac:dyDescent="0.3">
      <c r="A178" s="1618" t="str">
        <f>'Расчет ЦП - общая форма'!C185</f>
        <v xml:space="preserve">ПС 110/35/10 кВ Борки  </v>
      </c>
      <c r="B178" s="1612">
        <f>'Расчет ЦП - общая форма'!D185</f>
        <v>40</v>
      </c>
      <c r="C178" s="1614" t="str">
        <f>'Расчет ЦП - общая форма'!E185</f>
        <v>+</v>
      </c>
      <c r="D178" s="1614">
        <f>'Расчет ЦП - общая форма'!F185</f>
        <v>25</v>
      </c>
      <c r="E178" s="511"/>
      <c r="F178" s="512"/>
      <c r="G178" s="1499" t="s">
        <v>1987</v>
      </c>
      <c r="H178" s="1499"/>
      <c r="I178" s="1499"/>
      <c r="J178" s="1499"/>
      <c r="K178" s="1499"/>
      <c r="L178" s="1500"/>
      <c r="M178" s="479"/>
      <c r="N178" s="480"/>
      <c r="O178" s="481"/>
      <c r="P178" s="481"/>
      <c r="Q178" s="481"/>
      <c r="R178" s="440"/>
      <c r="S178" s="441"/>
      <c r="T178" s="419"/>
      <c r="U178" s="419"/>
      <c r="V178" s="419"/>
      <c r="W178" s="440"/>
      <c r="X178" s="441"/>
      <c r="Y178" s="419"/>
      <c r="Z178" s="419"/>
      <c r="AA178" s="442"/>
      <c r="AB178" s="1625"/>
      <c r="AC178" s="1626"/>
      <c r="AD178" s="1626"/>
      <c r="AE178" s="1626"/>
      <c r="AF178" s="1626"/>
      <c r="AG178" s="1627"/>
    </row>
    <row r="179" spans="1:33" s="437" customFormat="1" ht="43.5" customHeight="1" x14ac:dyDescent="0.25">
      <c r="A179" s="1619"/>
      <c r="B179" s="1613"/>
      <c r="C179" s="1615"/>
      <c r="D179" s="1615"/>
      <c r="E179" s="502"/>
      <c r="F179" s="513"/>
      <c r="G179" s="439" t="s">
        <v>1977</v>
      </c>
      <c r="H179" s="438" t="s">
        <v>1978</v>
      </c>
      <c r="I179" s="438" t="s">
        <v>1979</v>
      </c>
      <c r="J179" s="446">
        <v>0.13</v>
      </c>
      <c r="K179" s="446"/>
      <c r="L179" s="446"/>
      <c r="M179" s="446" t="s">
        <v>1980</v>
      </c>
      <c r="N179" s="446" t="s">
        <v>1981</v>
      </c>
      <c r="O179" s="446">
        <v>0.4</v>
      </c>
      <c r="P179" s="446"/>
      <c r="Q179" s="446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9"/>
      <c r="AB179" s="438"/>
      <c r="AC179" s="438"/>
      <c r="AD179" s="438"/>
      <c r="AE179" s="446"/>
      <c r="AF179" s="446"/>
      <c r="AG179" s="446"/>
    </row>
    <row r="180" spans="1:33" s="437" customFormat="1" ht="18.75" customHeight="1" x14ac:dyDescent="0.25">
      <c r="A180" s="538"/>
      <c r="B180" s="514"/>
      <c r="C180" s="502"/>
      <c r="D180" s="502"/>
      <c r="E180" s="502"/>
      <c r="F180" s="513"/>
      <c r="G180" s="1544" t="s">
        <v>2061</v>
      </c>
      <c r="H180" s="1544"/>
      <c r="I180" s="1544"/>
      <c r="J180" s="1544"/>
      <c r="K180" s="1544"/>
      <c r="L180" s="1545"/>
      <c r="M180" s="416" t="s">
        <v>1982</v>
      </c>
      <c r="N180" s="416" t="s">
        <v>1983</v>
      </c>
      <c r="O180" s="446">
        <v>1.8</v>
      </c>
      <c r="P180" s="446"/>
      <c r="Q180" s="446"/>
      <c r="R180" s="420"/>
      <c r="S180" s="420"/>
      <c r="T180" s="420"/>
      <c r="U180" s="420"/>
      <c r="V180" s="420"/>
      <c r="W180" s="420"/>
      <c r="X180" s="420"/>
      <c r="Y180" s="420"/>
      <c r="Z180" s="420"/>
      <c r="AA180" s="436"/>
      <c r="AB180" s="1607"/>
      <c r="AC180" s="1608"/>
      <c r="AD180" s="1608"/>
      <c r="AE180" s="1608"/>
      <c r="AF180" s="1608"/>
      <c r="AG180" s="1609"/>
    </row>
    <row r="181" spans="1:33" s="437" customFormat="1" ht="60" x14ac:dyDescent="0.25">
      <c r="A181" s="538"/>
      <c r="B181" s="514"/>
      <c r="C181" s="502"/>
      <c r="D181" s="502"/>
      <c r="E181" s="502"/>
      <c r="F181" s="513"/>
      <c r="G181" s="451" t="s">
        <v>840</v>
      </c>
      <c r="H181" s="416" t="s">
        <v>841</v>
      </c>
      <c r="I181" s="416" t="s">
        <v>2251</v>
      </c>
      <c r="J181" s="416">
        <v>0.4</v>
      </c>
      <c r="K181" s="416"/>
      <c r="L181" s="446"/>
      <c r="M181" s="416" t="s">
        <v>115</v>
      </c>
      <c r="N181" s="416" t="s">
        <v>116</v>
      </c>
      <c r="O181" s="416">
        <v>3.5000000000000003E-2</v>
      </c>
      <c r="P181" s="446"/>
      <c r="Q181" s="446"/>
      <c r="R181" s="420"/>
      <c r="S181" s="420"/>
      <c r="T181" s="420"/>
      <c r="U181" s="420"/>
      <c r="V181" s="420"/>
      <c r="W181" s="420"/>
      <c r="X181" s="420"/>
      <c r="Y181" s="420"/>
      <c r="Z181" s="420"/>
      <c r="AA181" s="436"/>
      <c r="AB181" s="416"/>
      <c r="AC181" s="416"/>
      <c r="AD181" s="416"/>
      <c r="AE181" s="416"/>
      <c r="AF181" s="416"/>
      <c r="AG181" s="446"/>
    </row>
    <row r="182" spans="1:33" s="437" customFormat="1" ht="45" x14ac:dyDescent="0.25">
      <c r="A182" s="538"/>
      <c r="B182" s="514"/>
      <c r="C182" s="502"/>
      <c r="D182" s="502"/>
      <c r="E182" s="502"/>
      <c r="F182" s="513"/>
      <c r="G182" s="1544" t="s">
        <v>3069</v>
      </c>
      <c r="H182" s="1544"/>
      <c r="I182" s="1544"/>
      <c r="J182" s="1544"/>
      <c r="K182" s="1544"/>
      <c r="L182" s="1545"/>
      <c r="M182" s="416" t="s">
        <v>115</v>
      </c>
      <c r="N182" s="416" t="s">
        <v>116</v>
      </c>
      <c r="O182" s="416">
        <v>3.5000000000000003E-2</v>
      </c>
      <c r="P182" s="446"/>
      <c r="Q182" s="446"/>
      <c r="R182" s="420"/>
      <c r="S182" s="420"/>
      <c r="T182" s="420"/>
      <c r="U182" s="420"/>
      <c r="V182" s="420"/>
      <c r="W182" s="420"/>
      <c r="X182" s="420"/>
      <c r="Y182" s="420"/>
      <c r="Z182" s="420"/>
      <c r="AA182" s="436"/>
      <c r="AB182" s="446"/>
      <c r="AC182" s="446"/>
      <c r="AD182" s="446"/>
      <c r="AE182" s="446"/>
      <c r="AF182" s="446"/>
      <c r="AG182" s="446"/>
    </row>
    <row r="183" spans="1:33" s="437" customFormat="1" ht="31.5" customHeight="1" x14ac:dyDescent="0.25">
      <c r="A183" s="1085"/>
      <c r="B183" s="1082"/>
      <c r="C183" s="1083"/>
      <c r="D183" s="1083"/>
      <c r="E183" s="1083"/>
      <c r="F183" s="1081"/>
      <c r="G183" s="1518" t="s">
        <v>3481</v>
      </c>
      <c r="H183" s="1519"/>
      <c r="I183" s="1520"/>
      <c r="J183" s="1233">
        <v>0.78700000000000003</v>
      </c>
      <c r="K183" s="1233"/>
      <c r="L183" s="1233"/>
      <c r="M183" s="453" t="s">
        <v>3243</v>
      </c>
      <c r="N183" s="453" t="s">
        <v>3244</v>
      </c>
      <c r="O183" s="453">
        <v>0.02</v>
      </c>
      <c r="P183" s="1108"/>
      <c r="Q183" s="1108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1108"/>
      <c r="AC183" s="1108"/>
      <c r="AD183" s="1108"/>
      <c r="AE183" s="1108"/>
      <c r="AF183" s="1108"/>
      <c r="AG183" s="1108"/>
    </row>
    <row r="184" spans="1:33" s="437" customFormat="1" ht="60" customHeight="1" x14ac:dyDescent="0.25">
      <c r="A184" s="1107"/>
      <c r="B184" s="1105"/>
      <c r="C184" s="1106"/>
      <c r="D184" s="1106"/>
      <c r="E184" s="1106"/>
      <c r="F184" s="1104"/>
      <c r="G184" s="1170"/>
      <c r="H184" s="1170"/>
      <c r="I184" s="1170"/>
      <c r="J184" s="1170"/>
      <c r="K184" s="1170"/>
      <c r="L184" s="1170"/>
      <c r="M184" s="1108" t="s">
        <v>3279</v>
      </c>
      <c r="N184" s="1118" t="s">
        <v>3280</v>
      </c>
      <c r="O184" s="1108">
        <f>0.285-0.15</f>
        <v>0.13499999999999998</v>
      </c>
      <c r="P184" s="1108"/>
      <c r="Q184" s="1108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1108"/>
      <c r="AC184" s="1108"/>
      <c r="AD184" s="1108"/>
      <c r="AE184" s="1108"/>
      <c r="AF184" s="1108"/>
      <c r="AG184" s="1108"/>
    </row>
    <row r="185" spans="1:33" s="437" customFormat="1" ht="60" customHeight="1" x14ac:dyDescent="0.25">
      <c r="A185" s="1167"/>
      <c r="B185" s="1168"/>
      <c r="C185" s="1169"/>
      <c r="D185" s="1169"/>
      <c r="E185" s="1169"/>
      <c r="F185" s="1171"/>
      <c r="G185" s="710"/>
      <c r="H185" s="710"/>
      <c r="I185" s="458"/>
      <c r="J185" s="453"/>
      <c r="K185" s="453"/>
      <c r="L185" s="453"/>
      <c r="M185" s="1170" t="s">
        <v>3402</v>
      </c>
      <c r="N185" s="1170" t="s">
        <v>3403</v>
      </c>
      <c r="O185" s="1170">
        <v>1</v>
      </c>
      <c r="P185" s="453"/>
      <c r="Q185" s="453"/>
      <c r="R185" s="454"/>
      <c r="S185" s="455"/>
      <c r="T185" s="456"/>
      <c r="U185" s="456"/>
      <c r="V185" s="456"/>
      <c r="W185" s="454"/>
      <c r="X185" s="455"/>
      <c r="Y185" s="456"/>
      <c r="Z185" s="456"/>
      <c r="AA185" s="454"/>
      <c r="AB185" s="607"/>
      <c r="AC185" s="710"/>
      <c r="AD185" s="458"/>
      <c r="AE185" s="453"/>
      <c r="AF185" s="453"/>
      <c r="AG185" s="453"/>
    </row>
    <row r="186" spans="1:33" ht="41.25" customHeight="1" thickBot="1" x14ac:dyDescent="0.3">
      <c r="A186" s="528"/>
      <c r="B186" s="519"/>
      <c r="C186" s="506"/>
      <c r="D186" s="506"/>
      <c r="E186" s="506"/>
      <c r="F186" s="520"/>
      <c r="G186" s="1483" t="s">
        <v>1860</v>
      </c>
      <c r="H186" s="1483"/>
      <c r="I186" s="1484"/>
      <c r="J186" s="13">
        <f>SUM(J183)</f>
        <v>0.78700000000000003</v>
      </c>
      <c r="K186" s="14">
        <v>0.8</v>
      </c>
      <c r="L186" s="13">
        <f>J186/K186</f>
        <v>0.98375000000000001</v>
      </c>
      <c r="M186" s="1482" t="s">
        <v>1861</v>
      </c>
      <c r="N186" s="1484"/>
      <c r="O186" s="13">
        <f>SUM(O179:O185)</f>
        <v>3.4250000000000003</v>
      </c>
      <c r="P186" s="14">
        <v>0.8</v>
      </c>
      <c r="Q186" s="13">
        <f>O186/P186</f>
        <v>4.28125</v>
      </c>
      <c r="R186" s="1647" t="s">
        <v>1862</v>
      </c>
      <c r="S186" s="1648"/>
      <c r="T186" s="30">
        <f>SUM(T179:T182)</f>
        <v>0</v>
      </c>
      <c r="U186" s="31">
        <v>0.8</v>
      </c>
      <c r="V186" s="30">
        <f>T186/U186</f>
        <v>0</v>
      </c>
      <c r="W186" s="1647" t="s">
        <v>1863</v>
      </c>
      <c r="X186" s="1648"/>
      <c r="Y186" s="30">
        <f>SUM(Y179:Y182)</f>
        <v>0</v>
      </c>
      <c r="Z186" s="31">
        <v>0.8</v>
      </c>
      <c r="AA186" s="32">
        <f>Y186/Z186</f>
        <v>0</v>
      </c>
      <c r="AB186" s="1482" t="s">
        <v>1860</v>
      </c>
      <c r="AC186" s="1483"/>
      <c r="AD186" s="1484"/>
      <c r="AE186" s="13">
        <f>SUM(AE179:AE182)</f>
        <v>0</v>
      </c>
      <c r="AF186" s="14">
        <v>0.8</v>
      </c>
      <c r="AG186" s="13">
        <f>AE186/AF186</f>
        <v>0</v>
      </c>
    </row>
    <row r="187" spans="1:33" s="437" customFormat="1" ht="41.25" customHeight="1" thickBot="1" x14ac:dyDescent="0.3">
      <c r="A187" s="1618" t="str">
        <f>'Расчет ЦП - общая форма'!C188</f>
        <v xml:space="preserve">ПС 110/35/10 кВ  Верхняя Троица </v>
      </c>
      <c r="B187" s="1612">
        <f>'Расчет ЦП - общая форма'!D188</f>
        <v>6.3</v>
      </c>
      <c r="C187" s="1614" t="str">
        <f>'Расчет ЦП - общая форма'!E188</f>
        <v>+</v>
      </c>
      <c r="D187" s="1614">
        <f>'Расчет ЦП - общая форма'!F188</f>
        <v>6.3</v>
      </c>
      <c r="E187" s="511"/>
      <c r="F187" s="512"/>
      <c r="G187" s="1499" t="s">
        <v>1988</v>
      </c>
      <c r="H187" s="1499"/>
      <c r="I187" s="1499"/>
      <c r="J187" s="1499"/>
      <c r="K187" s="1499"/>
      <c r="L187" s="1500"/>
      <c r="M187" s="446" t="s">
        <v>620</v>
      </c>
      <c r="N187" s="446" t="s">
        <v>621</v>
      </c>
      <c r="O187" s="446">
        <v>0.25</v>
      </c>
      <c r="P187" s="481"/>
      <c r="Q187" s="481"/>
      <c r="R187" s="440"/>
      <c r="S187" s="441"/>
      <c r="T187" s="419"/>
      <c r="U187" s="419"/>
      <c r="V187" s="419"/>
      <c r="W187" s="440"/>
      <c r="X187" s="441"/>
      <c r="Y187" s="419"/>
      <c r="Z187" s="419"/>
      <c r="AA187" s="442"/>
      <c r="AB187" s="1625"/>
      <c r="AC187" s="1626"/>
      <c r="AD187" s="1626"/>
      <c r="AE187" s="1626"/>
      <c r="AF187" s="1626"/>
      <c r="AG187" s="1627"/>
    </row>
    <row r="188" spans="1:33" s="437" customFormat="1" ht="41.25" customHeight="1" x14ac:dyDescent="0.25">
      <c r="A188" s="1619"/>
      <c r="B188" s="1613"/>
      <c r="C188" s="1615"/>
      <c r="D188" s="1615"/>
      <c r="E188" s="502"/>
      <c r="F188" s="513"/>
      <c r="G188" s="445" t="s">
        <v>617</v>
      </c>
      <c r="H188" s="446" t="s">
        <v>618</v>
      </c>
      <c r="I188" s="446" t="s">
        <v>619</v>
      </c>
      <c r="J188" s="446">
        <v>2.5000000000000001E-2</v>
      </c>
      <c r="K188" s="446"/>
      <c r="L188" s="446"/>
      <c r="M188" s="416" t="s">
        <v>622</v>
      </c>
      <c r="N188" s="1280" t="s">
        <v>623</v>
      </c>
      <c r="O188" s="416">
        <v>7.0000000000000007E-2</v>
      </c>
      <c r="P188" s="446"/>
      <c r="Q188" s="446"/>
      <c r="R188" s="448"/>
      <c r="S188" s="448"/>
      <c r="T188" s="448"/>
      <c r="U188" s="448"/>
      <c r="V188" s="448"/>
      <c r="W188" s="448"/>
      <c r="X188" s="448"/>
      <c r="Y188" s="448"/>
      <c r="Z188" s="448"/>
      <c r="AA188" s="449"/>
      <c r="AB188" s="446"/>
      <c r="AC188" s="446"/>
      <c r="AD188" s="446"/>
      <c r="AE188" s="446"/>
      <c r="AF188" s="446"/>
      <c r="AG188" s="446"/>
    </row>
    <row r="189" spans="1:33" s="437" customFormat="1" ht="17.25" customHeight="1" x14ac:dyDescent="0.25">
      <c r="A189" s="538"/>
      <c r="B189" s="514"/>
      <c r="C189" s="502"/>
      <c r="D189" s="502"/>
      <c r="E189" s="502"/>
      <c r="F189" s="513"/>
      <c r="G189" s="1544" t="s">
        <v>1987</v>
      </c>
      <c r="H189" s="1544"/>
      <c r="I189" s="1544"/>
      <c r="J189" s="1544"/>
      <c r="K189" s="1544"/>
      <c r="L189" s="1545"/>
      <c r="M189" s="416" t="s">
        <v>43</v>
      </c>
      <c r="N189" s="416" t="s">
        <v>44</v>
      </c>
      <c r="O189" s="416">
        <v>0.08</v>
      </c>
      <c r="P189" s="446"/>
      <c r="Q189" s="446"/>
      <c r="R189" s="420"/>
      <c r="S189" s="420"/>
      <c r="T189" s="420"/>
      <c r="U189" s="420"/>
      <c r="V189" s="420"/>
      <c r="W189" s="420"/>
      <c r="X189" s="420"/>
      <c r="Y189" s="420"/>
      <c r="Z189" s="420"/>
      <c r="AA189" s="436"/>
      <c r="AB189" s="1607"/>
      <c r="AC189" s="1608"/>
      <c r="AD189" s="1608"/>
      <c r="AE189" s="1608"/>
      <c r="AF189" s="1608"/>
      <c r="AG189" s="1609"/>
    </row>
    <row r="190" spans="1:33" s="437" customFormat="1" ht="63" customHeight="1" x14ac:dyDescent="0.25">
      <c r="A190" s="538"/>
      <c r="B190" s="514"/>
      <c r="C190" s="502"/>
      <c r="D190" s="502"/>
      <c r="E190" s="502"/>
      <c r="F190" s="513"/>
      <c r="G190" s="451" t="s">
        <v>624</v>
      </c>
      <c r="H190" s="416" t="s">
        <v>625</v>
      </c>
      <c r="I190" s="416" t="s">
        <v>2333</v>
      </c>
      <c r="J190" s="453">
        <v>4.4999999999999998E-2</v>
      </c>
      <c r="K190" s="416"/>
      <c r="L190" s="416"/>
      <c r="M190" s="434" t="s">
        <v>3527</v>
      </c>
      <c r="N190" s="487" t="s">
        <v>3528</v>
      </c>
      <c r="O190" s="434">
        <f>0.3-0.1</f>
        <v>0.19999999999999998</v>
      </c>
      <c r="P190" s="416"/>
      <c r="Q190" s="416"/>
      <c r="R190" s="299"/>
      <c r="S190" s="299"/>
      <c r="T190" s="299"/>
      <c r="U190" s="299"/>
      <c r="V190" s="299"/>
      <c r="W190" s="299"/>
      <c r="X190" s="299"/>
      <c r="Y190" s="299"/>
      <c r="Z190" s="299"/>
      <c r="AA190" s="452"/>
      <c r="AB190" s="416"/>
      <c r="AC190" s="416"/>
      <c r="AD190" s="416"/>
      <c r="AE190" s="453"/>
      <c r="AF190" s="416"/>
      <c r="AG190" s="416"/>
    </row>
    <row r="191" spans="1:33" s="437" customFormat="1" ht="24.75" customHeight="1" x14ac:dyDescent="0.25">
      <c r="A191" s="1204"/>
      <c r="B191" s="1205"/>
      <c r="C191" s="1206"/>
      <c r="D191" s="1206"/>
      <c r="E191" s="1206"/>
      <c r="F191" s="1207"/>
      <c r="G191" s="1544" t="s">
        <v>3069</v>
      </c>
      <c r="H191" s="1544"/>
      <c r="I191" s="1544"/>
      <c r="J191" s="1544"/>
      <c r="K191" s="1544"/>
      <c r="L191" s="1545"/>
      <c r="M191" s="1087"/>
      <c r="N191" s="1088"/>
      <c r="O191" s="1089"/>
      <c r="P191" s="453"/>
      <c r="Q191" s="453"/>
      <c r="R191" s="454"/>
      <c r="S191" s="455"/>
      <c r="T191" s="456"/>
      <c r="U191" s="456"/>
      <c r="V191" s="456"/>
      <c r="W191" s="454"/>
      <c r="X191" s="455"/>
      <c r="Y191" s="456"/>
      <c r="Z191" s="456"/>
      <c r="AA191" s="489"/>
      <c r="AB191" s="607"/>
      <c r="AC191" s="710"/>
      <c r="AD191" s="458"/>
      <c r="AE191" s="453"/>
      <c r="AF191" s="453"/>
      <c r="AG191" s="453"/>
    </row>
    <row r="192" spans="1:33" s="437" customFormat="1" ht="63" customHeight="1" x14ac:dyDescent="0.25">
      <c r="A192" s="1204"/>
      <c r="B192" s="1205"/>
      <c r="C192" s="1206"/>
      <c r="D192" s="1206"/>
      <c r="E192" s="1206"/>
      <c r="F192" s="1207"/>
      <c r="G192" s="1518" t="s">
        <v>3481</v>
      </c>
      <c r="H192" s="1519"/>
      <c r="I192" s="1520"/>
      <c r="J192" s="1233">
        <v>0.2</v>
      </c>
      <c r="K192" s="1233"/>
      <c r="L192" s="1233"/>
      <c r="M192" s="1087"/>
      <c r="N192" s="1088"/>
      <c r="O192" s="1089"/>
      <c r="P192" s="453"/>
      <c r="Q192" s="453"/>
      <c r="R192" s="454"/>
      <c r="S192" s="455"/>
      <c r="T192" s="456"/>
      <c r="U192" s="456"/>
      <c r="V192" s="456"/>
      <c r="W192" s="454"/>
      <c r="X192" s="455"/>
      <c r="Y192" s="456"/>
      <c r="Z192" s="456"/>
      <c r="AA192" s="489"/>
      <c r="AB192" s="607"/>
      <c r="AC192" s="710"/>
      <c r="AD192" s="458"/>
      <c r="AE192" s="453"/>
      <c r="AF192" s="453"/>
      <c r="AG192" s="453"/>
    </row>
    <row r="193" spans="1:33" ht="15.75" thickBot="1" x14ac:dyDescent="0.3">
      <c r="A193" s="528"/>
      <c r="B193" s="519"/>
      <c r="C193" s="506"/>
      <c r="D193" s="506"/>
      <c r="E193" s="506"/>
      <c r="F193" s="520"/>
      <c r="G193" s="1483" t="s">
        <v>1860</v>
      </c>
      <c r="H193" s="1483"/>
      <c r="I193" s="1484"/>
      <c r="J193" s="13">
        <f>SUM(J192)</f>
        <v>0.2</v>
      </c>
      <c r="K193" s="14">
        <v>0.8</v>
      </c>
      <c r="L193" s="13">
        <f>J193/K193</f>
        <v>0.25</v>
      </c>
      <c r="M193" s="1482" t="s">
        <v>1861</v>
      </c>
      <c r="N193" s="1484"/>
      <c r="O193" s="13">
        <f>SUM(O187:O190)</f>
        <v>0.6</v>
      </c>
      <c r="P193" s="14">
        <v>0.8</v>
      </c>
      <c r="Q193" s="13">
        <f>O193/P193</f>
        <v>0.74999999999999989</v>
      </c>
      <c r="R193" s="1647" t="s">
        <v>1862</v>
      </c>
      <c r="S193" s="1648"/>
      <c r="T193" s="30">
        <f>SUM(T188:T190)</f>
        <v>0</v>
      </c>
      <c r="U193" s="31">
        <v>0.8</v>
      </c>
      <c r="V193" s="30">
        <f>T193/U193</f>
        <v>0</v>
      </c>
      <c r="W193" s="1647" t="s">
        <v>1863</v>
      </c>
      <c r="X193" s="1648"/>
      <c r="Y193" s="30">
        <f>SUM(Y188:Y190)</f>
        <v>0</v>
      </c>
      <c r="Z193" s="31">
        <v>0.8</v>
      </c>
      <c r="AA193" s="32">
        <f>Y193/Z193</f>
        <v>0</v>
      </c>
      <c r="AB193" s="1482" t="s">
        <v>1860</v>
      </c>
      <c r="AC193" s="1483"/>
      <c r="AD193" s="1484"/>
      <c r="AE193" s="13">
        <f>SUM(AE188:AE190)</f>
        <v>0</v>
      </c>
      <c r="AF193" s="14">
        <v>0.8</v>
      </c>
      <c r="AG193" s="13">
        <f>AE193/AF193</f>
        <v>0</v>
      </c>
    </row>
    <row r="194" spans="1:33" ht="25.5" customHeight="1" x14ac:dyDescent="0.25">
      <c r="A194" s="527" t="str">
        <f>'Расчет ЦП - общая форма'!C191</f>
        <v xml:space="preserve">ПС 110/35/10 кВ Горицы </v>
      </c>
      <c r="B194" s="510">
        <f>'Расчет ЦП - общая форма'!D191</f>
        <v>6.3</v>
      </c>
      <c r="C194" s="511" t="str">
        <f>'Расчет ЦП - общая форма'!E191</f>
        <v>+</v>
      </c>
      <c r="D194" s="511">
        <f>'Расчет ЦП - общая форма'!F191</f>
        <v>6.3</v>
      </c>
      <c r="E194" s="511"/>
      <c r="F194" s="512"/>
      <c r="G194" s="1616" t="s">
        <v>3069</v>
      </c>
      <c r="H194" s="1616"/>
      <c r="I194" s="1616"/>
      <c r="J194" s="1616"/>
      <c r="K194" s="1616"/>
      <c r="L194" s="1617"/>
      <c r="M194" s="9" t="s">
        <v>2546</v>
      </c>
      <c r="N194" s="9" t="s">
        <v>3179</v>
      </c>
      <c r="O194" s="17">
        <v>2.1000000000000001E-2</v>
      </c>
      <c r="P194" s="17"/>
      <c r="Q194" s="17"/>
      <c r="R194" s="27"/>
      <c r="S194" s="27"/>
      <c r="T194" s="27"/>
      <c r="U194" s="27"/>
      <c r="V194" s="27"/>
      <c r="W194" s="27"/>
      <c r="X194" s="27"/>
      <c r="Y194" s="27"/>
      <c r="Z194" s="27"/>
      <c r="AA194" s="28"/>
      <c r="AB194" s="17"/>
      <c r="AC194" s="17"/>
      <c r="AD194" s="17"/>
      <c r="AE194" s="17"/>
      <c r="AF194" s="17"/>
      <c r="AG194" s="73"/>
    </row>
    <row r="195" spans="1:33" ht="25.5" customHeight="1" x14ac:dyDescent="0.25">
      <c r="A195" s="1045"/>
      <c r="B195" s="1038"/>
      <c r="C195" s="1039"/>
      <c r="D195" s="1039"/>
      <c r="E195" s="1039"/>
      <c r="F195" s="1037"/>
      <c r="G195" s="1" t="s">
        <v>2546</v>
      </c>
      <c r="H195" s="1" t="s">
        <v>2594</v>
      </c>
      <c r="I195" s="1" t="s">
        <v>3144</v>
      </c>
      <c r="J195" s="1">
        <v>2.3E-2</v>
      </c>
      <c r="K195" s="1"/>
      <c r="L195" s="22"/>
      <c r="M195" s="585"/>
      <c r="N195" s="41"/>
      <c r="O195" s="128"/>
      <c r="P195" s="128"/>
      <c r="Q195" s="128"/>
      <c r="R195" s="110"/>
      <c r="S195" s="111"/>
      <c r="T195" s="39"/>
      <c r="U195" s="39"/>
      <c r="V195" s="39"/>
      <c r="W195" s="110"/>
      <c r="X195" s="111"/>
      <c r="Y195" s="39"/>
      <c r="Z195" s="39"/>
      <c r="AA195" s="611"/>
      <c r="AB195" s="585"/>
      <c r="AC195" s="40"/>
      <c r="AD195" s="41"/>
      <c r="AE195" s="128"/>
      <c r="AF195" s="128"/>
      <c r="AG195" s="69"/>
    </row>
    <row r="196" spans="1:33" ht="25.5" customHeight="1" x14ac:dyDescent="0.25">
      <c r="A196" s="1204"/>
      <c r="B196" s="1205"/>
      <c r="C196" s="1206"/>
      <c r="D196" s="1206"/>
      <c r="E196" s="1206"/>
      <c r="F196" s="1207"/>
      <c r="G196" s="1518" t="s">
        <v>3481</v>
      </c>
      <c r="H196" s="1519"/>
      <c r="I196" s="1520"/>
      <c r="J196" s="1233">
        <v>0.71750000000000003</v>
      </c>
      <c r="K196" s="1233"/>
      <c r="L196" s="1233"/>
      <c r="M196" s="585"/>
      <c r="N196" s="41"/>
      <c r="O196" s="128"/>
      <c r="P196" s="128"/>
      <c r="Q196" s="128"/>
      <c r="R196" s="110"/>
      <c r="S196" s="111"/>
      <c r="T196" s="39"/>
      <c r="U196" s="39"/>
      <c r="V196" s="39"/>
      <c r="W196" s="110"/>
      <c r="X196" s="111"/>
      <c r="Y196" s="39"/>
      <c r="Z196" s="39"/>
      <c r="AA196" s="611"/>
      <c r="AB196" s="585"/>
      <c r="AC196" s="40"/>
      <c r="AD196" s="41"/>
      <c r="AE196" s="128"/>
      <c r="AF196" s="128"/>
      <c r="AG196" s="69"/>
    </row>
    <row r="197" spans="1:33" ht="18.75" customHeight="1" thickBot="1" x14ac:dyDescent="0.3">
      <c r="A197" s="528"/>
      <c r="B197" s="519"/>
      <c r="C197" s="506"/>
      <c r="D197" s="506"/>
      <c r="E197" s="506"/>
      <c r="F197" s="520"/>
      <c r="G197" s="1483" t="s">
        <v>1860</v>
      </c>
      <c r="H197" s="1483"/>
      <c r="I197" s="1484"/>
      <c r="J197" s="13">
        <f>SUM(J194:J196)</f>
        <v>0.74050000000000005</v>
      </c>
      <c r="K197" s="14">
        <v>0.8</v>
      </c>
      <c r="L197" s="13">
        <f>J197/K197</f>
        <v>0.92562500000000003</v>
      </c>
      <c r="M197" s="1482" t="s">
        <v>1861</v>
      </c>
      <c r="N197" s="1484"/>
      <c r="O197" s="13">
        <f>SUM(O194:O194)</f>
        <v>2.1000000000000001E-2</v>
      </c>
      <c r="P197" s="14">
        <v>0.8</v>
      </c>
      <c r="Q197" s="13">
        <f>O197/P197</f>
        <v>2.6249999999999999E-2</v>
      </c>
      <c r="R197" s="1647" t="s">
        <v>1862</v>
      </c>
      <c r="S197" s="1648"/>
      <c r="T197" s="30">
        <f>SUM(T194:T194)</f>
        <v>0</v>
      </c>
      <c r="U197" s="31">
        <v>0.8</v>
      </c>
      <c r="V197" s="30">
        <f>T197/U197</f>
        <v>0</v>
      </c>
      <c r="W197" s="1647" t="s">
        <v>1863</v>
      </c>
      <c r="X197" s="1648"/>
      <c r="Y197" s="30">
        <f>SUM(Y194:Y194)</f>
        <v>0</v>
      </c>
      <c r="Z197" s="31">
        <v>0.8</v>
      </c>
      <c r="AA197" s="32">
        <f>Y197/Z197</f>
        <v>0</v>
      </c>
      <c r="AB197" s="1482" t="s">
        <v>1860</v>
      </c>
      <c r="AC197" s="1483"/>
      <c r="AD197" s="1484"/>
      <c r="AE197" s="13">
        <f>SUM(AE194:AE194)</f>
        <v>0</v>
      </c>
      <c r="AF197" s="14">
        <v>0.8</v>
      </c>
      <c r="AG197" s="13">
        <f>AE197/AF197</f>
        <v>0</v>
      </c>
    </row>
    <row r="198" spans="1:33" s="437" customFormat="1" ht="15.75" thickBot="1" x14ac:dyDescent="0.3">
      <c r="A198" s="1618" t="str">
        <f>'Расчет ЦП - общая форма'!C194</f>
        <v xml:space="preserve">ПС 110/35/10 кВ Луч </v>
      </c>
      <c r="B198" s="1612">
        <f>'Расчет ЦП - общая форма'!D194</f>
        <v>16</v>
      </c>
      <c r="C198" s="1614" t="str">
        <f>'Расчет ЦП - общая форма'!E194</f>
        <v>+</v>
      </c>
      <c r="D198" s="1614">
        <f>'Расчет ЦП - общая форма'!F194</f>
        <v>16</v>
      </c>
      <c r="E198" s="511"/>
      <c r="F198" s="512"/>
      <c r="G198" s="1499" t="s">
        <v>1991</v>
      </c>
      <c r="H198" s="1499"/>
      <c r="I198" s="1499"/>
      <c r="J198" s="1499"/>
      <c r="K198" s="1499"/>
      <c r="L198" s="1500"/>
      <c r="M198" s="479"/>
      <c r="N198" s="480"/>
      <c r="O198" s="481"/>
      <c r="P198" s="481"/>
      <c r="Q198" s="481"/>
      <c r="R198" s="440"/>
      <c r="S198" s="441"/>
      <c r="T198" s="419"/>
      <c r="U198" s="419"/>
      <c r="V198" s="419"/>
      <c r="W198" s="440"/>
      <c r="X198" s="441"/>
      <c r="Y198" s="419"/>
      <c r="Z198" s="419"/>
      <c r="AA198" s="442"/>
      <c r="AB198" s="1625"/>
      <c r="AC198" s="1626"/>
      <c r="AD198" s="1626"/>
      <c r="AE198" s="1626"/>
      <c r="AF198" s="1626"/>
      <c r="AG198" s="1627"/>
    </row>
    <row r="199" spans="1:33" s="437" customFormat="1" ht="44.25" customHeight="1" x14ac:dyDescent="0.25">
      <c r="A199" s="1619"/>
      <c r="B199" s="1613"/>
      <c r="C199" s="1615"/>
      <c r="D199" s="1615"/>
      <c r="E199" s="502"/>
      <c r="F199" s="513"/>
      <c r="G199" s="386" t="s">
        <v>1220</v>
      </c>
      <c r="H199" s="384" t="s">
        <v>1221</v>
      </c>
      <c r="I199" s="384" t="s">
        <v>1222</v>
      </c>
      <c r="J199" s="384">
        <v>0.5</v>
      </c>
      <c r="K199" s="384"/>
      <c r="L199" s="384"/>
      <c r="M199" s="446" t="s">
        <v>1223</v>
      </c>
      <c r="N199" s="446" t="s">
        <v>1224</v>
      </c>
      <c r="O199" s="446">
        <v>1.9800000000000002E-2</v>
      </c>
      <c r="P199" s="446"/>
      <c r="Q199" s="446"/>
      <c r="R199" s="420" t="s">
        <v>1225</v>
      </c>
      <c r="S199" s="420" t="s">
        <v>1226</v>
      </c>
      <c r="T199" s="420">
        <v>0.2</v>
      </c>
      <c r="U199" s="448"/>
      <c r="V199" s="448"/>
      <c r="W199" s="448" t="s">
        <v>1227</v>
      </c>
      <c r="X199" s="448" t="s">
        <v>689</v>
      </c>
      <c r="Y199" s="448">
        <v>4</v>
      </c>
      <c r="Z199" s="448"/>
      <c r="AA199" s="449"/>
      <c r="AB199" s="384"/>
      <c r="AC199" s="384"/>
      <c r="AD199" s="384"/>
      <c r="AE199" s="384"/>
      <c r="AF199" s="384"/>
      <c r="AG199" s="384"/>
    </row>
    <row r="200" spans="1:33" s="437" customFormat="1" ht="19.5" customHeight="1" x14ac:dyDescent="0.25">
      <c r="A200" s="538"/>
      <c r="B200" s="514"/>
      <c r="C200" s="502"/>
      <c r="D200" s="502"/>
      <c r="E200" s="502"/>
      <c r="F200" s="513"/>
      <c r="G200" s="1655" t="s">
        <v>1989</v>
      </c>
      <c r="H200" s="1655"/>
      <c r="I200" s="1655"/>
      <c r="J200" s="1655"/>
      <c r="K200" s="1655"/>
      <c r="L200" s="1656"/>
      <c r="M200" s="446" t="s">
        <v>1229</v>
      </c>
      <c r="N200" s="446" t="s">
        <v>1230</v>
      </c>
      <c r="O200" s="446">
        <v>1.75</v>
      </c>
      <c r="P200" s="446"/>
      <c r="Q200" s="446"/>
      <c r="R200" s="420"/>
      <c r="S200" s="420"/>
      <c r="T200" s="420"/>
      <c r="U200" s="420"/>
      <c r="V200" s="420"/>
      <c r="W200" s="420"/>
      <c r="X200" s="420"/>
      <c r="Y200" s="420"/>
      <c r="Z200" s="420"/>
      <c r="AA200" s="436"/>
      <c r="AB200" s="1576"/>
      <c r="AC200" s="1633"/>
      <c r="AD200" s="1633"/>
      <c r="AE200" s="1633"/>
      <c r="AF200" s="1633"/>
      <c r="AG200" s="1634"/>
    </row>
    <row r="201" spans="1:33" s="437" customFormat="1" ht="25.5" customHeight="1" x14ac:dyDescent="0.25">
      <c r="A201" s="538"/>
      <c r="B201" s="514"/>
      <c r="C201" s="502"/>
      <c r="D201" s="502"/>
      <c r="E201" s="502"/>
      <c r="F201" s="513"/>
      <c r="G201" s="445" t="s">
        <v>1234</v>
      </c>
      <c r="H201" s="446" t="s">
        <v>1235</v>
      </c>
      <c r="I201" s="415" t="s">
        <v>1236</v>
      </c>
      <c r="J201" s="446">
        <v>0.10199999999999999</v>
      </c>
      <c r="K201" s="446"/>
      <c r="L201" s="446"/>
      <c r="M201" s="446" t="s">
        <v>1229</v>
      </c>
      <c r="N201" s="446" t="s">
        <v>1230</v>
      </c>
      <c r="O201" s="446">
        <v>0.5</v>
      </c>
      <c r="P201" s="446"/>
      <c r="Q201" s="446"/>
      <c r="R201" s="299"/>
      <c r="S201" s="299"/>
      <c r="T201" s="435"/>
      <c r="U201" s="420"/>
      <c r="V201" s="420"/>
      <c r="W201" s="420"/>
      <c r="X201" s="420"/>
      <c r="Y201" s="420"/>
      <c r="Z201" s="420"/>
      <c r="AA201" s="436"/>
      <c r="AB201" s="446"/>
      <c r="AC201" s="446"/>
      <c r="AD201" s="415"/>
      <c r="AE201" s="446"/>
      <c r="AF201" s="446"/>
      <c r="AG201" s="446"/>
    </row>
    <row r="202" spans="1:33" s="437" customFormat="1" ht="22.5" customHeight="1" x14ac:dyDescent="0.25">
      <c r="A202" s="538"/>
      <c r="B202" s="514"/>
      <c r="C202" s="502"/>
      <c r="D202" s="502"/>
      <c r="E202" s="502"/>
      <c r="F202" s="513"/>
      <c r="G202" s="445" t="s">
        <v>1231</v>
      </c>
      <c r="H202" s="446" t="s">
        <v>1232</v>
      </c>
      <c r="I202" s="415" t="s">
        <v>1233</v>
      </c>
      <c r="J202" s="446">
        <v>0.2</v>
      </c>
      <c r="K202" s="446"/>
      <c r="L202" s="446"/>
      <c r="M202" s="416" t="s">
        <v>1239</v>
      </c>
      <c r="N202" s="446" t="s">
        <v>1240</v>
      </c>
      <c r="O202" s="446">
        <v>0.05</v>
      </c>
      <c r="P202" s="446"/>
      <c r="Q202" s="446"/>
      <c r="R202" s="299"/>
      <c r="S202" s="299"/>
      <c r="T202" s="490"/>
      <c r="U202" s="420"/>
      <c r="V202" s="420"/>
      <c r="W202" s="420"/>
      <c r="X202" s="420"/>
      <c r="Y202" s="420"/>
      <c r="Z202" s="420"/>
      <c r="AA202" s="436"/>
      <c r="AB202" s="446"/>
      <c r="AC202" s="446"/>
      <c r="AD202" s="415"/>
      <c r="AE202" s="446"/>
      <c r="AF202" s="446"/>
      <c r="AG202" s="446"/>
    </row>
    <row r="203" spans="1:33" s="437" customFormat="1" ht="24.75" customHeight="1" x14ac:dyDescent="0.25">
      <c r="A203" s="538"/>
      <c r="B203" s="514"/>
      <c r="C203" s="502"/>
      <c r="D203" s="502"/>
      <c r="E203" s="502"/>
      <c r="F203" s="513"/>
      <c r="G203" s="1544" t="s">
        <v>1987</v>
      </c>
      <c r="H203" s="1544"/>
      <c r="I203" s="1544"/>
      <c r="J203" s="1544"/>
      <c r="K203" s="1544"/>
      <c r="L203" s="1545"/>
      <c r="M203" s="446" t="s">
        <v>1223</v>
      </c>
      <c r="N203" s="446" t="s">
        <v>1241</v>
      </c>
      <c r="O203" s="446">
        <v>5.5E-2</v>
      </c>
      <c r="P203" s="446"/>
      <c r="Q203" s="446"/>
      <c r="R203" s="420"/>
      <c r="S203" s="420"/>
      <c r="T203" s="490"/>
      <c r="U203" s="420"/>
      <c r="V203" s="420"/>
      <c r="W203" s="420"/>
      <c r="X203" s="420"/>
      <c r="Y203" s="420"/>
      <c r="Z203" s="420"/>
      <c r="AA203" s="436"/>
      <c r="AB203" s="1607" t="s">
        <v>1987</v>
      </c>
      <c r="AC203" s="1608"/>
      <c r="AD203" s="1608"/>
      <c r="AE203" s="1608"/>
      <c r="AF203" s="1608"/>
      <c r="AG203" s="1609"/>
    </row>
    <row r="204" spans="1:33" s="437" customFormat="1" ht="19.5" customHeight="1" x14ac:dyDescent="0.25">
      <c r="A204" s="538"/>
      <c r="B204" s="514"/>
      <c r="C204" s="502"/>
      <c r="D204" s="502"/>
      <c r="E204" s="502"/>
      <c r="F204" s="513"/>
      <c r="G204" s="500"/>
      <c r="H204" s="491"/>
      <c r="I204" s="491"/>
      <c r="J204" s="491"/>
      <c r="K204" s="491"/>
      <c r="L204" s="491"/>
      <c r="M204" s="446" t="s">
        <v>1223</v>
      </c>
      <c r="N204" s="446" t="s">
        <v>1242</v>
      </c>
      <c r="O204" s="446">
        <v>5.2999999999999999E-2</v>
      </c>
      <c r="P204" s="446"/>
      <c r="Q204" s="446"/>
      <c r="R204" s="420"/>
      <c r="S204" s="420"/>
      <c r="T204" s="420"/>
      <c r="U204" s="420"/>
      <c r="V204" s="420"/>
      <c r="W204" s="420"/>
      <c r="X204" s="420"/>
      <c r="Y204" s="420"/>
      <c r="Z204" s="420"/>
      <c r="AA204" s="436"/>
      <c r="AB204" s="492" t="s">
        <v>1220</v>
      </c>
      <c r="AC204" s="492" t="s">
        <v>1228</v>
      </c>
      <c r="AD204" s="492" t="s">
        <v>2524</v>
      </c>
      <c r="AE204" s="492">
        <v>3</v>
      </c>
      <c r="AF204" s="491"/>
      <c r="AG204" s="491"/>
    </row>
    <row r="205" spans="1:33" s="437" customFormat="1" ht="30" x14ac:dyDescent="0.25">
      <c r="A205" s="538"/>
      <c r="B205" s="514"/>
      <c r="C205" s="502"/>
      <c r="D205" s="502"/>
      <c r="E205" s="502"/>
      <c r="F205" s="513"/>
      <c r="G205" s="445" t="s">
        <v>1245</v>
      </c>
      <c r="H205" s="446" t="s">
        <v>1246</v>
      </c>
      <c r="I205" s="446" t="s">
        <v>1419</v>
      </c>
      <c r="J205" s="446">
        <v>0.06</v>
      </c>
      <c r="K205" s="446"/>
      <c r="L205" s="446"/>
      <c r="M205" s="416" t="s">
        <v>1243</v>
      </c>
      <c r="N205" s="416" t="s">
        <v>1244</v>
      </c>
      <c r="O205" s="416">
        <v>0.315</v>
      </c>
      <c r="P205" s="446"/>
      <c r="Q205" s="446"/>
      <c r="R205" s="420"/>
      <c r="S205" s="420"/>
      <c r="T205" s="420"/>
      <c r="U205" s="420"/>
      <c r="V205" s="420"/>
      <c r="W205" s="420"/>
      <c r="X205" s="420"/>
      <c r="Y205" s="420"/>
      <c r="Z205" s="420"/>
      <c r="AA205" s="436"/>
      <c r="AB205" s="446"/>
      <c r="AC205" s="446"/>
      <c r="AD205" s="446"/>
      <c r="AE205" s="446"/>
      <c r="AF205" s="446"/>
      <c r="AG205" s="446"/>
    </row>
    <row r="206" spans="1:33" s="437" customFormat="1" ht="19.5" customHeight="1" x14ac:dyDescent="0.25">
      <c r="A206" s="538"/>
      <c r="B206" s="514"/>
      <c r="C206" s="502"/>
      <c r="D206" s="502"/>
      <c r="E206" s="502"/>
      <c r="F206" s="513"/>
      <c r="G206" s="1544" t="s">
        <v>2061</v>
      </c>
      <c r="H206" s="1544"/>
      <c r="I206" s="1544"/>
      <c r="J206" s="1544"/>
      <c r="K206" s="1544"/>
      <c r="L206" s="1545"/>
      <c r="M206" s="849" t="s">
        <v>15</v>
      </c>
      <c r="N206" s="849" t="s">
        <v>3003</v>
      </c>
      <c r="O206" s="416">
        <v>0.2</v>
      </c>
      <c r="P206" s="416"/>
      <c r="Q206" s="446"/>
      <c r="R206" s="490"/>
      <c r="S206" s="490"/>
      <c r="T206" s="490"/>
      <c r="U206" s="420"/>
      <c r="V206" s="420"/>
      <c r="W206" s="420"/>
      <c r="X206" s="420"/>
      <c r="Y206" s="420"/>
      <c r="Z206" s="420"/>
      <c r="AA206" s="436"/>
      <c r="AB206" s="1607" t="s">
        <v>2061</v>
      </c>
      <c r="AC206" s="1608"/>
      <c r="AD206" s="1608"/>
      <c r="AE206" s="1608"/>
      <c r="AF206" s="1608"/>
      <c r="AG206" s="1609"/>
    </row>
    <row r="207" spans="1:33" s="437" customFormat="1" ht="35.25" customHeight="1" x14ac:dyDescent="0.25">
      <c r="A207" s="538"/>
      <c r="B207" s="514"/>
      <c r="C207" s="502"/>
      <c r="D207" s="502"/>
      <c r="E207" s="502"/>
      <c r="F207" s="513"/>
      <c r="G207" s="500"/>
      <c r="H207" s="491"/>
      <c r="I207" s="491"/>
      <c r="J207" s="493"/>
      <c r="K207" s="446"/>
      <c r="L207" s="446"/>
      <c r="M207" s="866"/>
      <c r="N207" s="1118"/>
      <c r="O207" s="416"/>
      <c r="P207" s="416"/>
      <c r="Q207" s="446"/>
      <c r="R207" s="490"/>
      <c r="S207" s="490"/>
      <c r="T207" s="490"/>
      <c r="U207" s="420"/>
      <c r="V207" s="420"/>
      <c r="W207" s="420"/>
      <c r="X207" s="420"/>
      <c r="Y207" s="420"/>
      <c r="Z207" s="420"/>
      <c r="AA207" s="436"/>
      <c r="AB207" s="492" t="s">
        <v>112</v>
      </c>
      <c r="AC207" s="492" t="s">
        <v>1418</v>
      </c>
      <c r="AD207" s="492" t="s">
        <v>2526</v>
      </c>
      <c r="AE207" s="494">
        <v>0.02</v>
      </c>
      <c r="AF207" s="446"/>
      <c r="AG207" s="446"/>
    </row>
    <row r="208" spans="1:33" s="437" customFormat="1" ht="60" x14ac:dyDescent="0.25">
      <c r="A208" s="538"/>
      <c r="B208" s="514"/>
      <c r="C208" s="502"/>
      <c r="D208" s="502"/>
      <c r="E208" s="502"/>
      <c r="F208" s="513"/>
      <c r="G208" s="445" t="s">
        <v>1237</v>
      </c>
      <c r="H208" s="446" t="s">
        <v>1238</v>
      </c>
      <c r="I208" s="446" t="s">
        <v>2288</v>
      </c>
      <c r="J208" s="446">
        <v>0.5</v>
      </c>
      <c r="K208" s="446"/>
      <c r="L208" s="446"/>
      <c r="M208" s="1057"/>
      <c r="N208" s="1057"/>
      <c r="O208" s="1057"/>
      <c r="P208" s="416"/>
      <c r="Q208" s="416"/>
      <c r="R208" s="420"/>
      <c r="S208" s="420"/>
      <c r="T208" s="420"/>
      <c r="U208" s="420"/>
      <c r="V208" s="420"/>
      <c r="W208" s="420"/>
      <c r="X208" s="420"/>
      <c r="Y208" s="420"/>
      <c r="Z208" s="420"/>
      <c r="AA208" s="436"/>
      <c r="AB208" s="446"/>
      <c r="AC208" s="446"/>
      <c r="AD208" s="446"/>
      <c r="AE208" s="446"/>
      <c r="AF208" s="446"/>
      <c r="AG208" s="446"/>
    </row>
    <row r="209" spans="1:33" s="437" customFormat="1" ht="105" x14ac:dyDescent="0.25">
      <c r="A209" s="538"/>
      <c r="B209" s="514"/>
      <c r="C209" s="502"/>
      <c r="D209" s="502"/>
      <c r="E209" s="502"/>
      <c r="F209" s="513"/>
      <c r="G209" s="451" t="s">
        <v>112</v>
      </c>
      <c r="H209" s="416" t="s">
        <v>1418</v>
      </c>
      <c r="I209" s="446" t="s">
        <v>2303</v>
      </c>
      <c r="J209" s="416">
        <v>0.01</v>
      </c>
      <c r="K209" s="446"/>
      <c r="L209" s="446"/>
      <c r="M209" s="1084" t="s">
        <v>3188</v>
      </c>
      <c r="N209" s="1118" t="s">
        <v>3189</v>
      </c>
      <c r="O209" s="1084">
        <v>0.504</v>
      </c>
      <c r="P209" s="416"/>
      <c r="Q209" s="416"/>
      <c r="R209" s="420"/>
      <c r="S209" s="420"/>
      <c r="T209" s="420"/>
      <c r="U209" s="420"/>
      <c r="V209" s="420"/>
      <c r="W209" s="420"/>
      <c r="X209" s="420"/>
      <c r="Y209" s="420"/>
      <c r="Z209" s="420"/>
      <c r="AA209" s="436"/>
      <c r="AB209" s="416"/>
      <c r="AC209" s="416"/>
      <c r="AD209" s="446"/>
      <c r="AE209" s="416"/>
      <c r="AF209" s="446"/>
      <c r="AG209" s="446"/>
    </row>
    <row r="210" spans="1:33" s="437" customFormat="1" ht="60" x14ac:dyDescent="0.25">
      <c r="A210" s="538"/>
      <c r="B210" s="514"/>
      <c r="C210" s="502"/>
      <c r="D210" s="502"/>
      <c r="E210" s="502"/>
      <c r="F210" s="513"/>
      <c r="G210" s="451" t="s">
        <v>24</v>
      </c>
      <c r="H210" s="416" t="s">
        <v>25</v>
      </c>
      <c r="I210" s="416" t="s">
        <v>2383</v>
      </c>
      <c r="J210" s="416">
        <v>0.2</v>
      </c>
      <c r="K210" s="416"/>
      <c r="L210" s="416"/>
      <c r="M210" s="1057"/>
      <c r="N210" s="1057"/>
      <c r="O210" s="1057"/>
      <c r="P210" s="416"/>
      <c r="Q210" s="453"/>
      <c r="R210" s="440"/>
      <c r="S210" s="441"/>
      <c r="T210" s="419"/>
      <c r="U210" s="419"/>
      <c r="V210" s="419"/>
      <c r="W210" s="440"/>
      <c r="X210" s="441"/>
      <c r="Y210" s="419"/>
      <c r="Z210" s="419"/>
      <c r="AA210" s="442"/>
      <c r="AB210" s="416"/>
      <c r="AC210" s="416"/>
      <c r="AD210" s="416"/>
      <c r="AE210" s="416"/>
      <c r="AF210" s="416"/>
      <c r="AG210" s="416"/>
    </row>
    <row r="211" spans="1:33" s="437" customFormat="1" ht="60" x14ac:dyDescent="0.25">
      <c r="A211" s="538"/>
      <c r="B211" s="514"/>
      <c r="C211" s="502"/>
      <c r="D211" s="502"/>
      <c r="E211" s="502"/>
      <c r="F211" s="513"/>
      <c r="G211" s="451" t="s">
        <v>17</v>
      </c>
      <c r="H211" s="416" t="s">
        <v>18</v>
      </c>
      <c r="I211" s="416" t="s">
        <v>2384</v>
      </c>
      <c r="J211" s="416">
        <v>0.2</v>
      </c>
      <c r="K211" s="416"/>
      <c r="L211" s="416"/>
      <c r="M211" s="434"/>
      <c r="N211" s="434"/>
      <c r="O211" s="434"/>
      <c r="P211" s="416"/>
      <c r="Q211" s="453"/>
      <c r="R211" s="440"/>
      <c r="S211" s="441"/>
      <c r="T211" s="419"/>
      <c r="U211" s="419"/>
      <c r="V211" s="419"/>
      <c r="W211" s="440"/>
      <c r="X211" s="441"/>
      <c r="Y211" s="419"/>
      <c r="Z211" s="419"/>
      <c r="AA211" s="442"/>
      <c r="AB211" s="416"/>
      <c r="AC211" s="416"/>
      <c r="AD211" s="416"/>
      <c r="AE211" s="416"/>
      <c r="AF211" s="416"/>
      <c r="AG211" s="416"/>
    </row>
    <row r="212" spans="1:33" s="437" customFormat="1" x14ac:dyDescent="0.25">
      <c r="A212" s="1085"/>
      <c r="B212" s="1082"/>
      <c r="C212" s="1083"/>
      <c r="D212" s="1083"/>
      <c r="E212" s="1083"/>
      <c r="F212" s="1081"/>
      <c r="G212" s="1544" t="s">
        <v>3069</v>
      </c>
      <c r="H212" s="1544"/>
      <c r="I212" s="1544"/>
      <c r="J212" s="1544"/>
      <c r="K212" s="1544"/>
      <c r="L212" s="1545"/>
      <c r="M212" s="1087"/>
      <c r="N212" s="1088"/>
      <c r="O212" s="1089"/>
      <c r="P212" s="453"/>
      <c r="Q212" s="453"/>
      <c r="R212" s="440"/>
      <c r="S212" s="441"/>
      <c r="T212" s="419"/>
      <c r="U212" s="419"/>
      <c r="V212" s="419"/>
      <c r="W212" s="440"/>
      <c r="X212" s="441"/>
      <c r="Y212" s="419"/>
      <c r="Z212" s="419"/>
      <c r="AA212" s="442"/>
      <c r="AB212" s="607"/>
      <c r="AC212" s="710"/>
      <c r="AD212" s="458"/>
      <c r="AE212" s="453"/>
      <c r="AF212" s="453"/>
      <c r="AG212" s="453"/>
    </row>
    <row r="213" spans="1:33" s="437" customFormat="1" ht="90" x14ac:dyDescent="0.25">
      <c r="A213" s="1085"/>
      <c r="B213" s="1082"/>
      <c r="C213" s="1083"/>
      <c r="D213" s="1083"/>
      <c r="E213" s="1083"/>
      <c r="F213" s="1081"/>
      <c r="G213" s="1084" t="s">
        <v>17</v>
      </c>
      <c r="H213" s="1084" t="s">
        <v>3186</v>
      </c>
      <c r="I213" s="458" t="s">
        <v>3225</v>
      </c>
      <c r="J213" s="1084">
        <v>0.04</v>
      </c>
      <c r="K213" s="453"/>
      <c r="L213" s="453"/>
      <c r="M213" s="1087"/>
      <c r="N213" s="1088"/>
      <c r="O213" s="1089"/>
      <c r="P213" s="453"/>
      <c r="Q213" s="453"/>
      <c r="R213" s="440"/>
      <c r="S213" s="441"/>
      <c r="T213" s="419"/>
      <c r="U213" s="419"/>
      <c r="V213" s="419"/>
      <c r="W213" s="440"/>
      <c r="X213" s="441"/>
      <c r="Y213" s="419"/>
      <c r="Z213" s="419"/>
      <c r="AA213" s="442"/>
      <c r="AB213" s="607"/>
      <c r="AC213" s="710"/>
      <c r="AD213" s="458"/>
      <c r="AE213" s="453"/>
      <c r="AF213" s="453"/>
      <c r="AG213" s="453"/>
    </row>
    <row r="214" spans="1:33" s="437" customFormat="1" ht="90" x14ac:dyDescent="0.25">
      <c r="A214" s="1085"/>
      <c r="B214" s="1082"/>
      <c r="C214" s="1083"/>
      <c r="D214" s="1083"/>
      <c r="E214" s="1083"/>
      <c r="F214" s="1081"/>
      <c r="G214" s="1084" t="s">
        <v>24</v>
      </c>
      <c r="H214" s="1084" t="s">
        <v>3185</v>
      </c>
      <c r="I214" s="458" t="s">
        <v>3226</v>
      </c>
      <c r="J214" s="1084">
        <v>0.05</v>
      </c>
      <c r="K214" s="453"/>
      <c r="L214" s="453"/>
      <c r="M214" s="1087"/>
      <c r="N214" s="1088"/>
      <c r="O214" s="1089"/>
      <c r="P214" s="453"/>
      <c r="Q214" s="453"/>
      <c r="R214" s="440"/>
      <c r="S214" s="441"/>
      <c r="T214" s="419"/>
      <c r="U214" s="419"/>
      <c r="V214" s="419"/>
      <c r="W214" s="440"/>
      <c r="X214" s="441"/>
      <c r="Y214" s="419"/>
      <c r="Z214" s="419"/>
      <c r="AA214" s="442"/>
      <c r="AB214" s="607"/>
      <c r="AC214" s="710"/>
      <c r="AD214" s="458"/>
      <c r="AE214" s="453"/>
      <c r="AF214" s="453"/>
      <c r="AG214" s="453"/>
    </row>
    <row r="215" spans="1:33" s="437" customFormat="1" ht="105" x14ac:dyDescent="0.25">
      <c r="A215" s="1129"/>
      <c r="B215" s="1127"/>
      <c r="C215" s="1128"/>
      <c r="D215" s="1128"/>
      <c r="E215" s="1128"/>
      <c r="F215" s="1126"/>
      <c r="G215" s="1130" t="s">
        <v>3041</v>
      </c>
      <c r="H215" s="1130" t="s">
        <v>3313</v>
      </c>
      <c r="I215" s="458" t="s">
        <v>3323</v>
      </c>
      <c r="J215" s="453">
        <v>0.16</v>
      </c>
      <c r="K215" s="453"/>
      <c r="L215" s="453"/>
      <c r="M215" s="1087"/>
      <c r="N215" s="1088"/>
      <c r="O215" s="1089"/>
      <c r="P215" s="453"/>
      <c r="Q215" s="453"/>
      <c r="R215" s="440"/>
      <c r="S215" s="441"/>
      <c r="T215" s="419"/>
      <c r="U215" s="419"/>
      <c r="V215" s="419"/>
      <c r="W215" s="440"/>
      <c r="X215" s="441"/>
      <c r="Y215" s="419"/>
      <c r="Z215" s="419"/>
      <c r="AA215" s="442"/>
      <c r="AB215" s="607"/>
      <c r="AC215" s="710"/>
      <c r="AD215" s="458"/>
      <c r="AE215" s="453"/>
      <c r="AF215" s="453"/>
      <c r="AG215" s="453"/>
    </row>
    <row r="216" spans="1:33" s="437" customFormat="1" x14ac:dyDescent="0.25">
      <c r="A216" s="1218"/>
      <c r="B216" s="1216"/>
      <c r="C216" s="1217"/>
      <c r="D216" s="1217"/>
      <c r="E216" s="1217"/>
      <c r="F216" s="1215"/>
      <c r="G216" s="1518" t="s">
        <v>3481</v>
      </c>
      <c r="H216" s="1519"/>
      <c r="I216" s="1520"/>
      <c r="J216" s="1225">
        <v>0.52100000000000002</v>
      </c>
      <c r="K216" s="453"/>
      <c r="L216" s="453"/>
      <c r="M216" s="1087"/>
      <c r="N216" s="1088"/>
      <c r="O216" s="1089"/>
      <c r="P216" s="453"/>
      <c r="Q216" s="453"/>
      <c r="R216" s="440"/>
      <c r="S216" s="441"/>
      <c r="T216" s="419"/>
      <c r="U216" s="419"/>
      <c r="V216" s="419"/>
      <c r="W216" s="440"/>
      <c r="X216" s="441"/>
      <c r="Y216" s="419"/>
      <c r="Z216" s="419"/>
      <c r="AA216" s="442"/>
      <c r="AB216" s="607"/>
      <c r="AC216" s="710"/>
      <c r="AD216" s="458"/>
      <c r="AE216" s="453"/>
      <c r="AF216" s="453"/>
      <c r="AG216" s="453"/>
    </row>
    <row r="217" spans="1:33" ht="15.75" thickBot="1" x14ac:dyDescent="0.3">
      <c r="A217" s="528"/>
      <c r="B217" s="519"/>
      <c r="C217" s="506"/>
      <c r="D217" s="506"/>
      <c r="E217" s="506"/>
      <c r="F217" s="520"/>
      <c r="G217" s="1483" t="s">
        <v>1860</v>
      </c>
      <c r="H217" s="1483"/>
      <c r="I217" s="1484"/>
      <c r="J217" s="13">
        <f>SUM(J213:J216)</f>
        <v>0.77100000000000002</v>
      </c>
      <c r="K217" s="14">
        <v>0.8</v>
      </c>
      <c r="L217" s="13">
        <f>J217/K217</f>
        <v>0.96375</v>
      </c>
      <c r="M217" s="1482" t="s">
        <v>1861</v>
      </c>
      <c r="N217" s="1484"/>
      <c r="O217" s="13">
        <f>SUM(O199:O210)</f>
        <v>3.4468000000000001</v>
      </c>
      <c r="P217" s="14">
        <v>0.8</v>
      </c>
      <c r="Q217" s="13">
        <f>O217/P217</f>
        <v>4.3084999999999996</v>
      </c>
      <c r="R217" s="1647" t="s">
        <v>1862</v>
      </c>
      <c r="S217" s="1648"/>
      <c r="T217" s="30">
        <f>SUM(T199:T209)</f>
        <v>0.2</v>
      </c>
      <c r="U217" s="31">
        <v>0.8</v>
      </c>
      <c r="V217" s="30">
        <f>T217/U217</f>
        <v>0.25</v>
      </c>
      <c r="W217" s="1647" t="s">
        <v>1863</v>
      </c>
      <c r="X217" s="1648"/>
      <c r="Y217" s="30">
        <f>SUM(Y199:Y209)</f>
        <v>4</v>
      </c>
      <c r="Z217" s="31">
        <v>0.8</v>
      </c>
      <c r="AA217" s="32">
        <f>Y217/Z217</f>
        <v>5</v>
      </c>
      <c r="AB217" s="1482" t="s">
        <v>1860</v>
      </c>
      <c r="AC217" s="1483"/>
      <c r="AD217" s="1484"/>
      <c r="AE217" s="13">
        <f>SUM(AE204:AE205,AE207:AE211)</f>
        <v>3.02</v>
      </c>
      <c r="AF217" s="14">
        <v>0.8</v>
      </c>
      <c r="AG217" s="13">
        <f>AE217/AF217</f>
        <v>3.7749999999999999</v>
      </c>
    </row>
    <row r="218" spans="1:33" s="437" customFormat="1" ht="14.25" customHeight="1" x14ac:dyDescent="0.25">
      <c r="A218" s="1618" t="str">
        <f>'Расчет ЦП - общая форма'!C197</f>
        <v xml:space="preserve">ПС 110/35/10 кВ Простор </v>
      </c>
      <c r="B218" s="1612">
        <f>'Расчет ЦП - общая форма'!D197</f>
        <v>25</v>
      </c>
      <c r="C218" s="1614" t="str">
        <f>'Расчет ЦП - общая форма'!E197</f>
        <v>+</v>
      </c>
      <c r="D218" s="1614">
        <f>'Расчет ЦП - общая форма'!F197</f>
        <v>25</v>
      </c>
      <c r="E218" s="511"/>
      <c r="F218" s="512"/>
      <c r="G218" s="1515" t="s">
        <v>1989</v>
      </c>
      <c r="H218" s="1515"/>
      <c r="I218" s="1515"/>
      <c r="J218" s="1515"/>
      <c r="K218" s="1515"/>
      <c r="L218" s="1516"/>
      <c r="M218" s="446" t="s">
        <v>633</v>
      </c>
      <c r="N218" s="446" t="s">
        <v>644</v>
      </c>
      <c r="O218" s="446">
        <v>0.12</v>
      </c>
      <c r="P218" s="446"/>
      <c r="Q218" s="446"/>
      <c r="R218" s="440"/>
      <c r="S218" s="441"/>
      <c r="T218" s="419"/>
      <c r="U218" s="419"/>
      <c r="V218" s="419"/>
      <c r="W218" s="440"/>
      <c r="X218" s="441"/>
      <c r="Y218" s="419"/>
      <c r="Z218" s="419"/>
      <c r="AA218" s="442"/>
      <c r="AB218" s="1628"/>
      <c r="AC218" s="1629"/>
      <c r="AD218" s="1629"/>
      <c r="AE218" s="1629"/>
      <c r="AF218" s="1629"/>
      <c r="AG218" s="1630"/>
    </row>
    <row r="219" spans="1:33" s="437" customFormat="1" ht="30" x14ac:dyDescent="0.25">
      <c r="A219" s="1619"/>
      <c r="B219" s="1613"/>
      <c r="C219" s="1615"/>
      <c r="D219" s="1615"/>
      <c r="E219" s="502"/>
      <c r="F219" s="513"/>
      <c r="G219" s="451" t="s">
        <v>641</v>
      </c>
      <c r="H219" s="416" t="s">
        <v>642</v>
      </c>
      <c r="I219" s="416" t="s">
        <v>643</v>
      </c>
      <c r="J219" s="416">
        <v>0.22</v>
      </c>
      <c r="K219" s="416"/>
      <c r="L219" s="416"/>
      <c r="M219" s="416" t="s">
        <v>628</v>
      </c>
      <c r="N219" s="416" t="s">
        <v>640</v>
      </c>
      <c r="O219" s="416">
        <v>0.09</v>
      </c>
      <c r="P219" s="416"/>
      <c r="Q219" s="416"/>
      <c r="R219" s="299"/>
      <c r="S219" s="299"/>
      <c r="T219" s="299"/>
      <c r="U219" s="420"/>
      <c r="V219" s="420"/>
      <c r="W219" s="420"/>
      <c r="X219" s="420"/>
      <c r="Y219" s="420"/>
      <c r="Z219" s="420"/>
      <c r="AA219" s="436"/>
      <c r="AB219" s="416"/>
      <c r="AC219" s="416"/>
      <c r="AD219" s="416"/>
      <c r="AE219" s="416"/>
      <c r="AF219" s="416"/>
      <c r="AG219" s="416"/>
    </row>
    <row r="220" spans="1:33" s="437" customFormat="1" ht="18" customHeight="1" x14ac:dyDescent="0.25">
      <c r="A220" s="1619"/>
      <c r="B220" s="1613"/>
      <c r="C220" s="1615"/>
      <c r="D220" s="1615"/>
      <c r="E220" s="502"/>
      <c r="F220" s="513"/>
      <c r="G220" s="1544" t="s">
        <v>1988</v>
      </c>
      <c r="H220" s="1544"/>
      <c r="I220" s="1544"/>
      <c r="J220" s="1544"/>
      <c r="K220" s="1544"/>
      <c r="L220" s="1545"/>
      <c r="M220" s="416" t="s">
        <v>647</v>
      </c>
      <c r="N220" s="416" t="s">
        <v>648</v>
      </c>
      <c r="O220" s="416">
        <v>2</v>
      </c>
      <c r="P220" s="416"/>
      <c r="Q220" s="416"/>
      <c r="R220" s="420"/>
      <c r="S220" s="420"/>
      <c r="T220" s="420"/>
      <c r="U220" s="420"/>
      <c r="V220" s="420"/>
      <c r="W220" s="420"/>
      <c r="X220" s="420"/>
      <c r="Y220" s="420"/>
      <c r="Z220" s="420"/>
      <c r="AA220" s="436"/>
      <c r="AB220" s="1607"/>
      <c r="AC220" s="1608"/>
      <c r="AD220" s="1608"/>
      <c r="AE220" s="1608"/>
      <c r="AF220" s="1608"/>
      <c r="AG220" s="1609"/>
    </row>
    <row r="221" spans="1:33" s="437" customFormat="1" ht="90.75" thickBot="1" x14ac:dyDescent="0.3">
      <c r="A221" s="1619"/>
      <c r="B221" s="1613"/>
      <c r="C221" s="1615"/>
      <c r="D221" s="1615"/>
      <c r="E221" s="502"/>
      <c r="F221" s="513"/>
      <c r="G221" s="445" t="s">
        <v>628</v>
      </c>
      <c r="H221" s="416" t="s">
        <v>638</v>
      </c>
      <c r="I221" s="416" t="s">
        <v>639</v>
      </c>
      <c r="J221" s="446">
        <v>7.0000000000000007E-2</v>
      </c>
      <c r="K221" s="446"/>
      <c r="L221" s="446"/>
      <c r="M221" s="416" t="s">
        <v>2469</v>
      </c>
      <c r="N221" s="416" t="s">
        <v>2470</v>
      </c>
      <c r="O221" s="447">
        <v>1.95E-2</v>
      </c>
      <c r="P221" s="416"/>
      <c r="Q221" s="416"/>
      <c r="R221" s="420"/>
      <c r="S221" s="420"/>
      <c r="T221" s="420"/>
      <c r="U221" s="420"/>
      <c r="V221" s="420"/>
      <c r="W221" s="420"/>
      <c r="X221" s="420"/>
      <c r="Y221" s="420"/>
      <c r="Z221" s="420"/>
      <c r="AA221" s="436"/>
      <c r="AB221" s="446"/>
      <c r="AC221" s="416"/>
      <c r="AD221" s="416"/>
      <c r="AE221" s="446"/>
      <c r="AF221" s="446"/>
      <c r="AG221" s="446"/>
    </row>
    <row r="222" spans="1:33" s="437" customFormat="1" ht="105" x14ac:dyDescent="0.25">
      <c r="A222" s="1619"/>
      <c r="B222" s="1613"/>
      <c r="C222" s="1615"/>
      <c r="D222" s="1615"/>
      <c r="E222" s="502"/>
      <c r="F222" s="513"/>
      <c r="G222" s="439" t="s">
        <v>635</v>
      </c>
      <c r="H222" s="438" t="s">
        <v>636</v>
      </c>
      <c r="I222" s="438" t="s">
        <v>637</v>
      </c>
      <c r="J222" s="438">
        <v>0.03</v>
      </c>
      <c r="K222" s="438"/>
      <c r="L222" s="438"/>
      <c r="M222" s="453" t="s">
        <v>2563</v>
      </c>
      <c r="N222" s="453" t="s">
        <v>2622</v>
      </c>
      <c r="O222" s="416">
        <f>0.082-0.05</f>
        <v>3.2000000000000001E-2</v>
      </c>
      <c r="P222" s="416"/>
      <c r="Q222" s="416"/>
      <c r="R222" s="448"/>
      <c r="S222" s="448"/>
      <c r="T222" s="448"/>
      <c r="U222" s="448"/>
      <c r="V222" s="448"/>
      <c r="W222" s="448"/>
      <c r="X222" s="448"/>
      <c r="Y222" s="448"/>
      <c r="Z222" s="448"/>
      <c r="AA222" s="449"/>
      <c r="AB222" s="438"/>
      <c r="AC222" s="438"/>
      <c r="AD222" s="438"/>
      <c r="AE222" s="438"/>
      <c r="AF222" s="438"/>
      <c r="AG222" s="438"/>
    </row>
    <row r="223" spans="1:33" s="437" customFormat="1" ht="30" x14ac:dyDescent="0.25">
      <c r="A223" s="538"/>
      <c r="B223" s="514"/>
      <c r="C223" s="502"/>
      <c r="D223" s="502"/>
      <c r="E223" s="502"/>
      <c r="F223" s="513"/>
      <c r="G223" s="451" t="s">
        <v>645</v>
      </c>
      <c r="H223" s="416" t="s">
        <v>640</v>
      </c>
      <c r="I223" s="416" t="s">
        <v>646</v>
      </c>
      <c r="J223" s="416">
        <v>0.03</v>
      </c>
      <c r="K223" s="416"/>
      <c r="L223" s="416"/>
      <c r="M223" s="671"/>
      <c r="N223" s="671"/>
      <c r="O223" s="447"/>
      <c r="P223" s="416"/>
      <c r="Q223" s="416"/>
      <c r="R223" s="420"/>
      <c r="S223" s="420"/>
      <c r="T223" s="420"/>
      <c r="U223" s="420"/>
      <c r="V223" s="420"/>
      <c r="W223" s="420"/>
      <c r="X223" s="420"/>
      <c r="Y223" s="420"/>
      <c r="Z223" s="420"/>
      <c r="AA223" s="436"/>
      <c r="AB223" s="416"/>
      <c r="AC223" s="416"/>
      <c r="AD223" s="416"/>
      <c r="AE223" s="416"/>
      <c r="AF223" s="416"/>
      <c r="AG223" s="416"/>
    </row>
    <row r="224" spans="1:33" s="437" customFormat="1" ht="18" customHeight="1" x14ac:dyDescent="0.25">
      <c r="A224" s="538"/>
      <c r="B224" s="514"/>
      <c r="C224" s="502"/>
      <c r="D224" s="502"/>
      <c r="E224" s="502"/>
      <c r="F224" s="513"/>
      <c r="G224" s="1544" t="s">
        <v>1987</v>
      </c>
      <c r="H224" s="1544"/>
      <c r="I224" s="1544"/>
      <c r="J224" s="1544"/>
      <c r="K224" s="1544"/>
      <c r="L224" s="1545"/>
      <c r="M224" s="416"/>
      <c r="N224" s="416"/>
      <c r="O224" s="416"/>
      <c r="P224" s="416"/>
      <c r="Q224" s="416"/>
      <c r="R224" s="420"/>
      <c r="S224" s="420"/>
      <c r="T224" s="420"/>
      <c r="U224" s="420"/>
      <c r="V224" s="420"/>
      <c r="W224" s="420"/>
      <c r="X224" s="420"/>
      <c r="Y224" s="420"/>
      <c r="Z224" s="420"/>
      <c r="AA224" s="436"/>
      <c r="AB224" s="1607"/>
      <c r="AC224" s="1608"/>
      <c r="AD224" s="1608"/>
      <c r="AE224" s="1608"/>
      <c r="AF224" s="1608"/>
      <c r="AG224" s="1609"/>
    </row>
    <row r="225" spans="1:33" s="437" customFormat="1" ht="57" customHeight="1" x14ac:dyDescent="0.25">
      <c r="A225" s="538"/>
      <c r="B225" s="514"/>
      <c r="C225" s="502"/>
      <c r="D225" s="502"/>
      <c r="E225" s="502"/>
      <c r="F225" s="513"/>
      <c r="G225" s="451" t="s">
        <v>649</v>
      </c>
      <c r="H225" s="416" t="s">
        <v>650</v>
      </c>
      <c r="I225" s="416" t="s">
        <v>651</v>
      </c>
      <c r="J225" s="416">
        <v>3.5999999999999997E-2</v>
      </c>
      <c r="K225" s="416"/>
      <c r="L225" s="416"/>
      <c r="M225" s="693" t="s">
        <v>2699</v>
      </c>
      <c r="N225" s="693" t="s">
        <v>2700</v>
      </c>
      <c r="O225" s="416"/>
      <c r="P225" s="416"/>
      <c r="Q225" s="416"/>
      <c r="R225" s="299"/>
      <c r="S225" s="299"/>
      <c r="T225" s="299"/>
      <c r="U225" s="299"/>
      <c r="V225" s="299"/>
      <c r="W225" s="299"/>
      <c r="X225" s="299"/>
      <c r="Y225" s="299"/>
      <c r="Z225" s="299"/>
      <c r="AA225" s="452"/>
      <c r="AB225" s="416"/>
      <c r="AC225" s="416"/>
      <c r="AD225" s="416"/>
      <c r="AE225" s="416"/>
      <c r="AF225" s="416"/>
      <c r="AG225" s="416"/>
    </row>
    <row r="226" spans="1:33" s="437" customFormat="1" ht="15.75" customHeight="1" x14ac:dyDescent="0.25">
      <c r="A226" s="699"/>
      <c r="B226" s="700"/>
      <c r="C226" s="701"/>
      <c r="D226" s="701"/>
      <c r="E226" s="701"/>
      <c r="F226" s="705"/>
      <c r="G226" s="1544" t="s">
        <v>2512</v>
      </c>
      <c r="H226" s="1544"/>
      <c r="I226" s="1544"/>
      <c r="J226" s="1544"/>
      <c r="K226" s="1544"/>
      <c r="L226" s="1545"/>
      <c r="M226" s="757"/>
      <c r="N226" s="757"/>
      <c r="O226" s="703"/>
      <c r="P226" s="453"/>
      <c r="Q226" s="453"/>
      <c r="R226" s="454"/>
      <c r="S226" s="455"/>
      <c r="T226" s="456"/>
      <c r="U226" s="456"/>
      <c r="V226" s="456"/>
      <c r="W226" s="454"/>
      <c r="X226" s="455"/>
      <c r="Y226" s="456"/>
      <c r="Z226" s="456"/>
      <c r="AA226" s="489"/>
      <c r="AB226" s="607"/>
      <c r="AC226" s="710"/>
      <c r="AD226" s="458"/>
      <c r="AE226" s="453"/>
      <c r="AF226" s="453"/>
      <c r="AG226" s="453"/>
    </row>
    <row r="227" spans="1:33" s="437" customFormat="1" ht="69.75" customHeight="1" x14ac:dyDescent="0.25">
      <c r="A227" s="699"/>
      <c r="B227" s="700"/>
      <c r="C227" s="701"/>
      <c r="D227" s="701"/>
      <c r="E227" s="701"/>
      <c r="F227" s="705"/>
      <c r="G227" s="703" t="s">
        <v>2668</v>
      </c>
      <c r="H227" s="703" t="s">
        <v>2724</v>
      </c>
      <c r="I227" s="458" t="s">
        <v>2725</v>
      </c>
      <c r="J227" s="447">
        <f>0.715-0.5</f>
        <v>0.21499999999999997</v>
      </c>
      <c r="K227" s="453"/>
      <c r="L227" s="453"/>
      <c r="M227" s="1084" t="s">
        <v>3256</v>
      </c>
      <c r="N227" s="1084" t="s">
        <v>3257</v>
      </c>
      <c r="O227" s="1090">
        <v>1.5</v>
      </c>
      <c r="P227" s="453"/>
      <c r="Q227" s="453"/>
      <c r="R227" s="454"/>
      <c r="S227" s="455"/>
      <c r="T227" s="456"/>
      <c r="U227" s="456"/>
      <c r="V227" s="456"/>
      <c r="W227" s="454"/>
      <c r="X227" s="455"/>
      <c r="Y227" s="456"/>
      <c r="Z227" s="456"/>
      <c r="AA227" s="454"/>
      <c r="AB227" s="780"/>
      <c r="AC227" s="780"/>
      <c r="AD227" s="780"/>
      <c r="AE227" s="780"/>
      <c r="AF227" s="453"/>
      <c r="AG227" s="453"/>
    </row>
    <row r="228" spans="1:33" s="437" customFormat="1" ht="69.75" customHeight="1" x14ac:dyDescent="0.25">
      <c r="A228" s="782"/>
      <c r="B228" s="783"/>
      <c r="C228" s="778"/>
      <c r="D228" s="778"/>
      <c r="E228" s="778"/>
      <c r="F228" s="784"/>
      <c r="G228" s="780" t="s">
        <v>2799</v>
      </c>
      <c r="H228" s="780" t="s">
        <v>2800</v>
      </c>
      <c r="I228" s="458" t="s">
        <v>2861</v>
      </c>
      <c r="J228" s="686">
        <v>0.3</v>
      </c>
      <c r="K228" s="453"/>
      <c r="L228" s="453"/>
      <c r="M228" s="780"/>
      <c r="N228" s="780"/>
      <c r="O228" s="453"/>
      <c r="P228" s="453"/>
      <c r="Q228" s="453"/>
      <c r="R228" s="454"/>
      <c r="S228" s="455"/>
      <c r="T228" s="456"/>
      <c r="U228" s="456"/>
      <c r="V228" s="456"/>
      <c r="W228" s="454"/>
      <c r="X228" s="455"/>
      <c r="Y228" s="456"/>
      <c r="Z228" s="456"/>
      <c r="AA228" s="454"/>
      <c r="AB228" s="780"/>
      <c r="AC228" s="780"/>
      <c r="AD228" s="780"/>
      <c r="AE228" s="780"/>
      <c r="AF228" s="453"/>
      <c r="AG228" s="453"/>
    </row>
    <row r="229" spans="1:33" ht="15.75" thickBot="1" x14ac:dyDescent="0.3">
      <c r="A229" s="528"/>
      <c r="B229" s="519"/>
      <c r="C229" s="506"/>
      <c r="D229" s="506"/>
      <c r="E229" s="506"/>
      <c r="F229" s="520"/>
      <c r="G229" s="1483" t="s">
        <v>1860</v>
      </c>
      <c r="H229" s="1483"/>
      <c r="I229" s="1484"/>
      <c r="J229" s="13">
        <f>SUM(J227:J228)</f>
        <v>0.5149999999999999</v>
      </c>
      <c r="K229" s="14">
        <v>0.8</v>
      </c>
      <c r="L229" s="13">
        <f>J229/K229</f>
        <v>0.64374999999999982</v>
      </c>
      <c r="M229" s="1482" t="s">
        <v>1861</v>
      </c>
      <c r="N229" s="1484"/>
      <c r="O229" s="13">
        <f>SUM(O218:O227)</f>
        <v>3.7614999999999998</v>
      </c>
      <c r="P229" s="14">
        <v>0.8</v>
      </c>
      <c r="Q229" s="13">
        <f>O229/P229</f>
        <v>4.7018749999999994</v>
      </c>
      <c r="R229" s="1647" t="s">
        <v>1862</v>
      </c>
      <c r="S229" s="1648"/>
      <c r="T229" s="30">
        <f>SUM(T220:T225)</f>
        <v>0</v>
      </c>
      <c r="U229" s="31">
        <v>0.8</v>
      </c>
      <c r="V229" s="30">
        <f>T229/U229</f>
        <v>0</v>
      </c>
      <c r="W229" s="1647" t="s">
        <v>1863</v>
      </c>
      <c r="X229" s="1648"/>
      <c r="Y229" s="30">
        <f>SUM(Y220:Y225)</f>
        <v>0</v>
      </c>
      <c r="Z229" s="31">
        <v>0.8</v>
      </c>
      <c r="AA229" s="32">
        <f>Y229/Z229</f>
        <v>0</v>
      </c>
      <c r="AB229" s="1482" t="s">
        <v>1860</v>
      </c>
      <c r="AC229" s="1483"/>
      <c r="AD229" s="1484"/>
      <c r="AE229" s="13">
        <f>SUM(AE221:AE225)</f>
        <v>0</v>
      </c>
      <c r="AF229" s="14">
        <v>0.8</v>
      </c>
      <c r="AG229" s="13">
        <f>AE229/AF229</f>
        <v>0</v>
      </c>
    </row>
    <row r="230" spans="1:33" s="437" customFormat="1" ht="21" customHeight="1" thickBot="1" x14ac:dyDescent="0.3">
      <c r="A230" s="1618" t="str">
        <f>'Расчет ЦП - общая форма'!C200</f>
        <v xml:space="preserve">ПС 110/35/10 кВ  Радуга </v>
      </c>
      <c r="B230" s="1612">
        <f>'Расчет ЦП - общая форма'!D200</f>
        <v>40</v>
      </c>
      <c r="C230" s="1614" t="str">
        <f>'Расчет ЦП - общая форма'!E200</f>
        <v>+</v>
      </c>
      <c r="D230" s="1614">
        <f>'Расчет ЦП - общая форма'!F200</f>
        <v>25</v>
      </c>
      <c r="E230" s="511"/>
      <c r="F230" s="512"/>
      <c r="G230" s="1515" t="s">
        <v>1989</v>
      </c>
      <c r="H230" s="1515"/>
      <c r="I230" s="1515"/>
      <c r="J230" s="1515"/>
      <c r="K230" s="1515"/>
      <c r="L230" s="1516"/>
      <c r="M230" s="446" t="s">
        <v>589</v>
      </c>
      <c r="N230" s="446" t="s">
        <v>590</v>
      </c>
      <c r="O230" s="446">
        <v>0.02</v>
      </c>
      <c r="P230" s="446"/>
      <c r="Q230" s="446"/>
      <c r="R230" s="440"/>
      <c r="S230" s="441"/>
      <c r="T230" s="419"/>
      <c r="U230" s="419"/>
      <c r="V230" s="419"/>
      <c r="W230" s="440"/>
      <c r="X230" s="441"/>
      <c r="Y230" s="419"/>
      <c r="Z230" s="419"/>
      <c r="AA230" s="442"/>
      <c r="AB230" s="1628"/>
      <c r="AC230" s="1629"/>
      <c r="AD230" s="1629"/>
      <c r="AE230" s="1629"/>
      <c r="AF230" s="1629"/>
      <c r="AG230" s="1630"/>
    </row>
    <row r="231" spans="1:33" s="437" customFormat="1" ht="38.25" x14ac:dyDescent="0.25">
      <c r="A231" s="1619"/>
      <c r="B231" s="1613"/>
      <c r="C231" s="1615"/>
      <c r="D231" s="1615"/>
      <c r="E231" s="502"/>
      <c r="F231" s="513"/>
      <c r="G231" s="445" t="s">
        <v>571</v>
      </c>
      <c r="H231" s="446" t="s">
        <v>572</v>
      </c>
      <c r="I231" s="446" t="s">
        <v>573</v>
      </c>
      <c r="J231" s="446">
        <v>3.5000000000000003E-2</v>
      </c>
      <c r="K231" s="446"/>
      <c r="L231" s="446"/>
      <c r="M231" s="416" t="s">
        <v>579</v>
      </c>
      <c r="N231" s="416" t="s">
        <v>580</v>
      </c>
      <c r="O231" s="416">
        <v>0.9</v>
      </c>
      <c r="P231" s="446"/>
      <c r="Q231" s="446"/>
      <c r="R231" s="448"/>
      <c r="S231" s="448"/>
      <c r="T231" s="448"/>
      <c r="U231" s="448"/>
      <c r="V231" s="448"/>
      <c r="W231" s="448" t="s">
        <v>574</v>
      </c>
      <c r="X231" s="448" t="s">
        <v>575</v>
      </c>
      <c r="Y231" s="448">
        <v>0.06</v>
      </c>
      <c r="Z231" s="448"/>
      <c r="AA231" s="449"/>
      <c r="AB231" s="446"/>
      <c r="AC231" s="446"/>
      <c r="AD231" s="446"/>
      <c r="AE231" s="446"/>
      <c r="AF231" s="446"/>
      <c r="AG231" s="446"/>
    </row>
    <row r="232" spans="1:33" s="437" customFormat="1" ht="81.75" customHeight="1" x14ac:dyDescent="0.25">
      <c r="A232" s="538"/>
      <c r="B232" s="514"/>
      <c r="C232" s="502"/>
      <c r="D232" s="502"/>
      <c r="E232" s="502"/>
      <c r="F232" s="513"/>
      <c r="G232" s="498" t="s">
        <v>583</v>
      </c>
      <c r="H232" s="415" t="s">
        <v>584</v>
      </c>
      <c r="I232" s="416" t="s">
        <v>585</v>
      </c>
      <c r="J232" s="415">
        <v>6.5000000000000002E-2</v>
      </c>
      <c r="K232" s="446"/>
      <c r="L232" s="446"/>
      <c r="M232" s="416" t="s">
        <v>594</v>
      </c>
      <c r="N232" s="416" t="s">
        <v>595</v>
      </c>
      <c r="O232" s="416">
        <v>0.04</v>
      </c>
      <c r="P232" s="416"/>
      <c r="Q232" s="446"/>
      <c r="R232" s="420" t="s">
        <v>566</v>
      </c>
      <c r="S232" s="420" t="s">
        <v>588</v>
      </c>
      <c r="T232" s="420">
        <v>7.0000000000000007E-2</v>
      </c>
      <c r="U232" s="420"/>
      <c r="V232" s="420"/>
      <c r="W232" s="420"/>
      <c r="X232" s="420"/>
      <c r="Y232" s="420"/>
      <c r="Z232" s="420"/>
      <c r="AA232" s="436"/>
      <c r="AB232" s="415"/>
      <c r="AC232" s="415"/>
      <c r="AD232" s="416"/>
      <c r="AE232" s="415"/>
      <c r="AF232" s="446"/>
      <c r="AG232" s="446"/>
    </row>
    <row r="233" spans="1:33" s="437" customFormat="1" ht="21.75" customHeight="1" x14ac:dyDescent="0.25">
      <c r="A233" s="538"/>
      <c r="B233" s="514"/>
      <c r="C233" s="502"/>
      <c r="D233" s="502"/>
      <c r="E233" s="502"/>
      <c r="F233" s="513"/>
      <c r="G233" s="1544" t="s">
        <v>1987</v>
      </c>
      <c r="H233" s="1544"/>
      <c r="I233" s="1544"/>
      <c r="J233" s="1544"/>
      <c r="K233" s="1544"/>
      <c r="L233" s="1545"/>
      <c r="M233" s="416"/>
      <c r="N233" s="416"/>
      <c r="O233" s="416"/>
      <c r="P233" s="446"/>
      <c r="Q233" s="446"/>
      <c r="R233" s="420"/>
      <c r="S233" s="420"/>
      <c r="T233" s="420"/>
      <c r="U233" s="420"/>
      <c r="V233" s="420"/>
      <c r="W233" s="420"/>
      <c r="X233" s="420"/>
      <c r="Y233" s="420"/>
      <c r="Z233" s="420"/>
      <c r="AA233" s="436"/>
      <c r="AB233" s="1607"/>
      <c r="AC233" s="1608"/>
      <c r="AD233" s="1608"/>
      <c r="AE233" s="1608"/>
      <c r="AF233" s="1608"/>
      <c r="AG233" s="1609"/>
    </row>
    <row r="234" spans="1:33" s="437" customFormat="1" ht="51" x14ac:dyDescent="0.25">
      <c r="A234" s="538"/>
      <c r="B234" s="514"/>
      <c r="C234" s="502"/>
      <c r="D234" s="502"/>
      <c r="E234" s="502"/>
      <c r="F234" s="513"/>
      <c r="G234" s="451" t="s">
        <v>576</v>
      </c>
      <c r="H234" s="416" t="s">
        <v>577</v>
      </c>
      <c r="I234" s="416" t="s">
        <v>578</v>
      </c>
      <c r="J234" s="416">
        <v>0.04</v>
      </c>
      <c r="K234" s="446"/>
      <c r="L234" s="446"/>
      <c r="M234" s="416" t="s">
        <v>1461</v>
      </c>
      <c r="N234" s="416" t="s">
        <v>1462</v>
      </c>
      <c r="O234" s="416">
        <v>0.15</v>
      </c>
      <c r="P234" s="416"/>
      <c r="Q234" s="446"/>
      <c r="R234" s="420" t="s">
        <v>581</v>
      </c>
      <c r="S234" s="420" t="s">
        <v>582</v>
      </c>
      <c r="T234" s="420">
        <v>0.15</v>
      </c>
      <c r="U234" s="420"/>
      <c r="V234" s="420"/>
      <c r="W234" s="420"/>
      <c r="X234" s="420"/>
      <c r="Y234" s="420"/>
      <c r="Z234" s="420"/>
      <c r="AA234" s="436"/>
      <c r="AB234" s="416"/>
      <c r="AC234" s="416"/>
      <c r="AD234" s="416"/>
      <c r="AE234" s="416"/>
      <c r="AF234" s="446"/>
      <c r="AG234" s="446"/>
    </row>
    <row r="235" spans="1:33" s="437" customFormat="1" ht="30" x14ac:dyDescent="0.25">
      <c r="A235" s="538"/>
      <c r="B235" s="514"/>
      <c r="C235" s="502"/>
      <c r="D235" s="502"/>
      <c r="E235" s="502"/>
      <c r="F235" s="513"/>
      <c r="G235" s="451" t="s">
        <v>591</v>
      </c>
      <c r="H235" s="416" t="s">
        <v>592</v>
      </c>
      <c r="I235" s="416" t="s">
        <v>593</v>
      </c>
      <c r="J235" s="446">
        <v>0.35</v>
      </c>
      <c r="K235" s="446"/>
      <c r="L235" s="446"/>
      <c r="M235" s="416" t="s">
        <v>1463</v>
      </c>
      <c r="N235" s="416" t="s">
        <v>1464</v>
      </c>
      <c r="O235" s="416">
        <v>0.6</v>
      </c>
      <c r="P235" s="446"/>
      <c r="Q235" s="446"/>
      <c r="R235" s="420"/>
      <c r="S235" s="420"/>
      <c r="T235" s="420"/>
      <c r="U235" s="420"/>
      <c r="V235" s="420"/>
      <c r="W235" s="420"/>
      <c r="X235" s="420"/>
      <c r="Y235" s="420"/>
      <c r="Z235" s="420"/>
      <c r="AA235" s="436"/>
      <c r="AB235" s="416"/>
      <c r="AC235" s="416"/>
      <c r="AD235" s="416"/>
      <c r="AE235" s="446"/>
      <c r="AF235" s="446"/>
      <c r="AG235" s="446"/>
    </row>
    <row r="236" spans="1:33" s="437" customFormat="1" ht="45" x14ac:dyDescent="0.25">
      <c r="A236" s="538"/>
      <c r="B236" s="514"/>
      <c r="C236" s="502"/>
      <c r="D236" s="502"/>
      <c r="E236" s="502"/>
      <c r="F236" s="513"/>
      <c r="G236" s="451" t="s">
        <v>596</v>
      </c>
      <c r="H236" s="416" t="s">
        <v>597</v>
      </c>
      <c r="I236" s="416" t="s">
        <v>578</v>
      </c>
      <c r="J236" s="416">
        <v>0.04</v>
      </c>
      <c r="K236" s="446"/>
      <c r="L236" s="446"/>
      <c r="M236" s="416" t="s">
        <v>1465</v>
      </c>
      <c r="N236" s="416" t="s">
        <v>1462</v>
      </c>
      <c r="O236" s="416">
        <v>0.6</v>
      </c>
      <c r="P236" s="446"/>
      <c r="Q236" s="446"/>
      <c r="R236" s="420"/>
      <c r="S236" s="420"/>
      <c r="T236" s="420"/>
      <c r="U236" s="420"/>
      <c r="V236" s="420"/>
      <c r="W236" s="420"/>
      <c r="X236" s="420"/>
      <c r="Y236" s="420"/>
      <c r="Z236" s="420"/>
      <c r="AA236" s="436"/>
      <c r="AB236" s="416"/>
      <c r="AC236" s="416"/>
      <c r="AD236" s="416"/>
      <c r="AE236" s="416"/>
      <c r="AF236" s="446"/>
      <c r="AG236" s="446"/>
    </row>
    <row r="237" spans="1:33" s="437" customFormat="1" ht="60" x14ac:dyDescent="0.25">
      <c r="A237" s="538"/>
      <c r="B237" s="514"/>
      <c r="C237" s="502"/>
      <c r="D237" s="502"/>
      <c r="E237" s="502"/>
      <c r="F237" s="513"/>
      <c r="G237" s="451" t="s">
        <v>586</v>
      </c>
      <c r="H237" s="416" t="s">
        <v>587</v>
      </c>
      <c r="I237" s="483" t="s">
        <v>2338</v>
      </c>
      <c r="J237" s="446">
        <v>0.6</v>
      </c>
      <c r="K237" s="446"/>
      <c r="L237" s="446"/>
      <c r="M237" s="416" t="s">
        <v>1466</v>
      </c>
      <c r="N237" s="416" t="s">
        <v>1462</v>
      </c>
      <c r="O237" s="416">
        <v>0.6</v>
      </c>
      <c r="P237" s="446"/>
      <c r="Q237" s="446"/>
      <c r="R237" s="420"/>
      <c r="S237" s="420"/>
      <c r="T237" s="420"/>
      <c r="U237" s="420"/>
      <c r="V237" s="420"/>
      <c r="W237" s="420"/>
      <c r="X237" s="420"/>
      <c r="Y237" s="420"/>
      <c r="Z237" s="420"/>
      <c r="AA237" s="436"/>
      <c r="AB237" s="416"/>
      <c r="AC237" s="416"/>
      <c r="AD237" s="483"/>
      <c r="AE237" s="446"/>
      <c r="AF237" s="446"/>
      <c r="AG237" s="446"/>
    </row>
    <row r="238" spans="1:33" s="437" customFormat="1" ht="18" customHeight="1" x14ac:dyDescent="0.25">
      <c r="A238" s="538"/>
      <c r="B238" s="514"/>
      <c r="C238" s="502"/>
      <c r="D238" s="502"/>
      <c r="E238" s="502"/>
      <c r="F238" s="513"/>
      <c r="G238" s="1544" t="s">
        <v>2512</v>
      </c>
      <c r="H238" s="1544"/>
      <c r="I238" s="1544"/>
      <c r="J238" s="1544"/>
      <c r="K238" s="1544"/>
      <c r="L238" s="1545"/>
      <c r="M238" s="416" t="s">
        <v>1467</v>
      </c>
      <c r="N238" s="416" t="s">
        <v>1468</v>
      </c>
      <c r="O238" s="416">
        <v>0.25</v>
      </c>
      <c r="P238" s="446"/>
      <c r="Q238" s="446"/>
      <c r="R238" s="420"/>
      <c r="S238" s="420"/>
      <c r="T238" s="420"/>
      <c r="U238" s="420"/>
      <c r="V238" s="420"/>
      <c r="W238" s="420"/>
      <c r="X238" s="420"/>
      <c r="Y238" s="420"/>
      <c r="Z238" s="420"/>
      <c r="AA238" s="436"/>
      <c r="AB238" s="416"/>
      <c r="AC238" s="416"/>
      <c r="AD238" s="495"/>
      <c r="AE238" s="446"/>
      <c r="AF238" s="446"/>
      <c r="AG238" s="446"/>
    </row>
    <row r="239" spans="1:33" s="437" customFormat="1" ht="75" x14ac:dyDescent="0.25">
      <c r="A239" s="538"/>
      <c r="B239" s="514"/>
      <c r="C239" s="502"/>
      <c r="D239" s="502"/>
      <c r="E239" s="502"/>
      <c r="F239" s="513"/>
      <c r="G239" s="780" t="s">
        <v>2821</v>
      </c>
      <c r="H239" s="780" t="s">
        <v>2822</v>
      </c>
      <c r="I239" s="798" t="s">
        <v>2862</v>
      </c>
      <c r="J239" s="780">
        <v>0.1</v>
      </c>
      <c r="K239" s="446"/>
      <c r="L239" s="446"/>
      <c r="M239" s="416" t="s">
        <v>1469</v>
      </c>
      <c r="N239" s="416" t="s">
        <v>1462</v>
      </c>
      <c r="O239" s="416">
        <v>0.25</v>
      </c>
      <c r="P239" s="446"/>
      <c r="Q239" s="446"/>
      <c r="R239" s="420"/>
      <c r="S239" s="420"/>
      <c r="T239" s="420"/>
      <c r="U239" s="420"/>
      <c r="V239" s="420"/>
      <c r="W239" s="420"/>
      <c r="X239" s="420"/>
      <c r="Y239" s="420"/>
      <c r="Z239" s="420"/>
      <c r="AA239" s="436"/>
      <c r="AB239" s="416"/>
      <c r="AC239" s="416"/>
      <c r="AD239" s="495"/>
      <c r="AE239" s="446"/>
      <c r="AF239" s="446"/>
      <c r="AG239" s="446"/>
    </row>
    <row r="240" spans="1:33" s="437" customFormat="1" ht="30" x14ac:dyDescent="0.25">
      <c r="A240" s="538"/>
      <c r="B240" s="514"/>
      <c r="C240" s="502"/>
      <c r="D240" s="502"/>
      <c r="E240" s="502"/>
      <c r="F240" s="513"/>
      <c r="G240" s="1544" t="s">
        <v>3069</v>
      </c>
      <c r="H240" s="1544"/>
      <c r="I240" s="1544"/>
      <c r="J240" s="1544"/>
      <c r="K240" s="1544"/>
      <c r="L240" s="1545"/>
      <c r="M240" s="416" t="s">
        <v>1470</v>
      </c>
      <c r="N240" s="416" t="s">
        <v>1468</v>
      </c>
      <c r="O240" s="416">
        <v>0.25</v>
      </c>
      <c r="P240" s="446"/>
      <c r="Q240" s="446"/>
      <c r="R240" s="420"/>
      <c r="S240" s="420"/>
      <c r="T240" s="420"/>
      <c r="U240" s="420"/>
      <c r="V240" s="420"/>
      <c r="W240" s="420"/>
      <c r="X240" s="420"/>
      <c r="Y240" s="420"/>
      <c r="Z240" s="420"/>
      <c r="AA240" s="436"/>
      <c r="AB240" s="416"/>
      <c r="AC240" s="416"/>
      <c r="AD240" s="495"/>
      <c r="AE240" s="446"/>
      <c r="AF240" s="446"/>
      <c r="AG240" s="446"/>
    </row>
    <row r="241" spans="1:33" s="437" customFormat="1" ht="120" x14ac:dyDescent="0.25">
      <c r="A241" s="538"/>
      <c r="B241" s="514"/>
      <c r="C241" s="502"/>
      <c r="D241" s="502"/>
      <c r="E241" s="502"/>
      <c r="F241" s="513"/>
      <c r="G241" s="1062" t="s">
        <v>3180</v>
      </c>
      <c r="H241" s="1062" t="s">
        <v>3181</v>
      </c>
      <c r="I241" s="798" t="s">
        <v>3197</v>
      </c>
      <c r="J241" s="446">
        <v>0.05</v>
      </c>
      <c r="K241" s="446"/>
      <c r="L241" s="446"/>
      <c r="M241" s="416" t="s">
        <v>1471</v>
      </c>
      <c r="N241" s="416" t="s">
        <v>1462</v>
      </c>
      <c r="O241" s="416">
        <v>0.4</v>
      </c>
      <c r="P241" s="446"/>
      <c r="Q241" s="446"/>
      <c r="R241" s="420"/>
      <c r="S241" s="420"/>
      <c r="T241" s="420"/>
      <c r="U241" s="420"/>
      <c r="V241" s="420"/>
      <c r="W241" s="420"/>
      <c r="X241" s="420"/>
      <c r="Y241" s="420"/>
      <c r="Z241" s="420"/>
      <c r="AA241" s="436"/>
      <c r="AB241" s="416"/>
      <c r="AC241" s="416"/>
      <c r="AD241" s="495"/>
      <c r="AE241" s="446"/>
      <c r="AF241" s="446"/>
      <c r="AG241" s="446"/>
    </row>
    <row r="242" spans="1:33" s="437" customFormat="1" ht="30" x14ac:dyDescent="0.25">
      <c r="A242" s="538"/>
      <c r="B242" s="514"/>
      <c r="C242" s="502"/>
      <c r="D242" s="502"/>
      <c r="E242" s="502"/>
      <c r="F242" s="513"/>
      <c r="G242" s="1518" t="s">
        <v>3481</v>
      </c>
      <c r="H242" s="1519"/>
      <c r="I242" s="1520"/>
      <c r="J242" s="1243">
        <v>3.4504999999999999</v>
      </c>
      <c r="K242" s="446"/>
      <c r="L242" s="446"/>
      <c r="M242" s="416" t="s">
        <v>1472</v>
      </c>
      <c r="N242" s="416" t="s">
        <v>1468</v>
      </c>
      <c r="O242" s="416">
        <v>0.4</v>
      </c>
      <c r="P242" s="446"/>
      <c r="Q242" s="446"/>
      <c r="R242" s="420"/>
      <c r="S242" s="420"/>
      <c r="T242" s="420"/>
      <c r="U242" s="420"/>
      <c r="V242" s="420"/>
      <c r="W242" s="420"/>
      <c r="X242" s="420"/>
      <c r="Y242" s="420"/>
      <c r="Z242" s="420"/>
      <c r="AA242" s="436"/>
      <c r="AB242" s="416"/>
      <c r="AC242" s="416"/>
      <c r="AD242" s="495"/>
      <c r="AE242" s="446"/>
      <c r="AF242" s="446"/>
      <c r="AG242" s="446"/>
    </row>
    <row r="243" spans="1:33" s="437" customFormat="1" ht="30" x14ac:dyDescent="0.25">
      <c r="A243" s="538"/>
      <c r="B243" s="514"/>
      <c r="C243" s="502"/>
      <c r="D243" s="502"/>
      <c r="E243" s="502"/>
      <c r="F243" s="513"/>
      <c r="G243" s="451"/>
      <c r="H243" s="416"/>
      <c r="I243" s="495"/>
      <c r="J243" s="446"/>
      <c r="K243" s="446"/>
      <c r="L243" s="446"/>
      <c r="M243" s="416" t="s">
        <v>1473</v>
      </c>
      <c r="N243" s="416" t="s">
        <v>1468</v>
      </c>
      <c r="O243" s="416">
        <v>0.11</v>
      </c>
      <c r="P243" s="446"/>
      <c r="Q243" s="446"/>
      <c r="R243" s="420"/>
      <c r="S243" s="420"/>
      <c r="T243" s="420"/>
      <c r="U243" s="420"/>
      <c r="V243" s="420"/>
      <c r="W243" s="420"/>
      <c r="X243" s="420"/>
      <c r="Y243" s="420"/>
      <c r="Z243" s="420"/>
      <c r="AA243" s="436"/>
      <c r="AB243" s="416"/>
      <c r="AC243" s="416"/>
      <c r="AD243" s="495"/>
      <c r="AE243" s="446"/>
      <c r="AF243" s="446"/>
      <c r="AG243" s="446"/>
    </row>
    <row r="244" spans="1:33" s="437" customFormat="1" ht="30" x14ac:dyDescent="0.25">
      <c r="A244" s="538"/>
      <c r="B244" s="514"/>
      <c r="C244" s="502"/>
      <c r="D244" s="502"/>
      <c r="E244" s="502"/>
      <c r="F244" s="513"/>
      <c r="G244" s="451"/>
      <c r="H244" s="416"/>
      <c r="I244" s="495"/>
      <c r="J244" s="446"/>
      <c r="K244" s="446"/>
      <c r="L244" s="446"/>
      <c r="M244" s="416" t="s">
        <v>1474</v>
      </c>
      <c r="N244" s="416" t="s">
        <v>1468</v>
      </c>
      <c r="O244" s="416">
        <v>0.11</v>
      </c>
      <c r="P244" s="446"/>
      <c r="Q244" s="446"/>
      <c r="R244" s="420"/>
      <c r="S244" s="420"/>
      <c r="T244" s="420"/>
      <c r="U244" s="420"/>
      <c r="V244" s="420"/>
      <c r="W244" s="420"/>
      <c r="X244" s="420"/>
      <c r="Y244" s="420"/>
      <c r="Z244" s="420"/>
      <c r="AA244" s="436"/>
      <c r="AB244" s="416"/>
      <c r="AC244" s="416"/>
      <c r="AD244" s="495"/>
      <c r="AE244" s="446"/>
      <c r="AF244" s="446"/>
      <c r="AG244" s="446"/>
    </row>
    <row r="245" spans="1:33" s="437" customFormat="1" ht="30" x14ac:dyDescent="0.25">
      <c r="A245" s="538"/>
      <c r="B245" s="514"/>
      <c r="C245" s="502"/>
      <c r="D245" s="502"/>
      <c r="E245" s="502"/>
      <c r="F245" s="513"/>
      <c r="G245" s="451"/>
      <c r="H245" s="416"/>
      <c r="I245" s="495"/>
      <c r="J245" s="446"/>
      <c r="K245" s="446"/>
      <c r="L245" s="446"/>
      <c r="M245" s="416" t="s">
        <v>1475</v>
      </c>
      <c r="N245" s="416" t="s">
        <v>1468</v>
      </c>
      <c r="O245" s="416">
        <v>0.45</v>
      </c>
      <c r="P245" s="446"/>
      <c r="Q245" s="446"/>
      <c r="R245" s="420"/>
      <c r="S245" s="420"/>
      <c r="T245" s="420"/>
      <c r="U245" s="420"/>
      <c r="V245" s="420"/>
      <c r="W245" s="420"/>
      <c r="X245" s="420"/>
      <c r="Y245" s="420"/>
      <c r="Z245" s="420"/>
      <c r="AA245" s="436"/>
      <c r="AB245" s="416"/>
      <c r="AC245" s="416"/>
      <c r="AD245" s="495"/>
      <c r="AE245" s="446"/>
      <c r="AF245" s="446"/>
      <c r="AG245" s="446"/>
    </row>
    <row r="246" spans="1:33" s="437" customFormat="1" ht="30" x14ac:dyDescent="0.25">
      <c r="A246" s="538"/>
      <c r="B246" s="514"/>
      <c r="C246" s="502"/>
      <c r="D246" s="502"/>
      <c r="E246" s="502"/>
      <c r="F246" s="513"/>
      <c r="G246" s="451"/>
      <c r="H246" s="416"/>
      <c r="I246" s="495"/>
      <c r="J246" s="446"/>
      <c r="K246" s="446"/>
      <c r="L246" s="446"/>
      <c r="M246" s="416" t="s">
        <v>1476</v>
      </c>
      <c r="N246" s="416" t="s">
        <v>1468</v>
      </c>
      <c r="O246" s="416">
        <v>0.3</v>
      </c>
      <c r="P246" s="446"/>
      <c r="Q246" s="446"/>
      <c r="R246" s="420"/>
      <c r="S246" s="420"/>
      <c r="T246" s="420"/>
      <c r="U246" s="420"/>
      <c r="V246" s="420"/>
      <c r="W246" s="420"/>
      <c r="X246" s="420"/>
      <c r="Y246" s="420"/>
      <c r="Z246" s="420"/>
      <c r="AA246" s="436"/>
      <c r="AB246" s="416"/>
      <c r="AC246" s="416"/>
      <c r="AD246" s="495"/>
      <c r="AE246" s="446"/>
      <c r="AF246" s="446"/>
      <c r="AG246" s="446"/>
    </row>
    <row r="247" spans="1:33" s="437" customFormat="1" ht="105" x14ac:dyDescent="0.25">
      <c r="A247" s="753"/>
      <c r="B247" s="754"/>
      <c r="C247" s="755"/>
      <c r="D247" s="755"/>
      <c r="E247" s="755"/>
      <c r="F247" s="760"/>
      <c r="G247" s="757"/>
      <c r="H247" s="757"/>
      <c r="I247" s="761"/>
      <c r="J247" s="757"/>
      <c r="K247" s="757"/>
      <c r="L247" s="757"/>
      <c r="M247" s="453" t="s">
        <v>2801</v>
      </c>
      <c r="N247" s="453" t="s">
        <v>2802</v>
      </c>
      <c r="O247" s="453">
        <v>0.4</v>
      </c>
      <c r="P247" s="453"/>
      <c r="Q247" s="453"/>
      <c r="R247" s="456"/>
      <c r="S247" s="456"/>
      <c r="T247" s="456"/>
      <c r="U247" s="456"/>
      <c r="V247" s="456"/>
      <c r="W247" s="456"/>
      <c r="X247" s="456"/>
      <c r="Y247" s="456"/>
      <c r="Z247" s="456"/>
      <c r="AA247" s="456"/>
      <c r="AB247" s="453"/>
      <c r="AC247" s="453"/>
      <c r="AD247" s="762"/>
      <c r="AE247" s="453"/>
      <c r="AF247" s="453"/>
      <c r="AG247" s="438"/>
    </row>
    <row r="248" spans="1:33" s="437" customFormat="1" ht="225" x14ac:dyDescent="0.25">
      <c r="A248" s="753"/>
      <c r="B248" s="754"/>
      <c r="C248" s="755"/>
      <c r="D248" s="755"/>
      <c r="E248" s="755"/>
      <c r="F248" s="760"/>
      <c r="G248" s="757"/>
      <c r="H248" s="757"/>
      <c r="I248" s="761"/>
      <c r="J248" s="757"/>
      <c r="K248" s="757"/>
      <c r="L248" s="757"/>
      <c r="M248" s="1148" t="s">
        <v>3337</v>
      </c>
      <c r="N248" s="1219" t="s">
        <v>3499</v>
      </c>
      <c r="O248" s="1148">
        <v>0.6</v>
      </c>
      <c r="P248" s="757"/>
      <c r="Q248" s="757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757"/>
      <c r="AC248" s="757"/>
      <c r="AD248" s="761"/>
      <c r="AE248" s="757"/>
      <c r="AF248" s="757"/>
      <c r="AG248" s="757"/>
    </row>
    <row r="249" spans="1:33" s="437" customFormat="1" ht="75" x14ac:dyDescent="0.25">
      <c r="A249" s="1147"/>
      <c r="B249" s="1145"/>
      <c r="C249" s="1146"/>
      <c r="D249" s="1146"/>
      <c r="E249" s="1146"/>
      <c r="F249" s="1144"/>
      <c r="G249" s="607"/>
      <c r="H249" s="710"/>
      <c r="I249" s="1150"/>
      <c r="J249" s="453"/>
      <c r="K249" s="453"/>
      <c r="L249" s="453"/>
      <c r="M249" s="1148" t="s">
        <v>3342</v>
      </c>
      <c r="N249" s="1148" t="s">
        <v>3343</v>
      </c>
      <c r="O249" s="453">
        <v>1.5</v>
      </c>
      <c r="P249" s="453"/>
      <c r="Q249" s="453"/>
      <c r="R249" s="454"/>
      <c r="S249" s="455"/>
      <c r="T249" s="456"/>
      <c r="U249" s="456"/>
      <c r="V249" s="456"/>
      <c r="W249" s="454"/>
      <c r="X249" s="455"/>
      <c r="Y249" s="456"/>
      <c r="Z249" s="456"/>
      <c r="AA249" s="454"/>
      <c r="AB249" s="607"/>
      <c r="AC249" s="710"/>
      <c r="AD249" s="1150"/>
      <c r="AE249" s="453"/>
      <c r="AF249" s="453"/>
      <c r="AG249" s="453"/>
    </row>
    <row r="250" spans="1:33" s="437" customFormat="1" ht="105" x14ac:dyDescent="0.25">
      <c r="A250" s="1147"/>
      <c r="B250" s="1145"/>
      <c r="C250" s="1146"/>
      <c r="D250" s="1146"/>
      <c r="E250" s="1146"/>
      <c r="F250" s="1144"/>
      <c r="G250" s="607"/>
      <c r="H250" s="710"/>
      <c r="I250" s="1150"/>
      <c r="J250" s="453"/>
      <c r="K250" s="453"/>
      <c r="L250" s="453"/>
      <c r="M250" s="1148" t="s">
        <v>3357</v>
      </c>
      <c r="N250" s="1148" t="s">
        <v>3358</v>
      </c>
      <c r="O250" s="1148">
        <v>0.8</v>
      </c>
      <c r="P250" s="453"/>
      <c r="Q250" s="453"/>
      <c r="R250" s="454"/>
      <c r="S250" s="455"/>
      <c r="T250" s="456"/>
      <c r="U250" s="456"/>
      <c r="V250" s="456"/>
      <c r="W250" s="454"/>
      <c r="X250" s="455"/>
      <c r="Y250" s="456"/>
      <c r="Z250" s="456"/>
      <c r="AA250" s="454"/>
      <c r="AB250" s="607"/>
      <c r="AC250" s="710"/>
      <c r="AD250" s="1150"/>
      <c r="AE250" s="453"/>
      <c r="AF250" s="453"/>
      <c r="AG250" s="453"/>
    </row>
    <row r="251" spans="1:33" ht="15.75" thickBot="1" x14ac:dyDescent="0.3">
      <c r="A251" s="528"/>
      <c r="B251" s="519"/>
      <c r="C251" s="506"/>
      <c r="D251" s="506"/>
      <c r="E251" s="506"/>
      <c r="F251" s="520"/>
      <c r="G251" s="1482" t="s">
        <v>1860</v>
      </c>
      <c r="H251" s="1483"/>
      <c r="I251" s="1484"/>
      <c r="J251" s="13">
        <f>SUM(J239:J246)</f>
        <v>3.6004999999999998</v>
      </c>
      <c r="K251" s="14">
        <v>0.8</v>
      </c>
      <c r="L251" s="13">
        <f>J251/K251</f>
        <v>4.5006249999999994</v>
      </c>
      <c r="M251" s="1482" t="s">
        <v>1861</v>
      </c>
      <c r="N251" s="1484"/>
      <c r="O251" s="13">
        <f>SUM(O230:O250)</f>
        <v>8.7300000000000022</v>
      </c>
      <c r="P251" s="14">
        <v>0.8</v>
      </c>
      <c r="Q251" s="13">
        <f>O251/P251</f>
        <v>10.912500000000001</v>
      </c>
      <c r="R251" s="1647" t="s">
        <v>1862</v>
      </c>
      <c r="S251" s="1648"/>
      <c r="T251" s="30">
        <f>SUM(T231:T246)</f>
        <v>0.22</v>
      </c>
      <c r="U251" s="31">
        <v>0.8</v>
      </c>
      <c r="V251" s="30">
        <f>T251/U251</f>
        <v>0.27499999999999997</v>
      </c>
      <c r="W251" s="1647" t="s">
        <v>1863</v>
      </c>
      <c r="X251" s="1648"/>
      <c r="Y251" s="30">
        <f>SUM(Y231:Y246)</f>
        <v>0.06</v>
      </c>
      <c r="Z251" s="31">
        <v>0.8</v>
      </c>
      <c r="AA251" s="32">
        <f>Y251/Z251</f>
        <v>7.4999999999999997E-2</v>
      </c>
      <c r="AB251" s="1482" t="s">
        <v>1860</v>
      </c>
      <c r="AC251" s="1483"/>
      <c r="AD251" s="1484"/>
      <c r="AE251" s="13">
        <f>SUM(AE234:AE246)</f>
        <v>0</v>
      </c>
      <c r="AF251" s="14">
        <v>0.8</v>
      </c>
      <c r="AG251" s="13">
        <f>AE251/AF251</f>
        <v>0</v>
      </c>
    </row>
    <row r="252" spans="1:33" s="437" customFormat="1" x14ac:dyDescent="0.25">
      <c r="A252" s="539"/>
      <c r="B252" s="530"/>
      <c r="C252" s="511"/>
      <c r="D252" s="511"/>
      <c r="E252" s="511"/>
      <c r="F252" s="512"/>
      <c r="G252" s="1630"/>
      <c r="H252" s="1635"/>
      <c r="I252" s="1635"/>
      <c r="J252" s="1635"/>
      <c r="K252" s="1635"/>
      <c r="L252" s="1635"/>
      <c r="M252" s="479"/>
      <c r="N252" s="480"/>
      <c r="O252" s="481"/>
      <c r="P252" s="481"/>
      <c r="Q252" s="481"/>
      <c r="R252" s="440"/>
      <c r="S252" s="490"/>
      <c r="T252" s="419"/>
      <c r="U252" s="419"/>
      <c r="V252" s="419"/>
      <c r="W252" s="440"/>
      <c r="X252" s="441"/>
      <c r="Y252" s="419"/>
      <c r="Z252" s="419"/>
      <c r="AA252" s="442"/>
      <c r="AB252" s="1625" t="s">
        <v>1991</v>
      </c>
      <c r="AC252" s="1626"/>
      <c r="AD252" s="1626"/>
      <c r="AE252" s="1626"/>
      <c r="AF252" s="1626"/>
      <c r="AG252" s="1627"/>
    </row>
    <row r="253" spans="1:33" s="437" customFormat="1" ht="73.5" customHeight="1" x14ac:dyDescent="0.25">
      <c r="A253" s="513"/>
      <c r="B253" s="502"/>
      <c r="C253" s="502"/>
      <c r="D253" s="502"/>
      <c r="E253" s="502"/>
      <c r="F253" s="513"/>
      <c r="G253" s="500"/>
      <c r="H253" s="491"/>
      <c r="I253" s="491"/>
      <c r="J253" s="491"/>
      <c r="K253" s="491"/>
      <c r="L253" s="491"/>
      <c r="M253" s="446" t="s">
        <v>1281</v>
      </c>
      <c r="N253" s="446" t="s">
        <v>1285</v>
      </c>
      <c r="O253" s="446">
        <v>0.45</v>
      </c>
      <c r="P253" s="446"/>
      <c r="Q253" s="446"/>
      <c r="R253" s="420"/>
      <c r="S253" s="420"/>
      <c r="T253" s="420"/>
      <c r="U253" s="420"/>
      <c r="V253" s="420"/>
      <c r="W253" s="420" t="s">
        <v>1286</v>
      </c>
      <c r="X253" s="420" t="s">
        <v>1287</v>
      </c>
      <c r="Y253" s="420">
        <v>4.4999999999999998E-2</v>
      </c>
      <c r="Z253" s="420"/>
      <c r="AA253" s="436"/>
      <c r="AB253" s="492" t="s">
        <v>1283</v>
      </c>
      <c r="AC253" s="492" t="s">
        <v>1284</v>
      </c>
      <c r="AD253" s="492" t="s">
        <v>2529</v>
      </c>
      <c r="AE253" s="494">
        <v>0.04</v>
      </c>
      <c r="AF253" s="494"/>
      <c r="AG253" s="494"/>
    </row>
    <row r="254" spans="1:33" s="437" customFormat="1" ht="30.75" thickBot="1" x14ac:dyDescent="0.3">
      <c r="A254" s="538"/>
      <c r="B254" s="514"/>
      <c r="C254" s="502"/>
      <c r="D254" s="502"/>
      <c r="E254" s="502"/>
      <c r="F254" s="513"/>
      <c r="G254" s="1544" t="s">
        <v>1988</v>
      </c>
      <c r="H254" s="1544"/>
      <c r="I254" s="1544"/>
      <c r="J254" s="1544"/>
      <c r="K254" s="1544"/>
      <c r="L254" s="1545"/>
      <c r="M254" s="446" t="s">
        <v>1281</v>
      </c>
      <c r="N254" s="446" t="s">
        <v>1282</v>
      </c>
      <c r="O254" s="446">
        <v>0.25</v>
      </c>
      <c r="P254" s="446"/>
      <c r="Q254" s="446"/>
      <c r="R254" s="420"/>
      <c r="S254" s="496"/>
      <c r="T254" s="420"/>
      <c r="U254" s="420"/>
      <c r="V254" s="420"/>
      <c r="W254" s="420"/>
      <c r="X254" s="420"/>
      <c r="Y254" s="420"/>
      <c r="Z254" s="420"/>
      <c r="AA254" s="436"/>
      <c r="AB254" s="1607"/>
      <c r="AC254" s="1608"/>
      <c r="AD254" s="1608"/>
      <c r="AE254" s="1608"/>
      <c r="AF254" s="1608"/>
      <c r="AG254" s="1609"/>
    </row>
    <row r="255" spans="1:33" s="437" customFormat="1" ht="45" x14ac:dyDescent="0.25">
      <c r="A255" s="538" t="str">
        <f>'Расчет ЦП - общая форма'!C203</f>
        <v xml:space="preserve">ПС 110/35/10 кВ Роща </v>
      </c>
      <c r="B255" s="514">
        <f>'Расчет ЦП - общая форма'!D203</f>
        <v>10</v>
      </c>
      <c r="C255" s="502" t="str">
        <f>'Расчет ЦП - общая форма'!E203</f>
        <v>+</v>
      </c>
      <c r="D255" s="502">
        <f>'Расчет ЦП - общая форма'!F203</f>
        <v>10</v>
      </c>
      <c r="E255" s="502"/>
      <c r="F255" s="513"/>
      <c r="G255" s="439" t="s">
        <v>1891</v>
      </c>
      <c r="H255" s="438" t="s">
        <v>1279</v>
      </c>
      <c r="I255" s="416" t="s">
        <v>1280</v>
      </c>
      <c r="J255" s="416">
        <v>0.11</v>
      </c>
      <c r="K255" s="416"/>
      <c r="L255" s="416"/>
      <c r="M255" s="446" t="s">
        <v>1291</v>
      </c>
      <c r="N255" s="446" t="s">
        <v>1292</v>
      </c>
      <c r="O255" s="446">
        <v>1</v>
      </c>
      <c r="P255" s="446"/>
      <c r="Q255" s="446"/>
      <c r="R255" s="448"/>
      <c r="S255" s="497"/>
      <c r="T255" s="448"/>
      <c r="U255" s="448"/>
      <c r="V255" s="448"/>
      <c r="W255" s="448"/>
      <c r="X255" s="448"/>
      <c r="Y255" s="448"/>
      <c r="Z255" s="448"/>
      <c r="AA255" s="449"/>
      <c r="AB255" s="438"/>
      <c r="AC255" s="438"/>
      <c r="AD255" s="416"/>
      <c r="AE255" s="416"/>
      <c r="AF255" s="416"/>
      <c r="AG255" s="416"/>
    </row>
    <row r="256" spans="1:33" s="437" customFormat="1" ht="55.5" customHeight="1" x14ac:dyDescent="0.25">
      <c r="A256" s="538"/>
      <c r="B256" s="514"/>
      <c r="C256" s="502"/>
      <c r="D256" s="502"/>
      <c r="E256" s="502"/>
      <c r="F256" s="513"/>
      <c r="G256" s="451" t="s">
        <v>1288</v>
      </c>
      <c r="H256" s="416" t="s">
        <v>1289</v>
      </c>
      <c r="I256" s="416" t="s">
        <v>1290</v>
      </c>
      <c r="J256" s="416">
        <v>0.6</v>
      </c>
      <c r="K256" s="416"/>
      <c r="L256" s="416"/>
      <c r="M256" s="416" t="s">
        <v>1420</v>
      </c>
      <c r="N256" s="416" t="s">
        <v>1421</v>
      </c>
      <c r="O256" s="446">
        <v>2.1000000000000001E-2</v>
      </c>
      <c r="P256" s="446"/>
      <c r="Q256" s="446"/>
      <c r="R256" s="420"/>
      <c r="S256" s="420"/>
      <c r="T256" s="420"/>
      <c r="U256" s="420"/>
      <c r="V256" s="420"/>
      <c r="W256" s="420" t="s">
        <v>1286</v>
      </c>
      <c r="X256" s="420" t="s">
        <v>1293</v>
      </c>
      <c r="Y256" s="420">
        <v>5.5E-2</v>
      </c>
      <c r="Z256" s="420"/>
      <c r="AA256" s="436"/>
      <c r="AB256" s="416"/>
      <c r="AC256" s="416"/>
      <c r="AD256" s="416"/>
      <c r="AE256" s="416"/>
      <c r="AF256" s="416"/>
      <c r="AG256" s="416"/>
    </row>
    <row r="257" spans="1:33" s="437" customFormat="1" ht="30" customHeight="1" x14ac:dyDescent="0.25">
      <c r="A257" s="538"/>
      <c r="B257" s="514"/>
      <c r="C257" s="502"/>
      <c r="D257" s="502"/>
      <c r="E257" s="502"/>
      <c r="F257" s="513"/>
      <c r="G257" s="1544" t="s">
        <v>2512</v>
      </c>
      <c r="H257" s="1544"/>
      <c r="I257" s="1544"/>
      <c r="J257" s="1544"/>
      <c r="K257" s="1544"/>
      <c r="L257" s="1545"/>
      <c r="M257" s="416" t="s">
        <v>1420</v>
      </c>
      <c r="N257" s="416" t="s">
        <v>1422</v>
      </c>
      <c r="O257" s="446">
        <v>0.11749999999999999</v>
      </c>
      <c r="P257" s="446"/>
      <c r="Q257" s="446"/>
      <c r="R257" s="299"/>
      <c r="S257" s="299"/>
      <c r="T257" s="299"/>
      <c r="U257" s="420"/>
      <c r="V257" s="420"/>
      <c r="W257" s="299"/>
      <c r="X257" s="299"/>
      <c r="Y257" s="299"/>
      <c r="Z257" s="420"/>
      <c r="AA257" s="436"/>
      <c r="AB257" s="446"/>
      <c r="AC257" s="446"/>
      <c r="AD257" s="446"/>
      <c r="AE257" s="446"/>
      <c r="AF257" s="446"/>
      <c r="AG257" s="446"/>
    </row>
    <row r="258" spans="1:33" s="437" customFormat="1" ht="75" x14ac:dyDescent="0.25">
      <c r="A258" s="538"/>
      <c r="B258" s="514"/>
      <c r="C258" s="502"/>
      <c r="D258" s="502"/>
      <c r="E258" s="502"/>
      <c r="F258" s="513"/>
      <c r="G258" s="703" t="s">
        <v>2595</v>
      </c>
      <c r="H258" s="703" t="s">
        <v>2715</v>
      </c>
      <c r="I258" s="702" t="s">
        <v>2716</v>
      </c>
      <c r="J258" s="703">
        <f>0.25</f>
        <v>0.25</v>
      </c>
      <c r="K258" s="446"/>
      <c r="L258" s="446"/>
      <c r="M258" s="416" t="s">
        <v>1423</v>
      </c>
      <c r="N258" s="416" t="s">
        <v>1424</v>
      </c>
      <c r="O258" s="426">
        <v>1.4999999999999999E-2</v>
      </c>
      <c r="P258" s="446"/>
      <c r="Q258" s="446"/>
      <c r="R258" s="420"/>
      <c r="S258" s="420"/>
      <c r="T258" s="420"/>
      <c r="U258" s="420"/>
      <c r="V258" s="420"/>
      <c r="W258" s="420"/>
      <c r="X258" s="420"/>
      <c r="Y258" s="420"/>
      <c r="Z258" s="420"/>
      <c r="AA258" s="436"/>
      <c r="AB258" s="446"/>
      <c r="AC258" s="446"/>
      <c r="AD258" s="446"/>
      <c r="AE258" s="446"/>
      <c r="AF258" s="446"/>
      <c r="AG258" s="446"/>
    </row>
    <row r="259" spans="1:33" s="437" customFormat="1" ht="30" x14ac:dyDescent="0.25">
      <c r="A259" s="538"/>
      <c r="B259" s="514"/>
      <c r="C259" s="502"/>
      <c r="D259" s="502"/>
      <c r="E259" s="502"/>
      <c r="F259" s="513"/>
      <c r="G259" s="1544" t="s">
        <v>3068</v>
      </c>
      <c r="H259" s="1544"/>
      <c r="I259" s="1544"/>
      <c r="J259" s="1544"/>
      <c r="K259" s="1544"/>
      <c r="L259" s="1545"/>
      <c r="M259" s="416" t="s">
        <v>1459</v>
      </c>
      <c r="N259" s="416" t="s">
        <v>1460</v>
      </c>
      <c r="O259" s="416">
        <v>3.5000000000000003E-2</v>
      </c>
      <c r="P259" s="446"/>
      <c r="Q259" s="446"/>
      <c r="R259" s="420"/>
      <c r="S259" s="420"/>
      <c r="T259" s="420"/>
      <c r="U259" s="420"/>
      <c r="V259" s="420"/>
      <c r="W259" s="420"/>
      <c r="X259" s="420"/>
      <c r="Y259" s="420"/>
      <c r="Z259" s="420"/>
      <c r="AA259" s="436"/>
      <c r="AB259" s="416"/>
      <c r="AC259" s="416"/>
      <c r="AD259" s="416"/>
      <c r="AE259" s="416"/>
      <c r="AF259" s="416"/>
      <c r="AG259" s="416"/>
    </row>
    <row r="260" spans="1:33" s="437" customFormat="1" ht="120" x14ac:dyDescent="0.25">
      <c r="A260" s="621"/>
      <c r="B260" s="622"/>
      <c r="C260" s="617"/>
      <c r="D260" s="617"/>
      <c r="E260" s="617"/>
      <c r="F260" s="627"/>
      <c r="G260" s="1518" t="s">
        <v>3481</v>
      </c>
      <c r="H260" s="1519"/>
      <c r="I260" s="1520"/>
      <c r="J260" s="1243">
        <v>0.25900000000000001</v>
      </c>
      <c r="K260" s="619"/>
      <c r="L260" s="619"/>
      <c r="M260" s="453" t="s">
        <v>2426</v>
      </c>
      <c r="N260" s="453" t="s">
        <v>2481</v>
      </c>
      <c r="O260" s="453">
        <v>1.6E-2</v>
      </c>
      <c r="P260" s="438"/>
      <c r="Q260" s="438"/>
      <c r="R260" s="440"/>
      <c r="S260" s="441"/>
      <c r="T260" s="419"/>
      <c r="U260" s="419"/>
      <c r="V260" s="419"/>
      <c r="W260" s="440"/>
      <c r="X260" s="441"/>
      <c r="Y260" s="419"/>
      <c r="Z260" s="419"/>
      <c r="AA260" s="442"/>
      <c r="AB260" s="438"/>
      <c r="AC260" s="619"/>
      <c r="AD260" s="619"/>
      <c r="AE260" s="619"/>
      <c r="AF260" s="619"/>
      <c r="AG260" s="619"/>
    </row>
    <row r="261" spans="1:33" s="437" customFormat="1" ht="150" x14ac:dyDescent="0.25">
      <c r="A261" s="621"/>
      <c r="B261" s="622"/>
      <c r="C261" s="617"/>
      <c r="D261" s="617"/>
      <c r="E261" s="617"/>
      <c r="F261" s="627"/>
      <c r="G261" s="618"/>
      <c r="H261" s="619"/>
      <c r="I261" s="619"/>
      <c r="J261" s="619"/>
      <c r="K261" s="619"/>
      <c r="L261" s="619"/>
      <c r="M261" s="620" t="s">
        <v>2469</v>
      </c>
      <c r="N261" s="671" t="s">
        <v>2662</v>
      </c>
      <c r="O261" s="620">
        <v>0.02</v>
      </c>
      <c r="P261" s="620"/>
      <c r="Q261" s="620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620"/>
      <c r="AC261" s="619"/>
      <c r="AD261" s="619"/>
      <c r="AE261" s="619"/>
      <c r="AF261" s="619"/>
      <c r="AG261" s="619"/>
    </row>
    <row r="262" spans="1:33" s="437" customFormat="1" ht="75" x14ac:dyDescent="0.25">
      <c r="A262" s="633"/>
      <c r="B262" s="636"/>
      <c r="C262" s="642"/>
      <c r="D262" s="642"/>
      <c r="E262" s="642"/>
      <c r="F262" s="648"/>
      <c r="G262" s="639"/>
      <c r="H262" s="640"/>
      <c r="I262" s="640"/>
      <c r="J262" s="640"/>
      <c r="K262" s="640"/>
      <c r="L262" s="640"/>
      <c r="M262" s="637" t="s">
        <v>2568</v>
      </c>
      <c r="N262" s="637" t="s">
        <v>2569</v>
      </c>
      <c r="O262" s="637">
        <v>9.1999999999999998E-2</v>
      </c>
      <c r="P262" s="640"/>
      <c r="Q262" s="640"/>
      <c r="R262" s="440"/>
      <c r="S262" s="441"/>
      <c r="T262" s="419"/>
      <c r="U262" s="419"/>
      <c r="V262" s="419"/>
      <c r="W262" s="440"/>
      <c r="X262" s="441"/>
      <c r="Y262" s="419"/>
      <c r="Z262" s="419"/>
      <c r="AA262" s="440"/>
      <c r="AB262" s="640"/>
      <c r="AC262" s="640"/>
      <c r="AD262" s="640"/>
      <c r="AE262" s="640"/>
      <c r="AF262" s="640"/>
      <c r="AG262" s="640"/>
    </row>
    <row r="263" spans="1:33" s="437" customFormat="1" ht="50.25" customHeight="1" x14ac:dyDescent="0.25">
      <c r="A263" s="538"/>
      <c r="B263" s="514"/>
      <c r="C263" s="502"/>
      <c r="D263" s="502"/>
      <c r="E263" s="502"/>
      <c r="F263" s="513"/>
      <c r="G263" s="445"/>
      <c r="H263" s="446"/>
      <c r="I263" s="446"/>
      <c r="J263" s="446"/>
      <c r="K263" s="446"/>
      <c r="L263" s="446"/>
      <c r="M263" s="637"/>
      <c r="N263" s="671"/>
      <c r="O263" s="620"/>
      <c r="P263" s="619"/>
      <c r="Q263" s="619"/>
      <c r="R263" s="440"/>
      <c r="S263" s="441"/>
      <c r="T263" s="419"/>
      <c r="U263" s="419"/>
      <c r="V263" s="419"/>
      <c r="W263" s="440"/>
      <c r="X263" s="441"/>
      <c r="Y263" s="419"/>
      <c r="Z263" s="419"/>
      <c r="AA263" s="442"/>
      <c r="AB263" s="446"/>
      <c r="AC263" s="446"/>
      <c r="AD263" s="446"/>
      <c r="AE263" s="446"/>
      <c r="AF263" s="446"/>
      <c r="AG263" s="446"/>
    </row>
    <row r="264" spans="1:33" ht="15.75" thickBot="1" x14ac:dyDescent="0.3">
      <c r="A264" s="528"/>
      <c r="B264" s="519"/>
      <c r="C264" s="506"/>
      <c r="D264" s="506"/>
      <c r="E264" s="506"/>
      <c r="F264" s="520"/>
      <c r="G264" s="1483" t="s">
        <v>1860</v>
      </c>
      <c r="H264" s="1483"/>
      <c r="I264" s="1484"/>
      <c r="J264" s="13">
        <f>SUM(J258:J260)</f>
        <v>0.50900000000000001</v>
      </c>
      <c r="K264" s="14">
        <v>0.8</v>
      </c>
      <c r="L264" s="13">
        <f>J264/K264</f>
        <v>0.63624999999999998</v>
      </c>
      <c r="M264" s="1482" t="s">
        <v>1861</v>
      </c>
      <c r="N264" s="1484"/>
      <c r="O264" s="13">
        <f>SUM(O253:O263)</f>
        <v>2.0164999999999997</v>
      </c>
      <c r="P264" s="14">
        <v>0.8</v>
      </c>
      <c r="Q264" s="13">
        <f>O264/P264</f>
        <v>2.5206249999999994</v>
      </c>
      <c r="R264" s="1647" t="s">
        <v>1862</v>
      </c>
      <c r="S264" s="1648"/>
      <c r="T264" s="30">
        <f>SUM(T254:T259)</f>
        <v>0</v>
      </c>
      <c r="U264" s="31">
        <v>0.8</v>
      </c>
      <c r="V264" s="30">
        <f>T264/U264</f>
        <v>0</v>
      </c>
      <c r="W264" s="1647" t="s">
        <v>1863</v>
      </c>
      <c r="X264" s="1648"/>
      <c r="Y264" s="30">
        <f>SUM(Y254:Y259)</f>
        <v>5.5E-2</v>
      </c>
      <c r="Z264" s="31">
        <v>0.8</v>
      </c>
      <c r="AA264" s="32">
        <f>Y264/Z264</f>
        <v>6.8749999999999992E-2</v>
      </c>
      <c r="AB264" s="1482" t="s">
        <v>1860</v>
      </c>
      <c r="AC264" s="1483"/>
      <c r="AD264" s="1484"/>
      <c r="AE264" s="13">
        <f>SUM(AE253)</f>
        <v>0.04</v>
      </c>
      <c r="AF264" s="14">
        <v>0.8</v>
      </c>
      <c r="AG264" s="13">
        <f>AE264/AF264</f>
        <v>4.9999999999999996E-2</v>
      </c>
    </row>
    <row r="265" spans="1:33" ht="19.5" thickBot="1" x14ac:dyDescent="0.3">
      <c r="A265" s="1661" t="s">
        <v>1990</v>
      </c>
      <c r="B265" s="1662"/>
      <c r="C265" s="501"/>
      <c r="D265" s="501"/>
      <c r="E265" s="501"/>
      <c r="F265" s="501"/>
      <c r="G265" s="190"/>
      <c r="H265" s="191"/>
      <c r="I265" s="191"/>
      <c r="J265" s="191">
        <f>J11+J31+J47+J59+J61+J68+J85+J87+J90+J96+J101+J106+J114+J119+J126+J139+J141+J143+J145+J154+J156+J158+J168+J170+J173+J175+J177+J186+J193+J197+J217+J229+J251+J264</f>
        <v>17.283000000000005</v>
      </c>
      <c r="K265" s="191"/>
      <c r="L265" s="191">
        <f>L11+L31+L47+L59+L61+L68+L85+L87+L90+L96+L101+L106+L114+L119+L126+L139+L141+L143+L145+L154+L156+L158+L168+L170+L173+L175+L177+L186+L193+L197+L217+L229+L251+L264</f>
        <v>21.603750000000002</v>
      </c>
      <c r="M265" s="191"/>
      <c r="N265" s="191"/>
      <c r="O265" s="191"/>
      <c r="P265" s="190"/>
      <c r="Q265" s="192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88"/>
      <c r="AC265" s="88"/>
    </row>
    <row r="266" spans="1:33" x14ac:dyDescent="0.25">
      <c r="A266" s="8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88"/>
      <c r="AC266" s="88"/>
    </row>
    <row r="267" spans="1:33" x14ac:dyDescent="0.25">
      <c r="A267" s="8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88"/>
      <c r="AC267" s="88"/>
    </row>
    <row r="268" spans="1:33" x14ac:dyDescent="0.25">
      <c r="A268" s="8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88"/>
      <c r="AC268" s="88"/>
    </row>
    <row r="269" spans="1:33" x14ac:dyDescent="0.25">
      <c r="A269" s="8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88"/>
      <c r="AC269" s="88"/>
    </row>
    <row r="270" spans="1:33" x14ac:dyDescent="0.25">
      <c r="A270" s="8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88"/>
      <c r="AC270" s="88"/>
    </row>
    <row r="271" spans="1:33" x14ac:dyDescent="0.25">
      <c r="A271" s="8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88"/>
      <c r="AC271" s="88"/>
    </row>
    <row r="272" spans="1:33" x14ac:dyDescent="0.25">
      <c r="A272" s="86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88"/>
      <c r="AC272" s="88"/>
    </row>
    <row r="273" spans="1:29" x14ac:dyDescent="0.25">
      <c r="A273" s="86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88"/>
      <c r="AC273" s="88"/>
    </row>
    <row r="274" spans="1:29" x14ac:dyDescent="0.25">
      <c r="A274" s="86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88"/>
      <c r="AC274" s="88"/>
    </row>
    <row r="275" spans="1:29" x14ac:dyDescent="0.25">
      <c r="A275" s="1657"/>
      <c r="B275" s="1657"/>
      <c r="C275" s="1657"/>
      <c r="D275" s="1657"/>
      <c r="E275" s="1657"/>
      <c r="F275" s="1657"/>
      <c r="G275" s="1657"/>
      <c r="H275" s="1657"/>
      <c r="I275" s="1657"/>
      <c r="J275" s="1657"/>
      <c r="K275" s="1657"/>
      <c r="L275" s="1657"/>
      <c r="M275" s="1657"/>
      <c r="N275" s="1657"/>
      <c r="O275" s="1657"/>
      <c r="P275" s="1657"/>
      <c r="Q275" s="1657"/>
      <c r="R275" s="1657"/>
      <c r="S275" s="1657"/>
      <c r="T275" s="1658"/>
      <c r="U275" s="1658"/>
      <c r="V275" s="1658"/>
      <c r="W275" s="1658"/>
      <c r="X275" s="1658"/>
      <c r="Y275" s="1658"/>
      <c r="Z275" s="1658"/>
      <c r="AA275" s="1658"/>
      <c r="AB275" s="88"/>
      <c r="AC275" s="88"/>
    </row>
    <row r="276" spans="1:29" x14ac:dyDescent="0.25">
      <c r="A276" s="86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88"/>
      <c r="AC276" s="88"/>
    </row>
    <row r="277" spans="1:29" x14ac:dyDescent="0.25">
      <c r="A277" s="86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88"/>
      <c r="AC277" s="88"/>
    </row>
    <row r="278" spans="1:29" x14ac:dyDescent="0.25">
      <c r="A278" s="86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88"/>
      <c r="AC278" s="88"/>
    </row>
    <row r="279" spans="1:29" x14ac:dyDescent="0.25">
      <c r="A279" s="86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88"/>
      <c r="AC279" s="88"/>
    </row>
    <row r="280" spans="1:29" x14ac:dyDescent="0.25">
      <c r="A280" s="86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88"/>
      <c r="AC280" s="88"/>
    </row>
    <row r="281" spans="1:29" x14ac:dyDescent="0.25">
      <c r="A281" s="86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88"/>
      <c r="AC281" s="88"/>
    </row>
    <row r="282" spans="1:29" x14ac:dyDescent="0.25">
      <c r="A282" s="86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88"/>
      <c r="AC282" s="88"/>
    </row>
    <row r="283" spans="1:29" x14ac:dyDescent="0.25">
      <c r="A283" s="86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88"/>
      <c r="AC283" s="88"/>
    </row>
    <row r="284" spans="1:29" x14ac:dyDescent="0.25">
      <c r="A284" s="86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88"/>
      <c r="AC284" s="88"/>
    </row>
    <row r="285" spans="1:29" x14ac:dyDescent="0.25">
      <c r="A285" s="86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88"/>
      <c r="AC285" s="88"/>
    </row>
    <row r="286" spans="1:29" x14ac:dyDescent="0.25">
      <c r="A286" s="86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88"/>
      <c r="AC286" s="88"/>
    </row>
    <row r="287" spans="1:29" x14ac:dyDescent="0.25">
      <c r="A287" s="86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88"/>
      <c r="AC287" s="88"/>
    </row>
    <row r="288" spans="1:29" x14ac:dyDescent="0.25">
      <c r="A288" s="86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88"/>
      <c r="AC288" s="88"/>
    </row>
    <row r="289" spans="1:29" x14ac:dyDescent="0.25">
      <c r="A289" s="86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88"/>
      <c r="AC289" s="88"/>
    </row>
    <row r="290" spans="1:29" x14ac:dyDescent="0.25">
      <c r="A290" s="86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88"/>
      <c r="AC290" s="88"/>
    </row>
    <row r="291" spans="1:29" x14ac:dyDescent="0.25">
      <c r="A291" s="86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88"/>
      <c r="AC291" s="88"/>
    </row>
    <row r="292" spans="1:29" x14ac:dyDescent="0.25">
      <c r="A292" s="86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88"/>
      <c r="AC292" s="88"/>
    </row>
    <row r="293" spans="1:29" x14ac:dyDescent="0.25">
      <c r="A293" s="86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88"/>
      <c r="AC293" s="88"/>
    </row>
    <row r="294" spans="1:29" x14ac:dyDescent="0.25">
      <c r="A294" s="86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88"/>
      <c r="AC294" s="88"/>
    </row>
    <row r="295" spans="1:29" x14ac:dyDescent="0.25">
      <c r="A295" s="86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88"/>
      <c r="AC295" s="88"/>
    </row>
    <row r="296" spans="1:29" x14ac:dyDescent="0.25">
      <c r="A296" s="86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88"/>
      <c r="AC296" s="88"/>
    </row>
    <row r="297" spans="1:29" x14ac:dyDescent="0.25">
      <c r="A297" s="86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88"/>
      <c r="AC297" s="88"/>
    </row>
    <row r="298" spans="1:29" x14ac:dyDescent="0.25">
      <c r="A298" s="86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88"/>
      <c r="AC298" s="88"/>
    </row>
    <row r="299" spans="1:29" x14ac:dyDescent="0.25">
      <c r="A299" s="86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88"/>
      <c r="AC299" s="88"/>
    </row>
    <row r="300" spans="1:29" x14ac:dyDescent="0.25">
      <c r="A300" s="86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88"/>
      <c r="AC300" s="88"/>
    </row>
    <row r="301" spans="1:29" x14ac:dyDescent="0.25">
      <c r="A301" s="86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88"/>
      <c r="AC301" s="88"/>
    </row>
    <row r="302" spans="1:29" x14ac:dyDescent="0.25">
      <c r="A302" s="86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88"/>
      <c r="AC302" s="88"/>
    </row>
    <row r="303" spans="1:29" x14ac:dyDescent="0.25">
      <c r="A303" s="86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88"/>
      <c r="AC303" s="88"/>
    </row>
    <row r="304" spans="1:29" x14ac:dyDescent="0.25">
      <c r="A304" s="86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88"/>
      <c r="AC304" s="88"/>
    </row>
    <row r="305" spans="1:29" x14ac:dyDescent="0.25">
      <c r="A305" s="86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88"/>
      <c r="AC305" s="88"/>
    </row>
    <row r="306" spans="1:29" x14ac:dyDescent="0.25">
      <c r="A306" s="86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88"/>
      <c r="AC306" s="88"/>
    </row>
    <row r="307" spans="1:29" x14ac:dyDescent="0.25">
      <c r="A307" s="86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88"/>
      <c r="AC307" s="88"/>
    </row>
    <row r="308" spans="1:29" x14ac:dyDescent="0.25">
      <c r="A308" s="86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88"/>
      <c r="AC308" s="88"/>
    </row>
    <row r="309" spans="1:29" x14ac:dyDescent="0.25">
      <c r="A309" s="86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88"/>
      <c r="AC309" s="88"/>
    </row>
    <row r="310" spans="1:29" x14ac:dyDescent="0.25">
      <c r="A310" s="86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88"/>
      <c r="AC310" s="88"/>
    </row>
    <row r="311" spans="1:29" x14ac:dyDescent="0.25">
      <c r="A311" s="86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88"/>
      <c r="AC311" s="88"/>
    </row>
    <row r="312" spans="1:29" x14ac:dyDescent="0.25">
      <c r="A312" s="86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88"/>
      <c r="AC312" s="88"/>
    </row>
    <row r="313" spans="1:29" x14ac:dyDescent="0.25">
      <c r="A313" s="86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88"/>
      <c r="AC313" s="88"/>
    </row>
    <row r="314" spans="1:29" x14ac:dyDescent="0.25">
      <c r="A314" s="86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88"/>
      <c r="AC314" s="88"/>
    </row>
    <row r="315" spans="1:29" x14ac:dyDescent="0.25">
      <c r="A315" s="86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88"/>
      <c r="AC315" s="88"/>
    </row>
    <row r="316" spans="1:29" x14ac:dyDescent="0.25">
      <c r="A316" s="86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88"/>
      <c r="AC316" s="88"/>
    </row>
    <row r="317" spans="1:29" x14ac:dyDescent="0.25">
      <c r="A317" s="86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88"/>
      <c r="AC317" s="88"/>
    </row>
    <row r="318" spans="1:29" x14ac:dyDescent="0.25">
      <c r="A318" s="86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88"/>
      <c r="AC318" s="88"/>
    </row>
    <row r="319" spans="1:29" x14ac:dyDescent="0.25">
      <c r="A319" s="86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88"/>
      <c r="AC319" s="88"/>
    </row>
    <row r="320" spans="1:29" x14ac:dyDescent="0.25">
      <c r="A320" s="86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88"/>
      <c r="AC320" s="88"/>
    </row>
    <row r="321" spans="1:29" x14ac:dyDescent="0.25">
      <c r="A321" s="86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88"/>
      <c r="AC321" s="88"/>
    </row>
    <row r="322" spans="1:29" x14ac:dyDescent="0.25">
      <c r="A322" s="86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88"/>
      <c r="AC322" s="88"/>
    </row>
    <row r="323" spans="1:29" x14ac:dyDescent="0.25">
      <c r="A323" s="86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88"/>
      <c r="AC323" s="88"/>
    </row>
    <row r="324" spans="1:29" x14ac:dyDescent="0.25">
      <c r="A324" s="86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88"/>
      <c r="AC324" s="88"/>
    </row>
    <row r="325" spans="1:29" x14ac:dyDescent="0.25">
      <c r="A325" s="86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88"/>
      <c r="AC325" s="88"/>
    </row>
    <row r="326" spans="1:29" x14ac:dyDescent="0.25">
      <c r="A326" s="86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88"/>
      <c r="AC326" s="88"/>
    </row>
    <row r="327" spans="1:29" x14ac:dyDescent="0.25">
      <c r="A327" s="86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88"/>
      <c r="AC327" s="88"/>
    </row>
    <row r="328" spans="1:29" x14ac:dyDescent="0.25">
      <c r="A328" s="86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88"/>
      <c r="AC328" s="88"/>
    </row>
    <row r="329" spans="1:29" x14ac:dyDescent="0.25">
      <c r="A329" s="86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88"/>
      <c r="AC329" s="88"/>
    </row>
    <row r="330" spans="1:29" x14ac:dyDescent="0.25">
      <c r="A330" s="86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88"/>
      <c r="AC330" s="88"/>
    </row>
    <row r="331" spans="1:29" x14ac:dyDescent="0.25">
      <c r="A331" s="86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88"/>
      <c r="AC331" s="88" t="s">
        <v>1294</v>
      </c>
    </row>
    <row r="332" spans="1:29" x14ac:dyDescent="0.25">
      <c r="A332" s="86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88"/>
      <c r="AC332" s="88"/>
    </row>
    <row r="333" spans="1:29" x14ac:dyDescent="0.25">
      <c r="A333" s="86"/>
      <c r="B333" s="197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88"/>
      <c r="AC333" s="88"/>
    </row>
    <row r="334" spans="1:29" x14ac:dyDescent="0.25">
      <c r="A334" s="86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88"/>
      <c r="AC334" s="88"/>
    </row>
    <row r="335" spans="1:29" x14ac:dyDescent="0.25">
      <c r="A335" s="86"/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88"/>
      <c r="AC335" s="88"/>
    </row>
    <row r="336" spans="1:29" x14ac:dyDescent="0.25">
      <c r="A336" s="86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88"/>
      <c r="AC336" s="88"/>
    </row>
    <row r="337" spans="1:29" x14ac:dyDescent="0.25">
      <c r="A337" s="86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88"/>
      <c r="AC337" s="88"/>
    </row>
    <row r="338" spans="1:29" x14ac:dyDescent="0.25">
      <c r="A338" s="86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88"/>
      <c r="AC338" s="88"/>
    </row>
    <row r="339" spans="1:29" x14ac:dyDescent="0.25">
      <c r="A339" s="86"/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88"/>
      <c r="AC339" s="88"/>
    </row>
    <row r="340" spans="1:29" x14ac:dyDescent="0.25">
      <c r="A340" s="86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88"/>
      <c r="AC340" s="88"/>
    </row>
    <row r="341" spans="1:29" x14ac:dyDescent="0.25">
      <c r="A341" s="86"/>
      <c r="B341" s="197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88"/>
      <c r="AC341" s="88"/>
    </row>
    <row r="342" spans="1:29" x14ac:dyDescent="0.25">
      <c r="A342" s="86"/>
      <c r="B342" s="197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88"/>
      <c r="AC342" s="88"/>
    </row>
    <row r="343" spans="1:29" x14ac:dyDescent="0.25">
      <c r="A343" s="86"/>
      <c r="B343" s="197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88"/>
      <c r="AC343" s="88"/>
    </row>
    <row r="344" spans="1:29" x14ac:dyDescent="0.25">
      <c r="A344" s="86"/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88"/>
      <c r="AC344" s="88"/>
    </row>
    <row r="345" spans="1:29" x14ac:dyDescent="0.25">
      <c r="A345" s="86"/>
      <c r="B345" s="197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88"/>
      <c r="AC345" s="88"/>
    </row>
    <row r="346" spans="1:29" x14ac:dyDescent="0.25">
      <c r="A346" s="86"/>
      <c r="B346" s="197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88"/>
      <c r="AC346" s="88"/>
    </row>
    <row r="347" spans="1:29" x14ac:dyDescent="0.25">
      <c r="A347" s="86"/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88"/>
      <c r="AC347" s="88"/>
    </row>
    <row r="348" spans="1:29" x14ac:dyDescent="0.25">
      <c r="A348" s="86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88"/>
      <c r="AC348" s="88"/>
    </row>
    <row r="349" spans="1:29" x14ac:dyDescent="0.25">
      <c r="A349" s="86"/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88"/>
      <c r="AC349" s="88"/>
    </row>
    <row r="350" spans="1:29" x14ac:dyDescent="0.25">
      <c r="A350" s="86"/>
      <c r="B350" s="197"/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88"/>
      <c r="AC350" s="88"/>
    </row>
    <row r="351" spans="1:29" x14ac:dyDescent="0.25">
      <c r="A351" s="86"/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88"/>
      <c r="AC351" s="88"/>
    </row>
    <row r="352" spans="1:29" x14ac:dyDescent="0.25">
      <c r="A352" s="86"/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88"/>
      <c r="AC352" s="88"/>
    </row>
    <row r="353" spans="1:29" x14ac:dyDescent="0.25">
      <c r="A353" s="86"/>
      <c r="B353" s="197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88"/>
      <c r="AC353" s="88"/>
    </row>
    <row r="354" spans="1:29" x14ac:dyDescent="0.25">
      <c r="A354" s="86"/>
      <c r="B354" s="197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88"/>
      <c r="AC354" s="88"/>
    </row>
    <row r="355" spans="1:29" x14ac:dyDescent="0.25">
      <c r="A355" s="86"/>
      <c r="B355" s="197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88"/>
      <c r="AC355" s="88"/>
    </row>
    <row r="356" spans="1:29" x14ac:dyDescent="0.25">
      <c r="A356" s="86"/>
      <c r="B356" s="197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88"/>
      <c r="AC356" s="88"/>
    </row>
    <row r="357" spans="1:29" x14ac:dyDescent="0.25">
      <c r="A357" s="86"/>
      <c r="B357" s="197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88"/>
      <c r="AC357" s="88"/>
    </row>
    <row r="358" spans="1:29" x14ac:dyDescent="0.25">
      <c r="A358" s="86"/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88"/>
      <c r="AC358" s="88"/>
    </row>
    <row r="359" spans="1:29" x14ac:dyDescent="0.25">
      <c r="A359" s="86"/>
      <c r="B359" s="197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88"/>
      <c r="AC359" s="88"/>
    </row>
    <row r="360" spans="1:29" x14ac:dyDescent="0.25">
      <c r="A360" s="86"/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88"/>
      <c r="AC360" s="88"/>
    </row>
    <row r="361" spans="1:29" x14ac:dyDescent="0.25">
      <c r="A361" s="86"/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88"/>
      <c r="AC361" s="88"/>
    </row>
    <row r="362" spans="1:29" x14ac:dyDescent="0.25">
      <c r="A362" s="86"/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88"/>
      <c r="AC362" s="88"/>
    </row>
    <row r="363" spans="1:29" x14ac:dyDescent="0.25">
      <c r="A363" s="86"/>
      <c r="B363" s="197"/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88"/>
      <c r="AC363" s="88"/>
    </row>
    <row r="364" spans="1:29" x14ac:dyDescent="0.25">
      <c r="A364" s="86"/>
      <c r="B364" s="197"/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88"/>
      <c r="AC364" s="88"/>
    </row>
    <row r="365" spans="1:29" x14ac:dyDescent="0.25">
      <c r="A365" s="86"/>
      <c r="B365" s="197"/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88"/>
      <c r="AC365" s="88"/>
    </row>
    <row r="366" spans="1:29" x14ac:dyDescent="0.25">
      <c r="A366" s="86"/>
      <c r="B366" s="197"/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88"/>
      <c r="AC366" s="88"/>
    </row>
    <row r="367" spans="1:29" x14ac:dyDescent="0.25">
      <c r="A367" s="86"/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88"/>
      <c r="AC367" s="88" t="s">
        <v>1295</v>
      </c>
    </row>
    <row r="368" spans="1:29" x14ac:dyDescent="0.25">
      <c r="A368" s="86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88"/>
      <c r="AC368" s="88"/>
    </row>
    <row r="369" spans="1:29" x14ac:dyDescent="0.25">
      <c r="A369" s="86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88"/>
      <c r="AC369" s="88"/>
    </row>
    <row r="370" spans="1:29" x14ac:dyDescent="0.25">
      <c r="A370" s="86"/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88"/>
      <c r="AC370" s="88"/>
    </row>
    <row r="371" spans="1:29" x14ac:dyDescent="0.25">
      <c r="A371" s="86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88"/>
      <c r="AC371" s="88"/>
    </row>
    <row r="372" spans="1:29" x14ac:dyDescent="0.25">
      <c r="A372" s="86"/>
      <c r="B372" s="197"/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88"/>
      <c r="AC372" s="88"/>
    </row>
    <row r="373" spans="1:29" x14ac:dyDescent="0.25">
      <c r="A373" s="86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88"/>
      <c r="AC373" s="88"/>
    </row>
    <row r="374" spans="1:29" x14ac:dyDescent="0.25">
      <c r="A374" s="86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88"/>
      <c r="AC374" s="88"/>
    </row>
    <row r="375" spans="1:29" x14ac:dyDescent="0.25">
      <c r="A375" s="86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88"/>
      <c r="AC375" s="88"/>
    </row>
    <row r="376" spans="1:29" x14ac:dyDescent="0.25">
      <c r="A376" s="86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88"/>
      <c r="AC376" s="88"/>
    </row>
    <row r="377" spans="1:29" x14ac:dyDescent="0.25">
      <c r="A377" s="86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88"/>
      <c r="AC377" s="88"/>
    </row>
    <row r="378" spans="1:29" x14ac:dyDescent="0.25">
      <c r="A378" s="86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88"/>
      <c r="AC378" s="88"/>
    </row>
    <row r="379" spans="1:29" x14ac:dyDescent="0.25">
      <c r="A379" s="86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88"/>
      <c r="AC379" s="88"/>
    </row>
    <row r="380" spans="1:29" x14ac:dyDescent="0.25">
      <c r="A380" s="86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88"/>
      <c r="AC380" s="88"/>
    </row>
    <row r="381" spans="1:29" x14ac:dyDescent="0.25">
      <c r="A381" s="86"/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88"/>
      <c r="AC381" s="88"/>
    </row>
    <row r="382" spans="1:29" x14ac:dyDescent="0.25">
      <c r="A382" s="86"/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88"/>
      <c r="AC382" s="88"/>
    </row>
    <row r="383" spans="1:29" x14ac:dyDescent="0.25">
      <c r="A383" s="86"/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88"/>
      <c r="AC383" s="88"/>
    </row>
    <row r="384" spans="1:29" x14ac:dyDescent="0.25">
      <c r="A384" s="86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88"/>
      <c r="AC384" s="88"/>
    </row>
    <row r="385" spans="1:29" x14ac:dyDescent="0.25">
      <c r="A385" s="86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88"/>
      <c r="AC385" s="88" t="s">
        <v>1296</v>
      </c>
    </row>
    <row r="386" spans="1:29" x14ac:dyDescent="0.25">
      <c r="A386" s="1659"/>
      <c r="B386" s="1658"/>
      <c r="C386" s="1658"/>
      <c r="D386" s="1658"/>
      <c r="E386" s="1658"/>
      <c r="F386" s="1658"/>
      <c r="G386" s="1658"/>
      <c r="H386" s="1658"/>
      <c r="I386" s="1658"/>
      <c r="J386" s="1658"/>
      <c r="K386" s="1658"/>
      <c r="L386" s="1658"/>
      <c r="M386" s="1658"/>
      <c r="N386" s="1658"/>
      <c r="O386" s="1658"/>
      <c r="P386" s="1658"/>
      <c r="Q386" s="1658"/>
      <c r="R386" s="1658"/>
      <c r="S386" s="1658"/>
      <c r="T386" s="1658"/>
      <c r="U386" s="1658"/>
      <c r="V386" s="1658"/>
      <c r="W386" s="1658"/>
      <c r="X386" s="1658"/>
      <c r="Y386" s="1658"/>
      <c r="Z386" s="1658"/>
      <c r="AA386" s="1658"/>
      <c r="AB386" s="88"/>
      <c r="AC386" s="88"/>
    </row>
    <row r="387" spans="1:29" x14ac:dyDescent="0.25">
      <c r="A387" s="1657"/>
      <c r="B387" s="1657"/>
      <c r="C387" s="1657"/>
      <c r="D387" s="1657"/>
      <c r="E387" s="1657"/>
      <c r="F387" s="1657"/>
      <c r="G387" s="1657"/>
      <c r="H387" s="1657"/>
      <c r="I387" s="1657"/>
      <c r="J387" s="1657"/>
      <c r="K387" s="1657"/>
      <c r="L387" s="1657"/>
      <c r="M387" s="1657"/>
      <c r="N387" s="1657"/>
      <c r="O387" s="1657"/>
      <c r="P387" s="1657"/>
      <c r="Q387" s="1657"/>
      <c r="R387" s="1657"/>
      <c r="S387" s="1657"/>
      <c r="T387" s="1658"/>
      <c r="U387" s="1658"/>
      <c r="V387" s="1658"/>
      <c r="W387" s="1658"/>
      <c r="X387" s="1658"/>
      <c r="Y387" s="1658"/>
      <c r="Z387" s="1658"/>
      <c r="AA387" s="1658"/>
      <c r="AB387" s="88"/>
      <c r="AC387" s="88"/>
    </row>
    <row r="388" spans="1:29" x14ac:dyDescent="0.25">
      <c r="A388" s="86"/>
      <c r="B388" s="197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88"/>
      <c r="AC388" s="88"/>
    </row>
    <row r="389" spans="1:29" x14ac:dyDescent="0.25">
      <c r="A389" s="86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88"/>
      <c r="AC389" s="88"/>
    </row>
    <row r="390" spans="1:29" x14ac:dyDescent="0.25">
      <c r="A390" s="86"/>
      <c r="B390" s="197"/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88"/>
      <c r="AC390" s="88"/>
    </row>
    <row r="391" spans="1:29" x14ac:dyDescent="0.25">
      <c r="A391" s="86"/>
      <c r="B391" s="197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88"/>
      <c r="AC391" s="88"/>
    </row>
    <row r="392" spans="1:29" x14ac:dyDescent="0.25">
      <c r="A392" s="86"/>
      <c r="B392" s="197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88"/>
      <c r="AC392" s="88"/>
    </row>
    <row r="393" spans="1:29" x14ac:dyDescent="0.25">
      <c r="A393" s="86"/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88"/>
      <c r="AC393" s="88"/>
    </row>
    <row r="394" spans="1:29" x14ac:dyDescent="0.25">
      <c r="A394" s="86"/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88"/>
      <c r="AC394" s="88"/>
    </row>
    <row r="395" spans="1:29" x14ac:dyDescent="0.25">
      <c r="A395" s="86"/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88"/>
      <c r="AC395" s="88" t="s">
        <v>1297</v>
      </c>
    </row>
    <row r="396" spans="1:29" x14ac:dyDescent="0.25">
      <c r="A396" s="86"/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88"/>
      <c r="AC396" s="88"/>
    </row>
    <row r="397" spans="1:29" x14ac:dyDescent="0.25">
      <c r="A397" s="86"/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88"/>
      <c r="AC397" s="88"/>
    </row>
    <row r="398" spans="1:29" x14ac:dyDescent="0.25">
      <c r="A398" s="86"/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88"/>
      <c r="AC398" s="88"/>
    </row>
    <row r="399" spans="1:29" x14ac:dyDescent="0.25">
      <c r="A399" s="86"/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88"/>
      <c r="AC399" s="88"/>
    </row>
    <row r="400" spans="1:29" x14ac:dyDescent="0.25">
      <c r="A400" s="86"/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88"/>
      <c r="AC400" s="88"/>
    </row>
    <row r="401" spans="1:29" x14ac:dyDescent="0.25">
      <c r="A401" s="86"/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88"/>
      <c r="AC401" s="88"/>
    </row>
    <row r="402" spans="1:29" x14ac:dyDescent="0.25">
      <c r="A402" s="86"/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88"/>
      <c r="AC402" s="88"/>
    </row>
    <row r="403" spans="1:29" x14ac:dyDescent="0.25">
      <c r="A403" s="86"/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88"/>
      <c r="AC403" s="88"/>
    </row>
    <row r="404" spans="1:29" x14ac:dyDescent="0.25">
      <c r="A404" s="86"/>
      <c r="B404" s="197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88"/>
      <c r="AC404" s="88" t="s">
        <v>1298</v>
      </c>
    </row>
    <row r="405" spans="1:29" x14ac:dyDescent="0.25">
      <c r="A405" s="86"/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88"/>
      <c r="AC405" s="88"/>
    </row>
    <row r="406" spans="1:29" x14ac:dyDescent="0.25">
      <c r="A406" s="86"/>
      <c r="B406" s="197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88"/>
      <c r="AC406" s="88"/>
    </row>
    <row r="407" spans="1:29" x14ac:dyDescent="0.25">
      <c r="A407" s="86"/>
      <c r="B407" s="197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88"/>
      <c r="AC407" s="88"/>
    </row>
    <row r="408" spans="1:29" x14ac:dyDescent="0.25">
      <c r="A408" s="86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88"/>
      <c r="AC408" s="88"/>
    </row>
    <row r="409" spans="1:29" x14ac:dyDescent="0.25">
      <c r="A409" s="86"/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88"/>
      <c r="AC409" s="88"/>
    </row>
    <row r="410" spans="1:29" x14ac:dyDescent="0.25">
      <c r="A410" s="86"/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88"/>
      <c r="AC410" s="88"/>
    </row>
    <row r="411" spans="1:29" x14ac:dyDescent="0.25">
      <c r="A411" s="86"/>
      <c r="B411" s="197"/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88"/>
      <c r="AC411" s="88"/>
    </row>
    <row r="412" spans="1:29" x14ac:dyDescent="0.25">
      <c r="A412" s="86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88"/>
      <c r="AC412" s="88"/>
    </row>
    <row r="413" spans="1:29" x14ac:dyDescent="0.25">
      <c r="A413" s="86"/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88"/>
      <c r="AC413" s="88"/>
    </row>
    <row r="414" spans="1:29" x14ac:dyDescent="0.25">
      <c r="A414" s="86"/>
      <c r="B414" s="197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88"/>
      <c r="AC414" s="88" t="s">
        <v>1299</v>
      </c>
    </row>
    <row r="415" spans="1:29" x14ac:dyDescent="0.25">
      <c r="A415" s="86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88"/>
      <c r="AC415" s="88"/>
    </row>
    <row r="416" spans="1:29" x14ac:dyDescent="0.25">
      <c r="A416" s="86"/>
      <c r="B416" s="197"/>
      <c r="C416" s="197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88"/>
      <c r="AC416" s="88"/>
    </row>
    <row r="417" spans="1:29" x14ac:dyDescent="0.25">
      <c r="A417" s="86"/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88"/>
      <c r="AC417" s="88"/>
    </row>
    <row r="418" spans="1:29" x14ac:dyDescent="0.25">
      <c r="A418" s="86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88"/>
      <c r="AC418" s="88"/>
    </row>
    <row r="419" spans="1:29" x14ac:dyDescent="0.25">
      <c r="A419" s="86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88"/>
      <c r="AC419" s="88"/>
    </row>
    <row r="420" spans="1:29" x14ac:dyDescent="0.25">
      <c r="A420" s="86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88"/>
      <c r="AC420" s="88"/>
    </row>
    <row r="421" spans="1:29" x14ac:dyDescent="0.25">
      <c r="A421" s="86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88"/>
      <c r="AC421" s="88"/>
    </row>
    <row r="422" spans="1:29" x14ac:dyDescent="0.25">
      <c r="A422" s="86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88"/>
      <c r="AC422" s="88"/>
    </row>
    <row r="423" spans="1:29" x14ac:dyDescent="0.25">
      <c r="A423" s="86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88"/>
      <c r="AC423" s="88"/>
    </row>
    <row r="424" spans="1:29" x14ac:dyDescent="0.25">
      <c r="A424" s="86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88"/>
      <c r="AC424" s="88"/>
    </row>
    <row r="425" spans="1:29" x14ac:dyDescent="0.25">
      <c r="A425" s="86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88"/>
      <c r="AC425" s="88"/>
    </row>
    <row r="426" spans="1:29" x14ac:dyDescent="0.25">
      <c r="A426" s="86"/>
      <c r="B426" s="197"/>
      <c r="C426" s="197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88"/>
      <c r="AC426" s="88"/>
    </row>
    <row r="427" spans="1:29" x14ac:dyDescent="0.25">
      <c r="A427" s="86"/>
      <c r="B427" s="197"/>
      <c r="C427" s="197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88"/>
      <c r="AC427" s="88"/>
    </row>
    <row r="428" spans="1:29" x14ac:dyDescent="0.25">
      <c r="A428" s="86"/>
      <c r="B428" s="197"/>
      <c r="C428" s="197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88"/>
      <c r="AC428" s="88"/>
    </row>
    <row r="429" spans="1:29" x14ac:dyDescent="0.25">
      <c r="A429" s="86"/>
      <c r="B429" s="197"/>
      <c r="C429" s="197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88"/>
      <c r="AC429" s="88"/>
    </row>
    <row r="430" spans="1:29" x14ac:dyDescent="0.25">
      <c r="A430" s="86"/>
      <c r="B430" s="197"/>
      <c r="C430" s="197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88"/>
      <c r="AC430" s="88"/>
    </row>
    <row r="431" spans="1:29" x14ac:dyDescent="0.25">
      <c r="A431" s="86"/>
      <c r="B431" s="197"/>
      <c r="C431" s="197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88"/>
      <c r="AC431" s="88"/>
    </row>
    <row r="432" spans="1:29" x14ac:dyDescent="0.25">
      <c r="A432" s="86"/>
      <c r="B432" s="197"/>
      <c r="C432" s="197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88"/>
      <c r="AC432" s="88"/>
    </row>
    <row r="433" spans="1:29" x14ac:dyDescent="0.25">
      <c r="A433" s="86"/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88"/>
      <c r="AC433" s="88"/>
    </row>
    <row r="434" spans="1:29" x14ac:dyDescent="0.25">
      <c r="A434" s="1659"/>
      <c r="B434" s="1660"/>
      <c r="C434" s="1660"/>
      <c r="D434" s="1660"/>
      <c r="E434" s="1660"/>
      <c r="F434" s="1660"/>
      <c r="G434" s="1660"/>
      <c r="H434" s="1660"/>
      <c r="I434" s="1660"/>
      <c r="J434" s="1660"/>
      <c r="K434" s="1660"/>
      <c r="L434" s="1660"/>
      <c r="M434" s="1660"/>
      <c r="N434" s="1660"/>
      <c r="O434" s="1660"/>
      <c r="P434" s="1660"/>
      <c r="Q434" s="1660"/>
      <c r="R434" s="1660"/>
      <c r="S434" s="1660"/>
      <c r="T434" s="1658"/>
      <c r="U434" s="1658"/>
      <c r="V434" s="1658"/>
      <c r="W434" s="1658"/>
      <c r="X434" s="1658"/>
      <c r="Y434" s="1658"/>
      <c r="Z434" s="1658"/>
      <c r="AA434" s="1658"/>
      <c r="AB434" s="88"/>
      <c r="AC434" s="88"/>
    </row>
    <row r="435" spans="1:29" x14ac:dyDescent="0.25">
      <c r="A435" s="1657"/>
      <c r="B435" s="1657"/>
      <c r="C435" s="1657"/>
      <c r="D435" s="1657"/>
      <c r="E435" s="1657"/>
      <c r="F435" s="1657"/>
      <c r="G435" s="1657"/>
      <c r="H435" s="1657"/>
      <c r="I435" s="1657"/>
      <c r="J435" s="1657"/>
      <c r="K435" s="1657"/>
      <c r="L435" s="1657"/>
      <c r="M435" s="1657"/>
      <c r="N435" s="1657"/>
      <c r="O435" s="1657"/>
      <c r="P435" s="1657"/>
      <c r="Q435" s="1657"/>
      <c r="R435" s="1657"/>
      <c r="S435" s="1657"/>
      <c r="T435" s="1658"/>
      <c r="U435" s="1658"/>
      <c r="V435" s="1658"/>
      <c r="W435" s="1658"/>
      <c r="X435" s="1658"/>
      <c r="Y435" s="1658"/>
      <c r="Z435" s="1658"/>
      <c r="AA435" s="1658"/>
      <c r="AB435" s="88"/>
      <c r="AC435" s="88"/>
    </row>
    <row r="436" spans="1:29" x14ac:dyDescent="0.25">
      <c r="A436" s="86"/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88"/>
      <c r="AC436" s="88"/>
    </row>
    <row r="437" spans="1:29" x14ac:dyDescent="0.25">
      <c r="A437" s="86"/>
      <c r="B437" s="197"/>
      <c r="C437" s="197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88"/>
      <c r="AC437" s="88"/>
    </row>
    <row r="438" spans="1:29" x14ac:dyDescent="0.25">
      <c r="A438" s="86"/>
      <c r="B438" s="197"/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88"/>
      <c r="AC438" s="88"/>
    </row>
    <row r="439" spans="1:29" x14ac:dyDescent="0.25">
      <c r="A439" s="86"/>
      <c r="B439" s="197"/>
      <c r="C439" s="197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88"/>
      <c r="AC439" s="88"/>
    </row>
    <row r="440" spans="1:29" x14ac:dyDescent="0.25">
      <c r="A440" s="86"/>
      <c r="B440" s="197"/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88"/>
      <c r="AC440" s="88"/>
    </row>
    <row r="441" spans="1:29" x14ac:dyDescent="0.25">
      <c r="A441" s="86"/>
      <c r="B441" s="197"/>
      <c r="C441" s="197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88"/>
      <c r="AC441" s="88"/>
    </row>
    <row r="442" spans="1:29" x14ac:dyDescent="0.25">
      <c r="A442" s="86"/>
      <c r="B442" s="197"/>
      <c r="C442" s="197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88"/>
      <c r="AC442" s="88"/>
    </row>
    <row r="443" spans="1:29" x14ac:dyDescent="0.25">
      <c r="A443" s="86"/>
      <c r="B443" s="197"/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88"/>
      <c r="AC443" s="88"/>
    </row>
    <row r="444" spans="1:29" x14ac:dyDescent="0.25">
      <c r="A444" s="86"/>
      <c r="B444" s="197"/>
      <c r="C444" s="197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88"/>
      <c r="AC444" s="88"/>
    </row>
    <row r="445" spans="1:29" x14ac:dyDescent="0.25">
      <c r="A445" s="86"/>
      <c r="B445" s="197"/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88"/>
      <c r="AC445" s="88"/>
    </row>
    <row r="446" spans="1:29" x14ac:dyDescent="0.25">
      <c r="A446" s="86"/>
      <c r="B446" s="197"/>
      <c r="C446" s="197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88"/>
      <c r="AC446" s="88"/>
    </row>
    <row r="447" spans="1:29" x14ac:dyDescent="0.25">
      <c r="A447" s="86"/>
      <c r="B447" s="197"/>
      <c r="C447" s="197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88"/>
      <c r="AC447" s="88"/>
    </row>
    <row r="448" spans="1:29" x14ac:dyDescent="0.25">
      <c r="A448" s="86"/>
      <c r="B448" s="197"/>
      <c r="C448" s="197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88"/>
      <c r="AC448" s="88"/>
    </row>
    <row r="449" spans="1:29" x14ac:dyDescent="0.25">
      <c r="A449" s="86"/>
      <c r="B449" s="197"/>
      <c r="C449" s="197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88"/>
      <c r="AC449" s="88"/>
    </row>
    <row r="450" spans="1:29" x14ac:dyDescent="0.25">
      <c r="A450" s="86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82"/>
    </row>
    <row r="451" spans="1:29" x14ac:dyDescent="0.25">
      <c r="A451" s="86"/>
      <c r="B451" s="197"/>
      <c r="C451" s="197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</row>
    <row r="452" spans="1:29" x14ac:dyDescent="0.25">
      <c r="A452" s="86"/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</row>
    <row r="453" spans="1:29" x14ac:dyDescent="0.25">
      <c r="A453" s="86"/>
      <c r="B453" s="197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</row>
    <row r="454" spans="1:29" x14ac:dyDescent="0.25">
      <c r="A454" s="86"/>
      <c r="B454" s="197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</row>
    <row r="455" spans="1:29" x14ac:dyDescent="0.25">
      <c r="A455" s="86"/>
      <c r="B455" s="197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</row>
    <row r="456" spans="1:29" x14ac:dyDescent="0.25">
      <c r="A456" s="86"/>
      <c r="B456" s="197"/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</row>
    <row r="457" spans="1:29" x14ac:dyDescent="0.25">
      <c r="A457" s="86"/>
      <c r="B457" s="197"/>
      <c r="C457" s="197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</row>
    <row r="458" spans="1:29" x14ac:dyDescent="0.25">
      <c r="A458" s="86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</row>
    <row r="459" spans="1:29" x14ac:dyDescent="0.25">
      <c r="A459" s="86"/>
      <c r="B459" s="197"/>
      <c r="C459" s="197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</row>
    <row r="460" spans="1:29" x14ac:dyDescent="0.25">
      <c r="A460" s="86"/>
      <c r="B460" s="197"/>
      <c r="C460" s="197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</row>
    <row r="461" spans="1:29" x14ac:dyDescent="0.25">
      <c r="A461" s="86"/>
      <c r="B461" s="197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</row>
    <row r="462" spans="1:29" x14ac:dyDescent="0.25">
      <c r="A462" s="86"/>
      <c r="B462" s="197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</row>
    <row r="463" spans="1:29" x14ac:dyDescent="0.25">
      <c r="A463" s="86"/>
      <c r="B463" s="197"/>
      <c r="C463" s="197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</row>
    <row r="464" spans="1:29" x14ac:dyDescent="0.25">
      <c r="A464" s="86"/>
      <c r="B464" s="197"/>
      <c r="C464" s="197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</row>
    <row r="465" spans="1:27" x14ac:dyDescent="0.25">
      <c r="A465" s="86"/>
      <c r="B465" s="197"/>
      <c r="C465" s="197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</row>
    <row r="466" spans="1:27" x14ac:dyDescent="0.25">
      <c r="A466" s="86"/>
      <c r="B466" s="197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</row>
    <row r="467" spans="1:27" x14ac:dyDescent="0.25">
      <c r="A467" s="86"/>
      <c r="B467" s="197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</row>
    <row r="468" spans="1:27" x14ac:dyDescent="0.25">
      <c r="A468" s="86"/>
      <c r="B468" s="197"/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</row>
    <row r="469" spans="1:27" x14ac:dyDescent="0.25">
      <c r="A469" s="86"/>
      <c r="B469" s="197"/>
      <c r="C469" s="197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</row>
    <row r="470" spans="1:27" x14ac:dyDescent="0.25">
      <c r="A470" s="86"/>
      <c r="B470" s="197"/>
      <c r="C470" s="197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</row>
    <row r="471" spans="1:27" x14ac:dyDescent="0.25">
      <c r="A471" s="86"/>
      <c r="B471" s="197"/>
      <c r="C471" s="197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</row>
    <row r="472" spans="1:27" x14ac:dyDescent="0.25">
      <c r="A472" s="86"/>
      <c r="B472" s="197"/>
      <c r="C472" s="197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</row>
    <row r="473" spans="1:27" x14ac:dyDescent="0.25">
      <c r="A473" s="86"/>
      <c r="B473" s="197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</row>
    <row r="474" spans="1:27" x14ac:dyDescent="0.25">
      <c r="A474" s="86"/>
      <c r="B474" s="197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</row>
    <row r="475" spans="1:27" x14ac:dyDescent="0.25">
      <c r="A475" s="86"/>
      <c r="B475" s="197"/>
      <c r="C475" s="197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</row>
    <row r="476" spans="1:27" x14ac:dyDescent="0.25">
      <c r="A476" s="86"/>
      <c r="B476" s="197"/>
      <c r="C476" s="197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</row>
    <row r="477" spans="1:27" x14ac:dyDescent="0.25">
      <c r="A477" s="86"/>
      <c r="B477" s="197"/>
      <c r="C477" s="197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</row>
    <row r="478" spans="1:27" x14ac:dyDescent="0.25">
      <c r="A478" s="86"/>
      <c r="B478" s="197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</row>
    <row r="479" spans="1:27" x14ac:dyDescent="0.25">
      <c r="A479" s="86"/>
      <c r="B479" s="197"/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</row>
    <row r="480" spans="1:27" x14ac:dyDescent="0.25">
      <c r="A480" s="86"/>
      <c r="B480" s="197"/>
      <c r="C480" s="197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</row>
    <row r="481" spans="1:27" x14ac:dyDescent="0.25">
      <c r="A481" s="86"/>
      <c r="B481" s="197"/>
      <c r="C481" s="197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</row>
    <row r="482" spans="1:27" x14ac:dyDescent="0.25">
      <c r="A482" s="86"/>
      <c r="B482" s="197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</row>
    <row r="483" spans="1:27" x14ac:dyDescent="0.25">
      <c r="A483" s="86"/>
      <c r="B483" s="197"/>
      <c r="C483" s="197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</row>
    <row r="484" spans="1:27" x14ac:dyDescent="0.25">
      <c r="A484" s="86"/>
      <c r="B484" s="197"/>
      <c r="C484" s="197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</row>
    <row r="485" spans="1:27" x14ac:dyDescent="0.25">
      <c r="A485" s="86"/>
      <c r="B485" s="197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</row>
    <row r="486" spans="1:27" x14ac:dyDescent="0.25">
      <c r="A486" s="86"/>
      <c r="B486" s="197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</row>
    <row r="487" spans="1:27" x14ac:dyDescent="0.25">
      <c r="A487" s="86"/>
      <c r="B487" s="197"/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</row>
    <row r="488" spans="1:27" x14ac:dyDescent="0.25">
      <c r="A488" s="86"/>
      <c r="B488" s="197"/>
      <c r="C488" s="197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</row>
    <row r="489" spans="1:27" x14ac:dyDescent="0.25">
      <c r="A489" s="86"/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</row>
    <row r="490" spans="1:27" x14ac:dyDescent="0.25">
      <c r="A490" s="86"/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</row>
    <row r="491" spans="1:27" x14ac:dyDescent="0.25">
      <c r="A491" s="86"/>
      <c r="B491" s="197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</row>
    <row r="492" spans="1:27" x14ac:dyDescent="0.25">
      <c r="A492" s="86"/>
      <c r="B492" s="197"/>
      <c r="C492" s="197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</row>
    <row r="493" spans="1:27" x14ac:dyDescent="0.25">
      <c r="A493" s="86"/>
      <c r="B493" s="197"/>
      <c r="C493" s="197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</row>
    <row r="494" spans="1:27" x14ac:dyDescent="0.25">
      <c r="A494" s="86"/>
      <c r="B494" s="197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</row>
    <row r="495" spans="1:27" x14ac:dyDescent="0.25">
      <c r="A495" s="86"/>
      <c r="B495" s="197"/>
      <c r="C495" s="197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</row>
    <row r="496" spans="1:27" x14ac:dyDescent="0.25">
      <c r="A496" s="86"/>
      <c r="B496" s="197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</row>
    <row r="497" spans="1:27" x14ac:dyDescent="0.25">
      <c r="A497" s="86"/>
      <c r="B497" s="197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</row>
    <row r="498" spans="1:27" x14ac:dyDescent="0.25">
      <c r="A498" s="86"/>
      <c r="B498" s="197"/>
      <c r="C498" s="197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</row>
    <row r="499" spans="1:27" x14ac:dyDescent="0.25">
      <c r="A499" s="86"/>
      <c r="B499" s="197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</row>
    <row r="500" spans="1:27" x14ac:dyDescent="0.25">
      <c r="A500" s="86"/>
      <c r="B500" s="197"/>
      <c r="C500" s="197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</row>
    <row r="501" spans="1:27" x14ac:dyDescent="0.25">
      <c r="A501" s="86"/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</row>
    <row r="502" spans="1:27" x14ac:dyDescent="0.25">
      <c r="A502" s="86"/>
      <c r="B502" s="197"/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</row>
    <row r="503" spans="1:27" x14ac:dyDescent="0.25">
      <c r="A503" s="86"/>
      <c r="B503" s="197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</row>
    <row r="504" spans="1:27" x14ac:dyDescent="0.25">
      <c r="A504" s="86"/>
      <c r="B504" s="197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</row>
    <row r="505" spans="1:27" x14ac:dyDescent="0.25">
      <c r="A505" s="86"/>
      <c r="B505" s="197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</row>
    <row r="506" spans="1:27" x14ac:dyDescent="0.25">
      <c r="A506" s="86"/>
      <c r="B506" s="197"/>
      <c r="C506" s="197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</row>
    <row r="507" spans="1:27" x14ac:dyDescent="0.25">
      <c r="A507" s="86"/>
      <c r="B507" s="197"/>
      <c r="C507" s="197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</row>
    <row r="508" spans="1:27" x14ac:dyDescent="0.25">
      <c r="A508" s="86"/>
      <c r="B508" s="197"/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</row>
    <row r="509" spans="1:27" x14ac:dyDescent="0.25">
      <c r="A509" s="86"/>
      <c r="B509" s="197"/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</row>
    <row r="510" spans="1:27" x14ac:dyDescent="0.25">
      <c r="A510" s="86"/>
      <c r="B510" s="197"/>
      <c r="C510" s="197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</row>
    <row r="511" spans="1:27" x14ac:dyDescent="0.25">
      <c r="A511" s="86"/>
      <c r="B511" s="197"/>
      <c r="C511" s="197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</row>
    <row r="512" spans="1:27" x14ac:dyDescent="0.25">
      <c r="A512" s="86"/>
      <c r="B512" s="197"/>
      <c r="C512" s="197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 x14ac:dyDescent="0.25">
      <c r="A513" s="86"/>
      <c r="B513" s="197"/>
      <c r="C513" s="197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</row>
    <row r="514" spans="1:27" x14ac:dyDescent="0.25">
      <c r="A514" s="86"/>
      <c r="B514" s="197"/>
      <c r="C514" s="197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</row>
    <row r="515" spans="1:27" x14ac:dyDescent="0.25">
      <c r="A515" s="86"/>
      <c r="B515" s="197"/>
      <c r="C515" s="197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</row>
    <row r="516" spans="1:27" x14ac:dyDescent="0.25">
      <c r="A516" s="86"/>
      <c r="B516" s="197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</row>
    <row r="517" spans="1:27" x14ac:dyDescent="0.25">
      <c r="A517" s="86"/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</row>
    <row r="518" spans="1:27" x14ac:dyDescent="0.25">
      <c r="A518" s="86"/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</row>
    <row r="519" spans="1:27" x14ac:dyDescent="0.25">
      <c r="A519" s="86"/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</row>
    <row r="520" spans="1:27" x14ac:dyDescent="0.25">
      <c r="A520" s="86"/>
      <c r="B520" s="197"/>
      <c r="C520" s="197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</row>
    <row r="521" spans="1:27" x14ac:dyDescent="0.25">
      <c r="A521" s="86"/>
      <c r="B521" s="197"/>
      <c r="C521" s="197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</row>
    <row r="522" spans="1:27" x14ac:dyDescent="0.25">
      <c r="A522" s="86"/>
      <c r="B522" s="197"/>
      <c r="C522" s="197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</row>
    <row r="523" spans="1:27" x14ac:dyDescent="0.25">
      <c r="A523" s="86"/>
      <c r="B523" s="197"/>
      <c r="C523" s="197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</row>
    <row r="524" spans="1:27" x14ac:dyDescent="0.25">
      <c r="A524" s="86"/>
      <c r="B524" s="197"/>
      <c r="C524" s="197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</row>
    <row r="525" spans="1:27" x14ac:dyDescent="0.25">
      <c r="A525" s="86"/>
      <c r="B525" s="197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</row>
    <row r="526" spans="1:27" x14ac:dyDescent="0.25">
      <c r="A526" s="86"/>
      <c r="B526" s="197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</row>
    <row r="527" spans="1:27" x14ac:dyDescent="0.25">
      <c r="A527" s="86"/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</row>
    <row r="528" spans="1:27" x14ac:dyDescent="0.25">
      <c r="A528" s="86"/>
      <c r="B528" s="197"/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</row>
    <row r="529" spans="1:27" x14ac:dyDescent="0.25">
      <c r="A529" s="86"/>
      <c r="B529" s="197"/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</row>
    <row r="530" spans="1:27" x14ac:dyDescent="0.25">
      <c r="A530" s="86"/>
      <c r="B530" s="197"/>
      <c r="C530" s="197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</row>
    <row r="531" spans="1:27" x14ac:dyDescent="0.25">
      <c r="A531" s="86"/>
      <c r="B531" s="197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</row>
    <row r="532" spans="1:27" x14ac:dyDescent="0.25">
      <c r="A532" s="86"/>
      <c r="B532" s="197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</row>
    <row r="533" spans="1:27" x14ac:dyDescent="0.25">
      <c r="A533" s="86"/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</row>
    <row r="534" spans="1:27" x14ac:dyDescent="0.25">
      <c r="A534" s="86"/>
      <c r="B534" s="197"/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</row>
    <row r="535" spans="1:27" x14ac:dyDescent="0.25">
      <c r="A535" s="86"/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</row>
    <row r="536" spans="1:27" x14ac:dyDescent="0.25">
      <c r="A536" s="86"/>
      <c r="B536" s="197"/>
      <c r="C536" s="197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 x14ac:dyDescent="0.25">
      <c r="A537" s="86"/>
      <c r="B537" s="197"/>
      <c r="C537" s="197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</row>
    <row r="538" spans="1:27" x14ac:dyDescent="0.25">
      <c r="A538" s="86"/>
      <c r="B538" s="197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</row>
    <row r="539" spans="1:27" x14ac:dyDescent="0.25">
      <c r="A539" s="86"/>
      <c r="B539" s="197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</row>
    <row r="540" spans="1:27" x14ac:dyDescent="0.25">
      <c r="A540" s="86"/>
      <c r="B540" s="197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</row>
    <row r="541" spans="1:27" x14ac:dyDescent="0.25">
      <c r="A541" s="86"/>
      <c r="B541" s="197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</row>
    <row r="542" spans="1:27" x14ac:dyDescent="0.25">
      <c r="A542" s="86"/>
      <c r="B542" s="197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</row>
  </sheetData>
  <mergeCells count="371">
    <mergeCell ref="A435:AA435"/>
    <mergeCell ref="A434:AA434"/>
    <mergeCell ref="A230:A231"/>
    <mergeCell ref="G233:L233"/>
    <mergeCell ref="G224:L224"/>
    <mergeCell ref="A387:AA387"/>
    <mergeCell ref="A386:AA386"/>
    <mergeCell ref="G257:L257"/>
    <mergeCell ref="B230:B231"/>
    <mergeCell ref="D230:D231"/>
    <mergeCell ref="A265:B265"/>
    <mergeCell ref="A275:AA275"/>
    <mergeCell ref="W229:X229"/>
    <mergeCell ref="C230:C231"/>
    <mergeCell ref="M264:N264"/>
    <mergeCell ref="R229:S229"/>
    <mergeCell ref="G251:I251"/>
    <mergeCell ref="W251:X251"/>
    <mergeCell ref="G240:L240"/>
    <mergeCell ref="G242:I242"/>
    <mergeCell ref="R264:S264"/>
    <mergeCell ref="W264:X264"/>
    <mergeCell ref="G264:I264"/>
    <mergeCell ref="G259:L259"/>
    <mergeCell ref="W177:X177"/>
    <mergeCell ref="G254:L254"/>
    <mergeCell ref="G177:I177"/>
    <mergeCell ref="R177:S177"/>
    <mergeCell ref="G178:L178"/>
    <mergeCell ref="G252:L252"/>
    <mergeCell ref="M251:N251"/>
    <mergeCell ref="W217:X217"/>
    <mergeCell ref="G229:I229"/>
    <mergeCell ref="G200:L200"/>
    <mergeCell ref="G191:L191"/>
    <mergeCell ref="G192:I192"/>
    <mergeCell ref="G196:I196"/>
    <mergeCell ref="G182:L182"/>
    <mergeCell ref="G183:I183"/>
    <mergeCell ref="W186:X186"/>
    <mergeCell ref="R197:S197"/>
    <mergeCell ref="G186:I186"/>
    <mergeCell ref="G238:L238"/>
    <mergeCell ref="G203:L203"/>
    <mergeCell ref="R251:S251"/>
    <mergeCell ref="G198:L198"/>
    <mergeCell ref="R217:S217"/>
    <mergeCell ref="G217:I217"/>
    <mergeCell ref="M217:N217"/>
    <mergeCell ref="G220:L220"/>
    <mergeCell ref="G206:L206"/>
    <mergeCell ref="G230:L230"/>
    <mergeCell ref="M229:N229"/>
    <mergeCell ref="G226:L226"/>
    <mergeCell ref="G212:L212"/>
    <mergeCell ref="M168:N168"/>
    <mergeCell ref="G161:L161"/>
    <mergeCell ref="M197:N197"/>
    <mergeCell ref="M177:N177"/>
    <mergeCell ref="M170:N170"/>
    <mergeCell ref="M173:N173"/>
    <mergeCell ref="G193:I193"/>
    <mergeCell ref="G189:L189"/>
    <mergeCell ref="M175:N175"/>
    <mergeCell ref="G194:L194"/>
    <mergeCell ref="G180:L180"/>
    <mergeCell ref="G187:L187"/>
    <mergeCell ref="G171:L171"/>
    <mergeCell ref="G175:I175"/>
    <mergeCell ref="G173:I173"/>
    <mergeCell ref="R90:S90"/>
    <mergeCell ref="G90:I90"/>
    <mergeCell ref="G93:L93"/>
    <mergeCell ref="G96:I96"/>
    <mergeCell ref="G91:L91"/>
    <mergeCell ref="M96:N96"/>
    <mergeCell ref="M119:N119"/>
    <mergeCell ref="G119:I119"/>
    <mergeCell ref="M90:N90"/>
    <mergeCell ref="M101:N101"/>
    <mergeCell ref="M106:N106"/>
    <mergeCell ref="M114:N114"/>
    <mergeCell ref="G101:I101"/>
    <mergeCell ref="G107:L107"/>
    <mergeCell ref="M139:N139"/>
    <mergeCell ref="W126:X126"/>
    <mergeCell ref="R141:S141"/>
    <mergeCell ref="M141:N141"/>
    <mergeCell ref="M143:N143"/>
    <mergeCell ref="R139:S139"/>
    <mergeCell ref="W141:X141"/>
    <mergeCell ref="W139:X139"/>
    <mergeCell ref="M126:N126"/>
    <mergeCell ref="W170:X170"/>
    <mergeCell ref="R173:S173"/>
    <mergeCell ref="R175:S175"/>
    <mergeCell ref="W156:X156"/>
    <mergeCell ref="R158:S158"/>
    <mergeCell ref="R168:S168"/>
    <mergeCell ref="W173:X173"/>
    <mergeCell ref="R170:S170"/>
    <mergeCell ref="W96:X96"/>
    <mergeCell ref="R106:S106"/>
    <mergeCell ref="R96:S96"/>
    <mergeCell ref="R126:S126"/>
    <mergeCell ref="R119:S119"/>
    <mergeCell ref="R143:S143"/>
    <mergeCell ref="W114:X114"/>
    <mergeCell ref="R114:S114"/>
    <mergeCell ref="W106:X106"/>
    <mergeCell ref="R101:S101"/>
    <mergeCell ref="W101:X101"/>
    <mergeCell ref="W143:X143"/>
    <mergeCell ref="W119:X119"/>
    <mergeCell ref="R61:S61"/>
    <mergeCell ref="R68:S68"/>
    <mergeCell ref="G68:I68"/>
    <mergeCell ref="G52:L52"/>
    <mergeCell ref="G48:L48"/>
    <mergeCell ref="M85:N85"/>
    <mergeCell ref="W197:X197"/>
    <mergeCell ref="M193:N193"/>
    <mergeCell ref="W193:X193"/>
    <mergeCell ref="R193:S193"/>
    <mergeCell ref="M186:N186"/>
    <mergeCell ref="R186:S186"/>
    <mergeCell ref="M154:N154"/>
    <mergeCell ref="R156:S156"/>
    <mergeCell ref="W168:X168"/>
    <mergeCell ref="M156:N156"/>
    <mergeCell ref="M158:N158"/>
    <mergeCell ref="W154:X154"/>
    <mergeCell ref="R154:S154"/>
    <mergeCell ref="R145:S145"/>
    <mergeCell ref="W145:X145"/>
    <mergeCell ref="M145:N145"/>
    <mergeCell ref="W175:X175"/>
    <mergeCell ref="W158:X158"/>
    <mergeCell ref="W85:X85"/>
    <mergeCell ref="W90:X90"/>
    <mergeCell ref="M11:N11"/>
    <mergeCell ref="G12:L12"/>
    <mergeCell ref="G16:L16"/>
    <mergeCell ref="G59:I59"/>
    <mergeCell ref="M59:N59"/>
    <mergeCell ref="M31:N31"/>
    <mergeCell ref="M47:N47"/>
    <mergeCell ref="W47:X47"/>
    <mergeCell ref="R87:S87"/>
    <mergeCell ref="W61:X61"/>
    <mergeCell ref="W59:X59"/>
    <mergeCell ref="M61:N61"/>
    <mergeCell ref="R31:S31"/>
    <mergeCell ref="W31:X31"/>
    <mergeCell ref="M87:N87"/>
    <mergeCell ref="W87:X87"/>
    <mergeCell ref="W68:X68"/>
    <mergeCell ref="R85:S85"/>
    <mergeCell ref="R59:S59"/>
    <mergeCell ref="R47:S47"/>
    <mergeCell ref="M68:N68"/>
    <mergeCell ref="G50:L50"/>
    <mergeCell ref="R11:S11"/>
    <mergeCell ref="R2:V2"/>
    <mergeCell ref="W2:AA2"/>
    <mergeCell ref="G3:L4"/>
    <mergeCell ref="M3:Q4"/>
    <mergeCell ref="R3:V4"/>
    <mergeCell ref="W3:AA4"/>
    <mergeCell ref="W11:X11"/>
    <mergeCell ref="G7:L7"/>
    <mergeCell ref="M2:Q2"/>
    <mergeCell ref="A2:A5"/>
    <mergeCell ref="G2:L2"/>
    <mergeCell ref="G47:I47"/>
    <mergeCell ref="G24:L24"/>
    <mergeCell ref="G80:L80"/>
    <mergeCell ref="D12:D15"/>
    <mergeCell ref="C32:C34"/>
    <mergeCell ref="A48:A58"/>
    <mergeCell ref="B48:B58"/>
    <mergeCell ref="G62:L62"/>
    <mergeCell ref="A62:A63"/>
    <mergeCell ref="B62:B63"/>
    <mergeCell ref="G69:L69"/>
    <mergeCell ref="D48:D58"/>
    <mergeCell ref="C62:C63"/>
    <mergeCell ref="B69:B70"/>
    <mergeCell ref="G11:I11"/>
    <mergeCell ref="A12:A15"/>
    <mergeCell ref="B12:B15"/>
    <mergeCell ref="A32:A34"/>
    <mergeCell ref="B32:B34"/>
    <mergeCell ref="G32:L32"/>
    <mergeCell ref="G28:L28"/>
    <mergeCell ref="A69:A70"/>
    <mergeCell ref="A218:A222"/>
    <mergeCell ref="B218:B222"/>
    <mergeCell ref="A198:A199"/>
    <mergeCell ref="B198:B199"/>
    <mergeCell ref="G218:L218"/>
    <mergeCell ref="G197:I197"/>
    <mergeCell ref="C218:C222"/>
    <mergeCell ref="D218:D222"/>
    <mergeCell ref="C198:C199"/>
    <mergeCell ref="D198:D199"/>
    <mergeCell ref="G87:I87"/>
    <mergeCell ref="B187:B188"/>
    <mergeCell ref="G158:I158"/>
    <mergeCell ref="G154:I154"/>
    <mergeCell ref="G159:L159"/>
    <mergeCell ref="G139:I139"/>
    <mergeCell ref="G141:I141"/>
    <mergeCell ref="G106:I106"/>
    <mergeCell ref="G115:L115"/>
    <mergeCell ref="G168:I168"/>
    <mergeCell ref="B127:B128"/>
    <mergeCell ref="G120:L120"/>
    <mergeCell ref="AB2:AG2"/>
    <mergeCell ref="AB3:AG4"/>
    <mergeCell ref="AB7:AG7"/>
    <mergeCell ref="AB11:AD11"/>
    <mergeCell ref="AB12:AG12"/>
    <mergeCell ref="AB16:AG16"/>
    <mergeCell ref="AB31:AD31"/>
    <mergeCell ref="AB32:AG32"/>
    <mergeCell ref="AB35:AG35"/>
    <mergeCell ref="AB62:AG62"/>
    <mergeCell ref="AB68:AD68"/>
    <mergeCell ref="AB69:AG69"/>
    <mergeCell ref="AB96:AD96"/>
    <mergeCell ref="AB99:AG99"/>
    <mergeCell ref="AB101:AD101"/>
    <mergeCell ref="AB47:AD47"/>
    <mergeCell ref="AB48:AG48"/>
    <mergeCell ref="AB50:AG50"/>
    <mergeCell ref="AB52:AG52"/>
    <mergeCell ref="AB59:AD59"/>
    <mergeCell ref="AB61:AD61"/>
    <mergeCell ref="AB107:AG107"/>
    <mergeCell ref="AB109:AG109"/>
    <mergeCell ref="AB114:AD114"/>
    <mergeCell ref="AB115:AG115"/>
    <mergeCell ref="AB119:AD119"/>
    <mergeCell ref="AB120:AG120"/>
    <mergeCell ref="AB106:AD106"/>
    <mergeCell ref="AB74:AG74"/>
    <mergeCell ref="AB85:AD85"/>
    <mergeCell ref="AB87:AD87"/>
    <mergeCell ref="AB90:AD90"/>
    <mergeCell ref="AB91:AG91"/>
    <mergeCell ref="AB145:AD145"/>
    <mergeCell ref="AB146:AG146"/>
    <mergeCell ref="AB154:AD154"/>
    <mergeCell ref="AB156:AD156"/>
    <mergeCell ref="AB158:AD158"/>
    <mergeCell ref="AB159:AG159"/>
    <mergeCell ref="AB126:AD126"/>
    <mergeCell ref="AB127:AG127"/>
    <mergeCell ref="AB131:AG131"/>
    <mergeCell ref="AB139:AD139"/>
    <mergeCell ref="AB141:AD141"/>
    <mergeCell ref="AB143:AD143"/>
    <mergeCell ref="AB206:AG206"/>
    <mergeCell ref="AB189:AG189"/>
    <mergeCell ref="AB161:AG161"/>
    <mergeCell ref="AB164:AG164"/>
    <mergeCell ref="AB168:AD168"/>
    <mergeCell ref="AB170:AD170"/>
    <mergeCell ref="AB173:AD173"/>
    <mergeCell ref="AB175:AD175"/>
    <mergeCell ref="AB177:AD177"/>
    <mergeCell ref="AB233:AG233"/>
    <mergeCell ref="AB251:AD251"/>
    <mergeCell ref="AB252:AG252"/>
    <mergeCell ref="AB254:AG254"/>
    <mergeCell ref="AB264:AD264"/>
    <mergeCell ref="AB230:AG230"/>
    <mergeCell ref="A1:AG1"/>
    <mergeCell ref="AB217:AD217"/>
    <mergeCell ref="AB218:AG218"/>
    <mergeCell ref="AB178:AG178"/>
    <mergeCell ref="AB180:AG180"/>
    <mergeCell ref="AB186:AD186"/>
    <mergeCell ref="AB187:AG187"/>
    <mergeCell ref="B2:F5"/>
    <mergeCell ref="B6:F6"/>
    <mergeCell ref="C12:C15"/>
    <mergeCell ref="AB220:AG220"/>
    <mergeCell ref="AB224:AG224"/>
    <mergeCell ref="AB229:AD229"/>
    <mergeCell ref="AB193:AD193"/>
    <mergeCell ref="AB197:AD197"/>
    <mergeCell ref="AB198:AG198"/>
    <mergeCell ref="AB200:AG200"/>
    <mergeCell ref="AB203:AG203"/>
    <mergeCell ref="G31:I31"/>
    <mergeCell ref="G61:I61"/>
    <mergeCell ref="G43:L43"/>
    <mergeCell ref="G30:I30"/>
    <mergeCell ref="G56:L56"/>
    <mergeCell ref="G57:I57"/>
    <mergeCell ref="G64:L64"/>
    <mergeCell ref="G72:L72"/>
    <mergeCell ref="G66:L66"/>
    <mergeCell ref="G67:I67"/>
    <mergeCell ref="D62:D63"/>
    <mergeCell ref="C69:C70"/>
    <mergeCell ref="D32:D34"/>
    <mergeCell ref="D69:D70"/>
    <mergeCell ref="C127:C128"/>
    <mergeCell ref="D127:D128"/>
    <mergeCell ref="C178:C179"/>
    <mergeCell ref="C48:C58"/>
    <mergeCell ref="G41:L41"/>
    <mergeCell ref="G170:I170"/>
    <mergeCell ref="G145:I145"/>
    <mergeCell ref="G143:I143"/>
    <mergeCell ref="G131:L131"/>
    <mergeCell ref="G134:L134"/>
    <mergeCell ref="G138:I138"/>
    <mergeCell ref="G38:L38"/>
    <mergeCell ref="G88:L88"/>
    <mergeCell ref="G74:L74"/>
    <mergeCell ref="G85:I85"/>
    <mergeCell ref="G35:L35"/>
    <mergeCell ref="G83:L83"/>
    <mergeCell ref="G84:I84"/>
    <mergeCell ref="G126:I126"/>
    <mergeCell ref="G146:L146"/>
    <mergeCell ref="A102:A103"/>
    <mergeCell ref="B102:B103"/>
    <mergeCell ref="C102:C103"/>
    <mergeCell ref="D102:F103"/>
    <mergeCell ref="G102:L102"/>
    <mergeCell ref="C187:C188"/>
    <mergeCell ref="G127:L127"/>
    <mergeCell ref="G104:L104"/>
    <mergeCell ref="D178:D179"/>
    <mergeCell ref="A187:A188"/>
    <mergeCell ref="D187:D188"/>
    <mergeCell ref="A178:A179"/>
    <mergeCell ref="B178:B179"/>
    <mergeCell ref="G164:L164"/>
    <mergeCell ref="G156:I156"/>
    <mergeCell ref="G150:L150"/>
    <mergeCell ref="A127:A128"/>
    <mergeCell ref="G260:I260"/>
    <mergeCell ref="G153:I153"/>
    <mergeCell ref="G166:L166"/>
    <mergeCell ref="G167:I167"/>
    <mergeCell ref="G97:L97"/>
    <mergeCell ref="G46:I46"/>
    <mergeCell ref="G216:I216"/>
    <mergeCell ref="G9:L9"/>
    <mergeCell ref="G10:I10"/>
    <mergeCell ref="G112:L112"/>
    <mergeCell ref="G113:I113"/>
    <mergeCell ref="G117:L117"/>
    <mergeCell ref="G118:I118"/>
    <mergeCell ref="G124:L124"/>
    <mergeCell ref="G122:L122"/>
    <mergeCell ref="G123:I123"/>
    <mergeCell ref="G148:L148"/>
    <mergeCell ref="G149:I149"/>
    <mergeCell ref="G99:L99"/>
    <mergeCell ref="G114:I114"/>
    <mergeCell ref="G109:L109"/>
    <mergeCell ref="G125:I125"/>
    <mergeCell ref="G137:L137"/>
    <mergeCell ref="G22:L2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W297"/>
  <sheetViews>
    <sheetView topLeftCell="A152" zoomScale="70" zoomScaleNormal="70" workbookViewId="0">
      <selection activeCell="G167" sqref="G167:L167"/>
    </sheetView>
  </sheetViews>
  <sheetFormatPr defaultRowHeight="15" x14ac:dyDescent="0.25"/>
  <cols>
    <col min="1" max="1" width="26.7109375" style="135" customWidth="1"/>
    <col min="2" max="2" width="6.7109375" style="3" customWidth="1"/>
    <col min="3" max="3" width="3.7109375" style="3" customWidth="1"/>
    <col min="4" max="4" width="6.7109375" style="3" customWidth="1"/>
    <col min="5" max="5" width="3.7109375" style="3" customWidth="1"/>
    <col min="6" max="6" width="6.7109375" style="3" customWidth="1"/>
    <col min="7" max="8" width="20.28515625" style="3" customWidth="1"/>
    <col min="9" max="11" width="15.7109375" style="3" customWidth="1"/>
    <col min="12" max="12" width="15.7109375" style="67" customWidth="1"/>
    <col min="13" max="13" width="32.28515625" style="3" customWidth="1"/>
    <col min="14" max="14" width="24.85546875" style="3" customWidth="1"/>
    <col min="15" max="15" width="17.140625" style="3" customWidth="1"/>
    <col min="16" max="16" width="15.7109375" style="3" customWidth="1"/>
    <col min="17" max="17" width="12.140625" style="3" bestFit="1" customWidth="1"/>
    <col min="18" max="18" width="9.140625" style="68" customWidth="1"/>
    <col min="19" max="19" width="17.7109375" style="44" customWidth="1"/>
    <col min="20" max="20" width="21.5703125" style="44" customWidth="1"/>
    <col min="21" max="16384" width="9.140625" style="44"/>
  </cols>
  <sheetData>
    <row r="1" spans="1:23" ht="15.75" customHeight="1" x14ac:dyDescent="0.25">
      <c r="A1" s="1481" t="s">
        <v>2236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</row>
    <row r="2" spans="1:23" ht="15" customHeight="1" x14ac:dyDescent="0.25">
      <c r="A2" s="1526" t="s">
        <v>331</v>
      </c>
      <c r="B2" s="1529" t="s">
        <v>1786</v>
      </c>
      <c r="C2" s="1530"/>
      <c r="D2" s="1530"/>
      <c r="E2" s="1530"/>
      <c r="F2" s="1531"/>
      <c r="G2" s="1537" t="s">
        <v>1841</v>
      </c>
      <c r="H2" s="1538"/>
      <c r="I2" s="1538"/>
      <c r="J2" s="1538"/>
      <c r="K2" s="1538"/>
      <c r="L2" s="1539"/>
      <c r="M2" s="1489" t="s">
        <v>1842</v>
      </c>
      <c r="N2" s="1489"/>
      <c r="O2" s="1489"/>
      <c r="P2" s="1489"/>
      <c r="Q2" s="1489"/>
      <c r="R2" s="1489" t="s">
        <v>2535</v>
      </c>
      <c r="S2" s="1489"/>
      <c r="T2" s="1489"/>
      <c r="U2" s="1489"/>
      <c r="V2" s="1489"/>
      <c r="W2" s="1489"/>
    </row>
    <row r="3" spans="1:23" ht="15" customHeight="1" x14ac:dyDescent="0.25">
      <c r="A3" s="1527"/>
      <c r="B3" s="1532"/>
      <c r="C3" s="1492"/>
      <c r="D3" s="1492"/>
      <c r="E3" s="1492"/>
      <c r="F3" s="1533"/>
      <c r="G3" s="1490" t="s">
        <v>1845</v>
      </c>
      <c r="H3" s="1489"/>
      <c r="I3" s="1489"/>
      <c r="J3" s="1489"/>
      <c r="K3" s="1489"/>
      <c r="L3" s="1489"/>
      <c r="M3" s="1490" t="s">
        <v>1846</v>
      </c>
      <c r="N3" s="1489"/>
      <c r="O3" s="1489"/>
      <c r="P3" s="1489"/>
      <c r="Q3" s="1489"/>
      <c r="R3" s="1490" t="s">
        <v>2536</v>
      </c>
      <c r="S3" s="1489"/>
      <c r="T3" s="1489"/>
      <c r="U3" s="1489"/>
      <c r="V3" s="1489"/>
      <c r="W3" s="1489"/>
    </row>
    <row r="4" spans="1:23" x14ac:dyDescent="0.25">
      <c r="A4" s="1527"/>
      <c r="B4" s="1532"/>
      <c r="C4" s="1492"/>
      <c r="D4" s="1492"/>
      <c r="E4" s="1492"/>
      <c r="F4" s="1533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</row>
    <row r="5" spans="1:23" ht="75" x14ac:dyDescent="0.25">
      <c r="A5" s="1528"/>
      <c r="B5" s="1534"/>
      <c r="C5" s="1535"/>
      <c r="D5" s="1535"/>
      <c r="E5" s="1535"/>
      <c r="F5" s="1536"/>
      <c r="G5" s="1" t="s">
        <v>1849</v>
      </c>
      <c r="H5" s="1" t="s">
        <v>1855</v>
      </c>
      <c r="I5" s="1" t="s">
        <v>1851</v>
      </c>
      <c r="J5" s="1" t="s">
        <v>1852</v>
      </c>
      <c r="K5" s="1" t="s">
        <v>1853</v>
      </c>
      <c r="L5" s="22" t="s">
        <v>1854</v>
      </c>
      <c r="M5" s="1" t="s">
        <v>1849</v>
      </c>
      <c r="N5" s="1" t="s">
        <v>1855</v>
      </c>
      <c r="O5" s="1" t="s">
        <v>1852</v>
      </c>
      <c r="P5" s="1" t="s">
        <v>1853</v>
      </c>
      <c r="Q5" s="1" t="s">
        <v>1854</v>
      </c>
      <c r="R5" s="1" t="s">
        <v>1849</v>
      </c>
      <c r="S5" s="1" t="s">
        <v>1855</v>
      </c>
      <c r="T5" s="1" t="s">
        <v>1851</v>
      </c>
      <c r="U5" s="1" t="s">
        <v>1852</v>
      </c>
      <c r="V5" s="1" t="s">
        <v>1853</v>
      </c>
      <c r="W5" s="22" t="s">
        <v>1854</v>
      </c>
    </row>
    <row r="6" spans="1:23" ht="15.75" thickBot="1" x14ac:dyDescent="0.3">
      <c r="A6" s="151">
        <v>1</v>
      </c>
      <c r="B6" s="1485">
        <v>2</v>
      </c>
      <c r="C6" s="1486"/>
      <c r="D6" s="1486"/>
      <c r="E6" s="1486"/>
      <c r="F6" s="1487"/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269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</row>
    <row r="7" spans="1:23" x14ac:dyDescent="0.25">
      <c r="A7" s="547" t="str">
        <f>'Расчет ЦП - общая форма'!C243</f>
        <v xml:space="preserve">ПС 35/10 кВ Бахмутово </v>
      </c>
      <c r="B7" s="390">
        <f>'Расчет ЦП - общая форма'!D243</f>
        <v>2.5</v>
      </c>
      <c r="C7" s="391"/>
      <c r="D7" s="391"/>
      <c r="E7" s="391"/>
      <c r="F7" s="392"/>
      <c r="G7" s="1570" t="s">
        <v>2512</v>
      </c>
      <c r="H7" s="1570"/>
      <c r="I7" s="1570"/>
      <c r="J7" s="1570"/>
      <c r="K7" s="1570"/>
      <c r="L7" s="1571"/>
      <c r="M7" s="9"/>
      <c r="N7" s="104"/>
      <c r="O7" s="9"/>
      <c r="P7" s="9"/>
      <c r="Q7" s="9"/>
      <c r="R7" s="9"/>
      <c r="S7" s="9"/>
      <c r="T7" s="9"/>
      <c r="U7" s="9"/>
      <c r="V7" s="9"/>
      <c r="W7" s="51"/>
    </row>
    <row r="8" spans="1:23" ht="105.75" thickBot="1" x14ac:dyDescent="0.3">
      <c r="A8" s="401"/>
      <c r="B8" s="402"/>
      <c r="C8" s="403"/>
      <c r="D8" s="403"/>
      <c r="E8" s="403"/>
      <c r="F8" s="404"/>
      <c r="G8" s="9" t="s">
        <v>2646</v>
      </c>
      <c r="H8" s="104" t="s">
        <v>2647</v>
      </c>
      <c r="I8" s="9" t="s">
        <v>2793</v>
      </c>
      <c r="J8" s="9">
        <v>0.1</v>
      </c>
      <c r="K8" s="1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22"/>
    </row>
    <row r="9" spans="1:23" x14ac:dyDescent="0.25">
      <c r="A9" s="1200"/>
      <c r="B9" s="1201"/>
      <c r="C9" s="1203"/>
      <c r="D9" s="1203"/>
      <c r="E9" s="1203"/>
      <c r="F9" s="1202"/>
      <c r="G9" s="1570" t="s">
        <v>3069</v>
      </c>
      <c r="H9" s="1570"/>
      <c r="I9" s="1570"/>
      <c r="J9" s="1570"/>
      <c r="K9" s="1570"/>
      <c r="L9" s="1571"/>
      <c r="M9" s="19"/>
      <c r="N9" s="20"/>
      <c r="O9" s="24"/>
      <c r="P9" s="24"/>
      <c r="Q9" s="24"/>
      <c r="R9" s="19"/>
      <c r="S9" s="263"/>
      <c r="T9" s="20"/>
      <c r="U9" s="24"/>
      <c r="V9" s="24"/>
      <c r="W9" s="62"/>
    </row>
    <row r="10" spans="1:23" x14ac:dyDescent="0.25">
      <c r="A10" s="1200"/>
      <c r="B10" s="1201"/>
      <c r="C10" s="1203"/>
      <c r="D10" s="1203"/>
      <c r="E10" s="1203"/>
      <c r="F10" s="1202"/>
      <c r="G10" s="1518" t="s">
        <v>3481</v>
      </c>
      <c r="H10" s="1519"/>
      <c r="I10" s="1520"/>
      <c r="J10" s="1226">
        <v>0.1</v>
      </c>
      <c r="K10" s="24"/>
      <c r="L10" s="62"/>
      <c r="M10" s="19"/>
      <c r="N10" s="20"/>
      <c r="O10" s="24"/>
      <c r="P10" s="24"/>
      <c r="Q10" s="24"/>
      <c r="R10" s="19"/>
      <c r="S10" s="263"/>
      <c r="T10" s="20"/>
      <c r="U10" s="24"/>
      <c r="V10" s="24"/>
      <c r="W10" s="62"/>
    </row>
    <row r="11" spans="1:23" ht="15.75" customHeight="1" thickBot="1" x14ac:dyDescent="0.3">
      <c r="A11" s="405"/>
      <c r="B11" s="394"/>
      <c r="C11" s="395"/>
      <c r="D11" s="395"/>
      <c r="E11" s="395"/>
      <c r="F11" s="396"/>
      <c r="G11" s="1483" t="s">
        <v>1860</v>
      </c>
      <c r="H11" s="1483"/>
      <c r="I11" s="1484"/>
      <c r="J11" s="13">
        <f>SUM(J8:J10)</f>
        <v>0.2</v>
      </c>
      <c r="K11" s="14">
        <v>0.8</v>
      </c>
      <c r="L11" s="13">
        <f>J11/K11</f>
        <v>0.25</v>
      </c>
      <c r="M11" s="1482" t="s">
        <v>1861</v>
      </c>
      <c r="N11" s="1484"/>
      <c r="O11" s="13">
        <f>SUM(O7:O8)</f>
        <v>0</v>
      </c>
      <c r="P11" s="14">
        <v>0.8</v>
      </c>
      <c r="Q11" s="13">
        <f>O11/P11</f>
        <v>0</v>
      </c>
      <c r="R11" s="1482" t="s">
        <v>1860</v>
      </c>
      <c r="S11" s="1483"/>
      <c r="T11" s="1484"/>
      <c r="U11" s="13">
        <f>SUM(U7:U8)</f>
        <v>0</v>
      </c>
      <c r="V11" s="14">
        <v>0.8</v>
      </c>
      <c r="W11" s="13">
        <f>U11/V11</f>
        <v>0</v>
      </c>
    </row>
    <row r="12" spans="1:23" x14ac:dyDescent="0.25">
      <c r="A12" s="406" t="str">
        <f>'Расчет ЦП - общая форма'!C244</f>
        <v xml:space="preserve">ПС 35/10 кВ Пятницкое </v>
      </c>
      <c r="B12" s="398">
        <f>'Расчет ЦП - общая форма'!D244</f>
        <v>2.5</v>
      </c>
      <c r="C12" s="399"/>
      <c r="D12" s="399"/>
      <c r="E12" s="399"/>
      <c r="F12" s="400"/>
      <c r="G12" s="43"/>
      <c r="H12" s="17"/>
      <c r="I12" s="17"/>
      <c r="J12" s="17"/>
      <c r="K12" s="17"/>
      <c r="L12" s="7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3"/>
    </row>
    <row r="13" spans="1:23" ht="15.75" customHeight="1" thickBot="1" x14ac:dyDescent="0.3">
      <c r="A13" s="405"/>
      <c r="B13" s="394"/>
      <c r="C13" s="395"/>
      <c r="D13" s="395"/>
      <c r="E13" s="395"/>
      <c r="F13" s="396"/>
      <c r="G13" s="1483" t="s">
        <v>1860</v>
      </c>
      <c r="H13" s="1483"/>
      <c r="I13" s="1484"/>
      <c r="J13" s="13">
        <f>SUM(J12:J12)</f>
        <v>0</v>
      </c>
      <c r="K13" s="14">
        <v>0.8</v>
      </c>
      <c r="L13" s="13">
        <f>J13/K13</f>
        <v>0</v>
      </c>
      <c r="M13" s="1482" t="s">
        <v>1861</v>
      </c>
      <c r="N13" s="1484"/>
      <c r="O13" s="13">
        <f>SUM(O12:O12)</f>
        <v>0</v>
      </c>
      <c r="P13" s="14">
        <v>0.8</v>
      </c>
      <c r="Q13" s="13">
        <f>O13/P13</f>
        <v>0</v>
      </c>
      <c r="R13" s="1482" t="s">
        <v>1860</v>
      </c>
      <c r="S13" s="1483"/>
      <c r="T13" s="1484"/>
      <c r="U13" s="13">
        <f>SUM(U12:U12)</f>
        <v>0</v>
      </c>
      <c r="V13" s="14">
        <v>0.8</v>
      </c>
      <c r="W13" s="13">
        <f>U13/V13</f>
        <v>0</v>
      </c>
    </row>
    <row r="14" spans="1:23" x14ac:dyDescent="0.25">
      <c r="A14" s="1683" t="str">
        <f>'Расчет ЦП - общая форма'!C245</f>
        <v xml:space="preserve">ПС 35/10 кВ Карамзино </v>
      </c>
      <c r="B14" s="1551">
        <f>'Расчет ЦП - общая форма'!D245</f>
        <v>1.6</v>
      </c>
      <c r="C14" s="399"/>
      <c r="D14" s="399"/>
      <c r="E14" s="399"/>
      <c r="F14" s="400"/>
      <c r="G14" s="1688" t="s">
        <v>2354</v>
      </c>
      <c r="H14" s="1689"/>
      <c r="I14" s="1689"/>
      <c r="J14" s="1689"/>
      <c r="K14" s="1689"/>
      <c r="L14" s="1689"/>
      <c r="M14" s="131"/>
      <c r="N14" s="132"/>
      <c r="O14" s="73"/>
      <c r="P14" s="73"/>
      <c r="Q14" s="73"/>
      <c r="R14" s="1682"/>
      <c r="S14" s="1682"/>
      <c r="T14" s="1682"/>
      <c r="U14" s="1682"/>
      <c r="V14" s="1682"/>
      <c r="W14" s="1682"/>
    </row>
    <row r="15" spans="1:23" x14ac:dyDescent="0.25">
      <c r="A15" s="1540"/>
      <c r="B15" s="1501"/>
      <c r="C15" s="403"/>
      <c r="D15" s="403"/>
      <c r="E15" s="403"/>
      <c r="F15" s="404"/>
      <c r="G15" s="104" t="s">
        <v>2119</v>
      </c>
      <c r="H15" s="9" t="s">
        <v>2120</v>
      </c>
      <c r="I15" s="9" t="s">
        <v>2121</v>
      </c>
      <c r="J15" s="9">
        <v>0.06</v>
      </c>
      <c r="K15" s="9"/>
      <c r="L15" s="51"/>
      <c r="M15" s="9"/>
      <c r="N15" s="9"/>
      <c r="O15" s="9"/>
      <c r="P15" s="9"/>
      <c r="Q15" s="9"/>
      <c r="R15" s="51"/>
      <c r="S15" s="51"/>
      <c r="T15" s="51"/>
      <c r="U15" s="51"/>
      <c r="V15" s="51"/>
      <c r="W15" s="51"/>
    </row>
    <row r="16" spans="1:23" x14ac:dyDescent="0.25">
      <c r="A16" s="1060"/>
      <c r="B16" s="1058"/>
      <c r="C16" s="1061"/>
      <c r="D16" s="1061"/>
      <c r="E16" s="1061"/>
      <c r="F16" s="1059"/>
      <c r="G16" s="1688" t="s">
        <v>3068</v>
      </c>
      <c r="H16" s="1689"/>
      <c r="I16" s="1689"/>
      <c r="J16" s="1689"/>
      <c r="K16" s="1689"/>
      <c r="L16" s="1689"/>
      <c r="M16" s="128"/>
      <c r="N16" s="128"/>
      <c r="O16" s="128"/>
      <c r="P16" s="128"/>
      <c r="Q16" s="128"/>
      <c r="R16" s="653"/>
      <c r="S16" s="71"/>
      <c r="T16" s="310"/>
      <c r="U16" s="69"/>
      <c r="V16" s="69"/>
      <c r="W16" s="69"/>
    </row>
    <row r="17" spans="1:23" ht="39" customHeight="1" x14ac:dyDescent="0.25">
      <c r="A17" s="1060"/>
      <c r="B17" s="1058"/>
      <c r="C17" s="1061"/>
      <c r="D17" s="1061"/>
      <c r="E17" s="1061"/>
      <c r="F17" s="1059"/>
      <c r="G17" s="1" t="s">
        <v>3199</v>
      </c>
      <c r="H17" s="1" t="s">
        <v>3200</v>
      </c>
      <c r="I17" s="1" t="s">
        <v>3201</v>
      </c>
      <c r="J17" s="1">
        <v>0.1</v>
      </c>
      <c r="K17" s="1"/>
      <c r="L17" s="22"/>
      <c r="M17" s="128" t="s">
        <v>3217</v>
      </c>
      <c r="N17" s="128" t="s">
        <v>3218</v>
      </c>
      <c r="O17" s="128">
        <v>0.1</v>
      </c>
      <c r="P17" s="128"/>
      <c r="Q17" s="128"/>
      <c r="R17" s="653"/>
      <c r="S17" s="71"/>
      <c r="T17" s="310"/>
      <c r="U17" s="69"/>
      <c r="V17" s="69"/>
      <c r="W17" s="69"/>
    </row>
    <row r="18" spans="1:23" ht="15.75" customHeight="1" thickBot="1" x14ac:dyDescent="0.3">
      <c r="A18" s="405"/>
      <c r="B18" s="394"/>
      <c r="C18" s="395"/>
      <c r="D18" s="395"/>
      <c r="E18" s="395"/>
      <c r="F18" s="396"/>
      <c r="G18" s="1486" t="s">
        <v>1860</v>
      </c>
      <c r="H18" s="1486"/>
      <c r="I18" s="1487"/>
      <c r="J18" s="21">
        <f>SUM(J17)</f>
        <v>0.1</v>
      </c>
      <c r="K18" s="24">
        <v>0.8</v>
      </c>
      <c r="L18" s="21">
        <f>J18/K18</f>
        <v>0.125</v>
      </c>
      <c r="M18" s="1491" t="s">
        <v>1861</v>
      </c>
      <c r="N18" s="1491"/>
      <c r="O18" s="21">
        <f>SUM(O17)</f>
        <v>0.1</v>
      </c>
      <c r="P18" s="24">
        <v>0.8</v>
      </c>
      <c r="Q18" s="21">
        <f>O18/P18</f>
        <v>0.125</v>
      </c>
      <c r="R18" s="1485" t="s">
        <v>1860</v>
      </c>
      <c r="S18" s="1486"/>
      <c r="T18" s="1487"/>
      <c r="U18" s="21">
        <f>SUM(U15:U15)</f>
        <v>0</v>
      </c>
      <c r="V18" s="24">
        <v>0.8</v>
      </c>
      <c r="W18" s="21">
        <f>U18/V18</f>
        <v>0</v>
      </c>
    </row>
    <row r="19" spans="1:23" x14ac:dyDescent="0.25">
      <c r="A19" s="1683" t="str">
        <f>'Расчет ЦП - общая форма'!C246</f>
        <v xml:space="preserve">ПС 35/10 кВ Кн.Горы  </v>
      </c>
      <c r="B19" s="1551">
        <f>'Расчет ЦП - общая форма'!D246</f>
        <v>2.5</v>
      </c>
      <c r="C19" s="399"/>
      <c r="D19" s="399"/>
      <c r="E19" s="399"/>
      <c r="F19" s="400"/>
      <c r="G19" s="1570" t="s">
        <v>1988</v>
      </c>
      <c r="H19" s="1570"/>
      <c r="I19" s="1570"/>
      <c r="J19" s="1570"/>
      <c r="K19" s="1570"/>
      <c r="L19" s="1571"/>
      <c r="M19" s="73"/>
      <c r="N19" s="73"/>
      <c r="O19" s="73"/>
      <c r="P19" s="73"/>
      <c r="Q19" s="73"/>
      <c r="R19" s="1566"/>
      <c r="S19" s="1567"/>
      <c r="T19" s="1567"/>
      <c r="U19" s="1567"/>
      <c r="V19" s="1567"/>
      <c r="W19" s="1568"/>
    </row>
    <row r="20" spans="1:23" ht="30" x14ac:dyDescent="0.25">
      <c r="A20" s="1540"/>
      <c r="B20" s="1501"/>
      <c r="C20" s="403"/>
      <c r="D20" s="403"/>
      <c r="E20" s="403"/>
      <c r="F20" s="404"/>
      <c r="G20" s="104" t="s">
        <v>2122</v>
      </c>
      <c r="H20" s="9" t="s">
        <v>2123</v>
      </c>
      <c r="I20" s="9" t="s">
        <v>2124</v>
      </c>
      <c r="J20" s="9">
        <v>0.2</v>
      </c>
      <c r="K20" s="9"/>
      <c r="L20" s="51"/>
      <c r="M20" s="8"/>
      <c r="N20" s="8"/>
      <c r="O20" s="1"/>
      <c r="P20" s="1"/>
      <c r="Q20" s="1"/>
      <c r="R20" s="51"/>
      <c r="S20" s="51"/>
      <c r="T20" s="51"/>
      <c r="U20" s="51"/>
      <c r="V20" s="51"/>
      <c r="W20" s="51"/>
    </row>
    <row r="21" spans="1:23" ht="30" x14ac:dyDescent="0.25">
      <c r="A21" s="401"/>
      <c r="B21" s="402"/>
      <c r="C21" s="403"/>
      <c r="D21" s="403"/>
      <c r="E21" s="403"/>
      <c r="F21" s="404"/>
      <c r="G21" s="262" t="s">
        <v>2127</v>
      </c>
      <c r="H21" s="42" t="s">
        <v>2128</v>
      </c>
      <c r="I21" s="42" t="s">
        <v>2129</v>
      </c>
      <c r="J21" s="42">
        <v>0.2</v>
      </c>
      <c r="K21" s="42"/>
      <c r="L21" s="72"/>
      <c r="M21" s="143" t="s">
        <v>2130</v>
      </c>
      <c r="N21" s="143" t="s">
        <v>2131</v>
      </c>
      <c r="O21" s="37">
        <v>0.1</v>
      </c>
      <c r="P21" s="1"/>
      <c r="Q21" s="1"/>
      <c r="R21" s="72"/>
      <c r="S21" s="72"/>
      <c r="T21" s="72"/>
      <c r="U21" s="72"/>
      <c r="V21" s="72"/>
      <c r="W21" s="72"/>
    </row>
    <row r="22" spans="1:23" ht="17.25" customHeight="1" x14ac:dyDescent="0.25">
      <c r="A22" s="401"/>
      <c r="B22" s="402"/>
      <c r="C22" s="403"/>
      <c r="D22" s="403"/>
      <c r="E22" s="403"/>
      <c r="F22" s="404"/>
      <c r="G22" s="1663" t="s">
        <v>1987</v>
      </c>
      <c r="H22" s="1663"/>
      <c r="I22" s="1663"/>
      <c r="J22" s="1663"/>
      <c r="K22" s="1663"/>
      <c r="L22" s="1664"/>
      <c r="M22" s="143"/>
      <c r="N22" s="143"/>
      <c r="O22" s="143"/>
      <c r="P22" s="1"/>
      <c r="Q22" s="1"/>
      <c r="R22" s="1680"/>
      <c r="S22" s="1681"/>
      <c r="T22" s="1681"/>
      <c r="U22" s="1681"/>
      <c r="V22" s="1681"/>
      <c r="W22" s="1408"/>
    </row>
    <row r="23" spans="1:23" ht="30" x14ac:dyDescent="0.25">
      <c r="A23" s="401"/>
      <c r="B23" s="402"/>
      <c r="C23" s="403"/>
      <c r="D23" s="403"/>
      <c r="E23" s="403"/>
      <c r="F23" s="404"/>
      <c r="G23" s="104" t="s">
        <v>2127</v>
      </c>
      <c r="H23" s="9" t="s">
        <v>2128</v>
      </c>
      <c r="I23" s="9" t="s">
        <v>2132</v>
      </c>
      <c r="J23" s="9">
        <v>0.04</v>
      </c>
      <c r="K23" s="9"/>
      <c r="L23" s="51"/>
      <c r="M23" s="1"/>
      <c r="N23" s="1"/>
      <c r="O23" s="1"/>
      <c r="P23" s="1"/>
      <c r="Q23" s="1"/>
      <c r="R23" s="51"/>
      <c r="S23" s="51"/>
      <c r="T23" s="51"/>
      <c r="U23" s="51"/>
      <c r="V23" s="51"/>
      <c r="W23" s="51"/>
    </row>
    <row r="24" spans="1:23" ht="14.25" customHeight="1" x14ac:dyDescent="0.25">
      <c r="A24" s="401"/>
      <c r="B24" s="402"/>
      <c r="C24" s="403"/>
      <c r="D24" s="403"/>
      <c r="E24" s="403"/>
      <c r="F24" s="404"/>
      <c r="G24" s="1663" t="s">
        <v>2062</v>
      </c>
      <c r="H24" s="1663"/>
      <c r="I24" s="1663"/>
      <c r="J24" s="1663"/>
      <c r="K24" s="1663"/>
      <c r="L24" s="1664"/>
      <c r="M24" s="1"/>
      <c r="N24" s="1"/>
      <c r="O24" s="1"/>
      <c r="P24" s="1"/>
      <c r="Q24" s="1"/>
      <c r="R24" s="1680"/>
      <c r="S24" s="1681"/>
      <c r="T24" s="1681"/>
      <c r="U24" s="1681"/>
      <c r="V24" s="1681"/>
      <c r="W24" s="1408"/>
    </row>
    <row r="25" spans="1:23" ht="40.5" customHeight="1" x14ac:dyDescent="0.25">
      <c r="A25" s="401"/>
      <c r="B25" s="402"/>
      <c r="C25" s="403"/>
      <c r="D25" s="403"/>
      <c r="E25" s="403"/>
      <c r="F25" s="404"/>
      <c r="G25" s="104" t="s">
        <v>2125</v>
      </c>
      <c r="H25" s="9" t="s">
        <v>2126</v>
      </c>
      <c r="I25" s="1" t="s">
        <v>2505</v>
      </c>
      <c r="J25" s="1">
        <v>0.59</v>
      </c>
      <c r="K25" s="1"/>
      <c r="L25" s="22"/>
      <c r="M25" s="1"/>
      <c r="N25" s="1"/>
      <c r="O25" s="1"/>
      <c r="P25" s="1"/>
      <c r="Q25" s="1"/>
      <c r="R25" s="51"/>
      <c r="S25" s="51"/>
      <c r="T25" s="22"/>
      <c r="U25" s="22"/>
      <c r="V25" s="22"/>
      <c r="W25" s="22"/>
    </row>
    <row r="26" spans="1:23" ht="23.25" customHeight="1" x14ac:dyDescent="0.25">
      <c r="A26" s="834"/>
      <c r="B26" s="835"/>
      <c r="C26" s="836"/>
      <c r="D26" s="836"/>
      <c r="E26" s="836"/>
      <c r="F26" s="833"/>
      <c r="G26" s="1663" t="s">
        <v>2675</v>
      </c>
      <c r="H26" s="1663"/>
      <c r="I26" s="1663"/>
      <c r="J26" s="1663"/>
      <c r="K26" s="1663"/>
      <c r="L26" s="1664"/>
      <c r="M26" s="19"/>
      <c r="N26" s="20"/>
      <c r="O26" s="24"/>
      <c r="P26" s="24"/>
      <c r="Q26" s="24"/>
      <c r="R26" s="653"/>
      <c r="S26" s="71"/>
      <c r="T26" s="130"/>
      <c r="U26" s="62"/>
      <c r="V26" s="62"/>
      <c r="W26" s="62"/>
    </row>
    <row r="27" spans="1:23" ht="30.75" customHeight="1" x14ac:dyDescent="0.25">
      <c r="A27" s="834"/>
      <c r="B27" s="835"/>
      <c r="C27" s="836"/>
      <c r="D27" s="836"/>
      <c r="E27" s="836"/>
      <c r="F27" s="833"/>
      <c r="G27" s="1" t="s">
        <v>2920</v>
      </c>
      <c r="H27" s="1" t="s">
        <v>2935</v>
      </c>
      <c r="I27" s="20" t="s">
        <v>2971</v>
      </c>
      <c r="J27" s="24">
        <v>1.9E-2</v>
      </c>
      <c r="K27" s="24"/>
      <c r="L27" s="62"/>
      <c r="M27" s="19"/>
      <c r="N27" s="20"/>
      <c r="O27" s="24"/>
      <c r="P27" s="24"/>
      <c r="Q27" s="24"/>
      <c r="R27" s="653"/>
      <c r="S27" s="71"/>
      <c r="T27" s="130"/>
      <c r="U27" s="62"/>
      <c r="V27" s="62"/>
      <c r="W27" s="62"/>
    </row>
    <row r="28" spans="1:23" ht="29.25" customHeight="1" x14ac:dyDescent="0.25">
      <c r="A28" s="834"/>
      <c r="B28" s="835"/>
      <c r="C28" s="836"/>
      <c r="D28" s="836"/>
      <c r="E28" s="836"/>
      <c r="F28" s="833"/>
      <c r="G28" s="1" t="s">
        <v>2920</v>
      </c>
      <c r="H28" s="1" t="s">
        <v>2941</v>
      </c>
      <c r="I28" s="20" t="s">
        <v>2972</v>
      </c>
      <c r="J28" s="24">
        <v>1.9E-2</v>
      </c>
      <c r="K28" s="24"/>
      <c r="L28" s="62"/>
      <c r="M28" s="19"/>
      <c r="N28" s="20"/>
      <c r="O28" s="24"/>
      <c r="P28" s="24"/>
      <c r="Q28" s="24"/>
      <c r="R28" s="653"/>
      <c r="S28" s="71"/>
      <c r="T28" s="130"/>
      <c r="U28" s="62"/>
      <c r="V28" s="62"/>
      <c r="W28" s="62"/>
    </row>
    <row r="29" spans="1:23" ht="29.25" customHeight="1" x14ac:dyDescent="0.25">
      <c r="A29" s="1060"/>
      <c r="B29" s="1058"/>
      <c r="C29" s="1061"/>
      <c r="D29" s="1061"/>
      <c r="E29" s="1061"/>
      <c r="F29" s="1059"/>
      <c r="G29" s="1663" t="s">
        <v>3068</v>
      </c>
      <c r="H29" s="1663"/>
      <c r="I29" s="1663"/>
      <c r="J29" s="1663"/>
      <c r="K29" s="1663"/>
      <c r="L29" s="1664"/>
      <c r="M29" s="19"/>
      <c r="N29" s="20"/>
      <c r="O29" s="24"/>
      <c r="P29" s="24"/>
      <c r="Q29" s="24"/>
      <c r="R29" s="653"/>
      <c r="S29" s="71"/>
      <c r="T29" s="130"/>
      <c r="U29" s="62"/>
      <c r="V29" s="62"/>
      <c r="W29" s="62"/>
    </row>
    <row r="30" spans="1:23" ht="29.25" customHeight="1" x14ac:dyDescent="0.25">
      <c r="A30" s="1060"/>
      <c r="B30" s="1058"/>
      <c r="C30" s="1061"/>
      <c r="D30" s="1061"/>
      <c r="E30" s="1061"/>
      <c r="F30" s="1059"/>
      <c r="G30" s="1" t="s">
        <v>2133</v>
      </c>
      <c r="H30" s="1" t="s">
        <v>3178</v>
      </c>
      <c r="I30" s="20" t="s">
        <v>3204</v>
      </c>
      <c r="J30" s="24">
        <v>0.16</v>
      </c>
      <c r="K30" s="24"/>
      <c r="L30" s="62"/>
      <c r="M30" s="19"/>
      <c r="N30" s="20"/>
      <c r="O30" s="24"/>
      <c r="P30" s="24"/>
      <c r="Q30" s="24"/>
      <c r="R30" s="653"/>
      <c r="S30" s="71"/>
      <c r="T30" s="130"/>
      <c r="U30" s="62"/>
      <c r="V30" s="62"/>
      <c r="W30" s="62"/>
    </row>
    <row r="31" spans="1:23" ht="29.25" customHeight="1" x14ac:dyDescent="0.25">
      <c r="A31" s="1155"/>
      <c r="B31" s="1153"/>
      <c r="C31" s="1156"/>
      <c r="D31" s="1156"/>
      <c r="E31" s="1156"/>
      <c r="F31" s="1154"/>
      <c r="G31" s="143" t="s">
        <v>3363</v>
      </c>
      <c r="H31" s="143" t="s">
        <v>3364</v>
      </c>
      <c r="I31" s="20" t="s">
        <v>3387</v>
      </c>
      <c r="J31" s="143">
        <f>0.12-0.015</f>
        <v>0.105</v>
      </c>
      <c r="K31" s="24"/>
      <c r="L31" s="62"/>
      <c r="M31" s="19"/>
      <c r="N31" s="20"/>
      <c r="O31" s="24"/>
      <c r="P31" s="24"/>
      <c r="Q31" s="24"/>
      <c r="R31" s="653"/>
      <c r="S31" s="71"/>
      <c r="T31" s="130"/>
      <c r="U31" s="62"/>
      <c r="V31" s="62"/>
      <c r="W31" s="62"/>
    </row>
    <row r="32" spans="1:23" ht="29.25" customHeight="1" x14ac:dyDescent="0.25">
      <c r="A32" s="1212"/>
      <c r="B32" s="1210"/>
      <c r="C32" s="1214"/>
      <c r="D32" s="1214"/>
      <c r="E32" s="1214"/>
      <c r="F32" s="1211"/>
      <c r="G32" s="1665" t="s">
        <v>3481</v>
      </c>
      <c r="H32" s="1666"/>
      <c r="I32" s="1667"/>
      <c r="J32" s="786">
        <v>0.29352</v>
      </c>
      <c r="K32" s="24"/>
      <c r="L32" s="62"/>
      <c r="M32" s="19"/>
      <c r="N32" s="20"/>
      <c r="O32" s="24"/>
      <c r="P32" s="24"/>
      <c r="Q32" s="24"/>
      <c r="R32" s="653"/>
      <c r="S32" s="71"/>
      <c r="T32" s="130"/>
      <c r="U32" s="62"/>
      <c r="V32" s="62"/>
      <c r="W32" s="62"/>
    </row>
    <row r="33" spans="1:23" ht="15.75" customHeight="1" thickBot="1" x14ac:dyDescent="0.3">
      <c r="A33" s="405"/>
      <c r="B33" s="394"/>
      <c r="C33" s="395"/>
      <c r="D33" s="395"/>
      <c r="E33" s="395"/>
      <c r="F33" s="396"/>
      <c r="G33" s="1483" t="s">
        <v>1860</v>
      </c>
      <c r="H33" s="1483"/>
      <c r="I33" s="1484"/>
      <c r="J33" s="13">
        <f>SUM(J27:J32)</f>
        <v>0.59651999999999994</v>
      </c>
      <c r="K33" s="14">
        <v>0.8</v>
      </c>
      <c r="L33" s="13">
        <f>J33/K33</f>
        <v>0.74564999999999992</v>
      </c>
      <c r="M33" s="1482" t="s">
        <v>1861</v>
      </c>
      <c r="N33" s="1484"/>
      <c r="O33" s="13">
        <f>SUM(O20:O25)</f>
        <v>0.1</v>
      </c>
      <c r="P33" s="14">
        <v>0.8</v>
      </c>
      <c r="Q33" s="13">
        <f>O33/P33</f>
        <v>0.125</v>
      </c>
      <c r="R33" s="1482" t="s">
        <v>1860</v>
      </c>
      <c r="S33" s="1483"/>
      <c r="T33" s="1484"/>
      <c r="U33" s="13">
        <f>SUM(U20:U21,U23,U25)</f>
        <v>0</v>
      </c>
      <c r="V33" s="14">
        <v>0.8</v>
      </c>
      <c r="W33" s="13">
        <f>U33/V33</f>
        <v>0</v>
      </c>
    </row>
    <row r="34" spans="1:23" x14ac:dyDescent="0.25">
      <c r="A34" s="1683" t="str">
        <f>'Расчет ЦП - общая форма'!C247</f>
        <v xml:space="preserve">ПС 35/10 кВ Салино </v>
      </c>
      <c r="B34" s="1551">
        <f>'Расчет ЦП - общая форма'!D247</f>
        <v>2.5</v>
      </c>
      <c r="C34" s="399"/>
      <c r="D34" s="399"/>
      <c r="E34" s="399"/>
      <c r="F34" s="400"/>
      <c r="G34" s="1570">
        <v>2006</v>
      </c>
      <c r="H34" s="1570"/>
      <c r="I34" s="1570"/>
      <c r="J34" s="1570"/>
      <c r="K34" s="1570"/>
      <c r="L34" s="1571"/>
      <c r="M34" s="131"/>
      <c r="N34" s="132"/>
      <c r="O34" s="73"/>
      <c r="P34" s="73"/>
      <c r="Q34" s="73"/>
      <c r="R34" s="1566"/>
      <c r="S34" s="1567"/>
      <c r="T34" s="1567"/>
      <c r="U34" s="1567"/>
      <c r="V34" s="1567"/>
      <c r="W34" s="1568"/>
    </row>
    <row r="35" spans="1:23" ht="45" x14ac:dyDescent="0.25">
      <c r="A35" s="1540"/>
      <c r="B35" s="1501"/>
      <c r="C35" s="403"/>
      <c r="D35" s="403"/>
      <c r="E35" s="403"/>
      <c r="F35" s="404"/>
      <c r="G35" s="104" t="s">
        <v>2134</v>
      </c>
      <c r="H35" s="9" t="s">
        <v>2135</v>
      </c>
      <c r="I35" s="9" t="s">
        <v>2136</v>
      </c>
      <c r="J35" s="9">
        <v>0.2</v>
      </c>
      <c r="K35" s="9"/>
      <c r="L35" s="51"/>
      <c r="M35" s="9"/>
      <c r="N35" s="9"/>
      <c r="O35" s="9"/>
      <c r="P35" s="9"/>
      <c r="Q35" s="9"/>
      <c r="R35" s="51"/>
      <c r="S35" s="51"/>
      <c r="T35" s="51"/>
      <c r="U35" s="51"/>
      <c r="V35" s="51"/>
      <c r="W35" s="51"/>
    </row>
    <row r="36" spans="1:23" x14ac:dyDescent="0.25">
      <c r="A36" s="401"/>
      <c r="B36" s="402"/>
      <c r="C36" s="403"/>
      <c r="D36" s="403"/>
      <c r="E36" s="403"/>
      <c r="F36" s="404"/>
      <c r="G36" s="152"/>
      <c r="H36" s="1"/>
      <c r="I36" s="1"/>
      <c r="J36" s="1"/>
      <c r="K36" s="1"/>
      <c r="L36" s="22"/>
      <c r="M36" s="1"/>
      <c r="N36" s="1"/>
      <c r="O36" s="1"/>
      <c r="P36" s="1"/>
      <c r="Q36" s="1"/>
      <c r="R36" s="22"/>
      <c r="S36" s="22"/>
      <c r="T36" s="22"/>
      <c r="U36" s="22"/>
      <c r="V36" s="22"/>
      <c r="W36" s="22"/>
    </row>
    <row r="37" spans="1:23" ht="15.75" customHeight="1" thickBot="1" x14ac:dyDescent="0.3">
      <c r="A37" s="405"/>
      <c r="B37" s="394"/>
      <c r="C37" s="395"/>
      <c r="D37" s="395"/>
      <c r="E37" s="395"/>
      <c r="F37" s="396"/>
      <c r="G37" s="1483" t="s">
        <v>1860</v>
      </c>
      <c r="H37" s="1483"/>
      <c r="I37" s="1484"/>
      <c r="J37" s="13">
        <v>0</v>
      </c>
      <c r="K37" s="14">
        <v>0.8</v>
      </c>
      <c r="L37" s="13">
        <f>J37/K37</f>
        <v>0</v>
      </c>
      <c r="M37" s="1482" t="s">
        <v>1861</v>
      </c>
      <c r="N37" s="1484"/>
      <c r="O37" s="13">
        <f>SUM(O35:O36)</f>
        <v>0</v>
      </c>
      <c r="P37" s="14">
        <v>0.8</v>
      </c>
      <c r="Q37" s="13">
        <f>O37/P37</f>
        <v>0</v>
      </c>
      <c r="R37" s="1482" t="s">
        <v>1860</v>
      </c>
      <c r="S37" s="1483"/>
      <c r="T37" s="1484"/>
      <c r="U37" s="13">
        <v>0</v>
      </c>
      <c r="V37" s="14">
        <v>0.8</v>
      </c>
      <c r="W37" s="13">
        <f>U37/V37</f>
        <v>0</v>
      </c>
    </row>
    <row r="38" spans="1:23" x14ac:dyDescent="0.25">
      <c r="A38" s="406" t="str">
        <f>'Расчет ЦП - общая форма'!C248</f>
        <v xml:space="preserve">ПС 35/10 кВ Гусево </v>
      </c>
      <c r="B38" s="398">
        <f>'Расчет ЦП - общая форма'!D248</f>
        <v>2.5</v>
      </c>
      <c r="C38" s="399"/>
      <c r="D38" s="399"/>
      <c r="E38" s="399"/>
      <c r="F38" s="400"/>
      <c r="G38" s="43"/>
      <c r="H38" s="17"/>
      <c r="I38" s="17"/>
      <c r="J38" s="17"/>
      <c r="K38" s="17"/>
      <c r="L38" s="73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73"/>
    </row>
    <row r="39" spans="1:23" ht="15.75" customHeight="1" thickBot="1" x14ac:dyDescent="0.3">
      <c r="A39" s="405"/>
      <c r="B39" s="394"/>
      <c r="C39" s="395"/>
      <c r="D39" s="395"/>
      <c r="E39" s="395"/>
      <c r="F39" s="396"/>
      <c r="G39" s="1483" t="s">
        <v>1860</v>
      </c>
      <c r="H39" s="1483"/>
      <c r="I39" s="1484"/>
      <c r="J39" s="13">
        <f>SUM(J38:J38)</f>
        <v>0</v>
      </c>
      <c r="K39" s="14">
        <v>0.8</v>
      </c>
      <c r="L39" s="13">
        <f>J39/K39</f>
        <v>0</v>
      </c>
      <c r="M39" s="1482" t="s">
        <v>1861</v>
      </c>
      <c r="N39" s="1484"/>
      <c r="O39" s="13">
        <f>SUM(O38:O38)</f>
        <v>0</v>
      </c>
      <c r="P39" s="14">
        <v>0.8</v>
      </c>
      <c r="Q39" s="13">
        <f>O39/P39</f>
        <v>0</v>
      </c>
      <c r="R39" s="1482" t="s">
        <v>1860</v>
      </c>
      <c r="S39" s="1483"/>
      <c r="T39" s="1484"/>
      <c r="U39" s="13">
        <f>SUM(U38:U38)</f>
        <v>0</v>
      </c>
      <c r="V39" s="14">
        <v>0.8</v>
      </c>
      <c r="W39" s="13">
        <f>U39/V39</f>
        <v>0</v>
      </c>
    </row>
    <row r="40" spans="1:23" x14ac:dyDescent="0.25">
      <c r="A40" s="406" t="str">
        <f>'Расчет ЦП - общая форма'!C249</f>
        <v xml:space="preserve">ПС 35/10 кВ Мол.Туд </v>
      </c>
      <c r="B40" s="398">
        <f>'Расчет ЦП - общая форма'!D249</f>
        <v>2.5</v>
      </c>
      <c r="C40" s="399"/>
      <c r="D40" s="399"/>
      <c r="E40" s="399"/>
      <c r="F40" s="400"/>
      <c r="G40" s="43"/>
      <c r="H40" s="17"/>
      <c r="I40" s="17"/>
      <c r="J40" s="17"/>
      <c r="K40" s="17"/>
      <c r="L40" s="73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73"/>
    </row>
    <row r="41" spans="1:23" ht="15.75" customHeight="1" thickBot="1" x14ac:dyDescent="0.3">
      <c r="A41" s="405"/>
      <c r="B41" s="394"/>
      <c r="C41" s="395"/>
      <c r="D41" s="395"/>
      <c r="E41" s="395"/>
      <c r="F41" s="396"/>
      <c r="G41" s="1483" t="s">
        <v>1860</v>
      </c>
      <c r="H41" s="1483"/>
      <c r="I41" s="1484"/>
      <c r="J41" s="13">
        <f>SUM(J40:J40)</f>
        <v>0</v>
      </c>
      <c r="K41" s="14">
        <v>0.8</v>
      </c>
      <c r="L41" s="13">
        <f>J41/K41</f>
        <v>0</v>
      </c>
      <c r="M41" s="1482" t="s">
        <v>1861</v>
      </c>
      <c r="N41" s="1484"/>
      <c r="O41" s="13">
        <f>SUM(O40:O40)</f>
        <v>0</v>
      </c>
      <c r="P41" s="14">
        <v>0.8</v>
      </c>
      <c r="Q41" s="13">
        <f>O41/P41</f>
        <v>0</v>
      </c>
      <c r="R41" s="1482" t="s">
        <v>1860</v>
      </c>
      <c r="S41" s="1483"/>
      <c r="T41" s="1484"/>
      <c r="U41" s="13">
        <f>SUM(U40:U40)</f>
        <v>0</v>
      </c>
      <c r="V41" s="14">
        <v>0.8</v>
      </c>
      <c r="W41" s="13">
        <f>U41/V41</f>
        <v>0</v>
      </c>
    </row>
    <row r="42" spans="1:23" x14ac:dyDescent="0.25">
      <c r="A42" s="406" t="str">
        <f>'Расчет ЦП - общая форма'!C250</f>
        <v xml:space="preserve">ПС 35/10 кВ Ильенки </v>
      </c>
      <c r="B42" s="398">
        <f>'Расчет ЦП - общая форма'!D250</f>
        <v>2.5</v>
      </c>
      <c r="C42" s="399"/>
      <c r="D42" s="399"/>
      <c r="E42" s="399"/>
      <c r="F42" s="400"/>
      <c r="G42" s="43"/>
      <c r="H42" s="17"/>
      <c r="I42" s="17"/>
      <c r="J42" s="17"/>
      <c r="K42" s="17"/>
      <c r="L42" s="7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73"/>
    </row>
    <row r="43" spans="1:23" ht="15.75" customHeight="1" thickBot="1" x14ac:dyDescent="0.3">
      <c r="A43" s="405"/>
      <c r="B43" s="394"/>
      <c r="C43" s="395"/>
      <c r="D43" s="395"/>
      <c r="E43" s="395"/>
      <c r="F43" s="396"/>
      <c r="G43" s="1483" t="s">
        <v>1860</v>
      </c>
      <c r="H43" s="1483"/>
      <c r="I43" s="1484"/>
      <c r="J43" s="13">
        <f>SUM(J42:J42)</f>
        <v>0</v>
      </c>
      <c r="K43" s="14">
        <v>0.8</v>
      </c>
      <c r="L43" s="13">
        <f>J43/K43</f>
        <v>0</v>
      </c>
      <c r="M43" s="1482" t="s">
        <v>1861</v>
      </c>
      <c r="N43" s="1484"/>
      <c r="O43" s="13">
        <f>SUM(O42:O42)</f>
        <v>0</v>
      </c>
      <c r="P43" s="14">
        <v>0.8</v>
      </c>
      <c r="Q43" s="13">
        <f>O43/P43</f>
        <v>0</v>
      </c>
      <c r="R43" s="1482" t="s">
        <v>1860</v>
      </c>
      <c r="S43" s="1483"/>
      <c r="T43" s="1484"/>
      <c r="U43" s="13">
        <f>SUM(U42:U42)</f>
        <v>0</v>
      </c>
      <c r="V43" s="14">
        <v>0.8</v>
      </c>
      <c r="W43" s="13">
        <f>U43/V43</f>
        <v>0</v>
      </c>
    </row>
    <row r="44" spans="1:23" x14ac:dyDescent="0.25">
      <c r="A44" s="406" t="str">
        <f>'Расчет ЦП - общая форма'!C251</f>
        <v xml:space="preserve">ПС 35/10 кВ Каденка </v>
      </c>
      <c r="B44" s="398">
        <f>'Расчет ЦП - общая форма'!D251</f>
        <v>1</v>
      </c>
      <c r="C44" s="399"/>
      <c r="D44" s="399"/>
      <c r="E44" s="399"/>
      <c r="F44" s="400"/>
      <c r="G44" s="43"/>
      <c r="H44" s="17"/>
      <c r="I44" s="17"/>
      <c r="J44" s="17"/>
      <c r="K44" s="17"/>
      <c r="L44" s="7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73"/>
    </row>
    <row r="45" spans="1:23" ht="15.75" customHeight="1" thickBot="1" x14ac:dyDescent="0.3">
      <c r="A45" s="405"/>
      <c r="B45" s="394"/>
      <c r="C45" s="395"/>
      <c r="D45" s="395"/>
      <c r="E45" s="395"/>
      <c r="F45" s="396"/>
      <c r="G45" s="1483" t="s">
        <v>1860</v>
      </c>
      <c r="H45" s="1483"/>
      <c r="I45" s="1484"/>
      <c r="J45" s="13">
        <f>SUM(J44:J44)</f>
        <v>0</v>
      </c>
      <c r="K45" s="14">
        <v>0.8</v>
      </c>
      <c r="L45" s="13">
        <f>J45/K45</f>
        <v>0</v>
      </c>
      <c r="M45" s="1482" t="s">
        <v>1861</v>
      </c>
      <c r="N45" s="1484"/>
      <c r="O45" s="13">
        <f>SUM(O44:O44)</f>
        <v>0</v>
      </c>
      <c r="P45" s="14">
        <v>0.8</v>
      </c>
      <c r="Q45" s="13">
        <f>O45/P45</f>
        <v>0</v>
      </c>
      <c r="R45" s="1482" t="s">
        <v>1860</v>
      </c>
      <c r="S45" s="1483"/>
      <c r="T45" s="1484"/>
      <c r="U45" s="13">
        <f>SUM(U44:U44)</f>
        <v>0</v>
      </c>
      <c r="V45" s="14">
        <v>0.8</v>
      </c>
      <c r="W45" s="13">
        <f>U45/V45</f>
        <v>0</v>
      </c>
    </row>
    <row r="46" spans="1:23" x14ac:dyDescent="0.25">
      <c r="A46" s="1683" t="str">
        <f>'Расчет ЦП - общая форма'!C252</f>
        <v xml:space="preserve">ПС 35/10 кВ Родня </v>
      </c>
      <c r="B46" s="1551">
        <f>'Расчет ЦП - общая форма'!D252</f>
        <v>2.5</v>
      </c>
      <c r="C46" s="399"/>
      <c r="D46" s="399"/>
      <c r="E46" s="399"/>
      <c r="F46" s="400"/>
      <c r="G46" s="1570" t="s">
        <v>1987</v>
      </c>
      <c r="H46" s="1570"/>
      <c r="I46" s="1570"/>
      <c r="J46" s="1570"/>
      <c r="K46" s="1570"/>
      <c r="L46" s="1571"/>
      <c r="M46" s="131"/>
      <c r="N46" s="132"/>
      <c r="O46" s="73"/>
      <c r="P46" s="73"/>
      <c r="Q46" s="73"/>
      <c r="R46" s="1569" t="s">
        <v>1987</v>
      </c>
      <c r="S46" s="1570"/>
      <c r="T46" s="1570"/>
      <c r="U46" s="1570"/>
      <c r="V46" s="1570"/>
      <c r="W46" s="1571"/>
    </row>
    <row r="47" spans="1:23" ht="90" x14ac:dyDescent="0.25">
      <c r="A47" s="1540"/>
      <c r="B47" s="1501"/>
      <c r="C47" s="403"/>
      <c r="D47" s="403"/>
      <c r="E47" s="403"/>
      <c r="F47" s="404"/>
      <c r="G47" s="544"/>
      <c r="H47" s="303"/>
      <c r="I47" s="303"/>
      <c r="J47" s="303"/>
      <c r="K47" s="303"/>
      <c r="L47" s="305"/>
      <c r="M47" s="241"/>
      <c r="N47" s="241"/>
      <c r="O47" s="241"/>
      <c r="P47" s="1"/>
      <c r="Q47" s="9"/>
      <c r="R47" s="338" t="s">
        <v>828</v>
      </c>
      <c r="S47" s="338" t="s">
        <v>829</v>
      </c>
      <c r="T47" s="338" t="s">
        <v>2534</v>
      </c>
      <c r="U47" s="338">
        <v>0.19</v>
      </c>
      <c r="V47" s="338"/>
      <c r="W47" s="346"/>
    </row>
    <row r="48" spans="1:23" ht="60" x14ac:dyDescent="0.25">
      <c r="A48" s="401"/>
      <c r="B48" s="402"/>
      <c r="C48" s="403"/>
      <c r="D48" s="403"/>
      <c r="E48" s="403"/>
      <c r="F48" s="404"/>
      <c r="G48" s="104" t="s">
        <v>2025</v>
      </c>
      <c r="H48" s="9" t="s">
        <v>2026</v>
      </c>
      <c r="I48" s="41" t="s">
        <v>2350</v>
      </c>
      <c r="J48" s="9">
        <v>0.15</v>
      </c>
      <c r="K48" s="128"/>
      <c r="L48" s="69"/>
      <c r="M48" s="1"/>
      <c r="N48" s="1"/>
      <c r="O48" s="1"/>
      <c r="P48" s="1"/>
      <c r="Q48" s="128"/>
      <c r="R48" s="51"/>
      <c r="S48" s="51"/>
      <c r="T48" s="310"/>
      <c r="U48" s="51"/>
      <c r="V48" s="69"/>
      <c r="W48" s="69"/>
    </row>
    <row r="49" spans="1:23" ht="15.75" customHeight="1" thickBot="1" x14ac:dyDescent="0.3">
      <c r="A49" s="405"/>
      <c r="B49" s="394"/>
      <c r="C49" s="395"/>
      <c r="D49" s="395"/>
      <c r="E49" s="395"/>
      <c r="F49" s="396"/>
      <c r="G49" s="1483" t="s">
        <v>1860</v>
      </c>
      <c r="H49" s="1483"/>
      <c r="I49" s="1484"/>
      <c r="J49" s="13">
        <f>SUM(0)</f>
        <v>0</v>
      </c>
      <c r="K49" s="14">
        <v>0.8</v>
      </c>
      <c r="L49" s="13">
        <f>J49/K49</f>
        <v>0</v>
      </c>
      <c r="M49" s="1482" t="s">
        <v>1861</v>
      </c>
      <c r="N49" s="1484"/>
      <c r="O49" s="13">
        <f>SUM(O46:O48)</f>
        <v>0</v>
      </c>
      <c r="P49" s="14">
        <v>0.8</v>
      </c>
      <c r="Q49" s="13">
        <f>O49/P49</f>
        <v>0</v>
      </c>
      <c r="R49" s="1482" t="s">
        <v>1860</v>
      </c>
      <c r="S49" s="1483"/>
      <c r="T49" s="1484"/>
      <c r="U49" s="13">
        <f>SUM(U47:U48)</f>
        <v>0.19</v>
      </c>
      <c r="V49" s="14">
        <v>0.8</v>
      </c>
      <c r="W49" s="13">
        <f>U49/V49</f>
        <v>0.23749999999999999</v>
      </c>
    </row>
    <row r="50" spans="1:23" x14ac:dyDescent="0.25">
      <c r="A50" s="406" t="str">
        <f>'Расчет ЦП - общая форма'!C253</f>
        <v xml:space="preserve">ПС 35/10 кВ Берново </v>
      </c>
      <c r="B50" s="398">
        <f>'Расчет ЦП - общая форма'!D253</f>
        <v>1.6</v>
      </c>
      <c r="C50" s="399"/>
      <c r="D50" s="399"/>
      <c r="E50" s="399"/>
      <c r="F50" s="400"/>
      <c r="G50" s="43"/>
      <c r="H50" s="17"/>
      <c r="I50" s="17"/>
      <c r="J50" s="17"/>
      <c r="K50" s="17"/>
      <c r="L50" s="7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73"/>
    </row>
    <row r="51" spans="1:23" ht="15.75" customHeight="1" thickBot="1" x14ac:dyDescent="0.3">
      <c r="A51" s="405"/>
      <c r="B51" s="394"/>
      <c r="C51" s="395"/>
      <c r="D51" s="395"/>
      <c r="E51" s="395"/>
      <c r="F51" s="396"/>
      <c r="G51" s="1483" t="s">
        <v>1860</v>
      </c>
      <c r="H51" s="1483"/>
      <c r="I51" s="1484"/>
      <c r="J51" s="13">
        <f>SUM(J50:J50)</f>
        <v>0</v>
      </c>
      <c r="K51" s="14">
        <v>0.8</v>
      </c>
      <c r="L51" s="13">
        <f>J51/K51</f>
        <v>0</v>
      </c>
      <c r="M51" s="1482" t="s">
        <v>1861</v>
      </c>
      <c r="N51" s="1484"/>
      <c r="O51" s="13">
        <f>SUM(O50:O50)</f>
        <v>0</v>
      </c>
      <c r="P51" s="14">
        <v>0.8</v>
      </c>
      <c r="Q51" s="13">
        <f>O51/P51</f>
        <v>0</v>
      </c>
      <c r="R51" s="1485" t="s">
        <v>1860</v>
      </c>
      <c r="S51" s="1486"/>
      <c r="T51" s="1487"/>
      <c r="U51" s="21">
        <f>SUM(U50:U50)</f>
        <v>0</v>
      </c>
      <c r="V51" s="24">
        <v>0.8</v>
      </c>
      <c r="W51" s="21">
        <f>U51/V51</f>
        <v>0</v>
      </c>
    </row>
    <row r="52" spans="1:23" ht="45" x14ac:dyDescent="0.25">
      <c r="A52" s="406" t="str">
        <f>'Расчет ЦП - общая форма'!C254</f>
        <v xml:space="preserve">ПС 35/10 кВ РМК </v>
      </c>
      <c r="B52" s="398">
        <f>'Расчет ЦП - общая форма'!D254</f>
        <v>10</v>
      </c>
      <c r="C52" s="399" t="str">
        <f>'Расчет ЦП - общая форма'!E254</f>
        <v>+</v>
      </c>
      <c r="D52" s="399">
        <f>'Расчет ЦП - общая форма'!F254</f>
        <v>10</v>
      </c>
      <c r="E52" s="399"/>
      <c r="F52" s="400"/>
      <c r="G52" s="1570">
        <v>2012</v>
      </c>
      <c r="H52" s="1570"/>
      <c r="I52" s="1570"/>
      <c r="J52" s="1570"/>
      <c r="K52" s="1570"/>
      <c r="L52" s="1571"/>
      <c r="M52" s="1" t="s">
        <v>630</v>
      </c>
      <c r="N52" s="1" t="s">
        <v>2103</v>
      </c>
      <c r="O52" s="1">
        <v>7.0000000000000007E-2</v>
      </c>
      <c r="P52" s="17"/>
      <c r="Q52" s="17"/>
      <c r="R52" s="1"/>
      <c r="S52" s="1"/>
      <c r="T52" s="1"/>
      <c r="U52" s="1"/>
      <c r="V52" s="1"/>
      <c r="W52" s="22"/>
    </row>
    <row r="53" spans="1:23" ht="32.25" customHeight="1" x14ac:dyDescent="0.25">
      <c r="A53" s="401"/>
      <c r="B53" s="402"/>
      <c r="C53" s="403"/>
      <c r="D53" s="403"/>
      <c r="E53" s="403"/>
      <c r="F53" s="404"/>
      <c r="G53" s="1518" t="s">
        <v>3481</v>
      </c>
      <c r="H53" s="1519"/>
      <c r="I53" s="1520"/>
      <c r="J53" s="1243">
        <v>0.59</v>
      </c>
      <c r="K53" s="9"/>
      <c r="L53" s="51"/>
      <c r="M53" s="1" t="s">
        <v>772</v>
      </c>
      <c r="N53" s="1" t="s">
        <v>41</v>
      </c>
      <c r="O53" s="1">
        <v>0.4</v>
      </c>
      <c r="P53" s="9"/>
      <c r="Q53" s="9"/>
      <c r="R53" s="1"/>
      <c r="S53" s="1"/>
      <c r="T53" s="1"/>
      <c r="U53" s="1"/>
      <c r="V53" s="1"/>
      <c r="W53" s="22"/>
    </row>
    <row r="54" spans="1:23" ht="45" x14ac:dyDescent="0.25">
      <c r="A54" s="401"/>
      <c r="B54" s="402"/>
      <c r="C54" s="403"/>
      <c r="D54" s="403"/>
      <c r="E54" s="403"/>
      <c r="F54" s="404"/>
      <c r="G54" s="1"/>
      <c r="H54" s="1"/>
      <c r="I54" s="1"/>
      <c r="J54" s="1"/>
      <c r="K54" s="1"/>
      <c r="L54" s="22"/>
      <c r="M54" s="24" t="s">
        <v>1891</v>
      </c>
      <c r="N54" s="24" t="s">
        <v>2086</v>
      </c>
      <c r="O54" s="24">
        <v>2.11</v>
      </c>
      <c r="P54" s="128"/>
      <c r="Q54" s="128"/>
      <c r="R54" s="24"/>
      <c r="S54" s="24"/>
      <c r="T54" s="24"/>
      <c r="U54" s="24"/>
      <c r="V54" s="24"/>
      <c r="W54" s="62"/>
    </row>
    <row r="55" spans="1:23" ht="105" x14ac:dyDescent="0.25">
      <c r="A55" s="614"/>
      <c r="B55" s="615"/>
      <c r="C55" s="616"/>
      <c r="D55" s="616"/>
      <c r="E55" s="616"/>
      <c r="F55" s="613"/>
      <c r="G55" s="1"/>
      <c r="H55" s="1"/>
      <c r="I55" s="1"/>
      <c r="J55" s="1"/>
      <c r="K55" s="1"/>
      <c r="L55" s="22"/>
      <c r="M55" s="1" t="s">
        <v>2546</v>
      </c>
      <c r="N55" s="1" t="s">
        <v>2549</v>
      </c>
      <c r="O55" s="1">
        <f>0.03-0.0135</f>
        <v>1.6500000000000001E-2</v>
      </c>
      <c r="P55" s="1"/>
      <c r="Q55" s="1"/>
      <c r="R55" s="1"/>
      <c r="S55" s="1"/>
      <c r="T55" s="1"/>
      <c r="U55" s="1"/>
      <c r="V55" s="1"/>
      <c r="W55" s="22"/>
    </row>
    <row r="56" spans="1:23" ht="75" x14ac:dyDescent="0.25">
      <c r="A56" s="1142"/>
      <c r="B56" s="1140"/>
      <c r="C56" s="1143"/>
      <c r="D56" s="1143"/>
      <c r="E56" s="1143"/>
      <c r="F56" s="1141"/>
      <c r="G56" s="263"/>
      <c r="H56" s="263"/>
      <c r="I56" s="20"/>
      <c r="J56" s="24"/>
      <c r="K56" s="24"/>
      <c r="L56" s="62"/>
      <c r="M56" s="1" t="s">
        <v>1891</v>
      </c>
      <c r="N56" s="1" t="s">
        <v>3366</v>
      </c>
      <c r="O56" s="1">
        <v>1.1000000000000001</v>
      </c>
      <c r="P56" s="1"/>
      <c r="Q56" s="24"/>
      <c r="R56" s="19"/>
      <c r="S56" s="263"/>
      <c r="T56" s="20"/>
      <c r="U56" s="24"/>
      <c r="V56" s="24"/>
      <c r="W56" s="62"/>
    </row>
    <row r="57" spans="1:23" ht="15.75" customHeight="1" thickBot="1" x14ac:dyDescent="0.3">
      <c r="A57" s="405"/>
      <c r="B57" s="394"/>
      <c r="C57" s="395"/>
      <c r="D57" s="395"/>
      <c r="E57" s="395"/>
      <c r="F57" s="396"/>
      <c r="G57" s="1483" t="s">
        <v>1860</v>
      </c>
      <c r="H57" s="1483"/>
      <c r="I57" s="1484"/>
      <c r="J57" s="13">
        <f>SUM(J52:J53)</f>
        <v>0.59</v>
      </c>
      <c r="K57" s="14">
        <v>0.8</v>
      </c>
      <c r="L57" s="13">
        <f>J57/K57</f>
        <v>0.73749999999999993</v>
      </c>
      <c r="M57" s="1482" t="s">
        <v>1861</v>
      </c>
      <c r="N57" s="1484"/>
      <c r="O57" s="13">
        <f>SUM(O52:O56)</f>
        <v>3.6965000000000003</v>
      </c>
      <c r="P57" s="14">
        <v>0.8</v>
      </c>
      <c r="Q57" s="13">
        <f>O57/P57</f>
        <v>4.6206250000000004</v>
      </c>
      <c r="R57" s="1482" t="s">
        <v>1860</v>
      </c>
      <c r="S57" s="1483"/>
      <c r="T57" s="1484"/>
      <c r="U57" s="13">
        <f>SUM(U52:U53)</f>
        <v>0</v>
      </c>
      <c r="V57" s="14">
        <v>0.8</v>
      </c>
      <c r="W57" s="13">
        <f>U57/V57</f>
        <v>0</v>
      </c>
    </row>
    <row r="58" spans="1:23" x14ac:dyDescent="0.25">
      <c r="A58" s="406" t="str">
        <f>'Расчет ЦП - общая форма'!C255</f>
        <v xml:space="preserve">ПС 35/10 кВ Осуга </v>
      </c>
      <c r="B58" s="398">
        <f>'Расчет ЦП - общая форма'!D255</f>
        <v>2.5</v>
      </c>
      <c r="C58" s="399" t="str">
        <f>'Расчет ЦП - общая форма'!E255</f>
        <v>+</v>
      </c>
      <c r="D58" s="399">
        <f>'Расчет ЦП - общая форма'!F255</f>
        <v>2.5</v>
      </c>
      <c r="E58" s="399"/>
      <c r="F58" s="400"/>
      <c r="G58" s="43"/>
      <c r="H58" s="17"/>
      <c r="I58" s="17"/>
      <c r="J58" s="17"/>
      <c r="K58" s="17"/>
      <c r="L58" s="7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73"/>
    </row>
    <row r="59" spans="1:23" ht="15.75" customHeight="1" thickBot="1" x14ac:dyDescent="0.3">
      <c r="A59" s="405"/>
      <c r="B59" s="394"/>
      <c r="C59" s="395"/>
      <c r="D59" s="395"/>
      <c r="E59" s="395"/>
      <c r="F59" s="396"/>
      <c r="G59" s="1483" t="s">
        <v>1860</v>
      </c>
      <c r="H59" s="1483"/>
      <c r="I59" s="1484"/>
      <c r="J59" s="13">
        <f>SUM(J58:J58)</f>
        <v>0</v>
      </c>
      <c r="K59" s="14">
        <v>0.8</v>
      </c>
      <c r="L59" s="13">
        <f>J59/K59</f>
        <v>0</v>
      </c>
      <c r="M59" s="1482" t="s">
        <v>1861</v>
      </c>
      <c r="N59" s="1484"/>
      <c r="O59" s="13">
        <f>SUM(O58:O58)</f>
        <v>0</v>
      </c>
      <c r="P59" s="14">
        <v>0.8</v>
      </c>
      <c r="Q59" s="13">
        <f>O59/P59</f>
        <v>0</v>
      </c>
      <c r="R59" s="1482" t="s">
        <v>1860</v>
      </c>
      <c r="S59" s="1483"/>
      <c r="T59" s="1484"/>
      <c r="U59" s="13">
        <f>SUM(U58:U58)</f>
        <v>0</v>
      </c>
      <c r="V59" s="14">
        <v>0.8</v>
      </c>
      <c r="W59" s="13">
        <f>U59/V59</f>
        <v>0</v>
      </c>
    </row>
    <row r="60" spans="1:23" x14ac:dyDescent="0.25">
      <c r="A60" s="1683" t="str">
        <f>'Расчет ЦП - общая форма'!C256</f>
        <v xml:space="preserve">ПС 35/10 кВ Мин.Дворы </v>
      </c>
      <c r="B60" s="1551">
        <f>'Расчет ЦП - общая форма'!D256</f>
        <v>2.5</v>
      </c>
      <c r="C60" s="1552" t="str">
        <f>'Расчет ЦП - общая форма'!E256</f>
        <v>+</v>
      </c>
      <c r="D60" s="1552">
        <f>'Расчет ЦП - общая форма'!F256</f>
        <v>3.2</v>
      </c>
      <c r="E60" s="399"/>
      <c r="F60" s="400"/>
      <c r="G60" s="1570" t="s">
        <v>1988</v>
      </c>
      <c r="H60" s="1570"/>
      <c r="I60" s="1570"/>
      <c r="J60" s="1570"/>
      <c r="K60" s="1570"/>
      <c r="L60" s="1571"/>
      <c r="M60" s="131"/>
      <c r="N60" s="132"/>
      <c r="O60" s="73"/>
      <c r="P60" s="73"/>
      <c r="Q60" s="73"/>
      <c r="R60" s="1569" t="s">
        <v>1988</v>
      </c>
      <c r="S60" s="1570"/>
      <c r="T60" s="1570"/>
      <c r="U60" s="1570"/>
      <c r="V60" s="1570"/>
      <c r="W60" s="1571"/>
    </row>
    <row r="61" spans="1:23" ht="78" customHeight="1" x14ac:dyDescent="0.25">
      <c r="A61" s="1540"/>
      <c r="B61" s="1501"/>
      <c r="C61" s="1553"/>
      <c r="D61" s="1553"/>
      <c r="E61" s="632"/>
      <c r="F61" s="628"/>
      <c r="G61" s="41" t="s">
        <v>2104</v>
      </c>
      <c r="H61" s="128" t="s">
        <v>2105</v>
      </c>
      <c r="I61" s="128" t="s">
        <v>2106</v>
      </c>
      <c r="J61" s="128">
        <v>0.7</v>
      </c>
      <c r="K61" s="128"/>
      <c r="L61" s="69"/>
      <c r="M61" s="1264" t="s">
        <v>3518</v>
      </c>
      <c r="N61" s="1264" t="s">
        <v>3519</v>
      </c>
      <c r="O61" s="1">
        <v>1</v>
      </c>
      <c r="P61" s="1"/>
      <c r="Q61" s="9"/>
      <c r="R61" s="9"/>
      <c r="S61" s="9"/>
      <c r="T61" s="9"/>
      <c r="U61" s="9"/>
      <c r="V61" s="9"/>
      <c r="W61" s="51"/>
    </row>
    <row r="62" spans="1:23" ht="19.5" customHeight="1" x14ac:dyDescent="0.25">
      <c r="A62" s="632"/>
      <c r="B62" s="631"/>
      <c r="C62" s="632"/>
      <c r="D62" s="632"/>
      <c r="E62" s="632"/>
      <c r="F62" s="628"/>
      <c r="G62" s="1670" t="s">
        <v>2061</v>
      </c>
      <c r="H62" s="1670"/>
      <c r="I62" s="1670"/>
      <c r="J62" s="1670"/>
      <c r="K62" s="1670"/>
      <c r="L62" s="1670"/>
      <c r="M62" s="1"/>
      <c r="N62" s="1"/>
      <c r="O62" s="1"/>
      <c r="P62" s="1"/>
      <c r="Q62" s="9"/>
      <c r="R62" s="338" t="s">
        <v>2107</v>
      </c>
      <c r="S62" s="338" t="s">
        <v>2108</v>
      </c>
      <c r="T62" s="338" t="s">
        <v>2520</v>
      </c>
      <c r="U62" s="338">
        <v>0.51</v>
      </c>
      <c r="V62" s="338"/>
      <c r="W62" s="346"/>
    </row>
    <row r="63" spans="1:23" ht="90" x14ac:dyDescent="0.25">
      <c r="A63" s="632"/>
      <c r="B63" s="631"/>
      <c r="C63" s="632"/>
      <c r="D63" s="632"/>
      <c r="E63" s="632"/>
      <c r="F63" s="628"/>
      <c r="G63" s="104" t="s">
        <v>49</v>
      </c>
      <c r="H63" s="9" t="s">
        <v>894</v>
      </c>
      <c r="I63" s="41" t="s">
        <v>2386</v>
      </c>
      <c r="J63" s="128">
        <v>9.9000000000000005E-2</v>
      </c>
      <c r="K63" s="128"/>
      <c r="L63" s="69"/>
      <c r="M63" s="1"/>
      <c r="N63" s="1"/>
      <c r="O63" s="1"/>
      <c r="P63" s="1"/>
      <c r="Q63" s="128"/>
      <c r="R63" s="9"/>
      <c r="S63" s="9"/>
      <c r="T63" s="41"/>
      <c r="U63" s="128"/>
      <c r="V63" s="128"/>
      <c r="W63" s="69"/>
    </row>
    <row r="64" spans="1:23" x14ac:dyDescent="0.25">
      <c r="A64" s="1214"/>
      <c r="B64" s="1210"/>
      <c r="C64" s="1214"/>
      <c r="D64" s="1214"/>
      <c r="E64" s="1214"/>
      <c r="F64" s="1211"/>
      <c r="G64" s="1670" t="s">
        <v>3068</v>
      </c>
      <c r="H64" s="1670"/>
      <c r="I64" s="1670"/>
      <c r="J64" s="1670"/>
      <c r="K64" s="1670"/>
      <c r="L64" s="1670"/>
      <c r="M64" s="19"/>
      <c r="N64" s="20"/>
      <c r="O64" s="24"/>
      <c r="P64" s="24"/>
      <c r="Q64" s="128"/>
      <c r="R64" s="585"/>
      <c r="S64" s="40"/>
      <c r="T64" s="41"/>
      <c r="U64" s="128"/>
      <c r="V64" s="128"/>
      <c r="W64" s="69"/>
    </row>
    <row r="65" spans="1:23" ht="37.5" customHeight="1" x14ac:dyDescent="0.25">
      <c r="A65" s="1214"/>
      <c r="B65" s="1210"/>
      <c r="C65" s="1214"/>
      <c r="D65" s="1214"/>
      <c r="E65" s="1214"/>
      <c r="F65" s="1211"/>
      <c r="G65" s="1518" t="s">
        <v>3481</v>
      </c>
      <c r="H65" s="1519"/>
      <c r="I65" s="1520"/>
      <c r="J65" s="1226">
        <v>0.22800000000000001</v>
      </c>
      <c r="K65" s="128"/>
      <c r="L65" s="69"/>
      <c r="M65" s="19"/>
      <c r="N65" s="20"/>
      <c r="O65" s="24"/>
      <c r="P65" s="24"/>
      <c r="Q65" s="128"/>
      <c r="R65" s="585"/>
      <c r="S65" s="40"/>
      <c r="T65" s="41"/>
      <c r="U65" s="128"/>
      <c r="V65" s="128"/>
      <c r="W65" s="69"/>
    </row>
    <row r="66" spans="1:23" ht="15.75" customHeight="1" thickBot="1" x14ac:dyDescent="0.3">
      <c r="A66" s="644"/>
      <c r="B66" s="644"/>
      <c r="C66" s="395"/>
      <c r="D66" s="395"/>
      <c r="E66" s="395"/>
      <c r="F66" s="396"/>
      <c r="G66" s="1483" t="s">
        <v>1860</v>
      </c>
      <c r="H66" s="1483"/>
      <c r="I66" s="1484"/>
      <c r="J66" s="13">
        <f>SUM(J65)</f>
        <v>0.22800000000000001</v>
      </c>
      <c r="K66" s="14">
        <v>0.8</v>
      </c>
      <c r="L66" s="13">
        <f>J66/K66</f>
        <v>0.28499999999999998</v>
      </c>
      <c r="M66" s="1482" t="s">
        <v>1861</v>
      </c>
      <c r="N66" s="1484"/>
      <c r="O66" s="13">
        <f>SUM(O61:O62)</f>
        <v>1</v>
      </c>
      <c r="P66" s="14">
        <v>0.8</v>
      </c>
      <c r="Q66" s="13">
        <f>O66/P66</f>
        <v>1.25</v>
      </c>
      <c r="R66" s="1482" t="s">
        <v>1860</v>
      </c>
      <c r="S66" s="1483"/>
      <c r="T66" s="1484"/>
      <c r="U66" s="13">
        <f>SUM(U61:U63)</f>
        <v>0.51</v>
      </c>
      <c r="V66" s="14">
        <v>0.8</v>
      </c>
      <c r="W66" s="13">
        <f>U66/V66</f>
        <v>0.63749999999999996</v>
      </c>
    </row>
    <row r="67" spans="1:23" x14ac:dyDescent="0.25">
      <c r="A67" s="1551" t="str">
        <f>'Расчет ЦП - общая форма'!C257</f>
        <v xml:space="preserve">ПС 35/10 кВ Клешнево </v>
      </c>
      <c r="B67" s="1551">
        <f>'Расчет ЦП - общая форма'!D257</f>
        <v>4</v>
      </c>
      <c r="C67" s="1552" t="str">
        <f>'Расчет ЦП - общая форма'!E257</f>
        <v>+</v>
      </c>
      <c r="D67" s="1552">
        <f>'Расчет ЦП - общая форма'!F257</f>
        <v>4</v>
      </c>
      <c r="E67" s="399"/>
      <c r="F67" s="400"/>
      <c r="G67" s="1570" t="s">
        <v>1987</v>
      </c>
      <c r="H67" s="1570"/>
      <c r="I67" s="1570"/>
      <c r="J67" s="1570"/>
      <c r="K67" s="1570"/>
      <c r="L67" s="1571"/>
      <c r="M67" s="131"/>
      <c r="N67" s="132"/>
      <c r="O67" s="161"/>
      <c r="P67" s="73"/>
      <c r="Q67" s="73"/>
      <c r="R67" s="1566"/>
      <c r="S67" s="1567"/>
      <c r="T67" s="1567"/>
      <c r="U67" s="1567"/>
      <c r="V67" s="1567"/>
      <c r="W67" s="1568"/>
    </row>
    <row r="68" spans="1:23" ht="30" x14ac:dyDescent="0.25">
      <c r="A68" s="1501"/>
      <c r="B68" s="1501"/>
      <c r="C68" s="1553"/>
      <c r="D68" s="1553"/>
      <c r="E68" s="403"/>
      <c r="F68" s="404"/>
      <c r="G68" s="41" t="s">
        <v>2098</v>
      </c>
      <c r="H68" s="128" t="s">
        <v>2109</v>
      </c>
      <c r="I68" s="128" t="s">
        <v>2110</v>
      </c>
      <c r="J68" s="9">
        <v>0.72</v>
      </c>
      <c r="K68" s="9"/>
      <c r="L68" s="51"/>
      <c r="M68" s="9" t="s">
        <v>2098</v>
      </c>
      <c r="N68" s="9" t="s">
        <v>2109</v>
      </c>
      <c r="O68" s="18">
        <v>0.19</v>
      </c>
      <c r="P68" s="9"/>
      <c r="Q68" s="9"/>
      <c r="R68" s="69"/>
      <c r="S68" s="69"/>
      <c r="T68" s="69"/>
      <c r="U68" s="51"/>
      <c r="V68" s="51"/>
      <c r="W68" s="51"/>
    </row>
    <row r="69" spans="1:23" ht="31.5" customHeight="1" x14ac:dyDescent="0.25">
      <c r="A69" s="401"/>
      <c r="B69" s="402"/>
      <c r="C69" s="403"/>
      <c r="D69" s="403"/>
      <c r="E69" s="403"/>
      <c r="F69" s="404"/>
      <c r="G69" s="20" t="s">
        <v>2098</v>
      </c>
      <c r="H69" s="24" t="s">
        <v>2109</v>
      </c>
      <c r="I69" s="24" t="s">
        <v>2111</v>
      </c>
      <c r="J69" s="128">
        <v>0.69</v>
      </c>
      <c r="K69" s="128"/>
      <c r="L69" s="69"/>
      <c r="M69" s="1" t="s">
        <v>2886</v>
      </c>
      <c r="N69" s="1" t="s">
        <v>2887</v>
      </c>
      <c r="O69" s="1">
        <v>0.55000000000000004</v>
      </c>
      <c r="P69" s="9"/>
      <c r="Q69" s="9"/>
      <c r="R69" s="22"/>
      <c r="S69" s="22"/>
      <c r="T69" s="22"/>
      <c r="U69" s="51"/>
      <c r="V69" s="51"/>
      <c r="W69" s="51"/>
    </row>
    <row r="70" spans="1:23" ht="18" customHeight="1" x14ac:dyDescent="0.25">
      <c r="A70" s="774"/>
      <c r="B70" s="775"/>
      <c r="C70" s="777"/>
      <c r="D70" s="777"/>
      <c r="E70" s="777"/>
      <c r="F70" s="773"/>
      <c r="G70" s="1670" t="s">
        <v>2512</v>
      </c>
      <c r="H70" s="1670"/>
      <c r="I70" s="1670"/>
      <c r="J70" s="1670"/>
      <c r="K70" s="1670"/>
      <c r="L70" s="1670"/>
      <c r="M70" s="1"/>
      <c r="N70" s="1"/>
      <c r="O70" s="1"/>
      <c r="P70" s="1"/>
      <c r="Q70" s="1"/>
      <c r="R70" s="22"/>
      <c r="S70" s="22"/>
      <c r="T70" s="22"/>
      <c r="U70" s="22"/>
      <c r="V70" s="22"/>
      <c r="W70" s="22"/>
    </row>
    <row r="71" spans="1:23" ht="37.5" customHeight="1" x14ac:dyDescent="0.25">
      <c r="A71" s="805"/>
      <c r="B71" s="806"/>
      <c r="C71" s="808"/>
      <c r="D71" s="808"/>
      <c r="E71" s="808"/>
      <c r="F71" s="804"/>
      <c r="G71" s="1" t="s">
        <v>2886</v>
      </c>
      <c r="H71" s="1" t="s">
        <v>2888</v>
      </c>
      <c r="I71" s="20" t="s">
        <v>2974</v>
      </c>
      <c r="J71" s="1">
        <v>0.45</v>
      </c>
      <c r="K71" s="24"/>
      <c r="L71" s="62"/>
      <c r="M71" s="1"/>
      <c r="N71" s="1"/>
      <c r="O71" s="1"/>
      <c r="P71" s="1"/>
      <c r="Q71" s="1"/>
      <c r="R71" s="22"/>
      <c r="S71" s="22"/>
      <c r="T71" s="22"/>
      <c r="U71" s="22"/>
      <c r="V71" s="22"/>
      <c r="W71" s="22"/>
    </row>
    <row r="72" spans="1:23" ht="29.25" customHeight="1" x14ac:dyDescent="0.25">
      <c r="A72" s="805"/>
      <c r="B72" s="806"/>
      <c r="C72" s="808"/>
      <c r="D72" s="808"/>
      <c r="E72" s="808"/>
      <c r="F72" s="804"/>
      <c r="G72" s="19" t="s">
        <v>2886</v>
      </c>
      <c r="H72" s="1" t="s">
        <v>2919</v>
      </c>
      <c r="I72" s="20" t="s">
        <v>2975</v>
      </c>
      <c r="J72" s="24">
        <v>0.55000000000000004</v>
      </c>
      <c r="K72" s="24"/>
      <c r="L72" s="62"/>
      <c r="M72" s="19"/>
      <c r="N72" s="1"/>
      <c r="O72" s="24"/>
      <c r="P72" s="24"/>
      <c r="Q72" s="24"/>
      <c r="R72" s="129"/>
      <c r="S72" s="660"/>
      <c r="T72" s="130"/>
      <c r="U72" s="62"/>
      <c r="V72" s="62"/>
      <c r="W72" s="62"/>
    </row>
    <row r="73" spans="1:23" ht="29.25" customHeight="1" x14ac:dyDescent="0.25">
      <c r="A73" s="834"/>
      <c r="B73" s="835"/>
      <c r="C73" s="836"/>
      <c r="D73" s="836"/>
      <c r="E73" s="836"/>
      <c r="F73" s="833"/>
      <c r="G73" s="1" t="s">
        <v>2886</v>
      </c>
      <c r="H73" s="1" t="s">
        <v>2918</v>
      </c>
      <c r="I73" s="20" t="s">
        <v>2976</v>
      </c>
      <c r="J73" s="24">
        <v>0.5</v>
      </c>
      <c r="K73" s="24"/>
      <c r="L73" s="62"/>
      <c r="M73" s="19"/>
      <c r="N73" s="1"/>
      <c r="O73" s="24"/>
      <c r="P73" s="24"/>
      <c r="Q73" s="24"/>
      <c r="R73" s="129"/>
      <c r="S73" s="660"/>
      <c r="T73" s="130"/>
      <c r="U73" s="62"/>
      <c r="V73" s="62"/>
      <c r="W73" s="62"/>
    </row>
    <row r="74" spans="1:23" ht="29.25" customHeight="1" x14ac:dyDescent="0.25">
      <c r="A74" s="834"/>
      <c r="B74" s="835"/>
      <c r="C74" s="836"/>
      <c r="D74" s="836"/>
      <c r="E74" s="836"/>
      <c r="F74" s="833"/>
      <c r="G74" s="19" t="s">
        <v>2886</v>
      </c>
      <c r="H74" s="1" t="s">
        <v>2922</v>
      </c>
      <c r="I74" s="20" t="s">
        <v>2977</v>
      </c>
      <c r="J74" s="24">
        <v>0.5</v>
      </c>
      <c r="K74" s="24"/>
      <c r="L74" s="62"/>
      <c r="M74" s="19"/>
      <c r="N74" s="1"/>
      <c r="O74" s="24"/>
      <c r="P74" s="24"/>
      <c r="Q74" s="24"/>
      <c r="R74" s="129"/>
      <c r="S74" s="660"/>
      <c r="T74" s="130"/>
      <c r="U74" s="62"/>
      <c r="V74" s="62"/>
      <c r="W74" s="62"/>
    </row>
    <row r="75" spans="1:23" ht="29.25" customHeight="1" x14ac:dyDescent="0.25">
      <c r="A75" s="805"/>
      <c r="B75" s="806"/>
      <c r="C75" s="808"/>
      <c r="D75" s="808"/>
      <c r="E75" s="808"/>
      <c r="F75" s="804"/>
      <c r="G75" s="1"/>
      <c r="H75" s="1"/>
      <c r="I75" s="20"/>
      <c r="J75" s="24"/>
      <c r="K75" s="24"/>
      <c r="L75" s="62"/>
      <c r="M75" s="19"/>
      <c r="N75" s="1"/>
      <c r="O75" s="24"/>
      <c r="P75" s="24"/>
      <c r="Q75" s="24"/>
      <c r="R75" s="129"/>
      <c r="S75" s="660"/>
      <c r="T75" s="130"/>
      <c r="U75" s="62"/>
      <c r="V75" s="62"/>
      <c r="W75" s="62"/>
    </row>
    <row r="76" spans="1:23" ht="15.75" customHeight="1" thickBot="1" x14ac:dyDescent="0.3">
      <c r="A76" s="405"/>
      <c r="B76" s="394"/>
      <c r="C76" s="395"/>
      <c r="D76" s="395"/>
      <c r="E76" s="395"/>
      <c r="F76" s="396"/>
      <c r="G76" s="1483" t="s">
        <v>1860</v>
      </c>
      <c r="H76" s="1483"/>
      <c r="I76" s="1484"/>
      <c r="J76" s="13">
        <f>SUM(J71:J75)</f>
        <v>2</v>
      </c>
      <c r="K76" s="14">
        <v>0.8</v>
      </c>
      <c r="L76" s="13">
        <f>J76/K76</f>
        <v>2.5</v>
      </c>
      <c r="M76" s="1482" t="s">
        <v>1861</v>
      </c>
      <c r="N76" s="1484"/>
      <c r="O76" s="13">
        <f>SUM(O68:O75)</f>
        <v>0.74</v>
      </c>
      <c r="P76" s="14">
        <v>0.8</v>
      </c>
      <c r="Q76" s="13">
        <f>O76/P76</f>
        <v>0.92499999999999993</v>
      </c>
      <c r="R76" s="1482" t="s">
        <v>1860</v>
      </c>
      <c r="S76" s="1483"/>
      <c r="T76" s="1484"/>
      <c r="U76" s="13">
        <f>SUM(U68:U69)</f>
        <v>0</v>
      </c>
      <c r="V76" s="14">
        <v>0.8</v>
      </c>
      <c r="W76" s="13">
        <f>U76/V76</f>
        <v>0</v>
      </c>
    </row>
    <row r="77" spans="1:23" x14ac:dyDescent="0.25">
      <c r="A77" s="1683" t="str">
        <f>'Расчет ЦП - общая форма'!C258</f>
        <v xml:space="preserve">ПС 110/35/10 кВ Зубцов </v>
      </c>
      <c r="B77" s="1551">
        <f>'Расчет ЦП - общая форма'!D258</f>
        <v>25</v>
      </c>
      <c r="C77" s="1552" t="str">
        <f>'Расчет ЦП - общая форма'!E258</f>
        <v>+</v>
      </c>
      <c r="D77" s="1552">
        <f>'Расчет ЦП - общая форма'!F258</f>
        <v>25</v>
      </c>
      <c r="E77" s="399"/>
      <c r="F77" s="400"/>
      <c r="G77" s="1570" t="s">
        <v>1989</v>
      </c>
      <c r="H77" s="1570"/>
      <c r="I77" s="1570"/>
      <c r="J77" s="1570"/>
      <c r="K77" s="1570"/>
      <c r="L77" s="1571"/>
      <c r="M77" s="131"/>
      <c r="N77" s="132"/>
      <c r="O77" s="73"/>
      <c r="P77" s="73"/>
      <c r="Q77" s="73"/>
      <c r="R77" s="1569" t="s">
        <v>1989</v>
      </c>
      <c r="S77" s="1570"/>
      <c r="T77" s="1570"/>
      <c r="U77" s="1570"/>
      <c r="V77" s="1570"/>
      <c r="W77" s="1571"/>
    </row>
    <row r="78" spans="1:23" ht="30" x14ac:dyDescent="0.25">
      <c r="A78" s="1540"/>
      <c r="B78" s="1501"/>
      <c r="C78" s="1553"/>
      <c r="D78" s="1553"/>
      <c r="E78" s="403"/>
      <c r="F78" s="404"/>
      <c r="G78" s="152" t="s">
        <v>2137</v>
      </c>
      <c r="H78" s="1" t="s">
        <v>2138</v>
      </c>
      <c r="I78" s="1" t="s">
        <v>2139</v>
      </c>
      <c r="J78" s="1">
        <v>0.45</v>
      </c>
      <c r="K78" s="1"/>
      <c r="L78" s="22"/>
      <c r="M78" s="1" t="s">
        <v>2140</v>
      </c>
      <c r="N78" s="1" t="s">
        <v>2141</v>
      </c>
      <c r="O78" s="1">
        <v>0.1</v>
      </c>
      <c r="P78" s="1"/>
      <c r="Q78" s="9"/>
      <c r="R78" s="1"/>
      <c r="S78" s="1"/>
      <c r="T78" s="1"/>
      <c r="U78" s="1"/>
      <c r="V78" s="1"/>
      <c r="W78" s="22"/>
    </row>
    <row r="79" spans="1:23" ht="45" x14ac:dyDescent="0.25">
      <c r="A79" s="401"/>
      <c r="B79" s="402"/>
      <c r="C79" s="403"/>
      <c r="D79" s="403"/>
      <c r="E79" s="403"/>
      <c r="F79" s="404"/>
      <c r="G79" s="451" t="s">
        <v>2142</v>
      </c>
      <c r="H79" s="1" t="s">
        <v>2143</v>
      </c>
      <c r="I79" s="1" t="s">
        <v>2144</v>
      </c>
      <c r="J79" s="1">
        <v>0.16</v>
      </c>
      <c r="K79" s="1"/>
      <c r="L79" s="22"/>
      <c r="M79" s="1" t="s">
        <v>2145</v>
      </c>
      <c r="N79" s="1" t="s">
        <v>2146</v>
      </c>
      <c r="O79" s="1">
        <v>0.48</v>
      </c>
      <c r="P79" s="1"/>
      <c r="Q79" s="9"/>
      <c r="R79" s="144"/>
      <c r="S79" s="1"/>
      <c r="T79" s="1"/>
      <c r="U79" s="1"/>
      <c r="V79" s="1"/>
      <c r="W79" s="22"/>
    </row>
    <row r="80" spans="1:23" ht="51.75" customHeight="1" x14ac:dyDescent="0.25">
      <c r="A80" s="401"/>
      <c r="B80" s="402"/>
      <c r="C80" s="403"/>
      <c r="D80" s="403"/>
      <c r="E80" s="403"/>
      <c r="F80" s="404"/>
      <c r="G80" s="451" t="s">
        <v>2147</v>
      </c>
      <c r="H80" s="1" t="s">
        <v>2143</v>
      </c>
      <c r="I80" s="1" t="s">
        <v>2148</v>
      </c>
      <c r="J80" s="1">
        <v>0.24</v>
      </c>
      <c r="K80" s="1"/>
      <c r="L80" s="22"/>
      <c r="M80" s="1" t="s">
        <v>2145</v>
      </c>
      <c r="N80" s="1" t="s">
        <v>2149</v>
      </c>
      <c r="O80" s="1">
        <v>0.48</v>
      </c>
      <c r="P80" s="1"/>
      <c r="Q80" s="9"/>
      <c r="R80" s="144"/>
      <c r="S80" s="1"/>
      <c r="T80" s="1"/>
      <c r="U80" s="1"/>
      <c r="V80" s="1"/>
      <c r="W80" s="22"/>
    </row>
    <row r="81" spans="1:23" ht="30" x14ac:dyDescent="0.25">
      <c r="A81" s="401"/>
      <c r="B81" s="402"/>
      <c r="C81" s="403"/>
      <c r="D81" s="403"/>
      <c r="E81" s="403"/>
      <c r="F81" s="404"/>
      <c r="G81" s="451" t="s">
        <v>2150</v>
      </c>
      <c r="H81" s="1" t="s">
        <v>2151</v>
      </c>
      <c r="I81" s="1" t="s">
        <v>2152</v>
      </c>
      <c r="J81" s="1">
        <v>0.6</v>
      </c>
      <c r="K81" s="1"/>
      <c r="L81" s="22"/>
      <c r="M81" s="1" t="s">
        <v>2145</v>
      </c>
      <c r="N81" s="1" t="s">
        <v>2153</v>
      </c>
      <c r="O81" s="1">
        <v>0.48</v>
      </c>
      <c r="P81" s="1"/>
      <c r="Q81" s="9"/>
      <c r="R81" s="144"/>
      <c r="S81" s="1"/>
      <c r="T81" s="1"/>
      <c r="U81" s="1"/>
      <c r="V81" s="1"/>
      <c r="W81" s="22"/>
    </row>
    <row r="82" spans="1:23" ht="48.75" customHeight="1" x14ac:dyDescent="0.25">
      <c r="A82" s="401"/>
      <c r="B82" s="402"/>
      <c r="C82" s="403"/>
      <c r="D82" s="403"/>
      <c r="E82" s="403"/>
      <c r="F82" s="404"/>
      <c r="G82" s="306"/>
      <c r="H82" s="301"/>
      <c r="I82" s="301"/>
      <c r="J82" s="301"/>
      <c r="K82" s="1"/>
      <c r="L82" s="22"/>
      <c r="M82" s="1" t="s">
        <v>2229</v>
      </c>
      <c r="N82" s="1" t="s">
        <v>2231</v>
      </c>
      <c r="O82" s="1">
        <v>0.12</v>
      </c>
      <c r="P82" s="1"/>
      <c r="Q82" s="9"/>
      <c r="R82" s="345" t="s">
        <v>2154</v>
      </c>
      <c r="S82" s="345" t="s">
        <v>2155</v>
      </c>
      <c r="T82" s="345" t="s">
        <v>2519</v>
      </c>
      <c r="U82" s="345">
        <v>2.4E-2</v>
      </c>
      <c r="V82" s="345"/>
      <c r="W82" s="353"/>
    </row>
    <row r="83" spans="1:23" x14ac:dyDescent="0.25">
      <c r="A83" s="401"/>
      <c r="B83" s="402"/>
      <c r="C83" s="403"/>
      <c r="D83" s="403"/>
      <c r="E83" s="403"/>
      <c r="F83" s="404"/>
      <c r="G83" s="1677" t="s">
        <v>1988</v>
      </c>
      <c r="H83" s="1670"/>
      <c r="I83" s="1670"/>
      <c r="J83" s="1670"/>
      <c r="K83" s="1670"/>
      <c r="L83" s="1670"/>
      <c r="M83" s="1"/>
      <c r="N83" s="1"/>
      <c r="O83" s="1"/>
      <c r="P83" s="1"/>
      <c r="Q83" s="9"/>
      <c r="R83" s="1572"/>
      <c r="S83" s="1572"/>
      <c r="T83" s="1572"/>
      <c r="U83" s="1572"/>
      <c r="V83" s="1572"/>
      <c r="W83" s="1572"/>
    </row>
    <row r="84" spans="1:23" ht="45" x14ac:dyDescent="0.25">
      <c r="A84" s="401"/>
      <c r="B84" s="402"/>
      <c r="C84" s="403"/>
      <c r="D84" s="403"/>
      <c r="E84" s="403"/>
      <c r="F84" s="404"/>
      <c r="G84" s="152" t="s">
        <v>2156</v>
      </c>
      <c r="H84" s="1" t="s">
        <v>1431</v>
      </c>
      <c r="I84" s="1" t="s">
        <v>1432</v>
      </c>
      <c r="J84" s="1">
        <v>2</v>
      </c>
      <c r="K84" s="22"/>
      <c r="L84" s="22"/>
      <c r="M84" s="1"/>
      <c r="N84" s="1"/>
      <c r="O84" s="1"/>
      <c r="P84" s="1"/>
      <c r="Q84" s="9"/>
      <c r="R84" s="22"/>
      <c r="S84" s="22"/>
      <c r="T84" s="22"/>
      <c r="U84" s="22"/>
      <c r="V84" s="22"/>
      <c r="W84" s="22"/>
    </row>
    <row r="85" spans="1:23" ht="45" customHeight="1" x14ac:dyDescent="0.25">
      <c r="A85" s="401"/>
      <c r="B85" s="402"/>
      <c r="C85" s="403"/>
      <c r="D85" s="403"/>
      <c r="E85" s="403"/>
      <c r="F85" s="404"/>
      <c r="G85" s="152" t="s">
        <v>2157</v>
      </c>
      <c r="H85" s="1" t="s">
        <v>2158</v>
      </c>
      <c r="I85" s="1" t="s">
        <v>2159</v>
      </c>
      <c r="J85" s="1">
        <v>0.15</v>
      </c>
      <c r="K85" s="1"/>
      <c r="L85" s="22"/>
      <c r="M85" s="1" t="s">
        <v>1891</v>
      </c>
      <c r="N85" s="1" t="s">
        <v>2160</v>
      </c>
      <c r="O85" s="1">
        <v>0.89500000000000002</v>
      </c>
      <c r="P85" s="1"/>
      <c r="Q85" s="9"/>
      <c r="R85" s="22"/>
      <c r="S85" s="22"/>
      <c r="T85" s="22"/>
      <c r="U85" s="22"/>
      <c r="V85" s="22"/>
      <c r="W85" s="22"/>
    </row>
    <row r="86" spans="1:23" ht="16.5" customHeight="1" x14ac:dyDescent="0.25">
      <c r="A86" s="401"/>
      <c r="B86" s="402"/>
      <c r="C86" s="403"/>
      <c r="D86" s="403"/>
      <c r="E86" s="403"/>
      <c r="F86" s="404"/>
      <c r="G86" s="1677" t="s">
        <v>1987</v>
      </c>
      <c r="H86" s="1670"/>
      <c r="I86" s="1670"/>
      <c r="J86" s="1670"/>
      <c r="K86" s="1670"/>
      <c r="L86" s="1670"/>
      <c r="M86" s="1" t="s">
        <v>2157</v>
      </c>
      <c r="N86" s="1" t="s">
        <v>2158</v>
      </c>
      <c r="O86" s="1">
        <v>0.25</v>
      </c>
      <c r="P86" s="1"/>
      <c r="Q86" s="9"/>
      <c r="R86" s="1572"/>
      <c r="S86" s="1572"/>
      <c r="T86" s="1572"/>
      <c r="U86" s="1572"/>
      <c r="V86" s="1572"/>
      <c r="W86" s="1572"/>
    </row>
    <row r="87" spans="1:23" ht="61.5" customHeight="1" x14ac:dyDescent="0.25">
      <c r="A87" s="401"/>
      <c r="B87" s="402"/>
      <c r="C87" s="403"/>
      <c r="D87" s="403"/>
      <c r="E87" s="403"/>
      <c r="F87" s="404"/>
      <c r="G87" s="152" t="s">
        <v>2161</v>
      </c>
      <c r="H87" s="1" t="s">
        <v>817</v>
      </c>
      <c r="I87" s="1" t="s">
        <v>818</v>
      </c>
      <c r="J87" s="1">
        <v>0.5</v>
      </c>
      <c r="K87" s="1"/>
      <c r="L87" s="22"/>
      <c r="M87" s="142" t="s">
        <v>2561</v>
      </c>
      <c r="N87" s="142" t="s">
        <v>2562</v>
      </c>
      <c r="O87" s="143">
        <v>0.02</v>
      </c>
      <c r="P87" s="1"/>
      <c r="Q87" s="1"/>
      <c r="R87" s="22"/>
      <c r="S87" s="22"/>
      <c r="T87" s="22"/>
      <c r="U87" s="22"/>
      <c r="V87" s="22"/>
      <c r="W87" s="22"/>
    </row>
    <row r="88" spans="1:23" ht="21.75" customHeight="1" x14ac:dyDescent="0.25">
      <c r="A88" s="581"/>
      <c r="B88" s="582"/>
      <c r="C88" s="584"/>
      <c r="D88" s="584"/>
      <c r="E88" s="584"/>
      <c r="F88" s="580"/>
      <c r="G88" s="1677" t="s">
        <v>2061</v>
      </c>
      <c r="H88" s="1670"/>
      <c r="I88" s="1670"/>
      <c r="J88" s="1670"/>
      <c r="K88" s="1670"/>
      <c r="L88" s="1670"/>
      <c r="M88" s="1" t="s">
        <v>2546</v>
      </c>
      <c r="N88" s="1" t="s">
        <v>2624</v>
      </c>
      <c r="O88" s="151">
        <f>0.0195-0.0045</f>
        <v>1.4999999999999999E-2</v>
      </c>
      <c r="P88" s="24"/>
      <c r="Q88" s="24"/>
      <c r="R88" s="22"/>
      <c r="S88" s="22"/>
      <c r="T88" s="22"/>
      <c r="U88" s="62"/>
      <c r="V88" s="62"/>
      <c r="W88" s="62"/>
    </row>
    <row r="89" spans="1:23" ht="97.5" customHeight="1" x14ac:dyDescent="0.25">
      <c r="A89" s="401"/>
      <c r="B89" s="402"/>
      <c r="C89" s="403"/>
      <c r="D89" s="403"/>
      <c r="E89" s="403"/>
      <c r="F89" s="404"/>
      <c r="G89" s="265" t="s">
        <v>2375</v>
      </c>
      <c r="H89" s="142" t="s">
        <v>2411</v>
      </c>
      <c r="I89" s="143" t="s">
        <v>2410</v>
      </c>
      <c r="J89" s="24">
        <v>8.6999999999999994E-2</v>
      </c>
      <c r="K89" s="24"/>
      <c r="L89" s="62"/>
      <c r="M89" s="142" t="s">
        <v>2669</v>
      </c>
      <c r="N89" s="142" t="s">
        <v>2670</v>
      </c>
      <c r="O89" s="143">
        <v>0.11</v>
      </c>
      <c r="P89" s="24"/>
      <c r="Q89" s="24"/>
      <c r="R89" s="142"/>
      <c r="S89" s="142"/>
      <c r="T89" s="142"/>
      <c r="U89" s="62"/>
      <c r="V89" s="62"/>
      <c r="W89" s="62"/>
    </row>
    <row r="90" spans="1:23" ht="97.5" customHeight="1" x14ac:dyDescent="0.25">
      <c r="A90" s="401"/>
      <c r="B90" s="402"/>
      <c r="C90" s="403"/>
      <c r="D90" s="403"/>
      <c r="E90" s="403"/>
      <c r="F90" s="404"/>
      <c r="G90" s="265" t="s">
        <v>2375</v>
      </c>
      <c r="H90" s="142" t="s">
        <v>2412</v>
      </c>
      <c r="I90" s="143" t="s">
        <v>2413</v>
      </c>
      <c r="J90" s="1">
        <v>8.6999999999999994E-2</v>
      </c>
      <c r="K90" s="24"/>
      <c r="L90" s="62"/>
      <c r="M90" s="1" t="s">
        <v>2161</v>
      </c>
      <c r="N90" s="1" t="s">
        <v>2927</v>
      </c>
      <c r="O90" s="8">
        <v>0.70599999999999996</v>
      </c>
      <c r="P90" s="1"/>
      <c r="Q90" s="1"/>
      <c r="R90" s="142"/>
      <c r="S90" s="142"/>
      <c r="T90" s="142"/>
      <c r="U90" s="22"/>
      <c r="V90" s="62"/>
      <c r="W90" s="62"/>
    </row>
    <row r="91" spans="1:23" ht="16.5" customHeight="1" x14ac:dyDescent="0.25">
      <c r="A91" s="730"/>
      <c r="B91" s="731"/>
      <c r="C91" s="732"/>
      <c r="D91" s="732"/>
      <c r="E91" s="732"/>
      <c r="F91" s="729"/>
      <c r="G91" s="1677" t="s">
        <v>2512</v>
      </c>
      <c r="H91" s="1670"/>
      <c r="I91" s="1670"/>
      <c r="J91" s="1670"/>
      <c r="K91" s="1670"/>
      <c r="L91" s="1670"/>
      <c r="M91" s="1"/>
      <c r="N91" s="1"/>
      <c r="O91" s="8"/>
      <c r="P91" s="1"/>
      <c r="Q91" s="1"/>
      <c r="R91" s="142"/>
      <c r="S91" s="142"/>
      <c r="T91" s="142"/>
      <c r="U91" s="22"/>
      <c r="V91" s="22"/>
      <c r="W91" s="22"/>
    </row>
    <row r="92" spans="1:23" ht="38.25" customHeight="1" x14ac:dyDescent="0.25">
      <c r="A92" s="730"/>
      <c r="B92" s="731"/>
      <c r="C92" s="732"/>
      <c r="D92" s="732"/>
      <c r="E92" s="732"/>
      <c r="F92" s="729"/>
      <c r="G92" s="1" t="s">
        <v>2741</v>
      </c>
      <c r="H92" s="1" t="s">
        <v>2742</v>
      </c>
      <c r="I92" s="180" t="s">
        <v>2775</v>
      </c>
      <c r="J92" s="8">
        <v>0.06</v>
      </c>
      <c r="K92" s="24"/>
      <c r="L92" s="62"/>
      <c r="M92" s="1"/>
      <c r="N92" s="1"/>
      <c r="O92" s="8"/>
      <c r="P92" s="1"/>
      <c r="Q92" s="1"/>
      <c r="R92" s="142"/>
      <c r="S92" s="142"/>
      <c r="T92" s="142"/>
      <c r="U92" s="22"/>
      <c r="V92" s="22"/>
      <c r="W92" s="22"/>
    </row>
    <row r="93" spans="1:23" ht="18" customHeight="1" x14ac:dyDescent="0.25">
      <c r="A93" s="1200"/>
      <c r="B93" s="1201"/>
      <c r="C93" s="1203"/>
      <c r="D93" s="1203"/>
      <c r="E93" s="1203"/>
      <c r="F93" s="1202"/>
      <c r="G93" s="1677" t="s">
        <v>3069</v>
      </c>
      <c r="H93" s="1670"/>
      <c r="I93" s="1670"/>
      <c r="J93" s="1670"/>
      <c r="K93" s="1670"/>
      <c r="L93" s="1670"/>
      <c r="M93" s="19"/>
      <c r="N93" s="20"/>
      <c r="O93" s="92"/>
      <c r="P93" s="24"/>
      <c r="Q93" s="24"/>
      <c r="R93" s="147"/>
      <c r="S93" s="363"/>
      <c r="T93" s="176"/>
      <c r="U93" s="62"/>
      <c r="V93" s="62"/>
      <c r="W93" s="62"/>
    </row>
    <row r="94" spans="1:23" ht="38.25" customHeight="1" x14ac:dyDescent="0.25">
      <c r="A94" s="1200"/>
      <c r="B94" s="1201"/>
      <c r="C94" s="1203"/>
      <c r="D94" s="1203"/>
      <c r="E94" s="1203"/>
      <c r="F94" s="1202"/>
      <c r="G94" s="1518" t="s">
        <v>3481</v>
      </c>
      <c r="H94" s="1519"/>
      <c r="I94" s="1520"/>
      <c r="J94" s="1232">
        <v>0.45100000000000001</v>
      </c>
      <c r="K94" s="1225"/>
      <c r="L94" s="1225"/>
      <c r="M94" s="19"/>
      <c r="N94" s="20"/>
      <c r="O94" s="92"/>
      <c r="P94" s="24"/>
      <c r="Q94" s="24"/>
      <c r="R94" s="147"/>
      <c r="S94" s="363"/>
      <c r="T94" s="176"/>
      <c r="U94" s="62"/>
      <c r="V94" s="62"/>
      <c r="W94" s="62"/>
    </row>
    <row r="95" spans="1:23" ht="15.75" customHeight="1" thickBot="1" x14ac:dyDescent="0.3">
      <c r="A95" s="405"/>
      <c r="B95" s="394"/>
      <c r="C95" s="395"/>
      <c r="D95" s="395"/>
      <c r="E95" s="395"/>
      <c r="F95" s="396"/>
      <c r="G95" s="1483" t="s">
        <v>1860</v>
      </c>
      <c r="H95" s="1483"/>
      <c r="I95" s="1484"/>
      <c r="J95" s="13">
        <f>SUM(J92:J94)</f>
        <v>0.51100000000000001</v>
      </c>
      <c r="K95" s="14">
        <v>0.8</v>
      </c>
      <c r="L95" s="13">
        <f>J95/K95</f>
        <v>0.63874999999999993</v>
      </c>
      <c r="M95" s="1482" t="s">
        <v>1861</v>
      </c>
      <c r="N95" s="1484"/>
      <c r="O95" s="13">
        <f>SUM(O78:O90)</f>
        <v>3.6560000000000001</v>
      </c>
      <c r="P95" s="14">
        <v>0.8</v>
      </c>
      <c r="Q95" s="13">
        <f>O95/P95</f>
        <v>4.57</v>
      </c>
      <c r="R95" s="1482" t="s">
        <v>1860</v>
      </c>
      <c r="S95" s="1483"/>
      <c r="T95" s="1484"/>
      <c r="U95" s="13">
        <f>SUM(U82)</f>
        <v>2.4E-2</v>
      </c>
      <c r="V95" s="14">
        <v>0.8</v>
      </c>
      <c r="W95" s="13">
        <f>U95/V95</f>
        <v>0.03</v>
      </c>
    </row>
    <row r="96" spans="1:23" x14ac:dyDescent="0.25">
      <c r="A96" s="1683" t="str">
        <f>'Расчет ЦП - общая форма'!C261</f>
        <v xml:space="preserve">ПС 35/10 кВ П.Городище </v>
      </c>
      <c r="B96" s="1551">
        <f>'Расчет ЦП - общая форма'!D261</f>
        <v>5.6</v>
      </c>
      <c r="C96" s="1552" t="str">
        <f>'Расчет ЦП - общая форма'!E261</f>
        <v>+</v>
      </c>
      <c r="D96" s="1552">
        <f>'Расчет ЦП - общая форма'!F261</f>
        <v>5.6</v>
      </c>
      <c r="E96" s="399"/>
      <c r="F96" s="400"/>
      <c r="G96" s="1570" t="s">
        <v>1987</v>
      </c>
      <c r="H96" s="1570"/>
      <c r="I96" s="1570"/>
      <c r="J96" s="1570"/>
      <c r="K96" s="1570"/>
      <c r="L96" s="1571"/>
      <c r="M96" s="1570" t="s">
        <v>3488</v>
      </c>
      <c r="N96" s="1570"/>
      <c r="O96" s="1570"/>
      <c r="P96" s="1570"/>
      <c r="Q96" s="73"/>
      <c r="R96" s="1566"/>
      <c r="S96" s="1567"/>
      <c r="T96" s="1567"/>
      <c r="U96" s="1567"/>
      <c r="V96" s="1567"/>
      <c r="W96" s="1568"/>
    </row>
    <row r="97" spans="1:23" ht="122.25" customHeight="1" x14ac:dyDescent="0.25">
      <c r="A97" s="1540"/>
      <c r="B97" s="1501"/>
      <c r="C97" s="1553"/>
      <c r="D97" s="1553"/>
      <c r="E97" s="403"/>
      <c r="F97" s="404"/>
      <c r="G97" s="41" t="s">
        <v>819</v>
      </c>
      <c r="H97" s="128" t="s">
        <v>820</v>
      </c>
      <c r="I97" s="128" t="s">
        <v>821</v>
      </c>
      <c r="J97" s="128">
        <v>0.05</v>
      </c>
      <c r="K97" s="128"/>
      <c r="L97" s="69"/>
      <c r="M97" s="1" t="s">
        <v>3489</v>
      </c>
      <c r="N97" s="1" t="s">
        <v>3490</v>
      </c>
      <c r="O97" s="8">
        <v>0.05</v>
      </c>
      <c r="P97" s="1"/>
      <c r="Q97" s="1"/>
      <c r="R97" s="22"/>
      <c r="S97" s="22"/>
      <c r="T97" s="22"/>
      <c r="U97" s="22"/>
      <c r="V97" s="22"/>
      <c r="W97" s="22"/>
    </row>
    <row r="98" spans="1:23" ht="24.75" customHeight="1" x14ac:dyDescent="0.25">
      <c r="A98" s="403"/>
      <c r="B98" s="402"/>
      <c r="C98" s="403"/>
      <c r="D98" s="403"/>
      <c r="E98" s="403"/>
      <c r="F98" s="404"/>
      <c r="G98" s="1670" t="s">
        <v>2061</v>
      </c>
      <c r="H98" s="1670"/>
      <c r="I98" s="1670"/>
      <c r="J98" s="1670"/>
      <c r="K98" s="1670"/>
      <c r="L98" s="1670"/>
      <c r="M98" s="8"/>
      <c r="N98" s="8"/>
      <c r="O98" s="8"/>
      <c r="P98" s="1"/>
      <c r="Q98" s="1"/>
      <c r="R98" s="1572"/>
      <c r="S98" s="1572"/>
      <c r="T98" s="1572"/>
      <c r="U98" s="1572"/>
      <c r="V98" s="1572"/>
      <c r="W98" s="1572"/>
    </row>
    <row r="99" spans="1:23" ht="42.75" customHeight="1" x14ac:dyDescent="0.25">
      <c r="A99" s="403"/>
      <c r="B99" s="402"/>
      <c r="C99" s="403"/>
      <c r="D99" s="403"/>
      <c r="E99" s="403"/>
      <c r="F99" s="404"/>
      <c r="G99" s="104" t="s">
        <v>2055</v>
      </c>
      <c r="H99" s="9" t="s">
        <v>2056</v>
      </c>
      <c r="I99" s="9" t="s">
        <v>2269</v>
      </c>
      <c r="J99" s="1">
        <v>0.05</v>
      </c>
      <c r="K99" s="1"/>
      <c r="L99" s="22"/>
      <c r="M99" s="1"/>
      <c r="N99" s="1"/>
      <c r="O99" s="1"/>
      <c r="P99" s="1"/>
      <c r="Q99" s="1"/>
      <c r="R99" s="22"/>
      <c r="S99" s="22"/>
      <c r="T99" s="22"/>
      <c r="U99" s="22"/>
      <c r="V99" s="22"/>
      <c r="W99" s="22"/>
    </row>
    <row r="100" spans="1:23" ht="51" customHeight="1" x14ac:dyDescent="0.25">
      <c r="A100" s="403"/>
      <c r="B100" s="402"/>
      <c r="C100" s="403"/>
      <c r="D100" s="403"/>
      <c r="E100" s="403"/>
      <c r="F100" s="404"/>
      <c r="G100" s="152" t="s">
        <v>2443</v>
      </c>
      <c r="H100" s="1" t="s">
        <v>2444</v>
      </c>
      <c r="I100" s="41" t="s">
        <v>2491</v>
      </c>
      <c r="J100" s="24">
        <v>0.2</v>
      </c>
      <c r="K100" s="24"/>
      <c r="L100" s="62"/>
      <c r="M100" s="1"/>
      <c r="N100" s="1"/>
      <c r="O100" s="1"/>
      <c r="P100" s="1"/>
      <c r="Q100" s="1"/>
      <c r="R100" s="22"/>
      <c r="S100" s="22"/>
      <c r="T100" s="22"/>
      <c r="U100" s="22"/>
      <c r="V100" s="22"/>
      <c r="W100" s="22"/>
    </row>
    <row r="101" spans="1:23" ht="19.5" customHeight="1" x14ac:dyDescent="0.25">
      <c r="A101" s="1036"/>
      <c r="B101" s="1032"/>
      <c r="C101" s="1036"/>
      <c r="D101" s="1036"/>
      <c r="E101" s="1036"/>
      <c r="F101" s="1033"/>
      <c r="G101" s="1670" t="s">
        <v>3069</v>
      </c>
      <c r="H101" s="1670"/>
      <c r="I101" s="1670"/>
      <c r="J101" s="1670"/>
      <c r="K101" s="1670"/>
      <c r="L101" s="1670"/>
      <c r="M101" s="1"/>
      <c r="N101" s="1"/>
      <c r="O101" s="1"/>
      <c r="P101" s="1"/>
      <c r="Q101" s="1"/>
      <c r="R101" s="22"/>
      <c r="S101" s="22"/>
      <c r="T101" s="22"/>
      <c r="U101" s="22"/>
      <c r="V101" s="22"/>
      <c r="W101" s="22"/>
    </row>
    <row r="102" spans="1:23" ht="51" customHeight="1" x14ac:dyDescent="0.25">
      <c r="A102" s="1036"/>
      <c r="B102" s="1032"/>
      <c r="C102" s="1036"/>
      <c r="D102" s="1036"/>
      <c r="E102" s="1036"/>
      <c r="F102" s="1033"/>
      <c r="G102" s="1" t="s">
        <v>2546</v>
      </c>
      <c r="H102" s="1" t="s">
        <v>2623</v>
      </c>
      <c r="I102" s="41" t="s">
        <v>3139</v>
      </c>
      <c r="J102" s="1">
        <f>0.021-0.0124</f>
        <v>8.6000000000000017E-3</v>
      </c>
      <c r="K102" s="24"/>
      <c r="L102" s="62"/>
      <c r="M102" s="1"/>
      <c r="N102" s="1"/>
      <c r="O102" s="1"/>
      <c r="P102" s="1"/>
      <c r="Q102" s="1"/>
      <c r="R102" s="22"/>
      <c r="S102" s="22"/>
      <c r="T102" s="22"/>
      <c r="U102" s="22"/>
      <c r="V102" s="22"/>
      <c r="W102" s="22"/>
    </row>
    <row r="103" spans="1:23" ht="51" customHeight="1" x14ac:dyDescent="0.25">
      <c r="A103" s="1125"/>
      <c r="B103" s="1123"/>
      <c r="C103" s="1125"/>
      <c r="D103" s="1125"/>
      <c r="E103" s="1125"/>
      <c r="F103" s="1124"/>
      <c r="G103" s="1" t="s">
        <v>3314</v>
      </c>
      <c r="H103" s="1" t="s">
        <v>3315</v>
      </c>
      <c r="I103" s="41" t="s">
        <v>3322</v>
      </c>
      <c r="J103" s="8">
        <v>2.1999999999999999E-2</v>
      </c>
      <c r="K103" s="24"/>
      <c r="L103" s="62"/>
      <c r="M103" s="19"/>
      <c r="N103" s="20"/>
      <c r="O103" s="24"/>
      <c r="P103" s="24"/>
      <c r="Q103" s="24"/>
      <c r="R103" s="129"/>
      <c r="S103" s="660"/>
      <c r="T103" s="130"/>
      <c r="U103" s="62"/>
      <c r="V103" s="62"/>
      <c r="W103" s="62"/>
    </row>
    <row r="104" spans="1:23" ht="51" customHeight="1" x14ac:dyDescent="0.25">
      <c r="A104" s="1214"/>
      <c r="B104" s="1210"/>
      <c r="C104" s="1214"/>
      <c r="D104" s="1214"/>
      <c r="E104" s="1214"/>
      <c r="F104" s="1211"/>
      <c r="G104" s="1674" t="s">
        <v>3481</v>
      </c>
      <c r="H104" s="1675"/>
      <c r="I104" s="1676"/>
      <c r="J104" s="1232">
        <v>0.222</v>
      </c>
      <c r="K104" s="24"/>
      <c r="L104" s="62"/>
      <c r="M104" s="19"/>
      <c r="N104" s="20"/>
      <c r="O104" s="24"/>
      <c r="P104" s="24"/>
      <c r="Q104" s="24"/>
      <c r="R104" s="129"/>
      <c r="S104" s="660"/>
      <c r="T104" s="130"/>
      <c r="U104" s="62"/>
      <c r="V104" s="62"/>
      <c r="W104" s="62"/>
    </row>
    <row r="105" spans="1:23" ht="15.75" customHeight="1" thickBot="1" x14ac:dyDescent="0.3">
      <c r="A105" s="395"/>
      <c r="B105" s="394"/>
      <c r="C105" s="395"/>
      <c r="D105" s="395"/>
      <c r="E105" s="395"/>
      <c r="F105" s="396"/>
      <c r="G105" s="1483" t="s">
        <v>1860</v>
      </c>
      <c r="H105" s="1483"/>
      <c r="I105" s="1484"/>
      <c r="J105" s="13">
        <f>SUM(J102:J104)</f>
        <v>0.25259999999999999</v>
      </c>
      <c r="K105" s="14">
        <v>0.8</v>
      </c>
      <c r="L105" s="13">
        <f>J105/K105</f>
        <v>0.31574999999999998</v>
      </c>
      <c r="M105" s="1482" t="s">
        <v>1861</v>
      </c>
      <c r="N105" s="1484"/>
      <c r="O105" s="13">
        <f>SUM(O97:O99)</f>
        <v>0.05</v>
      </c>
      <c r="P105" s="14">
        <v>0.8</v>
      </c>
      <c r="Q105" s="13">
        <f>O105/P105</f>
        <v>6.25E-2</v>
      </c>
      <c r="R105" s="1482" t="s">
        <v>1860</v>
      </c>
      <c r="S105" s="1483"/>
      <c r="T105" s="1484"/>
      <c r="U105" s="13">
        <f>SUM(U97:U100)</f>
        <v>0</v>
      </c>
      <c r="V105" s="14">
        <v>0.8</v>
      </c>
      <c r="W105" s="13">
        <f>U105/V105</f>
        <v>0</v>
      </c>
    </row>
    <row r="106" spans="1:23" ht="20.25" customHeight="1" x14ac:dyDescent="0.25">
      <c r="A106" s="401" t="str">
        <f>'Расчет ЦП - общая форма'!C262</f>
        <v xml:space="preserve">ПС 35/10 кВ Степурино </v>
      </c>
      <c r="B106" s="402">
        <f>'Расчет ЦП - общая форма'!D262</f>
        <v>4</v>
      </c>
      <c r="C106" s="403" t="str">
        <f>'Расчет ЦП - общая форма'!E262</f>
        <v>+</v>
      </c>
      <c r="D106" s="403">
        <f>'Расчет ЦП - общая форма'!F262</f>
        <v>4</v>
      </c>
      <c r="E106" s="403"/>
      <c r="F106" s="404"/>
      <c r="G106" s="1669" t="s">
        <v>3068</v>
      </c>
      <c r="H106" s="1669"/>
      <c r="I106" s="1669"/>
      <c r="J106" s="1669"/>
      <c r="K106" s="1669"/>
      <c r="L106" s="1669"/>
      <c r="M106" s="4" t="s">
        <v>847</v>
      </c>
      <c r="N106" s="4" t="s">
        <v>848</v>
      </c>
      <c r="O106" s="4">
        <v>0.1</v>
      </c>
      <c r="P106" s="17"/>
      <c r="Q106" s="17"/>
      <c r="R106" s="17"/>
      <c r="S106" s="17"/>
      <c r="T106" s="17"/>
      <c r="U106" s="17"/>
      <c r="V106" s="17"/>
      <c r="W106" s="73"/>
    </row>
    <row r="107" spans="1:23" x14ac:dyDescent="0.25">
      <c r="A107" s="401"/>
      <c r="B107" s="402"/>
      <c r="C107" s="403"/>
      <c r="D107" s="403"/>
      <c r="E107" s="403"/>
      <c r="F107" s="404"/>
      <c r="G107" s="1668" t="s">
        <v>3481</v>
      </c>
      <c r="H107" s="1668"/>
      <c r="I107" s="1668"/>
      <c r="J107" s="1233">
        <v>0.31819999999999998</v>
      </c>
      <c r="K107" s="1"/>
      <c r="L107" s="22"/>
      <c r="M107" s="42" t="s">
        <v>849</v>
      </c>
      <c r="N107" s="42" t="s">
        <v>850</v>
      </c>
      <c r="O107" s="42">
        <v>1.3</v>
      </c>
      <c r="P107" s="9"/>
      <c r="Q107" s="9"/>
      <c r="R107" s="9"/>
      <c r="S107" s="9"/>
      <c r="T107" s="9"/>
      <c r="U107" s="9"/>
      <c r="V107" s="9"/>
      <c r="W107" s="51"/>
    </row>
    <row r="108" spans="1:23" ht="30" x14ac:dyDescent="0.25">
      <c r="A108" s="401"/>
      <c r="B108" s="402"/>
      <c r="C108" s="403"/>
      <c r="D108" s="403"/>
      <c r="E108" s="403"/>
      <c r="F108" s="404"/>
      <c r="G108" s="104"/>
      <c r="H108" s="9"/>
      <c r="I108" s="9"/>
      <c r="J108" s="9"/>
      <c r="K108" s="9"/>
      <c r="L108" s="51"/>
      <c r="M108" s="42" t="s">
        <v>849</v>
      </c>
      <c r="N108" s="42" t="s">
        <v>851</v>
      </c>
      <c r="O108" s="42">
        <v>0.3</v>
      </c>
      <c r="P108" s="9"/>
      <c r="Q108" s="9"/>
      <c r="R108" s="9"/>
      <c r="S108" s="9"/>
      <c r="T108" s="9"/>
      <c r="U108" s="9"/>
      <c r="V108" s="9"/>
      <c r="W108" s="51"/>
    </row>
    <row r="109" spans="1:23" ht="15.75" customHeight="1" thickBot="1" x14ac:dyDescent="0.3">
      <c r="A109" s="405"/>
      <c r="B109" s="394"/>
      <c r="C109" s="395"/>
      <c r="D109" s="395"/>
      <c r="E109" s="395"/>
      <c r="F109" s="396"/>
      <c r="G109" s="1483" t="s">
        <v>1860</v>
      </c>
      <c r="H109" s="1483"/>
      <c r="I109" s="1484"/>
      <c r="J109" s="13">
        <f>SUM(J106:J108)</f>
        <v>0.31819999999999998</v>
      </c>
      <c r="K109" s="14">
        <v>0.8</v>
      </c>
      <c r="L109" s="13">
        <f>J109/K109</f>
        <v>0.39774999999999994</v>
      </c>
      <c r="M109" s="1482" t="s">
        <v>1861</v>
      </c>
      <c r="N109" s="1484"/>
      <c r="O109" s="13">
        <f>SUM(O106:O108)</f>
        <v>1.7000000000000002</v>
      </c>
      <c r="P109" s="14">
        <v>0.8</v>
      </c>
      <c r="Q109" s="13">
        <f>O109/P109</f>
        <v>2.125</v>
      </c>
      <c r="R109" s="1482" t="s">
        <v>1860</v>
      </c>
      <c r="S109" s="1483"/>
      <c r="T109" s="1484"/>
      <c r="U109" s="13">
        <f>SUM(U106:U108)</f>
        <v>0</v>
      </c>
      <c r="V109" s="14">
        <v>0.8</v>
      </c>
      <c r="W109" s="13">
        <f>U109/V109</f>
        <v>0</v>
      </c>
    </row>
    <row r="110" spans="1:23" x14ac:dyDescent="0.25">
      <c r="A110" s="406" t="str">
        <f>'Расчет ЦП - общая форма'!C263</f>
        <v xml:space="preserve">ПС 35/10 кВ Максимово </v>
      </c>
      <c r="B110" s="398">
        <f>'Расчет ЦП - общая форма'!D263</f>
        <v>2.5</v>
      </c>
      <c r="C110" s="399" t="str">
        <f>'Расчет ЦП - общая форма'!E263</f>
        <v>+</v>
      </c>
      <c r="D110" s="399">
        <f>'Расчет ЦП - общая форма'!F263</f>
        <v>2.5</v>
      </c>
      <c r="E110" s="399"/>
      <c r="F110" s="400"/>
      <c r="G110" s="43"/>
      <c r="H110" s="17"/>
      <c r="I110" s="17"/>
      <c r="J110" s="17"/>
      <c r="K110" s="17"/>
      <c r="L110" s="73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73"/>
    </row>
    <row r="111" spans="1:23" ht="15.75" customHeight="1" thickBot="1" x14ac:dyDescent="0.3">
      <c r="A111" s="405"/>
      <c r="B111" s="394"/>
      <c r="C111" s="395"/>
      <c r="D111" s="395"/>
      <c r="E111" s="395"/>
      <c r="F111" s="396"/>
      <c r="G111" s="1483" t="s">
        <v>1860</v>
      </c>
      <c r="H111" s="1483"/>
      <c r="I111" s="1484"/>
      <c r="J111" s="13">
        <f>SUM(J110:J110)</f>
        <v>0</v>
      </c>
      <c r="K111" s="14">
        <v>0.8</v>
      </c>
      <c r="L111" s="13">
        <f>J111/K111</f>
        <v>0</v>
      </c>
      <c r="M111" s="1482" t="s">
        <v>1861</v>
      </c>
      <c r="N111" s="1484"/>
      <c r="O111" s="13">
        <f>SUM(O110:O110)</f>
        <v>0</v>
      </c>
      <c r="P111" s="14">
        <v>0.8</v>
      </c>
      <c r="Q111" s="13">
        <f>O111/P111</f>
        <v>0</v>
      </c>
      <c r="R111" s="1482" t="s">
        <v>1860</v>
      </c>
      <c r="S111" s="1483"/>
      <c r="T111" s="1484"/>
      <c r="U111" s="13">
        <f>SUM(U110:U110)</f>
        <v>0</v>
      </c>
      <c r="V111" s="14">
        <v>0.8</v>
      </c>
      <c r="W111" s="13">
        <f>U111/V111</f>
        <v>0</v>
      </c>
    </row>
    <row r="112" spans="1:23" x14ac:dyDescent="0.25">
      <c r="A112" s="406" t="str">
        <f>'Расчет ЦП - общая форма'!C264</f>
        <v xml:space="preserve">ПС 35/10 кВ Луковниково </v>
      </c>
      <c r="B112" s="398">
        <f>'Расчет ЦП - общая форма'!D264</f>
        <v>4</v>
      </c>
      <c r="C112" s="399" t="str">
        <f>'Расчет ЦП - общая форма'!E264</f>
        <v>+</v>
      </c>
      <c r="D112" s="399">
        <f>'Расчет ЦП - общая форма'!F264</f>
        <v>2.5</v>
      </c>
      <c r="E112" s="399"/>
      <c r="F112" s="400"/>
      <c r="G112" s="43"/>
      <c r="H112" s="17"/>
      <c r="I112" s="17"/>
      <c r="J112" s="17"/>
      <c r="K112" s="17"/>
      <c r="L112" s="73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73"/>
    </row>
    <row r="113" spans="1:23" ht="15.75" customHeight="1" thickBot="1" x14ac:dyDescent="0.3">
      <c r="A113" s="405"/>
      <c r="B113" s="394"/>
      <c r="C113" s="395"/>
      <c r="D113" s="395"/>
      <c r="E113" s="395"/>
      <c r="F113" s="396"/>
      <c r="G113" s="1483" t="s">
        <v>1860</v>
      </c>
      <c r="H113" s="1483"/>
      <c r="I113" s="1484"/>
      <c r="J113" s="13">
        <f>SUM(J112:J112)</f>
        <v>0</v>
      </c>
      <c r="K113" s="14">
        <v>0.8</v>
      </c>
      <c r="L113" s="13">
        <f>J113/K113</f>
        <v>0</v>
      </c>
      <c r="M113" s="1482" t="s">
        <v>1861</v>
      </c>
      <c r="N113" s="1484"/>
      <c r="O113" s="13">
        <f>SUM(O112:O112)</f>
        <v>0</v>
      </c>
      <c r="P113" s="14">
        <v>0.8</v>
      </c>
      <c r="Q113" s="13">
        <f>O113/P113</f>
        <v>0</v>
      </c>
      <c r="R113" s="1485" t="s">
        <v>1860</v>
      </c>
      <c r="S113" s="1486"/>
      <c r="T113" s="1487"/>
      <c r="U113" s="21">
        <f>SUM(U112:U112)</f>
        <v>0</v>
      </c>
      <c r="V113" s="24">
        <v>0.8</v>
      </c>
      <c r="W113" s="21">
        <f>U113/V113</f>
        <v>0</v>
      </c>
    </row>
    <row r="114" spans="1:23" x14ac:dyDescent="0.25">
      <c r="A114" s="1683" t="str">
        <f>'Расчет ЦП - общая форма'!C265</f>
        <v xml:space="preserve">ПС 110/10 кВ НТПФ </v>
      </c>
      <c r="B114" s="1551">
        <f>'Расчет ЦП - общая форма'!D265</f>
        <v>6.3</v>
      </c>
      <c r="C114" s="1552" t="str">
        <f>'Расчет ЦП - общая форма'!E265</f>
        <v>+</v>
      </c>
      <c r="D114" s="1552">
        <f>'Расчет ЦП - общая форма'!F265</f>
        <v>6.3</v>
      </c>
      <c r="E114" s="399"/>
      <c r="F114" s="400"/>
      <c r="G114" s="1570" t="s">
        <v>1989</v>
      </c>
      <c r="H114" s="1570"/>
      <c r="I114" s="1570"/>
      <c r="J114" s="1570"/>
      <c r="K114" s="1570"/>
      <c r="L114" s="1571"/>
      <c r="M114" s="131"/>
      <c r="N114" s="132"/>
      <c r="O114" s="73"/>
      <c r="P114" s="73"/>
      <c r="Q114" s="73"/>
      <c r="R114" s="1572"/>
      <c r="S114" s="1572"/>
      <c r="T114" s="1572"/>
      <c r="U114" s="1572"/>
      <c r="V114" s="1572"/>
      <c r="W114" s="1572"/>
    </row>
    <row r="115" spans="1:23" ht="30" x14ac:dyDescent="0.25">
      <c r="A115" s="1540"/>
      <c r="B115" s="1501"/>
      <c r="C115" s="1553"/>
      <c r="D115" s="1553"/>
      <c r="E115" s="403"/>
      <c r="F115" s="404"/>
      <c r="G115" s="41" t="s">
        <v>2112</v>
      </c>
      <c r="H115" s="128" t="s">
        <v>2113</v>
      </c>
      <c r="I115" s="18" t="s">
        <v>2114</v>
      </c>
      <c r="J115" s="128">
        <v>0.6</v>
      </c>
      <c r="K115" s="128"/>
      <c r="L115" s="69"/>
      <c r="M115" s="241"/>
      <c r="N115" s="241"/>
      <c r="O115" s="241"/>
      <c r="P115" s="1"/>
      <c r="Q115" s="9"/>
      <c r="R115" s="22"/>
      <c r="S115" s="22"/>
      <c r="T115" s="22"/>
      <c r="U115" s="22"/>
      <c r="V115" s="22"/>
      <c r="W115" s="22"/>
    </row>
    <row r="116" spans="1:23" x14ac:dyDescent="0.25">
      <c r="A116" s="401"/>
      <c r="B116" s="402"/>
      <c r="C116" s="403"/>
      <c r="D116" s="403"/>
      <c r="E116" s="403"/>
      <c r="F116" s="404"/>
      <c r="G116" s="1670" t="s">
        <v>1987</v>
      </c>
      <c r="H116" s="1670"/>
      <c r="I116" s="1670"/>
      <c r="J116" s="1670"/>
      <c r="K116" s="1670"/>
      <c r="L116" s="1670"/>
      <c r="M116" s="241"/>
      <c r="N116" s="241"/>
      <c r="O116" s="241"/>
      <c r="P116" s="1"/>
      <c r="Q116" s="1"/>
      <c r="R116" s="1572"/>
      <c r="S116" s="1572"/>
      <c r="T116" s="1572"/>
      <c r="U116" s="1572"/>
      <c r="V116" s="1572"/>
      <c r="W116" s="1572"/>
    </row>
    <row r="117" spans="1:23" ht="45" x14ac:dyDescent="0.25">
      <c r="A117" s="401"/>
      <c r="B117" s="402"/>
      <c r="C117" s="403"/>
      <c r="D117" s="403"/>
      <c r="E117" s="403"/>
      <c r="F117" s="404"/>
      <c r="G117" s="262" t="s">
        <v>2115</v>
      </c>
      <c r="H117" s="42" t="s">
        <v>2116</v>
      </c>
      <c r="I117" s="22" t="s">
        <v>2346</v>
      </c>
      <c r="J117" s="42">
        <v>1.5</v>
      </c>
      <c r="K117" s="128"/>
      <c r="L117" s="69"/>
      <c r="M117" s="241"/>
      <c r="N117" s="241"/>
      <c r="O117" s="241"/>
      <c r="P117" s="1"/>
      <c r="Q117" s="1"/>
      <c r="R117" s="142"/>
      <c r="S117" s="142"/>
      <c r="T117" s="22"/>
      <c r="U117" s="142"/>
      <c r="V117" s="22"/>
      <c r="W117" s="22"/>
    </row>
    <row r="118" spans="1:23" ht="15.75" customHeight="1" thickBot="1" x14ac:dyDescent="0.3">
      <c r="A118" s="405"/>
      <c r="B118" s="394"/>
      <c r="C118" s="395"/>
      <c r="D118" s="395"/>
      <c r="E118" s="395"/>
      <c r="F118" s="396"/>
      <c r="G118" s="1483" t="s">
        <v>1860</v>
      </c>
      <c r="H118" s="1483"/>
      <c r="I118" s="1484"/>
      <c r="J118" s="13">
        <f>SUM(0)</f>
        <v>0</v>
      </c>
      <c r="K118" s="14">
        <v>0.8</v>
      </c>
      <c r="L118" s="13">
        <f>J118/K118</f>
        <v>0</v>
      </c>
      <c r="M118" s="1482" t="s">
        <v>1861</v>
      </c>
      <c r="N118" s="1484"/>
      <c r="O118" s="13">
        <f>SUM(O114:O117)</f>
        <v>0</v>
      </c>
      <c r="P118" s="14">
        <v>0.8</v>
      </c>
      <c r="Q118" s="13">
        <f>O118/P118</f>
        <v>0</v>
      </c>
      <c r="R118" s="1482" t="s">
        <v>1860</v>
      </c>
      <c r="S118" s="1483"/>
      <c r="T118" s="1484"/>
      <c r="U118" s="13">
        <f>SUM(U117)</f>
        <v>0</v>
      </c>
      <c r="V118" s="14">
        <v>0.8</v>
      </c>
      <c r="W118" s="13">
        <f>U118/V118</f>
        <v>0</v>
      </c>
    </row>
    <row r="119" spans="1:23" x14ac:dyDescent="0.25">
      <c r="A119" s="1683" t="str">
        <f>'Расчет ЦП - общая форма'!C266</f>
        <v xml:space="preserve">ПС 110/10 кВ Мостовая </v>
      </c>
      <c r="B119" s="1551">
        <f>'Расчет ЦП - общая форма'!D266</f>
        <v>6.3</v>
      </c>
      <c r="C119" s="1552" t="str">
        <f>'Расчет ЦП - общая форма'!E266</f>
        <v>+</v>
      </c>
      <c r="D119" s="1552">
        <f>'Расчет ЦП - общая форма'!F266</f>
        <v>6.3</v>
      </c>
      <c r="E119" s="1552"/>
      <c r="F119" s="400"/>
      <c r="G119" s="1570" t="s">
        <v>1989</v>
      </c>
      <c r="H119" s="1570"/>
      <c r="I119" s="1570"/>
      <c r="J119" s="1570"/>
      <c r="K119" s="1570"/>
      <c r="L119" s="1571"/>
      <c r="M119" s="131"/>
      <c r="N119" s="132"/>
      <c r="O119" s="73"/>
      <c r="P119" s="73"/>
      <c r="Q119" s="73"/>
      <c r="R119" s="1566"/>
      <c r="S119" s="1567"/>
      <c r="T119" s="1567"/>
      <c r="U119" s="1567"/>
      <c r="V119" s="1567"/>
      <c r="W119" s="1568"/>
    </row>
    <row r="120" spans="1:23" ht="48.75" customHeight="1" x14ac:dyDescent="0.25">
      <c r="A120" s="1540"/>
      <c r="B120" s="1501"/>
      <c r="C120" s="1553"/>
      <c r="D120" s="1553"/>
      <c r="E120" s="1553"/>
      <c r="F120" s="404"/>
      <c r="G120" s="41" t="s">
        <v>822</v>
      </c>
      <c r="H120" s="24" t="s">
        <v>823</v>
      </c>
      <c r="I120" s="24" t="s">
        <v>824</v>
      </c>
      <c r="J120" s="24">
        <v>0.25</v>
      </c>
      <c r="K120" s="128"/>
      <c r="L120" s="69"/>
      <c r="M120" s="1" t="s">
        <v>2469</v>
      </c>
      <c r="N120" s="1" t="s">
        <v>2625</v>
      </c>
      <c r="O120" s="1">
        <v>2.5000000000000001E-2</v>
      </c>
      <c r="P120" s="9"/>
      <c r="Q120" s="9"/>
      <c r="R120" s="69"/>
      <c r="S120" s="62"/>
      <c r="T120" s="62"/>
      <c r="U120" s="62"/>
      <c r="V120" s="69"/>
      <c r="W120" s="69"/>
    </row>
    <row r="121" spans="1:23" x14ac:dyDescent="0.25">
      <c r="A121" s="401"/>
      <c r="B121" s="402"/>
      <c r="C121" s="403"/>
      <c r="D121" s="403"/>
      <c r="E121" s="403"/>
      <c r="F121" s="404"/>
      <c r="G121" s="1684" t="s">
        <v>1988</v>
      </c>
      <c r="H121" s="1684"/>
      <c r="I121" s="1684"/>
      <c r="J121" s="1684"/>
      <c r="K121" s="1684"/>
      <c r="L121" s="1677"/>
      <c r="M121" s="9"/>
      <c r="N121" s="9"/>
      <c r="O121" s="9"/>
      <c r="P121" s="9"/>
      <c r="Q121" s="9"/>
      <c r="R121" s="1678"/>
      <c r="S121" s="1562"/>
      <c r="T121" s="1562"/>
      <c r="U121" s="1562"/>
      <c r="V121" s="1562"/>
      <c r="W121" s="1563"/>
    </row>
    <row r="122" spans="1:23" ht="60" customHeight="1" x14ac:dyDescent="0.25">
      <c r="A122" s="401"/>
      <c r="B122" s="402"/>
      <c r="C122" s="403"/>
      <c r="D122" s="403"/>
      <c r="E122" s="403"/>
      <c r="F122" s="404"/>
      <c r="G122" s="152" t="s">
        <v>825</v>
      </c>
      <c r="H122" s="9" t="s">
        <v>826</v>
      </c>
      <c r="I122" s="9" t="s">
        <v>827</v>
      </c>
      <c r="J122" s="9">
        <v>0.1</v>
      </c>
      <c r="K122" s="1"/>
      <c r="L122" s="22"/>
      <c r="M122" s="1"/>
      <c r="N122" s="1"/>
      <c r="O122" s="1"/>
      <c r="P122" s="1"/>
      <c r="Q122" s="1"/>
      <c r="R122" s="22"/>
      <c r="S122" s="51"/>
      <c r="T122" s="51"/>
      <c r="U122" s="51"/>
      <c r="V122" s="22"/>
      <c r="W122" s="22"/>
    </row>
    <row r="123" spans="1:23" ht="19.5" customHeight="1" x14ac:dyDescent="0.25">
      <c r="A123" s="834"/>
      <c r="B123" s="835"/>
      <c r="C123" s="836"/>
      <c r="D123" s="836"/>
      <c r="E123" s="836"/>
      <c r="F123" s="833"/>
      <c r="G123" s="1684" t="s">
        <v>2512</v>
      </c>
      <c r="H123" s="1684"/>
      <c r="I123" s="1684"/>
      <c r="J123" s="1684"/>
      <c r="K123" s="1684"/>
      <c r="L123" s="1677"/>
      <c r="M123" s="19"/>
      <c r="N123" s="20"/>
      <c r="O123" s="24"/>
      <c r="P123" s="24"/>
      <c r="Q123" s="24"/>
      <c r="R123" s="129"/>
      <c r="S123" s="71"/>
      <c r="T123" s="310"/>
      <c r="U123" s="69"/>
      <c r="V123" s="62"/>
      <c r="W123" s="62"/>
    </row>
    <row r="124" spans="1:23" ht="36" customHeight="1" x14ac:dyDescent="0.25">
      <c r="A124" s="834"/>
      <c r="B124" s="835"/>
      <c r="C124" s="836"/>
      <c r="D124" s="836"/>
      <c r="E124" s="836"/>
      <c r="F124" s="833"/>
      <c r="G124" s="1" t="s">
        <v>2920</v>
      </c>
      <c r="H124" s="1" t="s">
        <v>2921</v>
      </c>
      <c r="I124" s="1" t="s">
        <v>2970</v>
      </c>
      <c r="J124" s="1">
        <v>1.9E-2</v>
      </c>
      <c r="K124" s="1"/>
      <c r="L124" s="22"/>
      <c r="M124" s="19"/>
      <c r="N124" s="20"/>
      <c r="O124" s="24"/>
      <c r="P124" s="24"/>
      <c r="Q124" s="24"/>
      <c r="R124" s="129"/>
      <c r="S124" s="71"/>
      <c r="T124" s="310"/>
      <c r="U124" s="69"/>
      <c r="V124" s="62"/>
      <c r="W124" s="62"/>
    </row>
    <row r="125" spans="1:23" ht="15.75" customHeight="1" thickBot="1" x14ac:dyDescent="0.3">
      <c r="A125" s="405"/>
      <c r="B125" s="394"/>
      <c r="C125" s="395"/>
      <c r="D125" s="395"/>
      <c r="E125" s="395"/>
      <c r="F125" s="396"/>
      <c r="G125" s="1483" t="s">
        <v>1860</v>
      </c>
      <c r="H125" s="1483"/>
      <c r="I125" s="1484"/>
      <c r="J125" s="13">
        <f>SUM(J124)</f>
        <v>1.9E-2</v>
      </c>
      <c r="K125" s="14">
        <v>0.8</v>
      </c>
      <c r="L125" s="13">
        <f>J125/K125</f>
        <v>2.3749999999999997E-2</v>
      </c>
      <c r="M125" s="1482" t="s">
        <v>1861</v>
      </c>
      <c r="N125" s="1484"/>
      <c r="O125" s="13">
        <f>SUM(O120:O122)</f>
        <v>2.5000000000000001E-2</v>
      </c>
      <c r="P125" s="14">
        <v>0.8</v>
      </c>
      <c r="Q125" s="13">
        <f>O125/P125</f>
        <v>3.125E-2</v>
      </c>
      <c r="R125" s="1485" t="s">
        <v>1860</v>
      </c>
      <c r="S125" s="1486"/>
      <c r="T125" s="1487"/>
      <c r="U125" s="21">
        <f>SUM(U122:U122)</f>
        <v>0</v>
      </c>
      <c r="V125" s="24">
        <v>0.8</v>
      </c>
      <c r="W125" s="21">
        <f>U125/V125</f>
        <v>0</v>
      </c>
    </row>
    <row r="126" spans="1:23" x14ac:dyDescent="0.25">
      <c r="A126" s="1683" t="str">
        <f>'Расчет ЦП - общая форма'!C267</f>
        <v xml:space="preserve">ПС 110/35/10кВ Ржев </v>
      </c>
      <c r="B126" s="1551">
        <f>'Расчет ЦП - общая форма'!D267</f>
        <v>40.5</v>
      </c>
      <c r="C126" s="1552" t="str">
        <f>'Расчет ЦП - общая форма'!E267</f>
        <v>+</v>
      </c>
      <c r="D126" s="1552">
        <f>'Расчет ЦП - общая форма'!F267</f>
        <v>40</v>
      </c>
      <c r="E126" s="399"/>
      <c r="F126" s="400"/>
      <c r="G126" s="1570" t="s">
        <v>1988</v>
      </c>
      <c r="H126" s="1570"/>
      <c r="I126" s="1570"/>
      <c r="J126" s="1570"/>
      <c r="K126" s="1570"/>
      <c r="L126" s="1571"/>
      <c r="M126" s="131"/>
      <c r="N126" s="132"/>
      <c r="O126" s="73"/>
      <c r="P126" s="73"/>
      <c r="Q126" s="73"/>
      <c r="R126" s="1572"/>
      <c r="S126" s="1572"/>
      <c r="T126" s="1572"/>
      <c r="U126" s="1572"/>
      <c r="V126" s="1572"/>
      <c r="W126" s="1572"/>
    </row>
    <row r="127" spans="1:23" ht="105" x14ac:dyDescent="0.25">
      <c r="A127" s="1540"/>
      <c r="B127" s="1501"/>
      <c r="C127" s="1553"/>
      <c r="D127" s="1553"/>
      <c r="E127" s="403"/>
      <c r="F127" s="404"/>
      <c r="G127" s="41" t="s">
        <v>2098</v>
      </c>
      <c r="H127" s="128" t="s">
        <v>2099</v>
      </c>
      <c r="I127" s="128" t="s">
        <v>2100</v>
      </c>
      <c r="J127" s="128">
        <v>0.1</v>
      </c>
      <c r="K127" s="128"/>
      <c r="L127" s="69"/>
      <c r="M127" s="659" t="s">
        <v>2101</v>
      </c>
      <c r="N127" s="659" t="s">
        <v>2102</v>
      </c>
      <c r="O127" s="9">
        <v>0.02</v>
      </c>
      <c r="P127" s="9"/>
      <c r="Q127" s="9"/>
      <c r="R127" s="22"/>
      <c r="S127" s="22"/>
      <c r="T127" s="22"/>
      <c r="U127" s="22"/>
      <c r="V127" s="22"/>
      <c r="W127" s="22"/>
    </row>
    <row r="128" spans="1:23" x14ac:dyDescent="0.25">
      <c r="A128" s="401"/>
      <c r="B128" s="402"/>
      <c r="C128" s="403"/>
      <c r="D128" s="403"/>
      <c r="E128" s="403"/>
      <c r="F128" s="404"/>
      <c r="G128" s="1670" t="s">
        <v>1987</v>
      </c>
      <c r="H128" s="1670"/>
      <c r="I128" s="1670"/>
      <c r="J128" s="1670"/>
      <c r="K128" s="1670"/>
      <c r="L128" s="1670"/>
      <c r="M128" s="163"/>
      <c r="N128" s="163"/>
      <c r="O128" s="9"/>
      <c r="P128" s="9"/>
      <c r="Q128" s="9"/>
      <c r="R128" s="1572"/>
      <c r="S128" s="1572"/>
      <c r="T128" s="1572"/>
      <c r="U128" s="1572"/>
      <c r="V128" s="1572"/>
      <c r="W128" s="1572"/>
    </row>
    <row r="129" spans="1:23" s="114" customFormat="1" ht="89.25" x14ac:dyDescent="0.25">
      <c r="A129" s="548"/>
      <c r="B129" s="549"/>
      <c r="C129" s="550"/>
      <c r="D129" s="550"/>
      <c r="E129" s="550"/>
      <c r="F129" s="551"/>
      <c r="G129" s="545" t="s">
        <v>1435</v>
      </c>
      <c r="H129" s="112" t="s">
        <v>1436</v>
      </c>
      <c r="I129" s="211" t="s">
        <v>2331</v>
      </c>
      <c r="J129" s="10">
        <v>9.9000000000000005E-2</v>
      </c>
      <c r="K129" s="10"/>
      <c r="L129" s="78"/>
      <c r="M129" s="11" t="s">
        <v>3123</v>
      </c>
      <c r="N129" s="11" t="s">
        <v>3124</v>
      </c>
      <c r="O129" s="11">
        <v>1</v>
      </c>
      <c r="P129" s="10"/>
      <c r="Q129" s="10"/>
      <c r="R129" s="354"/>
      <c r="S129" s="354"/>
      <c r="T129" s="348"/>
      <c r="U129" s="35"/>
      <c r="V129" s="35"/>
      <c r="W129" s="35"/>
    </row>
    <row r="130" spans="1:23" s="114" customFormat="1" x14ac:dyDescent="0.25">
      <c r="A130" s="548"/>
      <c r="B130" s="549"/>
      <c r="C130" s="550"/>
      <c r="D130" s="550"/>
      <c r="E130" s="550"/>
      <c r="F130" s="551"/>
      <c r="G130" s="1670" t="s">
        <v>2061</v>
      </c>
      <c r="H130" s="1670"/>
      <c r="I130" s="1670"/>
      <c r="J130" s="1670"/>
      <c r="K130" s="1670"/>
      <c r="L130" s="1670"/>
      <c r="M130" s="11"/>
      <c r="N130" s="11"/>
      <c r="O130" s="11"/>
      <c r="P130" s="10"/>
      <c r="Q130" s="39"/>
      <c r="R130" s="354"/>
      <c r="S130" s="354"/>
      <c r="T130" s="348"/>
      <c r="U130" s="35"/>
      <c r="V130" s="35"/>
      <c r="W130" s="35"/>
    </row>
    <row r="131" spans="1:23" s="114" customFormat="1" ht="85.5" customHeight="1" x14ac:dyDescent="0.25">
      <c r="A131" s="548"/>
      <c r="B131" s="549"/>
      <c r="C131" s="550"/>
      <c r="D131" s="550"/>
      <c r="E131" s="550"/>
      <c r="F131" s="551"/>
      <c r="G131" s="266" t="s">
        <v>2417</v>
      </c>
      <c r="H131" s="11" t="s">
        <v>2418</v>
      </c>
      <c r="I131" s="211" t="s">
        <v>2419</v>
      </c>
      <c r="J131" s="11">
        <v>0.04</v>
      </c>
      <c r="K131" s="11"/>
      <c r="L131" s="35"/>
      <c r="M131" s="11"/>
      <c r="N131" s="11"/>
      <c r="O131" s="11"/>
      <c r="P131" s="11"/>
      <c r="Q131" s="39"/>
      <c r="R131" s="35"/>
      <c r="S131" s="35"/>
      <c r="T131" s="348"/>
      <c r="U131" s="35"/>
      <c r="V131" s="35"/>
      <c r="W131" s="35"/>
    </row>
    <row r="132" spans="1:23" s="114" customFormat="1" ht="15" customHeight="1" x14ac:dyDescent="0.25">
      <c r="A132" s="548"/>
      <c r="B132" s="549"/>
      <c r="C132" s="550"/>
      <c r="D132" s="550"/>
      <c r="E132" s="550"/>
      <c r="F132" s="551"/>
      <c r="G132" s="1670" t="s">
        <v>3068</v>
      </c>
      <c r="H132" s="1670"/>
      <c r="I132" s="1670"/>
      <c r="J132" s="1670"/>
      <c r="K132" s="1670"/>
      <c r="L132" s="1670"/>
      <c r="M132" s="889"/>
      <c r="N132" s="890"/>
      <c r="O132" s="34"/>
      <c r="P132" s="34"/>
      <c r="Q132" s="39"/>
      <c r="R132" s="1051"/>
      <c r="S132" s="1052"/>
      <c r="T132" s="1242"/>
      <c r="U132" s="742"/>
      <c r="V132" s="742"/>
      <c r="W132" s="742"/>
    </row>
    <row r="133" spans="1:23" s="114" customFormat="1" ht="20.25" customHeight="1" x14ac:dyDescent="0.25">
      <c r="A133" s="548"/>
      <c r="B133" s="549"/>
      <c r="C133" s="550"/>
      <c r="D133" s="550"/>
      <c r="E133" s="550"/>
      <c r="F133" s="551"/>
      <c r="G133" s="1671" t="s">
        <v>3481</v>
      </c>
      <c r="H133" s="1672"/>
      <c r="I133" s="1673"/>
      <c r="J133" s="1227">
        <v>0.20300000000000001</v>
      </c>
      <c r="K133" s="1227"/>
      <c r="L133" s="1227"/>
      <c r="M133" s="889"/>
      <c r="N133" s="890"/>
      <c r="O133" s="34"/>
      <c r="P133" s="34"/>
      <c r="Q133" s="39"/>
      <c r="R133" s="1051"/>
      <c r="S133" s="1052"/>
      <c r="T133" s="1242"/>
      <c r="U133" s="742"/>
      <c r="V133" s="742"/>
      <c r="W133" s="742"/>
    </row>
    <row r="134" spans="1:23" ht="15.75" customHeight="1" thickBot="1" x14ac:dyDescent="0.3">
      <c r="A134" s="405"/>
      <c r="B134" s="394"/>
      <c r="C134" s="395"/>
      <c r="D134" s="395"/>
      <c r="E134" s="395"/>
      <c r="F134" s="396"/>
      <c r="G134" s="1483" t="s">
        <v>1860</v>
      </c>
      <c r="H134" s="1483"/>
      <c r="I134" s="1484"/>
      <c r="J134" s="13">
        <f>SUM(J133)</f>
        <v>0.20300000000000001</v>
      </c>
      <c r="K134" s="14">
        <v>0.8</v>
      </c>
      <c r="L134" s="13">
        <f>J134/K134</f>
        <v>0.25374999999999998</v>
      </c>
      <c r="M134" s="1482" t="s">
        <v>1861</v>
      </c>
      <c r="N134" s="1484"/>
      <c r="O134" s="13">
        <f>SUM(O127:O129)</f>
        <v>1.02</v>
      </c>
      <c r="P134" s="14">
        <v>0.8</v>
      </c>
      <c r="Q134" s="13">
        <f>O134/P134</f>
        <v>1.2749999999999999</v>
      </c>
      <c r="R134" s="1485" t="s">
        <v>1860</v>
      </c>
      <c r="S134" s="1486"/>
      <c r="T134" s="1487"/>
      <c r="U134" s="21">
        <f>SUM(U127:U131)</f>
        <v>0</v>
      </c>
      <c r="V134" s="24">
        <v>0.8</v>
      </c>
      <c r="W134" s="21">
        <f>U134/V134</f>
        <v>0</v>
      </c>
    </row>
    <row r="135" spans="1:23" x14ac:dyDescent="0.25">
      <c r="A135" s="1683" t="str">
        <f>'Расчет ЦП - общая форма'!C270</f>
        <v>ПС  110/35/10 кВ Чертолино</v>
      </c>
      <c r="B135" s="1551">
        <f>'Расчет ЦП - общая форма'!D270</f>
        <v>5.6</v>
      </c>
      <c r="C135" s="1552" t="str">
        <f>'Расчет ЦП - общая форма'!E270</f>
        <v>+</v>
      </c>
      <c r="D135" s="1552">
        <f>'Расчет ЦП - общая форма'!F270</f>
        <v>6.3</v>
      </c>
      <c r="E135" s="399"/>
      <c r="F135" s="400"/>
      <c r="G135" s="1686" t="s">
        <v>1987</v>
      </c>
      <c r="H135" s="1686"/>
      <c r="I135" s="1686"/>
      <c r="J135" s="1686"/>
      <c r="K135" s="1686"/>
      <c r="L135" s="1687"/>
      <c r="M135" s="51"/>
      <c r="N135" s="51"/>
      <c r="O135" s="51"/>
      <c r="P135" s="51"/>
      <c r="Q135" s="51"/>
      <c r="R135" s="1572"/>
      <c r="S135" s="1572"/>
      <c r="T135" s="1572"/>
      <c r="U135" s="1572"/>
      <c r="V135" s="1572"/>
      <c r="W135" s="1572"/>
    </row>
    <row r="136" spans="1:23" ht="120" x14ac:dyDescent="0.25">
      <c r="A136" s="1540"/>
      <c r="B136" s="1501"/>
      <c r="C136" s="1553"/>
      <c r="D136" s="1553"/>
      <c r="E136" s="403"/>
      <c r="F136" s="404"/>
      <c r="G136" s="41" t="s">
        <v>2117</v>
      </c>
      <c r="H136" s="128" t="s">
        <v>2118</v>
      </c>
      <c r="I136" s="128" t="s">
        <v>2040</v>
      </c>
      <c r="J136" s="128">
        <v>0.01</v>
      </c>
      <c r="K136" s="128"/>
      <c r="L136" s="69"/>
      <c r="M136" s="22" t="s">
        <v>2925</v>
      </c>
      <c r="N136" s="22" t="s">
        <v>2926</v>
      </c>
      <c r="O136" s="145">
        <f>0.3-0.015</f>
        <v>0.28499999999999998</v>
      </c>
      <c r="P136" s="22"/>
      <c r="Q136" s="22"/>
      <c r="R136" s="22"/>
      <c r="S136" s="22"/>
      <c r="T136" s="22"/>
      <c r="U136" s="22"/>
      <c r="V136" s="22"/>
      <c r="W136" s="22"/>
    </row>
    <row r="137" spans="1:23" x14ac:dyDescent="0.25">
      <c r="A137" s="401"/>
      <c r="B137" s="402"/>
      <c r="C137" s="403"/>
      <c r="D137" s="403"/>
      <c r="E137" s="403"/>
      <c r="F137" s="404"/>
      <c r="G137" s="1670" t="s">
        <v>2061</v>
      </c>
      <c r="H137" s="1670"/>
      <c r="I137" s="1670"/>
      <c r="J137" s="1670"/>
      <c r="K137" s="1670"/>
      <c r="L137" s="1670"/>
      <c r="M137" s="145"/>
      <c r="N137" s="145"/>
      <c r="O137" s="145"/>
      <c r="P137" s="22"/>
      <c r="Q137" s="22"/>
      <c r="R137" s="1572"/>
      <c r="S137" s="1572"/>
      <c r="T137" s="1572"/>
      <c r="U137" s="1572"/>
      <c r="V137" s="1572"/>
      <c r="W137" s="1572"/>
    </row>
    <row r="138" spans="1:23" ht="51" x14ac:dyDescent="0.25">
      <c r="A138" s="401"/>
      <c r="B138" s="402"/>
      <c r="C138" s="403"/>
      <c r="D138" s="403"/>
      <c r="E138" s="403"/>
      <c r="F138" s="404"/>
      <c r="G138" s="546" t="s">
        <v>1433</v>
      </c>
      <c r="H138" s="115" t="s">
        <v>1434</v>
      </c>
      <c r="I138" s="114" t="s">
        <v>2257</v>
      </c>
      <c r="J138" s="1">
        <v>0.09</v>
      </c>
      <c r="K138" s="1"/>
      <c r="L138" s="22"/>
      <c r="M138" s="9"/>
      <c r="N138" s="9"/>
      <c r="O138" s="22"/>
      <c r="P138" s="22"/>
      <c r="Q138" s="22"/>
      <c r="R138" s="355"/>
      <c r="S138" s="355"/>
      <c r="T138" s="35"/>
      <c r="U138" s="22"/>
      <c r="V138" s="22"/>
      <c r="W138" s="22"/>
    </row>
    <row r="139" spans="1:23" x14ac:dyDescent="0.25">
      <c r="A139" s="1212"/>
      <c r="B139" s="1210"/>
      <c r="C139" s="1214"/>
      <c r="D139" s="1214"/>
      <c r="E139" s="1214"/>
      <c r="F139" s="1211"/>
      <c r="G139" s="1670" t="s">
        <v>3068</v>
      </c>
      <c r="H139" s="1670"/>
      <c r="I139" s="1670"/>
      <c r="J139" s="1670"/>
      <c r="K139" s="1670"/>
      <c r="L139" s="1670"/>
      <c r="M139" s="585"/>
      <c r="N139" s="41"/>
      <c r="O139" s="62"/>
      <c r="P139" s="62"/>
      <c r="Q139" s="62"/>
      <c r="R139" s="1245"/>
      <c r="S139" s="1246"/>
      <c r="T139" s="1247"/>
      <c r="U139" s="62"/>
      <c r="V139" s="62"/>
      <c r="W139" s="62"/>
    </row>
    <row r="140" spans="1:23" ht="25.5" customHeight="1" x14ac:dyDescent="0.25">
      <c r="A140" s="1212"/>
      <c r="B140" s="1210"/>
      <c r="C140" s="1214"/>
      <c r="D140" s="1214"/>
      <c r="E140" s="1214"/>
      <c r="F140" s="1211"/>
      <c r="G140" s="1671" t="s">
        <v>3481</v>
      </c>
      <c r="H140" s="1672"/>
      <c r="I140" s="1673"/>
      <c r="J140" s="1227">
        <v>0.1105</v>
      </c>
      <c r="K140" s="1227"/>
      <c r="L140" s="1227"/>
      <c r="M140" s="585"/>
      <c r="N140" s="41"/>
      <c r="O140" s="62"/>
      <c r="P140" s="62"/>
      <c r="Q140" s="62"/>
      <c r="R140" s="1245"/>
      <c r="S140" s="1246"/>
      <c r="T140" s="1247"/>
      <c r="U140" s="62"/>
      <c r="V140" s="62"/>
      <c r="W140" s="62"/>
    </row>
    <row r="141" spans="1:23" ht="15.75" customHeight="1" thickBot="1" x14ac:dyDescent="0.3">
      <c r="A141" s="405"/>
      <c r="B141" s="394"/>
      <c r="C141" s="395"/>
      <c r="D141" s="395"/>
      <c r="E141" s="395"/>
      <c r="F141" s="396"/>
      <c r="G141" s="1483" t="s">
        <v>1860</v>
      </c>
      <c r="H141" s="1483"/>
      <c r="I141" s="1484"/>
      <c r="J141" s="13">
        <f>SUM(J140)</f>
        <v>0.1105</v>
      </c>
      <c r="K141" s="14">
        <v>0.8</v>
      </c>
      <c r="L141" s="13">
        <f>J141/K141</f>
        <v>0.138125</v>
      </c>
      <c r="M141" s="1482" t="s">
        <v>1861</v>
      </c>
      <c r="N141" s="1484"/>
      <c r="O141" s="13">
        <f>SUM(O136:O138)</f>
        <v>0.28499999999999998</v>
      </c>
      <c r="P141" s="14">
        <v>0.8</v>
      </c>
      <c r="Q141" s="13">
        <f>O141/P141</f>
        <v>0.35624999999999996</v>
      </c>
      <c r="R141" s="1482" t="s">
        <v>1860</v>
      </c>
      <c r="S141" s="1483"/>
      <c r="T141" s="1484"/>
      <c r="U141" s="13">
        <f>SUM(U136:U138)</f>
        <v>0</v>
      </c>
      <c r="V141" s="14">
        <v>0.8</v>
      </c>
      <c r="W141" s="13">
        <f>U141/V141</f>
        <v>0</v>
      </c>
    </row>
    <row r="142" spans="1:23" ht="16.5" customHeight="1" x14ac:dyDescent="0.25">
      <c r="A142" s="406" t="str">
        <f>'Расчет ЦП - общая форма'!C273</f>
        <v xml:space="preserve">ПС 110/35/10 кВ Оленино </v>
      </c>
      <c r="B142" s="398">
        <f>'Расчет ЦП - общая форма'!D273</f>
        <v>16</v>
      </c>
      <c r="C142" s="399" t="str">
        <f>'Расчет ЦП - общая форма'!E273</f>
        <v>+</v>
      </c>
      <c r="D142" s="399">
        <f>'Расчет ЦП - общая форма'!F273</f>
        <v>10</v>
      </c>
      <c r="E142" s="399"/>
      <c r="F142" s="400"/>
      <c r="G142" s="1670" t="s">
        <v>2512</v>
      </c>
      <c r="H142" s="1670"/>
      <c r="I142" s="1669"/>
      <c r="J142" s="1670"/>
      <c r="K142" s="1670"/>
      <c r="L142" s="1670"/>
      <c r="M142" s="1" t="s">
        <v>2432</v>
      </c>
      <c r="N142" s="1" t="s">
        <v>2433</v>
      </c>
      <c r="O142" s="1">
        <v>6.5000000000000002E-2</v>
      </c>
      <c r="P142" s="17"/>
      <c r="Q142" s="17"/>
      <c r="R142" s="17"/>
      <c r="S142" s="17"/>
      <c r="T142" s="17"/>
      <c r="U142" s="17"/>
      <c r="V142" s="17"/>
      <c r="W142" s="73"/>
    </row>
    <row r="143" spans="1:23" ht="33" customHeight="1" x14ac:dyDescent="0.25">
      <c r="A143" s="629"/>
      <c r="B143" s="631"/>
      <c r="C143" s="632"/>
      <c r="D143" s="632"/>
      <c r="E143" s="632"/>
      <c r="F143" s="628"/>
      <c r="G143" s="1" t="s">
        <v>2546</v>
      </c>
      <c r="H143" s="1" t="s">
        <v>2600</v>
      </c>
      <c r="I143" s="1" t="s">
        <v>2780</v>
      </c>
      <c r="J143" s="1">
        <v>2.3E-2</v>
      </c>
      <c r="K143" s="1"/>
      <c r="L143" s="22"/>
      <c r="M143" s="1" t="s">
        <v>2469</v>
      </c>
      <c r="N143" s="1" t="s">
        <v>2560</v>
      </c>
      <c r="O143" s="1">
        <v>3.5000000000000003E-2</v>
      </c>
      <c r="P143" s="1"/>
      <c r="Q143" s="1"/>
      <c r="R143" s="1"/>
      <c r="S143" s="1"/>
      <c r="T143" s="1"/>
      <c r="U143" s="1"/>
      <c r="V143" s="1"/>
      <c r="W143" s="22"/>
    </row>
    <row r="144" spans="1:23" ht="33" customHeight="1" x14ac:dyDescent="0.25">
      <c r="A144" s="614"/>
      <c r="B144" s="615"/>
      <c r="C144" s="616"/>
      <c r="D144" s="616"/>
      <c r="E144" s="616"/>
      <c r="F144" s="613"/>
      <c r="G144" s="1" t="s">
        <v>2920</v>
      </c>
      <c r="H144" s="1" t="s">
        <v>2934</v>
      </c>
      <c r="I144" s="1" t="s">
        <v>2969</v>
      </c>
      <c r="J144" s="1">
        <v>1.9E-2</v>
      </c>
      <c r="K144" s="1"/>
      <c r="L144" s="22"/>
      <c r="M144" s="1" t="s">
        <v>3411</v>
      </c>
      <c r="N144" s="1" t="s">
        <v>3412</v>
      </c>
      <c r="O144" s="1">
        <f>0.025-0.015</f>
        <v>1.0000000000000002E-2</v>
      </c>
      <c r="P144" s="1"/>
      <c r="Q144" s="1"/>
      <c r="R144" s="1"/>
      <c r="S144" s="1"/>
      <c r="T144" s="1"/>
      <c r="U144" s="1"/>
      <c r="V144" s="1"/>
      <c r="W144" s="22"/>
    </row>
    <row r="145" spans="1:23" ht="33" customHeight="1" x14ac:dyDescent="0.25">
      <c r="A145" s="1136"/>
      <c r="B145" s="1137"/>
      <c r="C145" s="1139"/>
      <c r="D145" s="1139"/>
      <c r="E145" s="1139"/>
      <c r="F145" s="1138"/>
      <c r="G145" s="1670" t="s">
        <v>3069</v>
      </c>
      <c r="H145" s="1670"/>
      <c r="I145" s="1669"/>
      <c r="J145" s="1670"/>
      <c r="K145" s="1670"/>
      <c r="L145" s="1670"/>
      <c r="M145" s="19"/>
      <c r="N145" s="20"/>
      <c r="O145" s="24"/>
      <c r="P145" s="24"/>
      <c r="Q145" s="24"/>
      <c r="R145" s="19"/>
      <c r="S145" s="263"/>
      <c r="T145" s="20"/>
      <c r="U145" s="24"/>
      <c r="V145" s="24"/>
      <c r="W145" s="62"/>
    </row>
    <row r="146" spans="1:23" ht="33" customHeight="1" x14ac:dyDescent="0.25">
      <c r="A146" s="1136"/>
      <c r="B146" s="1137"/>
      <c r="C146" s="1139"/>
      <c r="D146" s="1139"/>
      <c r="E146" s="1139"/>
      <c r="F146" s="1138"/>
      <c r="G146" s="1" t="s">
        <v>3277</v>
      </c>
      <c r="H146" s="1" t="s">
        <v>3278</v>
      </c>
      <c r="I146" s="20" t="s">
        <v>3333</v>
      </c>
      <c r="J146" s="1">
        <v>0.05</v>
      </c>
      <c r="K146" s="24"/>
      <c r="L146" s="62"/>
      <c r="M146" s="19"/>
      <c r="N146" s="20"/>
      <c r="O146" s="24"/>
      <c r="P146" s="24"/>
      <c r="Q146" s="24"/>
      <c r="R146" s="19"/>
      <c r="S146" s="263"/>
      <c r="T146" s="20"/>
      <c r="U146" s="24"/>
      <c r="V146" s="24"/>
      <c r="W146" s="62"/>
    </row>
    <row r="147" spans="1:23" ht="15.75" customHeight="1" thickBot="1" x14ac:dyDescent="0.3">
      <c r="A147" s="626"/>
      <c r="B147" s="625"/>
      <c r="C147" s="624"/>
      <c r="D147" s="624"/>
      <c r="E147" s="624"/>
      <c r="F147" s="396"/>
      <c r="G147" s="1482" t="s">
        <v>1860</v>
      </c>
      <c r="H147" s="1483"/>
      <c r="I147" s="1484"/>
      <c r="J147" s="21">
        <f>SUM(J143:J146)</f>
        <v>9.1999999999999998E-2</v>
      </c>
      <c r="K147" s="24">
        <v>0.8</v>
      </c>
      <c r="L147" s="21">
        <f>J147/K147</f>
        <v>0.11499999999999999</v>
      </c>
      <c r="M147" s="1482" t="s">
        <v>1861</v>
      </c>
      <c r="N147" s="1484"/>
      <c r="O147" s="21">
        <f>SUM(O142:O144)</f>
        <v>0.11000000000000001</v>
      </c>
      <c r="P147" s="24">
        <v>0.8</v>
      </c>
      <c r="Q147" s="21">
        <f>O147/P147</f>
        <v>0.13750000000000001</v>
      </c>
      <c r="R147" s="1482" t="s">
        <v>1860</v>
      </c>
      <c r="S147" s="1483"/>
      <c r="T147" s="1484"/>
      <c r="U147" s="21">
        <f>SUM(U142:U142)</f>
        <v>0</v>
      </c>
      <c r="V147" s="24">
        <v>0.8</v>
      </c>
      <c r="W147" s="21">
        <f>U147/V147</f>
        <v>0</v>
      </c>
    </row>
    <row r="148" spans="1:23" x14ac:dyDescent="0.25">
      <c r="A148" s="1683" t="str">
        <f>'Расчет ЦП - общая форма'!C276</f>
        <v xml:space="preserve">ПС 110/35/10 кВ Старица </v>
      </c>
      <c r="B148" s="1551">
        <f>'Расчет ЦП - общая форма'!D276</f>
        <v>16</v>
      </c>
      <c r="C148" s="1552" t="str">
        <f>'Расчет ЦП - общая форма'!E276</f>
        <v>+</v>
      </c>
      <c r="D148" s="1552">
        <f>'Расчет ЦП - общая форма'!F276</f>
        <v>16</v>
      </c>
      <c r="E148" s="399"/>
      <c r="F148" s="400"/>
      <c r="G148" s="1570" t="s">
        <v>1989</v>
      </c>
      <c r="H148" s="1570"/>
      <c r="I148" s="1570"/>
      <c r="J148" s="1570"/>
      <c r="K148" s="1570"/>
      <c r="L148" s="1571"/>
      <c r="M148" s="131"/>
      <c r="N148" s="132"/>
      <c r="O148" s="73"/>
      <c r="P148" s="73"/>
      <c r="Q148" s="268"/>
      <c r="R148" s="1567"/>
      <c r="S148" s="1567"/>
      <c r="T148" s="1567"/>
      <c r="U148" s="1567"/>
      <c r="V148" s="1567"/>
      <c r="W148" s="1568"/>
    </row>
    <row r="149" spans="1:23" ht="43.5" customHeight="1" x14ac:dyDescent="0.25">
      <c r="A149" s="1540"/>
      <c r="B149" s="1501"/>
      <c r="C149" s="1553"/>
      <c r="D149" s="1553"/>
      <c r="E149" s="403"/>
      <c r="F149" s="404"/>
      <c r="G149" s="41" t="s">
        <v>1891</v>
      </c>
      <c r="H149" s="128" t="s">
        <v>830</v>
      </c>
      <c r="I149" s="128" t="s">
        <v>831</v>
      </c>
      <c r="J149" s="128">
        <v>0.18099999999999999</v>
      </c>
      <c r="K149" s="128"/>
      <c r="L149" s="69"/>
      <c r="M149" s="128" t="s">
        <v>630</v>
      </c>
      <c r="N149" s="69" t="s">
        <v>832</v>
      </c>
      <c r="O149" s="128">
        <v>8.1000000000000003E-2</v>
      </c>
      <c r="P149" s="128"/>
      <c r="Q149" s="189"/>
      <c r="R149" s="310"/>
      <c r="S149" s="69"/>
      <c r="T149" s="69"/>
      <c r="U149" s="69"/>
      <c r="V149" s="69"/>
      <c r="W149" s="69"/>
    </row>
    <row r="150" spans="1:23" ht="66.75" customHeight="1" x14ac:dyDescent="0.25">
      <c r="A150" s="401"/>
      <c r="B150" s="402"/>
      <c r="C150" s="403"/>
      <c r="D150" s="403"/>
      <c r="E150" s="403"/>
      <c r="F150" s="404"/>
      <c r="G150" s="152" t="s">
        <v>1891</v>
      </c>
      <c r="H150" s="1" t="s">
        <v>833</v>
      </c>
      <c r="I150" s="1" t="s">
        <v>834</v>
      </c>
      <c r="J150" s="1">
        <v>0.77200000000000002</v>
      </c>
      <c r="K150" s="1"/>
      <c r="L150" s="22"/>
      <c r="M150" s="1" t="s">
        <v>630</v>
      </c>
      <c r="N150" s="1" t="s">
        <v>835</v>
      </c>
      <c r="O150" s="1">
        <v>0.22</v>
      </c>
      <c r="P150" s="1"/>
      <c r="Q150" s="12"/>
      <c r="R150" s="270"/>
      <c r="S150" s="22"/>
      <c r="T150" s="22"/>
      <c r="U150" s="22"/>
      <c r="V150" s="22"/>
      <c r="W150" s="22"/>
    </row>
    <row r="151" spans="1:23" ht="18.75" customHeight="1" x14ac:dyDescent="0.25">
      <c r="A151" s="401"/>
      <c r="B151" s="402"/>
      <c r="C151" s="403"/>
      <c r="D151" s="403"/>
      <c r="E151" s="403"/>
      <c r="F151" s="404"/>
      <c r="G151" s="1677" t="s">
        <v>1987</v>
      </c>
      <c r="H151" s="1670"/>
      <c r="I151" s="1670"/>
      <c r="J151" s="1670"/>
      <c r="K151" s="1670"/>
      <c r="L151" s="1670"/>
      <c r="M151" s="1" t="s">
        <v>630</v>
      </c>
      <c r="N151" s="11" t="s">
        <v>1437</v>
      </c>
      <c r="O151" s="1">
        <v>1.0349999999999999</v>
      </c>
      <c r="P151" s="1"/>
      <c r="Q151" s="12"/>
      <c r="R151" s="1563"/>
      <c r="S151" s="1572"/>
      <c r="T151" s="1572"/>
      <c r="U151" s="1572"/>
      <c r="V151" s="1572"/>
      <c r="W151" s="1572"/>
    </row>
    <row r="152" spans="1:23" ht="45" customHeight="1" x14ac:dyDescent="0.25">
      <c r="A152" s="401"/>
      <c r="B152" s="402"/>
      <c r="C152" s="403"/>
      <c r="D152" s="403"/>
      <c r="E152" s="403"/>
      <c r="F152" s="404"/>
      <c r="G152" s="270" t="s">
        <v>2343</v>
      </c>
      <c r="H152" s="22" t="s">
        <v>2344</v>
      </c>
      <c r="I152" s="22" t="s">
        <v>2345</v>
      </c>
      <c r="J152" s="22">
        <v>0.1</v>
      </c>
      <c r="K152" s="22"/>
      <c r="L152" s="22"/>
      <c r="M152" s="8"/>
      <c r="N152" s="8"/>
      <c r="O152" s="8"/>
      <c r="P152" s="1"/>
      <c r="Q152" s="12"/>
      <c r="R152" s="270"/>
      <c r="S152" s="22"/>
      <c r="T152" s="22"/>
      <c r="U152" s="22"/>
      <c r="V152" s="22"/>
      <c r="W152" s="22"/>
    </row>
    <row r="153" spans="1:23" ht="43.5" customHeight="1" x14ac:dyDescent="0.25">
      <c r="A153" s="401"/>
      <c r="B153" s="402"/>
      <c r="C153" s="403"/>
      <c r="D153" s="403"/>
      <c r="E153" s="403"/>
      <c r="F153" s="404"/>
      <c r="G153" s="152" t="s">
        <v>836</v>
      </c>
      <c r="H153" s="1" t="s">
        <v>837</v>
      </c>
      <c r="I153" s="1" t="s">
        <v>838</v>
      </c>
      <c r="J153" s="1">
        <v>0.05</v>
      </c>
      <c r="K153" s="1"/>
      <c r="L153" s="22"/>
      <c r="M153" s="1" t="s">
        <v>2362</v>
      </c>
      <c r="N153" s="1" t="s">
        <v>2363</v>
      </c>
      <c r="O153" s="8">
        <v>0.05</v>
      </c>
      <c r="P153" s="1"/>
      <c r="Q153" s="12"/>
      <c r="R153" s="270"/>
      <c r="S153" s="22"/>
      <c r="T153" s="22"/>
      <c r="U153" s="22"/>
      <c r="V153" s="22"/>
      <c r="W153" s="22"/>
    </row>
    <row r="154" spans="1:23" ht="17.25" customHeight="1" x14ac:dyDescent="0.25">
      <c r="A154" s="401"/>
      <c r="B154" s="402"/>
      <c r="C154" s="403"/>
      <c r="D154" s="403"/>
      <c r="E154" s="403"/>
      <c r="F154" s="404"/>
      <c r="G154" s="1677" t="s">
        <v>2061</v>
      </c>
      <c r="H154" s="1670"/>
      <c r="I154" s="1670"/>
      <c r="J154" s="1670"/>
      <c r="K154" s="1670"/>
      <c r="L154" s="1670"/>
      <c r="M154" s="1" t="s">
        <v>2227</v>
      </c>
      <c r="N154" s="1" t="s">
        <v>3367</v>
      </c>
      <c r="O154" s="8">
        <v>0.25</v>
      </c>
      <c r="P154" s="1"/>
      <c r="Q154" s="12"/>
      <c r="R154" s="1563"/>
      <c r="S154" s="1572"/>
      <c r="T154" s="1572"/>
      <c r="U154" s="1572"/>
      <c r="V154" s="1572"/>
      <c r="W154" s="1572"/>
    </row>
    <row r="155" spans="1:23" ht="62.25" customHeight="1" x14ac:dyDescent="0.25">
      <c r="A155" s="401"/>
      <c r="B155" s="402"/>
      <c r="C155" s="403"/>
      <c r="D155" s="403"/>
      <c r="E155" s="403"/>
      <c r="F155" s="404"/>
      <c r="G155" s="152" t="s">
        <v>839</v>
      </c>
      <c r="H155" s="1" t="s">
        <v>106</v>
      </c>
      <c r="I155" s="1" t="s">
        <v>2320</v>
      </c>
      <c r="J155" s="1">
        <v>0.2</v>
      </c>
      <c r="K155" s="1"/>
      <c r="L155" s="22"/>
      <c r="M155" s="1" t="s">
        <v>3416</v>
      </c>
      <c r="N155" s="1" t="s">
        <v>3417</v>
      </c>
      <c r="O155" s="8">
        <v>0.05</v>
      </c>
      <c r="P155" s="1"/>
      <c r="Q155" s="12"/>
      <c r="R155" s="270"/>
      <c r="S155" s="22"/>
      <c r="T155" s="22"/>
      <c r="U155" s="22"/>
      <c r="V155" s="22"/>
      <c r="W155" s="22"/>
    </row>
    <row r="156" spans="1:23" ht="68.25" customHeight="1" x14ac:dyDescent="0.25">
      <c r="A156" s="401"/>
      <c r="B156" s="402"/>
      <c r="C156" s="403"/>
      <c r="D156" s="403"/>
      <c r="E156" s="403"/>
      <c r="F156" s="404"/>
      <c r="G156" s="270" t="s">
        <v>29</v>
      </c>
      <c r="H156" s="1" t="s">
        <v>30</v>
      </c>
      <c r="I156" s="1" t="s">
        <v>2308</v>
      </c>
      <c r="J156" s="1">
        <v>0.05</v>
      </c>
      <c r="K156" s="1"/>
      <c r="L156" s="22"/>
      <c r="M156" s="22"/>
      <c r="N156" s="1"/>
      <c r="O156" s="1"/>
      <c r="P156" s="1"/>
      <c r="Q156" s="12"/>
      <c r="R156" s="270"/>
      <c r="S156" s="22"/>
      <c r="T156" s="22"/>
      <c r="U156" s="22"/>
      <c r="V156" s="22"/>
      <c r="W156" s="22"/>
    </row>
    <row r="157" spans="1:23" ht="136.5" customHeight="1" x14ac:dyDescent="0.25">
      <c r="A157" s="401"/>
      <c r="B157" s="402"/>
      <c r="C157" s="403"/>
      <c r="D157" s="403"/>
      <c r="E157" s="403"/>
      <c r="F157" s="404"/>
      <c r="G157" s="20" t="s">
        <v>2227</v>
      </c>
      <c r="H157" s="24" t="s">
        <v>2228</v>
      </c>
      <c r="I157" s="24" t="s">
        <v>2488</v>
      </c>
      <c r="J157" s="24">
        <v>0.03</v>
      </c>
      <c r="K157" s="24"/>
      <c r="L157" s="62"/>
      <c r="M157" s="62"/>
      <c r="N157" s="24"/>
      <c r="O157" s="24"/>
      <c r="P157" s="128"/>
      <c r="Q157" s="189"/>
      <c r="R157" s="62"/>
      <c r="S157" s="62"/>
      <c r="T157" s="62"/>
      <c r="U157" s="62"/>
      <c r="V157" s="62"/>
      <c r="W157" s="62"/>
    </row>
    <row r="158" spans="1:23" ht="19.5" customHeight="1" x14ac:dyDescent="0.25">
      <c r="A158" s="401"/>
      <c r="B158" s="402"/>
      <c r="C158" s="403"/>
      <c r="D158" s="403"/>
      <c r="E158" s="403"/>
      <c r="F158" s="404"/>
      <c r="G158" s="1677" t="s">
        <v>2512</v>
      </c>
      <c r="H158" s="1670"/>
      <c r="I158" s="1670"/>
      <c r="J158" s="1670"/>
      <c r="K158" s="1670"/>
      <c r="L158" s="1670"/>
      <c r="M158" s="22"/>
      <c r="N158" s="1"/>
      <c r="O158" s="1"/>
      <c r="P158" s="1"/>
      <c r="Q158" s="12"/>
      <c r="R158" s="1563"/>
      <c r="S158" s="1572"/>
      <c r="T158" s="1572"/>
      <c r="U158" s="1572"/>
      <c r="V158" s="1572"/>
      <c r="W158" s="1572"/>
    </row>
    <row r="159" spans="1:23" ht="90" customHeight="1" x14ac:dyDescent="0.25">
      <c r="A159" s="401"/>
      <c r="B159" s="402"/>
      <c r="C159" s="403"/>
      <c r="D159" s="403"/>
      <c r="E159" s="403"/>
      <c r="F159" s="404"/>
      <c r="G159" s="152" t="s">
        <v>2227</v>
      </c>
      <c r="H159" s="1" t="s">
        <v>2510</v>
      </c>
      <c r="I159" s="1" t="s">
        <v>2511</v>
      </c>
      <c r="J159" s="1">
        <v>0.25</v>
      </c>
      <c r="K159" s="1"/>
      <c r="L159" s="22"/>
      <c r="M159" s="22"/>
      <c r="N159" s="1"/>
      <c r="O159" s="1"/>
      <c r="P159" s="1"/>
      <c r="Q159" s="12"/>
      <c r="R159" s="22"/>
      <c r="S159" s="22"/>
      <c r="T159" s="22"/>
      <c r="U159" s="22"/>
      <c r="V159" s="22"/>
      <c r="W159" s="22"/>
    </row>
    <row r="160" spans="1:23" ht="90" customHeight="1" x14ac:dyDescent="0.25">
      <c r="A160" s="629"/>
      <c r="B160" s="631"/>
      <c r="C160" s="632"/>
      <c r="D160" s="632"/>
      <c r="E160" s="632"/>
      <c r="F160" s="628"/>
      <c r="G160" s="1" t="s">
        <v>2430</v>
      </c>
      <c r="H160" s="1" t="s">
        <v>2431</v>
      </c>
      <c r="I160" s="1" t="s">
        <v>2583</v>
      </c>
      <c r="J160" s="8">
        <f>0.025-0.015</f>
        <v>1.0000000000000002E-2</v>
      </c>
      <c r="K160" s="1"/>
      <c r="L160" s="22"/>
      <c r="M160" s="22"/>
      <c r="N160" s="1"/>
      <c r="O160" s="1"/>
      <c r="P160" s="1"/>
      <c r="Q160" s="12"/>
      <c r="R160" s="22"/>
      <c r="S160" s="22"/>
      <c r="T160" s="22"/>
      <c r="U160" s="22"/>
      <c r="V160" s="22"/>
      <c r="W160" s="22"/>
    </row>
    <row r="161" spans="1:23" ht="90" customHeight="1" x14ac:dyDescent="0.25">
      <c r="A161" s="734"/>
      <c r="B161" s="735"/>
      <c r="C161" s="736"/>
      <c r="D161" s="736"/>
      <c r="E161" s="736"/>
      <c r="F161" s="733"/>
      <c r="G161" s="1" t="s">
        <v>2546</v>
      </c>
      <c r="H161" s="1" t="s">
        <v>2599</v>
      </c>
      <c r="I161" s="1" t="s">
        <v>2778</v>
      </c>
      <c r="J161" s="8">
        <v>2.3E-2</v>
      </c>
      <c r="K161" s="1"/>
      <c r="L161" s="22"/>
      <c r="M161" s="22"/>
      <c r="N161" s="1"/>
      <c r="O161" s="1"/>
      <c r="P161" s="1"/>
      <c r="Q161" s="1"/>
      <c r="R161" s="71"/>
      <c r="S161" s="71"/>
      <c r="T161" s="310"/>
      <c r="U161" s="69"/>
      <c r="V161" s="69"/>
      <c r="W161" s="69"/>
    </row>
    <row r="162" spans="1:23" ht="25.5" customHeight="1" x14ac:dyDescent="0.25">
      <c r="A162" s="1212"/>
      <c r="B162" s="1210"/>
      <c r="C162" s="1214"/>
      <c r="D162" s="1214"/>
      <c r="E162" s="1214"/>
      <c r="F162" s="1211"/>
      <c r="G162" s="1677" t="s">
        <v>3069</v>
      </c>
      <c r="H162" s="1670"/>
      <c r="I162" s="1670"/>
      <c r="J162" s="1670"/>
      <c r="K162" s="1670"/>
      <c r="L162" s="1670"/>
      <c r="M162" s="22"/>
      <c r="N162" s="1"/>
      <c r="O162" s="1"/>
      <c r="P162" s="1"/>
      <c r="Q162" s="1"/>
      <c r="R162" s="71"/>
      <c r="S162" s="71"/>
      <c r="T162" s="310"/>
      <c r="U162" s="69"/>
      <c r="V162" s="69"/>
      <c r="W162" s="69"/>
    </row>
    <row r="163" spans="1:23" ht="30.75" customHeight="1" x14ac:dyDescent="0.25">
      <c r="A163" s="1212"/>
      <c r="B163" s="1210"/>
      <c r="C163" s="1214"/>
      <c r="D163" s="1214"/>
      <c r="E163" s="1214"/>
      <c r="F163" s="1211"/>
      <c r="G163" s="1518" t="s">
        <v>3481</v>
      </c>
      <c r="H163" s="1519"/>
      <c r="I163" s="1520"/>
      <c r="J163" s="1231">
        <v>2.1493000000000002</v>
      </c>
      <c r="K163" s="1"/>
      <c r="L163" s="22"/>
      <c r="M163" s="22"/>
      <c r="N163" s="1"/>
      <c r="O163" s="1"/>
      <c r="P163" s="1"/>
      <c r="Q163" s="1"/>
      <c r="R163" s="71"/>
      <c r="S163" s="71"/>
      <c r="T163" s="310"/>
      <c r="U163" s="69"/>
      <c r="V163" s="69"/>
      <c r="W163" s="69"/>
    </row>
    <row r="164" spans="1:23" ht="30.75" customHeight="1" x14ac:dyDescent="0.25">
      <c r="A164" s="1272"/>
      <c r="B164" s="1266"/>
      <c r="C164" s="1274"/>
      <c r="D164" s="1274"/>
      <c r="E164" s="1274"/>
      <c r="F164" s="1267"/>
      <c r="G164" s="1677" t="s">
        <v>3537</v>
      </c>
      <c r="H164" s="1670"/>
      <c r="I164" s="1670"/>
      <c r="J164" s="1670"/>
      <c r="K164" s="1670"/>
      <c r="L164" s="1670"/>
      <c r="M164" s="1275"/>
      <c r="N164" s="1264"/>
      <c r="O164" s="1264"/>
      <c r="P164" s="1264"/>
      <c r="Q164" s="1264"/>
      <c r="R164" s="71"/>
      <c r="S164" s="71"/>
      <c r="T164" s="310"/>
      <c r="U164" s="69"/>
      <c r="V164" s="69"/>
      <c r="W164" s="69"/>
    </row>
    <row r="165" spans="1:23" ht="30.75" customHeight="1" x14ac:dyDescent="0.25">
      <c r="A165" s="1272"/>
      <c r="B165" s="1266"/>
      <c r="C165" s="1274"/>
      <c r="D165" s="1274"/>
      <c r="E165" s="1274"/>
      <c r="F165" s="1267"/>
      <c r="G165" s="1275" t="s">
        <v>3418</v>
      </c>
      <c r="H165" s="1264" t="s">
        <v>3419</v>
      </c>
      <c r="I165" s="1275" t="s">
        <v>3538</v>
      </c>
      <c r="J165" s="1290">
        <v>0.05</v>
      </c>
      <c r="K165" s="1275"/>
      <c r="L165" s="1275"/>
      <c r="M165" s="1275"/>
      <c r="N165" s="1264"/>
      <c r="O165" s="1264"/>
      <c r="P165" s="1264"/>
      <c r="Q165" s="1264"/>
      <c r="R165" s="71"/>
      <c r="S165" s="71"/>
      <c r="T165" s="310"/>
      <c r="U165" s="69"/>
      <c r="V165" s="69"/>
      <c r="W165" s="69"/>
    </row>
    <row r="166" spans="1:23" ht="15.75" customHeight="1" thickBot="1" x14ac:dyDescent="0.3">
      <c r="A166" s="405"/>
      <c r="B166" s="394"/>
      <c r="C166" s="395"/>
      <c r="D166" s="395"/>
      <c r="E166" s="395"/>
      <c r="F166" s="396"/>
      <c r="G166" s="1489" t="s">
        <v>1860</v>
      </c>
      <c r="H166" s="1489"/>
      <c r="I166" s="1489"/>
      <c r="J166" s="235">
        <f>SUM(J159:J165)</f>
        <v>2.4823</v>
      </c>
      <c r="K166" s="1">
        <v>0.8</v>
      </c>
      <c r="L166" s="235">
        <f>J166/K166</f>
        <v>3.1028749999999996</v>
      </c>
      <c r="M166" s="1489" t="s">
        <v>1861</v>
      </c>
      <c r="N166" s="1489"/>
      <c r="O166" s="235">
        <f>SUM(O149:O156)</f>
        <v>1.6859999999999999</v>
      </c>
      <c r="P166" s="1">
        <v>0.8</v>
      </c>
      <c r="Q166" s="235">
        <f>O166/P166</f>
        <v>2.1074999999999999</v>
      </c>
      <c r="R166" s="1565" t="s">
        <v>1860</v>
      </c>
      <c r="S166" s="1565"/>
      <c r="T166" s="1509"/>
      <c r="U166" s="140">
        <f>SUM(U152:U153,U155:U157,U159)</f>
        <v>0</v>
      </c>
      <c r="V166" s="141">
        <v>0.8</v>
      </c>
      <c r="W166" s="140">
        <f>U166/V166</f>
        <v>0</v>
      </c>
    </row>
    <row r="167" spans="1:23" x14ac:dyDescent="0.25">
      <c r="A167" s="1683" t="str">
        <f>'Расчет ЦП - общая форма'!C279</f>
        <v xml:space="preserve">ПС 110/35/10 кВ З.Поле </v>
      </c>
      <c r="B167" s="1551">
        <f>'Расчет ЦП - общая форма'!D279</f>
        <v>6.3</v>
      </c>
      <c r="C167" s="1552" t="str">
        <f>'Расчет ЦП - общая форма'!E279</f>
        <v>+</v>
      </c>
      <c r="D167" s="1552">
        <f>'Расчет ЦП - общая форма'!F279</f>
        <v>6.3</v>
      </c>
      <c r="E167" s="399"/>
      <c r="F167" s="400"/>
      <c r="G167" s="1686" t="s">
        <v>1987</v>
      </c>
      <c r="H167" s="1686"/>
      <c r="I167" s="1686"/>
      <c r="J167" s="1686"/>
      <c r="K167" s="1686"/>
      <c r="L167" s="1687"/>
      <c r="M167" s="126"/>
      <c r="N167" s="127"/>
      <c r="O167" s="162"/>
      <c r="P167" s="51"/>
      <c r="Q167" s="51"/>
      <c r="R167" s="1679"/>
      <c r="S167" s="1560"/>
      <c r="T167" s="1560"/>
      <c r="U167" s="1560"/>
      <c r="V167" s="1560"/>
      <c r="W167" s="1561"/>
    </row>
    <row r="168" spans="1:23" ht="105" x14ac:dyDescent="0.25">
      <c r="A168" s="1540"/>
      <c r="B168" s="1501"/>
      <c r="C168" s="1553"/>
      <c r="D168" s="1553"/>
      <c r="E168" s="403"/>
      <c r="F168" s="404"/>
      <c r="G168" s="152" t="s">
        <v>842</v>
      </c>
      <c r="H168" s="1" t="s">
        <v>843</v>
      </c>
      <c r="I168" s="1" t="s">
        <v>844</v>
      </c>
      <c r="J168" s="1">
        <v>0.06</v>
      </c>
      <c r="K168" s="1"/>
      <c r="L168" s="22"/>
      <c r="M168" s="9"/>
      <c r="N168" s="9"/>
      <c r="O168" s="8"/>
      <c r="P168" s="1"/>
      <c r="Q168" s="1"/>
      <c r="R168" s="22"/>
      <c r="S168" s="22"/>
      <c r="T168" s="22"/>
      <c r="U168" s="22"/>
      <c r="V168" s="22"/>
      <c r="W168" s="22"/>
    </row>
    <row r="169" spans="1:23" x14ac:dyDescent="0.25">
      <c r="A169" s="401"/>
      <c r="B169" s="402"/>
      <c r="C169" s="403"/>
      <c r="D169" s="403"/>
      <c r="E169" s="403"/>
      <c r="F169" s="404"/>
      <c r="G169" s="1677" t="s">
        <v>2061</v>
      </c>
      <c r="H169" s="1670"/>
      <c r="I169" s="1670"/>
      <c r="J169" s="1670"/>
      <c r="K169" s="1670"/>
      <c r="L169" s="1670"/>
      <c r="M169" s="8"/>
      <c r="N169" s="8"/>
      <c r="O169" s="8"/>
      <c r="P169" s="1"/>
      <c r="Q169" s="1"/>
      <c r="R169" s="1572"/>
      <c r="S169" s="1572"/>
      <c r="T169" s="1572"/>
      <c r="U169" s="1572"/>
      <c r="V169" s="1572"/>
      <c r="W169" s="1572"/>
    </row>
    <row r="170" spans="1:23" ht="60" x14ac:dyDescent="0.25">
      <c r="A170" s="401"/>
      <c r="B170" s="402"/>
      <c r="C170" s="403"/>
      <c r="D170" s="403"/>
      <c r="E170" s="403"/>
      <c r="F170" s="404"/>
      <c r="G170" s="152" t="s">
        <v>845</v>
      </c>
      <c r="H170" s="1" t="s">
        <v>846</v>
      </c>
      <c r="I170" s="1" t="s">
        <v>2323</v>
      </c>
      <c r="J170" s="1">
        <v>0.17</v>
      </c>
      <c r="K170" s="1"/>
      <c r="L170" s="22"/>
      <c r="M170" s="241"/>
      <c r="N170" s="241"/>
      <c r="O170" s="241"/>
      <c r="P170" s="1"/>
      <c r="Q170" s="1"/>
      <c r="R170" s="22"/>
      <c r="S170" s="22"/>
      <c r="T170" s="22"/>
      <c r="U170" s="22"/>
      <c r="V170" s="22"/>
      <c r="W170" s="22"/>
    </row>
    <row r="171" spans="1:23" ht="60" x14ac:dyDescent="0.25">
      <c r="A171" s="401"/>
      <c r="B171" s="402"/>
      <c r="C171" s="403"/>
      <c r="D171" s="403"/>
      <c r="E171" s="403"/>
      <c r="F171" s="404"/>
      <c r="G171" s="266" t="s">
        <v>1</v>
      </c>
      <c r="H171" s="11" t="s">
        <v>2</v>
      </c>
      <c r="I171" s="1" t="s">
        <v>2287</v>
      </c>
      <c r="J171" s="11">
        <v>0.09</v>
      </c>
      <c r="K171" s="1"/>
      <c r="L171" s="22"/>
      <c r="M171" s="11"/>
      <c r="N171" s="11"/>
      <c r="O171" s="11"/>
      <c r="P171" s="1"/>
      <c r="Q171" s="1"/>
      <c r="R171" s="35"/>
      <c r="S171" s="35"/>
      <c r="T171" s="22"/>
      <c r="U171" s="35"/>
      <c r="V171" s="22"/>
      <c r="W171" s="22"/>
    </row>
    <row r="172" spans="1:23" ht="105" x14ac:dyDescent="0.25">
      <c r="A172" s="401"/>
      <c r="B172" s="402"/>
      <c r="C172" s="403"/>
      <c r="D172" s="403"/>
      <c r="E172" s="403"/>
      <c r="F172" s="404"/>
      <c r="G172" s="152" t="s">
        <v>809</v>
      </c>
      <c r="H172" s="1" t="s">
        <v>810</v>
      </c>
      <c r="I172" s="1" t="s">
        <v>2310</v>
      </c>
      <c r="J172" s="11">
        <v>0.25</v>
      </c>
      <c r="K172" s="1"/>
      <c r="L172" s="22"/>
      <c r="M172" s="11"/>
      <c r="N172" s="11"/>
      <c r="O172" s="11"/>
      <c r="P172" s="1"/>
      <c r="Q172" s="1"/>
      <c r="R172" s="22"/>
      <c r="S172" s="22"/>
      <c r="T172" s="344"/>
      <c r="U172" s="35"/>
      <c r="V172" s="22"/>
      <c r="W172" s="22"/>
    </row>
    <row r="173" spans="1:23" x14ac:dyDescent="0.25">
      <c r="A173" s="734"/>
      <c r="B173" s="735"/>
      <c r="C173" s="736"/>
      <c r="D173" s="736"/>
      <c r="E173" s="736"/>
      <c r="F173" s="733"/>
      <c r="G173" s="1677" t="s">
        <v>2512</v>
      </c>
      <c r="H173" s="1670"/>
      <c r="I173" s="1670"/>
      <c r="J173" s="1670"/>
      <c r="K173" s="1670"/>
      <c r="L173" s="1670"/>
      <c r="M173" s="11"/>
      <c r="N173" s="11"/>
      <c r="O173" s="11"/>
      <c r="P173" s="24"/>
      <c r="Q173" s="24"/>
      <c r="R173" s="129"/>
      <c r="S173" s="660"/>
      <c r="T173" s="741"/>
      <c r="U173" s="742"/>
      <c r="V173" s="62"/>
      <c r="W173" s="62"/>
    </row>
    <row r="174" spans="1:23" ht="150" x14ac:dyDescent="0.25">
      <c r="A174" s="734"/>
      <c r="B174" s="735"/>
      <c r="C174" s="736"/>
      <c r="D174" s="736"/>
      <c r="E174" s="736"/>
      <c r="F174" s="733"/>
      <c r="G174" s="1" t="s">
        <v>2546</v>
      </c>
      <c r="H174" s="1" t="s">
        <v>2661</v>
      </c>
      <c r="I174" s="1" t="s">
        <v>2779</v>
      </c>
      <c r="J174" s="11">
        <v>2.3E-2</v>
      </c>
      <c r="K174" s="1"/>
      <c r="L174" s="22"/>
      <c r="M174" s="11"/>
      <c r="N174" s="11"/>
      <c r="O174" s="11"/>
      <c r="P174" s="24"/>
      <c r="Q174" s="24"/>
      <c r="R174" s="129"/>
      <c r="S174" s="660"/>
      <c r="T174" s="741"/>
      <c r="U174" s="742"/>
      <c r="V174" s="62"/>
      <c r="W174" s="62"/>
    </row>
    <row r="175" spans="1:23" x14ac:dyDescent="0.25">
      <c r="A175" s="1200"/>
      <c r="B175" s="1201"/>
      <c r="C175" s="1203"/>
      <c r="D175" s="1203"/>
      <c r="E175" s="1203"/>
      <c r="F175" s="1202"/>
      <c r="G175" s="1677" t="s">
        <v>3069</v>
      </c>
      <c r="H175" s="1670"/>
      <c r="I175" s="1670"/>
      <c r="J175" s="1670"/>
      <c r="K175" s="1670"/>
      <c r="L175" s="1670"/>
      <c r="M175" s="889"/>
      <c r="N175" s="890"/>
      <c r="O175" s="34"/>
      <c r="P175" s="24"/>
      <c r="Q175" s="24"/>
      <c r="R175" s="129"/>
      <c r="S175" s="660"/>
      <c r="T175" s="741"/>
      <c r="U175" s="742"/>
      <c r="V175" s="62"/>
      <c r="W175" s="62"/>
    </row>
    <row r="176" spans="1:23" ht="49.5" customHeight="1" x14ac:dyDescent="0.25">
      <c r="A176" s="1200"/>
      <c r="B176" s="1201"/>
      <c r="C176" s="1203"/>
      <c r="D176" s="1203"/>
      <c r="E176" s="1203"/>
      <c r="F176" s="1202"/>
      <c r="G176" s="1518" t="s">
        <v>3481</v>
      </c>
      <c r="H176" s="1519"/>
      <c r="I176" s="1520"/>
      <c r="J176" s="1227">
        <v>0.91300000000000003</v>
      </c>
      <c r="K176" s="1225"/>
      <c r="L176" s="1225"/>
      <c r="M176" s="889"/>
      <c r="N176" s="890"/>
      <c r="O176" s="34"/>
      <c r="P176" s="24"/>
      <c r="Q176" s="24"/>
      <c r="R176" s="129"/>
      <c r="S176" s="660"/>
      <c r="T176" s="741"/>
      <c r="U176" s="742"/>
      <c r="V176" s="62"/>
      <c r="W176" s="62"/>
    </row>
    <row r="177" spans="1:23" ht="15.75" customHeight="1" thickBot="1" x14ac:dyDescent="0.3">
      <c r="A177" s="405"/>
      <c r="B177" s="394"/>
      <c r="C177" s="395"/>
      <c r="D177" s="395"/>
      <c r="E177" s="395"/>
      <c r="F177" s="396"/>
      <c r="G177" s="1486" t="s">
        <v>1860</v>
      </c>
      <c r="H177" s="1486"/>
      <c r="I177" s="1487"/>
      <c r="J177" s="21">
        <f>SUM(J174:J176)</f>
        <v>0.93600000000000005</v>
      </c>
      <c r="K177" s="24">
        <v>0.8</v>
      </c>
      <c r="L177" s="21">
        <f>J177/K177</f>
        <v>1.17</v>
      </c>
      <c r="M177" s="1485" t="s">
        <v>1861</v>
      </c>
      <c r="N177" s="1487"/>
      <c r="O177" s="21">
        <f>SUM(O168:O170)</f>
        <v>0</v>
      </c>
      <c r="P177" s="24">
        <v>0.8</v>
      </c>
      <c r="Q177" s="21">
        <f>O177/P177</f>
        <v>0</v>
      </c>
      <c r="R177" s="1485" t="s">
        <v>1860</v>
      </c>
      <c r="S177" s="1486"/>
      <c r="T177" s="1487"/>
      <c r="U177" s="21">
        <f>SUM(U168:U172)</f>
        <v>0</v>
      </c>
      <c r="V177" s="24">
        <v>0.8</v>
      </c>
      <c r="W177" s="21">
        <f>U177/V177</f>
        <v>0</v>
      </c>
    </row>
    <row r="178" spans="1:23" ht="19.5" thickBot="1" x14ac:dyDescent="0.3">
      <c r="A178" s="1661" t="s">
        <v>1990</v>
      </c>
      <c r="B178" s="1662"/>
      <c r="C178" s="501"/>
      <c r="D178" s="501"/>
      <c r="E178" s="501"/>
      <c r="F178" s="501"/>
      <c r="G178" s="190"/>
      <c r="H178" s="191"/>
      <c r="I178" s="191"/>
      <c r="J178" s="191">
        <f>J11+J13+J18+J33+J37+J39+J41+J43+J45+J49+J57+J59+J66+J76+J95+J105+J109+J111+J118+J125+J141+J147+J166+J177</f>
        <v>8.4361200000000007</v>
      </c>
      <c r="K178" s="191"/>
      <c r="L178" s="191">
        <f>L11+L13+L18+L33+L37+L39+L41+L43+L45+L49+L57+L59+L66+L76+L95+L105+L109+L111+L118+L125+L141+L147+L166+L177</f>
        <v>10.54515</v>
      </c>
      <c r="M178" s="191"/>
      <c r="N178" s="191"/>
      <c r="O178" s="191"/>
      <c r="P178" s="190"/>
      <c r="Q178" s="190"/>
      <c r="R178" s="350"/>
      <c r="S178" s="351"/>
      <c r="T178" s="351"/>
      <c r="U178" s="351"/>
      <c r="V178" s="351"/>
      <c r="W178" s="352"/>
    </row>
    <row r="179" spans="1:23" x14ac:dyDescent="0.25">
      <c r="A179" s="153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71"/>
      <c r="M179" s="40"/>
      <c r="N179" s="40"/>
      <c r="O179" s="40"/>
      <c r="P179" s="40"/>
      <c r="Q179" s="40"/>
    </row>
    <row r="180" spans="1:23" x14ac:dyDescent="0.25">
      <c r="A180" s="153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71"/>
      <c r="M180" s="40"/>
      <c r="N180" s="40"/>
      <c r="O180" s="40"/>
      <c r="P180" s="40"/>
      <c r="Q180" s="40"/>
    </row>
    <row r="181" spans="1:23" x14ac:dyDescent="0.25">
      <c r="A181" s="153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71"/>
      <c r="M181" s="40"/>
      <c r="N181" s="40"/>
      <c r="O181" s="40"/>
      <c r="P181" s="40"/>
      <c r="Q181" s="40"/>
    </row>
    <row r="182" spans="1:23" x14ac:dyDescent="0.25">
      <c r="A182" s="153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71"/>
      <c r="M182" s="40"/>
      <c r="N182" s="40"/>
      <c r="O182" s="40"/>
      <c r="P182" s="40"/>
      <c r="Q182" s="40"/>
    </row>
    <row r="183" spans="1:23" x14ac:dyDescent="0.25">
      <c r="A183" s="153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87"/>
      <c r="M183" s="98"/>
      <c r="N183" s="98"/>
      <c r="O183" s="98"/>
      <c r="P183" s="98"/>
      <c r="Q183" s="98"/>
    </row>
    <row r="184" spans="1:23" x14ac:dyDescent="0.25">
      <c r="A184" s="153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87"/>
      <c r="M184" s="98"/>
      <c r="N184" s="98"/>
      <c r="O184" s="98"/>
      <c r="P184" s="98"/>
      <c r="Q184" s="98"/>
    </row>
    <row r="185" spans="1:23" x14ac:dyDescent="0.25">
      <c r="A185" s="153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87"/>
      <c r="M185" s="98"/>
      <c r="N185" s="98"/>
      <c r="O185" s="98"/>
      <c r="P185" s="98"/>
      <c r="Q185" s="98"/>
    </row>
    <row r="186" spans="1:23" x14ac:dyDescent="0.25">
      <c r="A186" s="153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87"/>
      <c r="M186" s="98"/>
      <c r="N186" s="98"/>
      <c r="O186" s="98"/>
      <c r="P186" s="98"/>
      <c r="Q186" s="98"/>
    </row>
    <row r="187" spans="1:23" x14ac:dyDescent="0.25">
      <c r="A187" s="153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87"/>
      <c r="M187" s="98"/>
      <c r="N187" s="98"/>
      <c r="O187" s="98"/>
      <c r="P187" s="98"/>
      <c r="Q187" s="98"/>
    </row>
    <row r="188" spans="1:23" x14ac:dyDescent="0.25">
      <c r="A188" s="153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87"/>
      <c r="M188" s="98"/>
      <c r="N188" s="98"/>
      <c r="O188" s="98"/>
      <c r="P188" s="98"/>
      <c r="Q188" s="98"/>
    </row>
    <row r="189" spans="1:23" x14ac:dyDescent="0.25">
      <c r="A189" s="1492"/>
      <c r="B189" s="1492"/>
      <c r="C189" s="1492"/>
      <c r="D189" s="1492"/>
      <c r="E189" s="1492"/>
      <c r="F189" s="1492"/>
      <c r="G189" s="1492"/>
      <c r="H189" s="1492"/>
      <c r="I189" s="1492"/>
      <c r="J189" s="1492"/>
      <c r="K189" s="1492"/>
      <c r="L189" s="1492"/>
      <c r="M189" s="1492"/>
      <c r="N189" s="1492"/>
      <c r="O189" s="1492"/>
      <c r="P189" s="1492"/>
      <c r="Q189" s="1492"/>
    </row>
    <row r="190" spans="1:23" x14ac:dyDescent="0.25">
      <c r="A190" s="153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1:23" x14ac:dyDescent="0.25">
      <c r="A191" s="153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1:23" x14ac:dyDescent="0.25">
      <c r="A192" s="153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1:17" x14ac:dyDescent="0.25">
      <c r="A193" s="153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1:17" x14ac:dyDescent="0.25">
      <c r="A194" s="153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1:17" x14ac:dyDescent="0.25">
      <c r="A195" s="153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1:17" x14ac:dyDescent="0.25">
      <c r="A196" s="153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1:17" x14ac:dyDescent="0.25">
      <c r="A197" s="153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1:17" x14ac:dyDescent="0.25">
      <c r="A198" s="153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1:17" x14ac:dyDescent="0.25">
      <c r="A199" s="153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1:17" x14ac:dyDescent="0.25">
      <c r="A200" s="153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1:17" x14ac:dyDescent="0.25">
      <c r="A201" s="153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1:17" x14ac:dyDescent="0.25">
      <c r="A202" s="153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1:17" x14ac:dyDescent="0.25">
      <c r="A203" s="153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1:17" x14ac:dyDescent="0.25">
      <c r="A204" s="153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1:17" x14ac:dyDescent="0.25">
      <c r="A205" s="153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1:17" x14ac:dyDescent="0.25">
      <c r="A206" s="153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1:17" x14ac:dyDescent="0.25">
      <c r="A207" s="153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1:17" x14ac:dyDescent="0.25">
      <c r="A208" s="153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1:17" x14ac:dyDescent="0.25">
      <c r="A209" s="153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1:17" x14ac:dyDescent="0.25">
      <c r="A210" s="153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1:17" x14ac:dyDescent="0.25">
      <c r="A211" s="153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1:17" x14ac:dyDescent="0.25">
      <c r="A212" s="153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1:17" x14ac:dyDescent="0.25">
      <c r="A213" s="153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1:17" x14ac:dyDescent="0.25">
      <c r="A214" s="153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1:17" x14ac:dyDescent="0.25">
      <c r="A215" s="153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1:17" x14ac:dyDescent="0.25">
      <c r="A216" s="153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1:17" x14ac:dyDescent="0.25">
      <c r="A217" s="153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1:17" x14ac:dyDescent="0.25">
      <c r="A218" s="1685"/>
      <c r="B218" s="1685"/>
      <c r="C218" s="1685"/>
      <c r="D218" s="1685"/>
      <c r="E218" s="1685"/>
      <c r="F218" s="1685"/>
      <c r="G218" s="1685"/>
      <c r="H218" s="1685"/>
      <c r="I218" s="1685"/>
      <c r="J218" s="1685"/>
      <c r="K218" s="1685"/>
      <c r="L218" s="1685"/>
      <c r="M218" s="1685"/>
      <c r="N218" s="1685"/>
      <c r="O218" s="1685"/>
      <c r="P218" s="1685"/>
      <c r="Q218" s="1685"/>
    </row>
    <row r="219" spans="1:17" x14ac:dyDescent="0.25">
      <c r="A219" s="1492"/>
      <c r="B219" s="1492"/>
      <c r="C219" s="1492"/>
      <c r="D219" s="1492"/>
      <c r="E219" s="1492"/>
      <c r="F219" s="1492"/>
      <c r="G219" s="1492"/>
      <c r="H219" s="1492"/>
      <c r="I219" s="1492"/>
      <c r="J219" s="1492"/>
      <c r="K219" s="1492"/>
      <c r="L219" s="1492"/>
      <c r="M219" s="1492"/>
      <c r="N219" s="1492"/>
      <c r="O219" s="1492"/>
      <c r="P219" s="1492"/>
      <c r="Q219" s="1492"/>
    </row>
    <row r="220" spans="1:17" x14ac:dyDescent="0.25">
      <c r="A220" s="153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87"/>
      <c r="M220" s="98"/>
      <c r="N220" s="98"/>
      <c r="O220" s="98"/>
      <c r="P220" s="98"/>
      <c r="Q220" s="98"/>
    </row>
    <row r="221" spans="1:17" x14ac:dyDescent="0.25">
      <c r="A221" s="153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87"/>
      <c r="M221" s="98"/>
      <c r="N221" s="98"/>
      <c r="O221" s="98"/>
      <c r="P221" s="98"/>
      <c r="Q221" s="98"/>
    </row>
    <row r="222" spans="1:17" x14ac:dyDescent="0.25">
      <c r="A222" s="153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87"/>
      <c r="M222" s="98"/>
      <c r="N222" s="98"/>
      <c r="O222" s="98"/>
      <c r="P222" s="98"/>
      <c r="Q222" s="98"/>
    </row>
    <row r="223" spans="1:17" x14ac:dyDescent="0.25">
      <c r="A223" s="153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87"/>
      <c r="M223" s="98"/>
      <c r="N223" s="98"/>
      <c r="O223" s="98"/>
      <c r="P223" s="98"/>
      <c r="Q223" s="98"/>
    </row>
    <row r="224" spans="1:17" x14ac:dyDescent="0.25">
      <c r="A224" s="153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87"/>
      <c r="M224" s="98"/>
      <c r="N224" s="98"/>
      <c r="O224" s="98"/>
      <c r="P224" s="98"/>
      <c r="Q224" s="98"/>
    </row>
    <row r="225" spans="1:17" x14ac:dyDescent="0.25">
      <c r="A225" s="153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87"/>
      <c r="M225" s="98"/>
      <c r="N225" s="98"/>
      <c r="O225" s="98"/>
      <c r="P225" s="98"/>
      <c r="Q225" s="98"/>
    </row>
    <row r="226" spans="1:17" x14ac:dyDescent="0.25">
      <c r="A226" s="153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87"/>
      <c r="M226" s="98"/>
      <c r="N226" s="98"/>
      <c r="O226" s="98"/>
      <c r="P226" s="98"/>
      <c r="Q226" s="98"/>
    </row>
    <row r="227" spans="1:17" x14ac:dyDescent="0.25">
      <c r="A227" s="153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87"/>
      <c r="M227" s="98"/>
      <c r="N227" s="98"/>
      <c r="O227" s="98"/>
      <c r="P227" s="98"/>
      <c r="Q227" s="98"/>
    </row>
    <row r="228" spans="1:17" x14ac:dyDescent="0.25">
      <c r="A228" s="153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87"/>
      <c r="M228" s="98"/>
      <c r="N228" s="98"/>
      <c r="O228" s="98"/>
      <c r="P228" s="98"/>
      <c r="Q228" s="98"/>
    </row>
    <row r="229" spans="1:17" x14ac:dyDescent="0.25">
      <c r="A229" s="153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87"/>
      <c r="M229" s="98"/>
      <c r="N229" s="98"/>
      <c r="O229" s="98"/>
      <c r="P229" s="98"/>
      <c r="Q229" s="98"/>
    </row>
    <row r="230" spans="1:17" x14ac:dyDescent="0.25">
      <c r="A230" s="153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87"/>
      <c r="M230" s="98"/>
      <c r="N230" s="98"/>
      <c r="O230" s="98"/>
      <c r="P230" s="98"/>
      <c r="Q230" s="98"/>
    </row>
    <row r="231" spans="1:17" x14ac:dyDescent="0.25">
      <c r="A231" s="1492"/>
      <c r="B231" s="1492"/>
      <c r="C231" s="1492"/>
      <c r="D231" s="1492"/>
      <c r="E231" s="1492"/>
      <c r="F231" s="1492"/>
      <c r="G231" s="1492"/>
      <c r="H231" s="1492"/>
      <c r="I231" s="1492"/>
      <c r="J231" s="1492"/>
      <c r="K231" s="1492"/>
      <c r="L231" s="1492"/>
      <c r="M231" s="1492"/>
      <c r="N231" s="1492"/>
      <c r="O231" s="1492"/>
      <c r="P231" s="1492"/>
      <c r="Q231" s="1492"/>
    </row>
    <row r="232" spans="1:17" x14ac:dyDescent="0.25">
      <c r="A232" s="153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1:17" x14ac:dyDescent="0.25">
      <c r="A233" s="153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1:17" x14ac:dyDescent="0.25">
      <c r="A234" s="153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1:17" x14ac:dyDescent="0.25">
      <c r="A235" s="153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1:17" x14ac:dyDescent="0.25">
      <c r="A236" s="153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1:17" x14ac:dyDescent="0.25">
      <c r="A237" s="153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1:17" x14ac:dyDescent="0.25">
      <c r="A238" s="153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1:17" x14ac:dyDescent="0.25">
      <c r="A239" s="153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1:17" x14ac:dyDescent="0.25">
      <c r="A240" s="153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1:17" x14ac:dyDescent="0.25">
      <c r="A241" s="153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1:17" x14ac:dyDescent="0.25">
      <c r="A242" s="153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1:17" x14ac:dyDescent="0.25">
      <c r="A243" s="153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1:17" x14ac:dyDescent="0.25">
      <c r="A244" s="1685"/>
      <c r="B244" s="1685"/>
      <c r="C244" s="1685"/>
      <c r="D244" s="1685"/>
      <c r="E244" s="1685"/>
      <c r="F244" s="1685"/>
      <c r="G244" s="1685"/>
      <c r="H244" s="1685"/>
      <c r="I244" s="1685"/>
      <c r="J244" s="1685"/>
      <c r="K244" s="1685"/>
      <c r="L244" s="1685"/>
      <c r="M244" s="1685"/>
      <c r="N244" s="1685"/>
      <c r="O244" s="1685"/>
      <c r="P244" s="1685"/>
      <c r="Q244" s="1685"/>
    </row>
    <row r="245" spans="1:17" x14ac:dyDescent="0.25">
      <c r="A245" s="1492"/>
      <c r="B245" s="1492"/>
      <c r="C245" s="1492"/>
      <c r="D245" s="1492"/>
      <c r="E245" s="1492"/>
      <c r="F245" s="1492"/>
      <c r="G245" s="1492"/>
      <c r="H245" s="1492"/>
      <c r="I245" s="1492"/>
      <c r="J245" s="1492"/>
      <c r="K245" s="1492"/>
      <c r="L245" s="1492"/>
      <c r="M245" s="1492"/>
      <c r="N245" s="1492"/>
      <c r="O245" s="1492"/>
      <c r="P245" s="1492"/>
      <c r="Q245" s="1492"/>
    </row>
    <row r="246" spans="1:17" x14ac:dyDescent="0.25">
      <c r="A246" s="153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87"/>
      <c r="M246" s="98"/>
      <c r="N246" s="98"/>
      <c r="O246" s="98"/>
      <c r="P246" s="98"/>
      <c r="Q246" s="98"/>
    </row>
    <row r="247" spans="1:17" x14ac:dyDescent="0.25">
      <c r="A247" s="153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87"/>
      <c r="M247" s="98"/>
      <c r="N247" s="98"/>
      <c r="O247" s="98"/>
      <c r="P247" s="98"/>
      <c r="Q247" s="98"/>
    </row>
    <row r="248" spans="1:17" x14ac:dyDescent="0.25">
      <c r="A248" s="153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87"/>
      <c r="M248" s="98"/>
      <c r="N248" s="98"/>
      <c r="O248" s="98"/>
      <c r="P248" s="98"/>
      <c r="Q248" s="98"/>
    </row>
    <row r="249" spans="1:17" x14ac:dyDescent="0.25">
      <c r="A249" s="153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87"/>
      <c r="M249" s="98"/>
      <c r="N249" s="98"/>
      <c r="O249" s="98"/>
      <c r="P249" s="98"/>
      <c r="Q249" s="98"/>
    </row>
    <row r="250" spans="1:17" x14ac:dyDescent="0.25">
      <c r="A250" s="153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87"/>
      <c r="M250" s="98"/>
      <c r="N250" s="98"/>
      <c r="O250" s="98"/>
      <c r="P250" s="98"/>
      <c r="Q250" s="98"/>
    </row>
    <row r="251" spans="1:17" x14ac:dyDescent="0.25">
      <c r="A251" s="153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87"/>
      <c r="M251" s="98"/>
      <c r="N251" s="98"/>
      <c r="O251" s="98"/>
      <c r="P251" s="98"/>
      <c r="Q251" s="98"/>
    </row>
    <row r="252" spans="1:17" x14ac:dyDescent="0.25">
      <c r="A252" s="153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87"/>
      <c r="M252" s="98"/>
      <c r="N252" s="98"/>
      <c r="O252" s="98"/>
      <c r="P252" s="98"/>
      <c r="Q252" s="98"/>
    </row>
    <row r="253" spans="1:17" x14ac:dyDescent="0.25">
      <c r="A253" s="153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87"/>
      <c r="M253" s="98"/>
      <c r="N253" s="98"/>
      <c r="O253" s="98"/>
      <c r="P253" s="98"/>
      <c r="Q253" s="98"/>
    </row>
    <row r="254" spans="1:17" x14ac:dyDescent="0.25">
      <c r="A254" s="153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87"/>
      <c r="M254" s="98"/>
      <c r="N254" s="98"/>
      <c r="O254" s="98"/>
      <c r="P254" s="98"/>
      <c r="Q254" s="98"/>
    </row>
    <row r="255" spans="1:17" x14ac:dyDescent="0.25">
      <c r="A255" s="153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87"/>
      <c r="M255" s="98"/>
      <c r="N255" s="98"/>
      <c r="O255" s="98"/>
      <c r="P255" s="98"/>
      <c r="Q255" s="98"/>
    </row>
    <row r="256" spans="1:17" x14ac:dyDescent="0.25">
      <c r="A256" s="153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87"/>
      <c r="M256" s="98"/>
      <c r="N256" s="98"/>
      <c r="O256" s="98"/>
      <c r="P256" s="98"/>
      <c r="Q256" s="98"/>
    </row>
    <row r="257" spans="1:17" x14ac:dyDescent="0.25">
      <c r="A257" s="153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87"/>
      <c r="M257" s="98"/>
      <c r="N257" s="98"/>
      <c r="O257" s="98"/>
      <c r="P257" s="98"/>
      <c r="Q257" s="98"/>
    </row>
    <row r="258" spans="1:17" x14ac:dyDescent="0.25">
      <c r="A258" s="1492"/>
      <c r="B258" s="1492"/>
      <c r="C258" s="1492"/>
      <c r="D258" s="1492"/>
      <c r="E258" s="1492"/>
      <c r="F258" s="1492"/>
      <c r="G258" s="1492"/>
      <c r="H258" s="1492"/>
      <c r="I258" s="1492"/>
      <c r="J258" s="1492"/>
      <c r="K258" s="1492"/>
      <c r="L258" s="1492"/>
      <c r="M258" s="1492"/>
      <c r="N258" s="1492"/>
      <c r="O258" s="1492"/>
      <c r="P258" s="1492"/>
      <c r="Q258" s="1492"/>
    </row>
    <row r="259" spans="1:17" x14ac:dyDescent="0.25">
      <c r="A259" s="153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</row>
    <row r="260" spans="1:17" x14ac:dyDescent="0.25">
      <c r="A260" s="153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</row>
    <row r="261" spans="1:17" x14ac:dyDescent="0.25">
      <c r="A261" s="153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</row>
    <row r="262" spans="1:17" x14ac:dyDescent="0.25">
      <c r="A262" s="153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</row>
    <row r="263" spans="1:17" x14ac:dyDescent="0.25">
      <c r="A263" s="153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</row>
    <row r="264" spans="1:17" x14ac:dyDescent="0.25">
      <c r="A264" s="153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</row>
    <row r="265" spans="1:17" x14ac:dyDescent="0.25">
      <c r="A265" s="1685"/>
      <c r="B265" s="1685"/>
      <c r="C265" s="1685"/>
      <c r="D265" s="1685"/>
      <c r="E265" s="1685"/>
      <c r="F265" s="1685"/>
      <c r="G265" s="1685"/>
      <c r="H265" s="1685"/>
      <c r="I265" s="1685"/>
      <c r="J265" s="1685"/>
      <c r="K265" s="1685"/>
      <c r="L265" s="1685"/>
      <c r="M265" s="1685"/>
      <c r="N265" s="1685"/>
      <c r="O265" s="1685"/>
      <c r="P265" s="1685"/>
      <c r="Q265" s="1685"/>
    </row>
    <row r="266" spans="1:17" x14ac:dyDescent="0.25">
      <c r="A266" s="1492"/>
      <c r="B266" s="1492"/>
      <c r="C266" s="1492"/>
      <c r="D266" s="1492"/>
      <c r="E266" s="1492"/>
      <c r="F266" s="1492"/>
      <c r="G266" s="1492"/>
      <c r="H266" s="1492"/>
      <c r="I266" s="1492"/>
      <c r="J266" s="1492"/>
      <c r="K266" s="1492"/>
      <c r="L266" s="1492"/>
      <c r="M266" s="1492"/>
      <c r="N266" s="1492"/>
      <c r="O266" s="1492"/>
      <c r="P266" s="1492"/>
      <c r="Q266" s="1492"/>
    </row>
    <row r="267" spans="1:17" x14ac:dyDescent="0.25">
      <c r="A267" s="153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87"/>
      <c r="M267" s="98"/>
      <c r="N267" s="98"/>
      <c r="O267" s="98"/>
      <c r="P267" s="98"/>
      <c r="Q267" s="98"/>
    </row>
    <row r="268" spans="1:17" x14ac:dyDescent="0.25">
      <c r="A268" s="153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87"/>
      <c r="M268" s="98"/>
      <c r="N268" s="98"/>
      <c r="O268" s="98"/>
      <c r="P268" s="98"/>
      <c r="Q268" s="98"/>
    </row>
    <row r="269" spans="1:17" x14ac:dyDescent="0.25">
      <c r="A269" s="153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87"/>
      <c r="M269" s="98"/>
      <c r="N269" s="98"/>
      <c r="O269" s="98"/>
      <c r="P269" s="98"/>
      <c r="Q269" s="98"/>
    </row>
    <row r="270" spans="1:17" x14ac:dyDescent="0.25">
      <c r="A270" s="153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87"/>
      <c r="M270" s="98"/>
      <c r="N270" s="98"/>
      <c r="O270" s="98"/>
      <c r="P270" s="98"/>
      <c r="Q270" s="98"/>
    </row>
    <row r="271" spans="1:17" x14ac:dyDescent="0.25">
      <c r="A271" s="153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87"/>
      <c r="M271" s="98"/>
      <c r="N271" s="98"/>
      <c r="O271" s="98"/>
      <c r="P271" s="98"/>
      <c r="Q271" s="98"/>
    </row>
    <row r="272" spans="1:17" x14ac:dyDescent="0.25">
      <c r="A272" s="153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</row>
    <row r="273" spans="1:17" x14ac:dyDescent="0.25">
      <c r="A273" s="15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</row>
    <row r="274" spans="1:17" x14ac:dyDescent="0.25">
      <c r="A274" s="153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</row>
    <row r="275" spans="1:17" x14ac:dyDescent="0.25">
      <c r="A275" s="1492"/>
      <c r="B275" s="1492"/>
      <c r="C275" s="1492"/>
      <c r="D275" s="1492"/>
      <c r="E275" s="1492"/>
      <c r="F275" s="1492"/>
      <c r="G275" s="1492"/>
      <c r="H275" s="1492"/>
      <c r="I275" s="1492"/>
      <c r="J275" s="1492"/>
      <c r="K275" s="1492"/>
      <c r="L275" s="1492"/>
      <c r="M275" s="1492"/>
      <c r="N275" s="1492"/>
      <c r="O275" s="1492"/>
      <c r="P275" s="1492"/>
      <c r="Q275" s="1492"/>
    </row>
    <row r="276" spans="1:17" x14ac:dyDescent="0.25">
      <c r="A276" s="153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</row>
    <row r="277" spans="1:17" x14ac:dyDescent="0.25">
      <c r="A277" s="153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</row>
    <row r="278" spans="1:17" x14ac:dyDescent="0.25">
      <c r="A278" s="153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</row>
    <row r="279" spans="1:17" x14ac:dyDescent="0.25">
      <c r="A279" s="153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</row>
    <row r="280" spans="1:17" x14ac:dyDescent="0.25">
      <c r="A280" s="153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</row>
    <row r="281" spans="1:17" x14ac:dyDescent="0.25">
      <c r="A281" s="153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</row>
    <row r="282" spans="1:17" x14ac:dyDescent="0.25">
      <c r="A282" s="153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</row>
    <row r="283" spans="1:17" x14ac:dyDescent="0.25">
      <c r="A283" s="153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</row>
    <row r="284" spans="1:17" x14ac:dyDescent="0.25">
      <c r="A284" s="153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  <row r="285" spans="1:17" x14ac:dyDescent="0.25">
      <c r="A285" s="153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</row>
    <row r="286" spans="1:17" x14ac:dyDescent="0.25">
      <c r="L286" s="3"/>
    </row>
    <row r="287" spans="1:17" x14ac:dyDescent="0.25">
      <c r="L287" s="3"/>
    </row>
    <row r="288" spans="1:17" x14ac:dyDescent="0.25">
      <c r="L288" s="3"/>
    </row>
    <row r="289" spans="12:12" x14ac:dyDescent="0.25">
      <c r="L289" s="3"/>
    </row>
    <row r="290" spans="12:12" x14ac:dyDescent="0.25">
      <c r="L290" s="3"/>
    </row>
    <row r="291" spans="12:12" x14ac:dyDescent="0.25">
      <c r="L291" s="3"/>
    </row>
    <row r="292" spans="12:12" x14ac:dyDescent="0.25">
      <c r="L292" s="3"/>
    </row>
    <row r="293" spans="12:12" x14ac:dyDescent="0.25">
      <c r="L293" s="3"/>
    </row>
    <row r="294" spans="12:12" x14ac:dyDescent="0.25">
      <c r="L294" s="3"/>
    </row>
    <row r="295" spans="12:12" x14ac:dyDescent="0.25">
      <c r="L295" s="3"/>
    </row>
    <row r="296" spans="12:12" x14ac:dyDescent="0.25">
      <c r="L296" s="3"/>
    </row>
    <row r="297" spans="12:12" x14ac:dyDescent="0.25">
      <c r="L297" s="3"/>
    </row>
  </sheetData>
  <mergeCells count="241">
    <mergeCell ref="M11:N11"/>
    <mergeCell ref="G18:I18"/>
    <mergeCell ref="M13:N13"/>
    <mergeCell ref="G14:L14"/>
    <mergeCell ref="G26:L26"/>
    <mergeCell ref="G16:L16"/>
    <mergeCell ref="B2:F5"/>
    <mergeCell ref="G11:I11"/>
    <mergeCell ref="G119:L119"/>
    <mergeCell ref="G118:I118"/>
    <mergeCell ref="G98:L98"/>
    <mergeCell ref="G13:I13"/>
    <mergeCell ref="G45:I45"/>
    <mergeCell ref="G51:I51"/>
    <mergeCell ref="G105:I105"/>
    <mergeCell ref="G10:I10"/>
    <mergeCell ref="G9:L9"/>
    <mergeCell ref="G93:L93"/>
    <mergeCell ref="G94:I94"/>
    <mergeCell ref="G116:L116"/>
    <mergeCell ref="M33:N33"/>
    <mergeCell ref="G43:I43"/>
    <mergeCell ref="G39:I39"/>
    <mergeCell ref="M41:N41"/>
    <mergeCell ref="A2:A5"/>
    <mergeCell ref="G2:L2"/>
    <mergeCell ref="M2:Q2"/>
    <mergeCell ref="G3:L4"/>
    <mergeCell ref="M3:Q4"/>
    <mergeCell ref="M109:N109"/>
    <mergeCell ref="M39:N39"/>
    <mergeCell ref="G34:L34"/>
    <mergeCell ref="G76:I76"/>
    <mergeCell ref="G57:I57"/>
    <mergeCell ref="M95:N95"/>
    <mergeCell ref="M18:N18"/>
    <mergeCell ref="M45:N45"/>
    <mergeCell ref="G33:I33"/>
    <mergeCell ref="G22:L22"/>
    <mergeCell ref="M105:N105"/>
    <mergeCell ref="M76:N76"/>
    <mergeCell ref="M66:N66"/>
    <mergeCell ref="G46:L46"/>
    <mergeCell ref="G77:L77"/>
    <mergeCell ref="G7:L7"/>
    <mergeCell ref="G24:L24"/>
    <mergeCell ref="G19:L19"/>
    <mergeCell ref="G37:I37"/>
    <mergeCell ref="A275:Q275"/>
    <mergeCell ref="G166:I166"/>
    <mergeCell ref="M166:N166"/>
    <mergeCell ref="A218:Q218"/>
    <mergeCell ref="A178:B178"/>
    <mergeCell ref="G158:L158"/>
    <mergeCell ref="C167:C168"/>
    <mergeCell ref="G167:L167"/>
    <mergeCell ref="M141:N141"/>
    <mergeCell ref="G148:L148"/>
    <mergeCell ref="M147:N147"/>
    <mergeCell ref="A258:Q258"/>
    <mergeCell ref="G154:L154"/>
    <mergeCell ref="G169:L169"/>
    <mergeCell ref="A167:A168"/>
    <mergeCell ref="B167:B168"/>
    <mergeCell ref="G177:I177"/>
    <mergeCell ref="A244:Q244"/>
    <mergeCell ref="A231:Q231"/>
    <mergeCell ref="M177:N177"/>
    <mergeCell ref="A219:Q219"/>
    <mergeCell ref="G175:L175"/>
    <mergeCell ref="G176:I176"/>
    <mergeCell ref="G173:L173"/>
    <mergeCell ref="A266:Q266"/>
    <mergeCell ref="A126:A127"/>
    <mergeCell ref="B126:B127"/>
    <mergeCell ref="A189:Q189"/>
    <mergeCell ref="A245:Q245"/>
    <mergeCell ref="A148:A149"/>
    <mergeCell ref="B148:B149"/>
    <mergeCell ref="G128:L128"/>
    <mergeCell ref="D167:D168"/>
    <mergeCell ref="G142:L142"/>
    <mergeCell ref="M134:N134"/>
    <mergeCell ref="G137:L137"/>
    <mergeCell ref="G134:I134"/>
    <mergeCell ref="A265:Q265"/>
    <mergeCell ref="G141:I141"/>
    <mergeCell ref="A135:A136"/>
    <mergeCell ref="B135:B136"/>
    <mergeCell ref="G135:L135"/>
    <mergeCell ref="G126:L126"/>
    <mergeCell ref="C126:C127"/>
    <mergeCell ref="D126:D127"/>
    <mergeCell ref="G163:I163"/>
    <mergeCell ref="G164:L164"/>
    <mergeCell ref="G41:I41"/>
    <mergeCell ref="M37:N37"/>
    <mergeCell ref="M43:N43"/>
    <mergeCell ref="M118:N118"/>
    <mergeCell ref="B119:B120"/>
    <mergeCell ref="G125:I125"/>
    <mergeCell ref="M125:N125"/>
    <mergeCell ref="G123:L123"/>
    <mergeCell ref="G121:L121"/>
    <mergeCell ref="M49:N49"/>
    <mergeCell ref="M59:N59"/>
    <mergeCell ref="G67:L67"/>
    <mergeCell ref="G49:I49"/>
    <mergeCell ref="G59:I59"/>
    <mergeCell ref="G60:L60"/>
    <mergeCell ref="M51:N51"/>
    <mergeCell ref="G66:I66"/>
    <mergeCell ref="M57:N57"/>
    <mergeCell ref="B60:B61"/>
    <mergeCell ref="C114:C115"/>
    <mergeCell ref="D114:D115"/>
    <mergeCell ref="C96:C97"/>
    <mergeCell ref="D96:D97"/>
    <mergeCell ref="G88:L88"/>
    <mergeCell ref="A67:A68"/>
    <mergeCell ref="B67:B68"/>
    <mergeCell ref="A77:A78"/>
    <mergeCell ref="A60:A61"/>
    <mergeCell ref="A96:A97"/>
    <mergeCell ref="A46:A47"/>
    <mergeCell ref="A14:A15"/>
    <mergeCell ref="B14:B15"/>
    <mergeCell ref="A19:A20"/>
    <mergeCell ref="B19:B20"/>
    <mergeCell ref="A34:A35"/>
    <mergeCell ref="B34:B35"/>
    <mergeCell ref="B46:B47"/>
    <mergeCell ref="B77:B78"/>
    <mergeCell ref="B96:B97"/>
    <mergeCell ref="G95:I95"/>
    <mergeCell ref="C77:C78"/>
    <mergeCell ref="D77:D78"/>
    <mergeCell ref="G83:L83"/>
    <mergeCell ref="G86:L86"/>
    <mergeCell ref="A114:A115"/>
    <mergeCell ref="B114:B115"/>
    <mergeCell ref="A119:A120"/>
    <mergeCell ref="G96:L96"/>
    <mergeCell ref="G113:I113"/>
    <mergeCell ref="R19:W19"/>
    <mergeCell ref="R22:W22"/>
    <mergeCell ref="R24:W24"/>
    <mergeCell ref="R33:T33"/>
    <mergeCell ref="R34:W34"/>
    <mergeCell ref="R37:T37"/>
    <mergeCell ref="R2:W2"/>
    <mergeCell ref="R3:W4"/>
    <mergeCell ref="R11:T11"/>
    <mergeCell ref="R13:T13"/>
    <mergeCell ref="R14:W14"/>
    <mergeCell ref="R18:T18"/>
    <mergeCell ref="R51:T51"/>
    <mergeCell ref="R57:T57"/>
    <mergeCell ref="R59:T59"/>
    <mergeCell ref="R60:W60"/>
    <mergeCell ref="R66:T66"/>
    <mergeCell ref="R67:W67"/>
    <mergeCell ref="R76:T76"/>
    <mergeCell ref="R39:T39"/>
    <mergeCell ref="R41:T41"/>
    <mergeCell ref="R43:T43"/>
    <mergeCell ref="R45:T45"/>
    <mergeCell ref="R46:W46"/>
    <mergeCell ref="R49:T49"/>
    <mergeCell ref="A1:W1"/>
    <mergeCell ref="R158:W158"/>
    <mergeCell ref="R166:T166"/>
    <mergeCell ref="R167:W167"/>
    <mergeCell ref="B6:F6"/>
    <mergeCell ref="C60:C61"/>
    <mergeCell ref="D60:D61"/>
    <mergeCell ref="C67:C68"/>
    <mergeCell ref="G130:L130"/>
    <mergeCell ref="R148:W148"/>
    <mergeCell ref="R116:W116"/>
    <mergeCell ref="G151:L151"/>
    <mergeCell ref="R111:T111"/>
    <mergeCell ref="R113:T113"/>
    <mergeCell ref="R114:W114"/>
    <mergeCell ref="R151:W151"/>
    <mergeCell ref="R118:T118"/>
    <mergeCell ref="R119:W119"/>
    <mergeCell ref="G145:L145"/>
    <mergeCell ref="R77:W77"/>
    <mergeCell ref="R83:W83"/>
    <mergeCell ref="R86:W86"/>
    <mergeCell ref="R95:T95"/>
    <mergeCell ref="R96:W96"/>
    <mergeCell ref="R169:W169"/>
    <mergeCell ref="R177:T177"/>
    <mergeCell ref="G62:L62"/>
    <mergeCell ref="R137:W137"/>
    <mergeCell ref="R141:T141"/>
    <mergeCell ref="R147:T147"/>
    <mergeCell ref="R134:T134"/>
    <mergeCell ref="R135:W135"/>
    <mergeCell ref="G70:L70"/>
    <mergeCell ref="R154:W154"/>
    <mergeCell ref="R121:W121"/>
    <mergeCell ref="R125:T125"/>
    <mergeCell ref="R126:W126"/>
    <mergeCell ref="R128:W128"/>
    <mergeCell ref="R98:W98"/>
    <mergeCell ref="R105:T105"/>
    <mergeCell ref="R109:T109"/>
    <mergeCell ref="M113:N113"/>
    <mergeCell ref="G109:I109"/>
    <mergeCell ref="G111:I111"/>
    <mergeCell ref="M111:N111"/>
    <mergeCell ref="G101:L101"/>
    <mergeCell ref="M96:P96"/>
    <mergeCell ref="G162:L162"/>
    <mergeCell ref="G52:L52"/>
    <mergeCell ref="G53:I53"/>
    <mergeCell ref="G29:L29"/>
    <mergeCell ref="G147:I147"/>
    <mergeCell ref="G114:L114"/>
    <mergeCell ref="D135:D136"/>
    <mergeCell ref="C148:C149"/>
    <mergeCell ref="D148:D149"/>
    <mergeCell ref="E119:E120"/>
    <mergeCell ref="D119:D120"/>
    <mergeCell ref="C119:C120"/>
    <mergeCell ref="G32:I32"/>
    <mergeCell ref="C135:C136"/>
    <mergeCell ref="D67:D68"/>
    <mergeCell ref="G107:I107"/>
    <mergeCell ref="G106:L106"/>
    <mergeCell ref="G139:L139"/>
    <mergeCell ref="G140:I140"/>
    <mergeCell ref="G64:L64"/>
    <mergeCell ref="G65:I65"/>
    <mergeCell ref="G104:I104"/>
    <mergeCell ref="G132:L132"/>
    <mergeCell ref="G133:I133"/>
    <mergeCell ref="G91:L91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W587"/>
  <sheetViews>
    <sheetView zoomScale="55" zoomScaleNormal="55" workbookViewId="0">
      <selection activeCell="R3" sqref="R3:W4"/>
    </sheetView>
  </sheetViews>
  <sheetFormatPr defaultRowHeight="15" x14ac:dyDescent="0.25"/>
  <cols>
    <col min="1" max="1" width="26.7109375" style="135" customWidth="1"/>
    <col min="2" max="2" width="6.7109375" style="18" customWidth="1"/>
    <col min="3" max="3" width="3.7109375" style="18" customWidth="1"/>
    <col min="4" max="4" width="6.7109375" style="18" customWidth="1"/>
    <col min="5" max="5" width="3.7109375" style="18" customWidth="1"/>
    <col min="6" max="6" width="15.7109375" style="18" customWidth="1"/>
    <col min="7" max="7" width="24.140625" style="18" customWidth="1"/>
    <col min="8" max="8" width="25.7109375" style="18" customWidth="1"/>
    <col min="9" max="11" width="15.7109375" style="18" customWidth="1"/>
    <col min="12" max="12" width="15.7109375" style="106" customWidth="1"/>
    <col min="13" max="13" width="16.85546875" style="18" customWidth="1"/>
    <col min="14" max="14" width="25.42578125" style="18" customWidth="1"/>
    <col min="15" max="17" width="15.7109375" style="18" customWidth="1"/>
    <col min="18" max="18" width="22.85546875" style="68" customWidth="1"/>
    <col min="19" max="19" width="23.28515625" style="44" customWidth="1"/>
    <col min="20" max="16384" width="9.140625" style="44"/>
  </cols>
  <sheetData>
    <row r="1" spans="1:23" ht="15.75" customHeight="1" x14ac:dyDescent="0.25">
      <c r="A1" s="1481" t="s">
        <v>2235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</row>
    <row r="2" spans="1:23" ht="15" customHeight="1" x14ac:dyDescent="0.25">
      <c r="A2" s="1526" t="s">
        <v>331</v>
      </c>
      <c r="B2" s="1529" t="s">
        <v>1786</v>
      </c>
      <c r="C2" s="1530"/>
      <c r="D2" s="1530"/>
      <c r="E2" s="1530"/>
      <c r="F2" s="1531"/>
      <c r="G2" s="1537" t="s">
        <v>1841</v>
      </c>
      <c r="H2" s="1538"/>
      <c r="I2" s="1538"/>
      <c r="J2" s="1538"/>
      <c r="K2" s="1538"/>
      <c r="L2" s="1539"/>
      <c r="M2" s="1489" t="s">
        <v>1842</v>
      </c>
      <c r="N2" s="1489"/>
      <c r="O2" s="1489"/>
      <c r="P2" s="1489"/>
      <c r="Q2" s="1489"/>
      <c r="R2" s="1489" t="s">
        <v>2535</v>
      </c>
      <c r="S2" s="1489"/>
      <c r="T2" s="1489"/>
      <c r="U2" s="1489"/>
      <c r="V2" s="1489"/>
      <c r="W2" s="1489"/>
    </row>
    <row r="3" spans="1:23" ht="15" customHeight="1" x14ac:dyDescent="0.25">
      <c r="A3" s="1527"/>
      <c r="B3" s="1532"/>
      <c r="C3" s="1492"/>
      <c r="D3" s="1492"/>
      <c r="E3" s="1492"/>
      <c r="F3" s="1533"/>
      <c r="G3" s="1490" t="s">
        <v>1845</v>
      </c>
      <c r="H3" s="1489"/>
      <c r="I3" s="1489"/>
      <c r="J3" s="1489"/>
      <c r="K3" s="1489"/>
      <c r="L3" s="1489"/>
      <c r="M3" s="1490" t="s">
        <v>1846</v>
      </c>
      <c r="N3" s="1489"/>
      <c r="O3" s="1489"/>
      <c r="P3" s="1489"/>
      <c r="Q3" s="1489"/>
      <c r="R3" s="1490" t="s">
        <v>2536</v>
      </c>
      <c r="S3" s="1489"/>
      <c r="T3" s="1489"/>
      <c r="U3" s="1489"/>
      <c r="V3" s="1489"/>
      <c r="W3" s="1489"/>
    </row>
    <row r="4" spans="1:23" x14ac:dyDescent="0.25">
      <c r="A4" s="1527"/>
      <c r="B4" s="1532"/>
      <c r="C4" s="1492"/>
      <c r="D4" s="1492"/>
      <c r="E4" s="1492"/>
      <c r="F4" s="1533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</row>
    <row r="5" spans="1:23" ht="45" x14ac:dyDescent="0.25">
      <c r="A5" s="1528"/>
      <c r="B5" s="1534"/>
      <c r="C5" s="1535"/>
      <c r="D5" s="1535"/>
      <c r="E5" s="1535"/>
      <c r="F5" s="1536"/>
      <c r="G5" s="1" t="s">
        <v>1849</v>
      </c>
      <c r="H5" s="1" t="s">
        <v>1855</v>
      </c>
      <c r="I5" s="1" t="s">
        <v>1851</v>
      </c>
      <c r="J5" s="1" t="s">
        <v>1852</v>
      </c>
      <c r="K5" s="1" t="s">
        <v>1853</v>
      </c>
      <c r="L5" s="22" t="s">
        <v>1854</v>
      </c>
      <c r="M5" s="1" t="s">
        <v>1849</v>
      </c>
      <c r="N5" s="1" t="s">
        <v>1855</v>
      </c>
      <c r="O5" s="1" t="s">
        <v>1852</v>
      </c>
      <c r="P5" s="1" t="s">
        <v>1853</v>
      </c>
      <c r="Q5" s="1" t="s">
        <v>1854</v>
      </c>
      <c r="R5" s="1" t="s">
        <v>1849</v>
      </c>
      <c r="S5" s="1" t="s">
        <v>1855</v>
      </c>
      <c r="T5" s="1" t="s">
        <v>1851</v>
      </c>
      <c r="U5" s="1" t="s">
        <v>1852</v>
      </c>
      <c r="V5" s="1" t="s">
        <v>1853</v>
      </c>
      <c r="W5" s="22" t="s">
        <v>1854</v>
      </c>
    </row>
    <row r="6" spans="1:23" ht="15.75" thickBot="1" x14ac:dyDescent="0.3">
      <c r="A6" s="183">
        <v>1</v>
      </c>
      <c r="B6" s="1482">
        <v>2</v>
      </c>
      <c r="C6" s="1483"/>
      <c r="D6" s="1483"/>
      <c r="E6" s="1483"/>
      <c r="F6" s="1484"/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269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269">
        <v>19</v>
      </c>
    </row>
    <row r="7" spans="1:23" ht="56.25" customHeight="1" x14ac:dyDescent="0.25">
      <c r="A7" s="414" t="str">
        <f>'Расчет ЦП - общая форма'!C206</f>
        <v>ПС 110/10 кВ Бибирево</v>
      </c>
      <c r="B7" s="398">
        <f>'Расчет ЦП - общая форма'!D206</f>
        <v>2.5</v>
      </c>
      <c r="C7" s="399"/>
      <c r="D7" s="399"/>
      <c r="E7" s="399"/>
      <c r="F7" s="400"/>
      <c r="G7" s="9"/>
      <c r="H7" s="9"/>
      <c r="I7" s="9"/>
      <c r="J7" s="9"/>
      <c r="K7" s="9"/>
      <c r="L7" s="51"/>
      <c r="M7" s="9" t="s">
        <v>765</v>
      </c>
      <c r="N7" s="9" t="s">
        <v>766</v>
      </c>
      <c r="O7" s="9">
        <v>3.5000000000000003E-2</v>
      </c>
      <c r="P7" s="9"/>
      <c r="Q7" s="9"/>
      <c r="R7" s="9"/>
      <c r="S7" s="9"/>
      <c r="T7" s="104"/>
      <c r="U7" s="9"/>
      <c r="V7" s="9"/>
      <c r="W7" s="51"/>
    </row>
    <row r="8" spans="1:23" ht="56.25" customHeight="1" x14ac:dyDescent="0.25">
      <c r="A8" s="408"/>
      <c r="B8" s="615"/>
      <c r="C8" s="616"/>
      <c r="D8" s="616"/>
      <c r="E8" s="616"/>
      <c r="F8" s="613"/>
      <c r="G8" s="1"/>
      <c r="H8" s="1"/>
      <c r="I8" s="1"/>
      <c r="J8" s="1"/>
      <c r="K8" s="1"/>
      <c r="L8" s="22"/>
      <c r="M8" s="1" t="s">
        <v>2469</v>
      </c>
      <c r="N8" s="1" t="s">
        <v>2547</v>
      </c>
      <c r="O8" s="1">
        <v>2.5000000000000001E-2</v>
      </c>
      <c r="P8" s="1"/>
      <c r="Q8" s="1"/>
      <c r="R8" s="1"/>
      <c r="S8" s="1"/>
      <c r="T8" s="41"/>
      <c r="U8" s="128"/>
      <c r="V8" s="128"/>
      <c r="W8" s="69"/>
    </row>
    <row r="9" spans="1:23" ht="15.75" customHeight="1" thickBot="1" x14ac:dyDescent="0.3">
      <c r="A9" s="409"/>
      <c r="B9" s="394"/>
      <c r="C9" s="395"/>
      <c r="D9" s="395"/>
      <c r="E9" s="395"/>
      <c r="F9" s="396"/>
      <c r="G9" s="1483" t="s">
        <v>1860</v>
      </c>
      <c r="H9" s="1483"/>
      <c r="I9" s="1484"/>
      <c r="J9" s="13">
        <f>SUM(J7:J7)</f>
        <v>0</v>
      </c>
      <c r="K9" s="14">
        <v>0.8</v>
      </c>
      <c r="L9" s="13">
        <f>J9/K9</f>
        <v>0</v>
      </c>
      <c r="M9" s="1482" t="s">
        <v>1861</v>
      </c>
      <c r="N9" s="1484"/>
      <c r="O9" s="13">
        <f>SUM(O7:O8)</f>
        <v>6.0000000000000005E-2</v>
      </c>
      <c r="P9" s="14">
        <v>0.8</v>
      </c>
      <c r="Q9" s="13">
        <f>O9/P9</f>
        <v>7.4999999999999997E-2</v>
      </c>
      <c r="R9" s="1482" t="s">
        <v>1860</v>
      </c>
      <c r="S9" s="1483"/>
      <c r="T9" s="1484"/>
      <c r="U9" s="13">
        <f>SUM(U7:U7)</f>
        <v>0</v>
      </c>
      <c r="V9" s="14">
        <v>0.8</v>
      </c>
      <c r="W9" s="13">
        <f>U9/V9</f>
        <v>0</v>
      </c>
    </row>
    <row r="10" spans="1:23" x14ac:dyDescent="0.25">
      <c r="A10" s="406" t="str">
        <f>'Расчет ЦП - общая форма'!C207</f>
        <v>ПС 35/10 кВ Бор</v>
      </c>
      <c r="B10" s="398">
        <f>'Расчет ЦП - общая форма'!D207</f>
        <v>1.6</v>
      </c>
      <c r="C10" s="399"/>
      <c r="D10" s="399"/>
      <c r="E10" s="399"/>
      <c r="F10" s="400"/>
      <c r="G10" s="265"/>
      <c r="H10" s="142"/>
      <c r="I10" s="1"/>
      <c r="J10" s="17"/>
      <c r="K10" s="17"/>
      <c r="L10" s="73"/>
      <c r="M10" s="17"/>
      <c r="N10" s="17"/>
      <c r="O10" s="17"/>
      <c r="P10" s="17"/>
      <c r="Q10" s="17"/>
      <c r="R10" s="142"/>
      <c r="S10" s="142"/>
      <c r="T10" s="1"/>
      <c r="U10" s="17"/>
      <c r="V10" s="17"/>
      <c r="W10" s="73"/>
    </row>
    <row r="11" spans="1:23" ht="15.75" customHeight="1" thickBot="1" x14ac:dyDescent="0.3">
      <c r="A11" s="405"/>
      <c r="B11" s="394"/>
      <c r="C11" s="395"/>
      <c r="D11" s="395"/>
      <c r="E11" s="395"/>
      <c r="F11" s="396"/>
      <c r="G11" s="1483" t="s">
        <v>1860</v>
      </c>
      <c r="H11" s="1483"/>
      <c r="I11" s="1484"/>
      <c r="J11" s="13">
        <f>SUM(J10:J10)</f>
        <v>0</v>
      </c>
      <c r="K11" s="14">
        <v>0.8</v>
      </c>
      <c r="L11" s="13">
        <f>J11/K11</f>
        <v>0</v>
      </c>
      <c r="M11" s="1482" t="s">
        <v>1861</v>
      </c>
      <c r="N11" s="1484"/>
      <c r="O11" s="13">
        <f>SUM(O10:O10)</f>
        <v>0</v>
      </c>
      <c r="P11" s="14">
        <v>0.8</v>
      </c>
      <c r="Q11" s="13">
        <f>O11/P11</f>
        <v>0</v>
      </c>
      <c r="R11" s="1482" t="s">
        <v>1860</v>
      </c>
      <c r="S11" s="1483"/>
      <c r="T11" s="1484"/>
      <c r="U11" s="13">
        <f>SUM(U10:U10)</f>
        <v>0</v>
      </c>
      <c r="V11" s="14">
        <v>0.8</v>
      </c>
      <c r="W11" s="13">
        <f>U11/V11</f>
        <v>0</v>
      </c>
    </row>
    <row r="12" spans="1:23" x14ac:dyDescent="0.25">
      <c r="A12" s="406" t="str">
        <f>'Расчет ЦП - общая форма'!C208</f>
        <v>ПС 110/10 кВ Воробьи</v>
      </c>
      <c r="B12" s="398">
        <f>'Расчет ЦП - общая форма'!D208</f>
        <v>2.5</v>
      </c>
      <c r="C12" s="399"/>
      <c r="D12" s="399"/>
      <c r="E12" s="399"/>
      <c r="F12" s="400"/>
      <c r="G12" s="265"/>
      <c r="H12" s="142"/>
      <c r="I12" s="1"/>
      <c r="J12" s="1"/>
      <c r="K12" s="17"/>
      <c r="L12" s="73"/>
      <c r="M12" s="17"/>
      <c r="N12" s="17"/>
      <c r="O12" s="17"/>
      <c r="P12" s="17"/>
      <c r="Q12" s="17"/>
      <c r="R12" s="142"/>
      <c r="S12" s="142"/>
      <c r="T12" s="1"/>
      <c r="U12" s="1"/>
      <c r="V12" s="17"/>
      <c r="W12" s="73"/>
    </row>
    <row r="13" spans="1:23" ht="15.75" customHeight="1" thickBot="1" x14ac:dyDescent="0.3">
      <c r="A13" s="405"/>
      <c r="B13" s="394"/>
      <c r="C13" s="395"/>
      <c r="D13" s="395"/>
      <c r="E13" s="395"/>
      <c r="F13" s="396"/>
      <c r="G13" s="1483" t="s">
        <v>1860</v>
      </c>
      <c r="H13" s="1483"/>
      <c r="I13" s="1484"/>
      <c r="J13" s="13">
        <f>SUM(J12:J12)</f>
        <v>0</v>
      </c>
      <c r="K13" s="14">
        <v>0.8</v>
      </c>
      <c r="L13" s="13">
        <f>J13/K13</f>
        <v>0</v>
      </c>
      <c r="M13" s="1482" t="s">
        <v>1861</v>
      </c>
      <c r="N13" s="1484"/>
      <c r="O13" s="13">
        <f>SUM(O12:O12)</f>
        <v>0</v>
      </c>
      <c r="P13" s="14">
        <v>0.8</v>
      </c>
      <c r="Q13" s="13">
        <f>O13/P13</f>
        <v>0</v>
      </c>
      <c r="R13" s="1482" t="s">
        <v>1860</v>
      </c>
      <c r="S13" s="1483"/>
      <c r="T13" s="1484"/>
      <c r="U13" s="13">
        <f>SUM(U12:U12)</f>
        <v>0</v>
      </c>
      <c r="V13" s="14">
        <v>0.8</v>
      </c>
      <c r="W13" s="13">
        <f>U13/V13</f>
        <v>0</v>
      </c>
    </row>
    <row r="14" spans="1:23" x14ac:dyDescent="0.25">
      <c r="A14" s="406" t="str">
        <f>'Расчет ЦП - общая форма'!C209</f>
        <v>ПС 35/10 кВ Глазомичи</v>
      </c>
      <c r="B14" s="398">
        <f>'Расчет ЦП - общая форма'!D209</f>
        <v>2.5</v>
      </c>
      <c r="C14" s="399"/>
      <c r="D14" s="399"/>
      <c r="E14" s="399"/>
      <c r="F14" s="400"/>
      <c r="G14" s="43"/>
      <c r="H14" s="17"/>
      <c r="I14" s="17"/>
      <c r="J14" s="17"/>
      <c r="K14" s="17"/>
      <c r="L14" s="7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73"/>
    </row>
    <row r="15" spans="1:23" ht="15.75" customHeight="1" thickBot="1" x14ac:dyDescent="0.3">
      <c r="A15" s="405"/>
      <c r="B15" s="394"/>
      <c r="C15" s="395"/>
      <c r="D15" s="395"/>
      <c r="E15" s="395"/>
      <c r="F15" s="396"/>
      <c r="G15" s="1483" t="s">
        <v>1860</v>
      </c>
      <c r="H15" s="1483"/>
      <c r="I15" s="1484"/>
      <c r="J15" s="13">
        <f>SUM(J14:J14)</f>
        <v>0</v>
      </c>
      <c r="K15" s="14">
        <v>0.8</v>
      </c>
      <c r="L15" s="13">
        <f>J15/K15</f>
        <v>0</v>
      </c>
      <c r="M15" s="1482" t="s">
        <v>1861</v>
      </c>
      <c r="N15" s="1484"/>
      <c r="O15" s="13">
        <f>SUM(O14:O14)</f>
        <v>0</v>
      </c>
      <c r="P15" s="14">
        <v>0.8</v>
      </c>
      <c r="Q15" s="13">
        <f>O15/P15</f>
        <v>0</v>
      </c>
      <c r="R15" s="1482" t="s">
        <v>1860</v>
      </c>
      <c r="S15" s="1483"/>
      <c r="T15" s="1484"/>
      <c r="U15" s="13">
        <f>SUM(U14:U14)</f>
        <v>0</v>
      </c>
      <c r="V15" s="14">
        <v>0.8</v>
      </c>
      <c r="W15" s="13">
        <f>U15/V15</f>
        <v>0</v>
      </c>
    </row>
    <row r="16" spans="1:23" ht="21.75" customHeight="1" x14ac:dyDescent="0.25">
      <c r="A16" s="1683" t="str">
        <f>'Расчет ЦП - общая форма'!C210</f>
        <v>ПС 35/10 кВ Жарки</v>
      </c>
      <c r="B16" s="1551">
        <f>'Расчет ЦП - общая форма'!D210</f>
        <v>10</v>
      </c>
      <c r="C16" s="399"/>
      <c r="D16" s="399"/>
      <c r="E16" s="399"/>
      <c r="F16" s="400"/>
      <c r="G16" s="1695" t="s">
        <v>2352</v>
      </c>
      <c r="H16" s="1696"/>
      <c r="I16" s="1696"/>
      <c r="J16" s="1696"/>
      <c r="K16" s="1696"/>
      <c r="L16" s="1696"/>
      <c r="M16" s="9" t="s">
        <v>2095</v>
      </c>
      <c r="N16" s="9" t="s">
        <v>2096</v>
      </c>
      <c r="O16" s="9">
        <v>2.8000000000000001E-2</v>
      </c>
      <c r="P16" s="1"/>
      <c r="Q16" s="1"/>
      <c r="R16" s="1682"/>
      <c r="S16" s="1682"/>
      <c r="T16" s="1682"/>
      <c r="U16" s="1682"/>
      <c r="V16" s="1682"/>
      <c r="W16" s="1682"/>
    </row>
    <row r="17" spans="1:23" ht="120" x14ac:dyDescent="0.25">
      <c r="A17" s="1540"/>
      <c r="B17" s="1501"/>
      <c r="C17" s="403"/>
      <c r="D17" s="403"/>
      <c r="E17" s="403"/>
      <c r="F17" s="404"/>
      <c r="G17" s="152" t="s">
        <v>1891</v>
      </c>
      <c r="H17" s="1" t="s">
        <v>2093</v>
      </c>
      <c r="I17" s="1" t="s">
        <v>2094</v>
      </c>
      <c r="J17" s="1">
        <v>5.1999999999999998E-2</v>
      </c>
      <c r="K17" s="1"/>
      <c r="L17" s="22"/>
      <c r="M17" s="1" t="s">
        <v>2047</v>
      </c>
      <c r="N17" s="1" t="s">
        <v>2048</v>
      </c>
      <c r="O17" s="1">
        <v>0.03</v>
      </c>
      <c r="P17" s="1"/>
      <c r="Q17" s="1"/>
      <c r="R17" s="22"/>
      <c r="S17" s="22"/>
      <c r="T17" s="22"/>
      <c r="U17" s="22"/>
      <c r="V17" s="22"/>
      <c r="W17" s="22"/>
    </row>
    <row r="18" spans="1:23" ht="27.75" customHeight="1" x14ac:dyDescent="0.25">
      <c r="A18" s="689"/>
      <c r="B18" s="690"/>
      <c r="C18" s="692"/>
      <c r="D18" s="692"/>
      <c r="E18" s="692"/>
      <c r="F18" s="688"/>
      <c r="G18" s="1695" t="s">
        <v>3068</v>
      </c>
      <c r="H18" s="1696"/>
      <c r="I18" s="1696"/>
      <c r="J18" s="1696"/>
      <c r="K18" s="1696"/>
      <c r="L18" s="1696"/>
      <c r="M18" s="1" t="s">
        <v>2694</v>
      </c>
      <c r="N18" s="1" t="s">
        <v>2695</v>
      </c>
      <c r="O18" s="1">
        <v>0.05</v>
      </c>
      <c r="P18" s="1"/>
      <c r="Q18" s="1"/>
      <c r="R18" s="22"/>
      <c r="S18" s="22"/>
      <c r="T18" s="22"/>
      <c r="U18" s="22"/>
      <c r="V18" s="22"/>
      <c r="W18" s="22"/>
    </row>
    <row r="19" spans="1:23" ht="90" x14ac:dyDescent="0.25">
      <c r="A19" s="1034"/>
      <c r="B19" s="1032"/>
      <c r="C19" s="1036"/>
      <c r="D19" s="1036"/>
      <c r="E19" s="1036"/>
      <c r="F19" s="1033"/>
      <c r="G19" s="1" t="s">
        <v>3158</v>
      </c>
      <c r="H19" s="1" t="s">
        <v>3159</v>
      </c>
      <c r="I19" s="1" t="s">
        <v>3198</v>
      </c>
      <c r="J19" s="1">
        <v>0.03</v>
      </c>
      <c r="K19" s="1"/>
      <c r="L19" s="22"/>
      <c r="M19" s="1"/>
      <c r="N19" s="1"/>
      <c r="O19" s="1"/>
      <c r="P19" s="24"/>
      <c r="Q19" s="24"/>
      <c r="R19" s="129"/>
      <c r="S19" s="660"/>
      <c r="T19" s="130"/>
      <c r="U19" s="62"/>
      <c r="V19" s="62"/>
      <c r="W19" s="62"/>
    </row>
    <row r="20" spans="1:23" ht="15.75" customHeight="1" thickBot="1" x14ac:dyDescent="0.3">
      <c r="A20" s="405"/>
      <c r="B20" s="394"/>
      <c r="C20" s="395"/>
      <c r="D20" s="395"/>
      <c r="E20" s="395"/>
      <c r="F20" s="396"/>
      <c r="G20" s="1483" t="s">
        <v>1860</v>
      </c>
      <c r="H20" s="1483"/>
      <c r="I20" s="1484"/>
      <c r="J20" s="13">
        <f>SUM(J19)</f>
        <v>0.03</v>
      </c>
      <c r="K20" s="14">
        <v>0.8</v>
      </c>
      <c r="L20" s="13">
        <f>J20/K20</f>
        <v>3.7499999999999999E-2</v>
      </c>
      <c r="M20" s="1482" t="s">
        <v>1861</v>
      </c>
      <c r="N20" s="1484"/>
      <c r="O20" s="13">
        <f>SUM(O16:O19)</f>
        <v>0.108</v>
      </c>
      <c r="P20" s="14">
        <v>0.8</v>
      </c>
      <c r="Q20" s="13">
        <f>O20/P20</f>
        <v>0.13499999999999998</v>
      </c>
      <c r="R20" s="1482" t="s">
        <v>1860</v>
      </c>
      <c r="S20" s="1483"/>
      <c r="T20" s="1484"/>
      <c r="U20" s="13">
        <f>SUM(U17:U17)</f>
        <v>0</v>
      </c>
      <c r="V20" s="14">
        <v>0.8</v>
      </c>
      <c r="W20" s="13">
        <f>U20/V20</f>
        <v>0</v>
      </c>
    </row>
    <row r="21" spans="1:23" ht="20.25" customHeight="1" x14ac:dyDescent="0.25">
      <c r="A21" s="1683" t="str">
        <f>'Расчет ЦП - общая форма'!C211</f>
        <v>ПС 35/10 кВ Земцы</v>
      </c>
      <c r="B21" s="1551">
        <f>'Расчет ЦП - общая форма'!D211</f>
        <v>2.5</v>
      </c>
      <c r="C21" s="399"/>
      <c r="D21" s="399"/>
      <c r="E21" s="399"/>
      <c r="F21" s="400"/>
      <c r="G21" s="1695" t="s">
        <v>2062</v>
      </c>
      <c r="H21" s="1696"/>
      <c r="I21" s="1696"/>
      <c r="J21" s="1696"/>
      <c r="K21" s="1696"/>
      <c r="L21" s="1696"/>
      <c r="M21" s="51" t="s">
        <v>1308</v>
      </c>
      <c r="N21" s="51" t="s">
        <v>1309</v>
      </c>
      <c r="O21" s="51">
        <v>2.1999999999999999E-2</v>
      </c>
      <c r="P21" s="51"/>
      <c r="Q21" s="51"/>
      <c r="R21" s="1697"/>
      <c r="S21" s="1682"/>
      <c r="T21" s="1682"/>
      <c r="U21" s="1682"/>
      <c r="V21" s="1682"/>
      <c r="W21" s="1682"/>
    </row>
    <row r="22" spans="1:23" ht="53.25" customHeight="1" x14ac:dyDescent="0.25">
      <c r="A22" s="1540"/>
      <c r="B22" s="1501"/>
      <c r="C22" s="403"/>
      <c r="D22" s="403"/>
      <c r="E22" s="403"/>
      <c r="F22" s="404"/>
      <c r="G22" s="266" t="s">
        <v>1429</v>
      </c>
      <c r="H22" s="11" t="s">
        <v>1430</v>
      </c>
      <c r="I22" s="211" t="s">
        <v>2247</v>
      </c>
      <c r="J22" s="1">
        <v>9.9000000000000005E-2</v>
      </c>
      <c r="K22" s="1"/>
      <c r="L22" s="22"/>
      <c r="M22" s="22"/>
      <c r="N22" s="22"/>
      <c r="O22" s="22"/>
      <c r="P22" s="22"/>
      <c r="Q22" s="22"/>
      <c r="R22" s="347"/>
      <c r="S22" s="35"/>
      <c r="T22" s="348"/>
      <c r="U22" s="22"/>
      <c r="V22" s="22"/>
      <c r="W22" s="22"/>
    </row>
    <row r="23" spans="1:23" ht="15.75" customHeight="1" thickBot="1" x14ac:dyDescent="0.3">
      <c r="A23" s="405"/>
      <c r="B23" s="394"/>
      <c r="C23" s="395"/>
      <c r="D23" s="395"/>
      <c r="E23" s="395"/>
      <c r="F23" s="396"/>
      <c r="G23" s="1484" t="s">
        <v>1860</v>
      </c>
      <c r="H23" s="1517"/>
      <c r="I23" s="1517"/>
      <c r="J23" s="13">
        <f>SUM(0)</f>
        <v>0</v>
      </c>
      <c r="K23" s="14">
        <v>0.8</v>
      </c>
      <c r="L23" s="13">
        <f>J23/K23</f>
        <v>0</v>
      </c>
      <c r="M23" s="1517" t="s">
        <v>1861</v>
      </c>
      <c r="N23" s="1517"/>
      <c r="O23" s="13">
        <f>SUM(O21:O21)</f>
        <v>2.1999999999999999E-2</v>
      </c>
      <c r="P23" s="14">
        <v>0.8</v>
      </c>
      <c r="Q23" s="13">
        <f>O23/P23</f>
        <v>2.7499999999999997E-2</v>
      </c>
      <c r="R23" s="1484" t="s">
        <v>1860</v>
      </c>
      <c r="S23" s="1517"/>
      <c r="T23" s="1517"/>
      <c r="U23" s="13">
        <f>SUM(U22:U22)</f>
        <v>0</v>
      </c>
      <c r="V23" s="14">
        <v>0.8</v>
      </c>
      <c r="W23" s="13">
        <f>U23/V23</f>
        <v>0</v>
      </c>
    </row>
    <row r="24" spans="1:23" x14ac:dyDescent="0.25">
      <c r="A24" s="406" t="str">
        <f>'Расчет ЦП - общая форма'!C212</f>
        <v>ПС 35/10 кВ Ковалево</v>
      </c>
      <c r="B24" s="398">
        <f>'Расчет ЦП - общая форма'!D212</f>
        <v>2.5</v>
      </c>
      <c r="C24" s="399"/>
      <c r="D24" s="399"/>
      <c r="E24" s="399"/>
      <c r="F24" s="400"/>
      <c r="G24" s="262"/>
      <c r="H24" s="42"/>
      <c r="I24" s="42"/>
      <c r="J24" s="9"/>
      <c r="K24" s="9"/>
      <c r="L24" s="51"/>
      <c r="M24" s="9"/>
      <c r="N24" s="9"/>
      <c r="O24" s="9"/>
      <c r="P24" s="9"/>
      <c r="Q24" s="9"/>
      <c r="R24" s="42"/>
      <c r="S24" s="42"/>
      <c r="T24" s="42"/>
      <c r="U24" s="9"/>
      <c r="V24" s="9"/>
      <c r="W24" s="51"/>
    </row>
    <row r="25" spans="1:23" ht="15.75" customHeight="1" thickBot="1" x14ac:dyDescent="0.3">
      <c r="A25" s="405"/>
      <c r="B25" s="394"/>
      <c r="C25" s="395"/>
      <c r="D25" s="395"/>
      <c r="E25" s="395"/>
      <c r="F25" s="396"/>
      <c r="G25" s="1483" t="s">
        <v>1860</v>
      </c>
      <c r="H25" s="1483"/>
      <c r="I25" s="1484"/>
      <c r="J25" s="13">
        <f>SUM(J24:J24)</f>
        <v>0</v>
      </c>
      <c r="K25" s="14">
        <v>0.8</v>
      </c>
      <c r="L25" s="13">
        <f>J25/K25</f>
        <v>0</v>
      </c>
      <c r="M25" s="1482" t="s">
        <v>1861</v>
      </c>
      <c r="N25" s="1484"/>
      <c r="O25" s="13">
        <f>SUM(O24:O24)</f>
        <v>0</v>
      </c>
      <c r="P25" s="14">
        <v>0.8</v>
      </c>
      <c r="Q25" s="13">
        <f>O25/P25</f>
        <v>0</v>
      </c>
      <c r="R25" s="1482" t="s">
        <v>1860</v>
      </c>
      <c r="S25" s="1483"/>
      <c r="T25" s="1484"/>
      <c r="U25" s="13">
        <f>SUM(U24:U24)</f>
        <v>0</v>
      </c>
      <c r="V25" s="14">
        <v>0.8</v>
      </c>
      <c r="W25" s="13">
        <f>U25/V25</f>
        <v>0</v>
      </c>
    </row>
    <row r="26" spans="1:23" x14ac:dyDescent="0.25">
      <c r="A26" s="406" t="str">
        <f>'Расчет ЦП - общая форма'!C213</f>
        <v>ПС 35/10 кВ Коротыши</v>
      </c>
      <c r="B26" s="398">
        <f>'Расчет ЦП - общая форма'!D213</f>
        <v>1.6</v>
      </c>
      <c r="C26" s="399"/>
      <c r="D26" s="399"/>
      <c r="E26" s="399"/>
      <c r="F26" s="400"/>
      <c r="G26" s="43"/>
      <c r="H26" s="17"/>
      <c r="I26" s="17"/>
      <c r="J26" s="17"/>
      <c r="K26" s="17"/>
      <c r="L26" s="7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3"/>
    </row>
    <row r="27" spans="1:23" ht="15.75" customHeight="1" thickBot="1" x14ac:dyDescent="0.3">
      <c r="A27" s="405"/>
      <c r="B27" s="394"/>
      <c r="C27" s="395"/>
      <c r="D27" s="395"/>
      <c r="E27" s="395"/>
      <c r="F27" s="396"/>
      <c r="G27" s="1483" t="s">
        <v>1860</v>
      </c>
      <c r="H27" s="1483"/>
      <c r="I27" s="1484"/>
      <c r="J27" s="13">
        <f>SUM(J26:J26)</f>
        <v>0</v>
      </c>
      <c r="K27" s="14">
        <v>0.8</v>
      </c>
      <c r="L27" s="13">
        <f>J27/K27</f>
        <v>0</v>
      </c>
      <c r="M27" s="1482" t="s">
        <v>1861</v>
      </c>
      <c r="N27" s="1484"/>
      <c r="O27" s="13">
        <f>SUM(O26:O26)</f>
        <v>0</v>
      </c>
      <c r="P27" s="14">
        <v>0.8</v>
      </c>
      <c r="Q27" s="13">
        <f>O27/P27</f>
        <v>0</v>
      </c>
      <c r="R27" s="1482" t="s">
        <v>1860</v>
      </c>
      <c r="S27" s="1483"/>
      <c r="T27" s="1484"/>
      <c r="U27" s="13">
        <f>SUM(U26:U26)</f>
        <v>0</v>
      </c>
      <c r="V27" s="14">
        <v>0.8</v>
      </c>
      <c r="W27" s="13">
        <f>U27/V27</f>
        <v>0</v>
      </c>
    </row>
    <row r="28" spans="1:23" x14ac:dyDescent="0.25">
      <c r="A28" s="1683" t="str">
        <f>'Расчет ЦП - общая форма'!C214</f>
        <v>ПС 110/10 кВ Монино</v>
      </c>
      <c r="B28" s="1551">
        <f>'Расчет ЦП - общая форма'!D214</f>
        <v>6.3</v>
      </c>
      <c r="C28" s="399"/>
      <c r="D28" s="399"/>
      <c r="E28" s="399"/>
      <c r="F28" s="400"/>
      <c r="G28" s="1695" t="s">
        <v>2352</v>
      </c>
      <c r="H28" s="1696"/>
      <c r="I28" s="1696"/>
      <c r="J28" s="1696"/>
      <c r="K28" s="1696"/>
      <c r="L28" s="1696"/>
      <c r="M28" s="51"/>
      <c r="N28" s="51"/>
      <c r="O28" s="51"/>
      <c r="P28" s="51"/>
      <c r="Q28" s="51"/>
      <c r="R28" s="1697"/>
      <c r="S28" s="1682"/>
      <c r="T28" s="1682"/>
      <c r="U28" s="1682"/>
      <c r="V28" s="1682"/>
      <c r="W28" s="1682"/>
    </row>
    <row r="29" spans="1:23" ht="45" x14ac:dyDescent="0.25">
      <c r="A29" s="1540"/>
      <c r="B29" s="1501"/>
      <c r="C29" s="403"/>
      <c r="D29" s="403"/>
      <c r="E29" s="403"/>
      <c r="F29" s="404"/>
      <c r="G29" s="152" t="s">
        <v>1300</v>
      </c>
      <c r="H29" s="1" t="s">
        <v>1301</v>
      </c>
      <c r="I29" s="1" t="s">
        <v>1302</v>
      </c>
      <c r="J29" s="1">
        <v>3.2000000000000001E-2</v>
      </c>
      <c r="K29" s="1"/>
      <c r="L29" s="22"/>
      <c r="M29" s="22" t="s">
        <v>1303</v>
      </c>
      <c r="N29" s="22" t="s">
        <v>1304</v>
      </c>
      <c r="O29" s="22">
        <v>0.1</v>
      </c>
      <c r="P29" s="22"/>
      <c r="Q29" s="22"/>
      <c r="R29" s="270"/>
      <c r="S29" s="22"/>
      <c r="T29" s="22"/>
      <c r="U29" s="22"/>
      <c r="V29" s="22"/>
      <c r="W29" s="22"/>
    </row>
    <row r="30" spans="1:23" ht="39" customHeight="1" x14ac:dyDescent="0.25">
      <c r="A30" s="401"/>
      <c r="B30" s="402"/>
      <c r="C30" s="403"/>
      <c r="D30" s="403"/>
      <c r="E30" s="403"/>
      <c r="F30" s="404"/>
      <c r="G30" s="152" t="s">
        <v>1305</v>
      </c>
      <c r="H30" s="1" t="s">
        <v>1306</v>
      </c>
      <c r="I30" s="1" t="s">
        <v>1307</v>
      </c>
      <c r="J30" s="1">
        <v>0.1</v>
      </c>
      <c r="K30" s="1"/>
      <c r="L30" s="22"/>
      <c r="M30" s="22" t="s">
        <v>3311</v>
      </c>
      <c r="N30" s="22" t="s">
        <v>3312</v>
      </c>
      <c r="O30" s="22">
        <v>0.04</v>
      </c>
      <c r="P30" s="22"/>
      <c r="Q30" s="22"/>
      <c r="R30" s="270"/>
      <c r="S30" s="22"/>
      <c r="T30" s="22"/>
      <c r="U30" s="22"/>
      <c r="V30" s="22"/>
      <c r="W30" s="22"/>
    </row>
    <row r="31" spans="1:23" ht="15.75" customHeight="1" thickBot="1" x14ac:dyDescent="0.3">
      <c r="A31" s="405"/>
      <c r="B31" s="394"/>
      <c r="C31" s="395"/>
      <c r="D31" s="395"/>
      <c r="E31" s="395"/>
      <c r="F31" s="396"/>
      <c r="G31" s="1484" t="s">
        <v>1860</v>
      </c>
      <c r="H31" s="1517"/>
      <c r="I31" s="1517"/>
      <c r="J31" s="13">
        <f>SUM(0)</f>
        <v>0</v>
      </c>
      <c r="K31" s="14">
        <v>0.8</v>
      </c>
      <c r="L31" s="13">
        <f>J31/K31</f>
        <v>0</v>
      </c>
      <c r="M31" s="1517" t="s">
        <v>1861</v>
      </c>
      <c r="N31" s="1517"/>
      <c r="O31" s="13">
        <f>SUM(O29:O30)</f>
        <v>0.14000000000000001</v>
      </c>
      <c r="P31" s="14">
        <v>0.8</v>
      </c>
      <c r="Q31" s="13">
        <f>O31/P31</f>
        <v>0.17500000000000002</v>
      </c>
      <c r="R31" s="1484" t="s">
        <v>1860</v>
      </c>
      <c r="S31" s="1517"/>
      <c r="T31" s="1517"/>
      <c r="U31" s="13">
        <f>SUM(U29:U30)</f>
        <v>0</v>
      </c>
      <c r="V31" s="14">
        <v>0.8</v>
      </c>
      <c r="W31" s="13">
        <f>U31/V31</f>
        <v>0</v>
      </c>
    </row>
    <row r="32" spans="1:23" x14ac:dyDescent="0.25">
      <c r="A32" s="406" t="str">
        <f>'Расчет ЦП - общая форма'!C215</f>
        <v>ПС 35/10 кВ Озерец</v>
      </c>
      <c r="B32" s="398">
        <f>'Расчет ЦП - общая форма'!D215</f>
        <v>1</v>
      </c>
      <c r="C32" s="399"/>
      <c r="D32" s="399"/>
      <c r="E32" s="399"/>
      <c r="F32" s="400"/>
      <c r="G32" s="104"/>
      <c r="H32" s="9"/>
      <c r="I32" s="9"/>
      <c r="J32" s="9"/>
      <c r="K32" s="9"/>
      <c r="L32" s="51"/>
      <c r="M32" s="9"/>
      <c r="N32" s="9"/>
      <c r="O32" s="9"/>
      <c r="P32" s="9"/>
      <c r="Q32" s="9"/>
      <c r="R32" s="9"/>
      <c r="S32" s="9"/>
      <c r="T32" s="9"/>
      <c r="U32" s="9"/>
      <c r="V32" s="9"/>
      <c r="W32" s="51"/>
    </row>
    <row r="33" spans="1:23" ht="15.75" customHeight="1" thickBot="1" x14ac:dyDescent="0.3">
      <c r="A33" s="405"/>
      <c r="B33" s="394"/>
      <c r="C33" s="395"/>
      <c r="D33" s="395"/>
      <c r="E33" s="395"/>
      <c r="F33" s="396"/>
      <c r="G33" s="1483" t="s">
        <v>1860</v>
      </c>
      <c r="H33" s="1483"/>
      <c r="I33" s="1484"/>
      <c r="J33" s="13">
        <f>SUM(J32:J32)</f>
        <v>0</v>
      </c>
      <c r="K33" s="14">
        <v>0.8</v>
      </c>
      <c r="L33" s="13">
        <f>J33/K33</f>
        <v>0</v>
      </c>
      <c r="M33" s="1485" t="s">
        <v>1861</v>
      </c>
      <c r="N33" s="1487"/>
      <c r="O33" s="21">
        <f>SUM(O32:O32)</f>
        <v>0</v>
      </c>
      <c r="P33" s="14">
        <v>0.8</v>
      </c>
      <c r="Q33" s="13">
        <f>O33/P33</f>
        <v>0</v>
      </c>
      <c r="R33" s="1482" t="s">
        <v>1860</v>
      </c>
      <c r="S33" s="1483"/>
      <c r="T33" s="1484"/>
      <c r="U33" s="13">
        <f>SUM(U32:U32)</f>
        <v>0</v>
      </c>
      <c r="V33" s="14">
        <v>0.8</v>
      </c>
      <c r="W33" s="13">
        <f>U33/V33</f>
        <v>0</v>
      </c>
    </row>
    <row r="34" spans="1:23" x14ac:dyDescent="0.25">
      <c r="A34" s="406" t="str">
        <f>'Расчет ЦП - общая форма'!C216</f>
        <v>ПС 35/10 кВ Пожня</v>
      </c>
      <c r="B34" s="398">
        <f>'Расчет ЦП - общая форма'!D216</f>
        <v>1.6</v>
      </c>
      <c r="C34" s="399"/>
      <c r="D34" s="399"/>
      <c r="E34" s="399"/>
      <c r="F34" s="400"/>
      <c r="G34" s="270"/>
      <c r="H34" s="143"/>
      <c r="I34" s="143"/>
      <c r="J34" s="9"/>
      <c r="L34" s="73"/>
      <c r="M34" s="1"/>
      <c r="N34" s="1"/>
      <c r="O34" s="1"/>
      <c r="P34" s="17"/>
      <c r="Q34" s="17"/>
      <c r="R34" s="22"/>
      <c r="S34" s="143"/>
      <c r="T34" s="143"/>
      <c r="U34" s="9"/>
      <c r="V34" s="18"/>
      <c r="W34" s="73"/>
    </row>
    <row r="35" spans="1:23" ht="15.75" customHeight="1" thickBot="1" x14ac:dyDescent="0.3">
      <c r="A35" s="405"/>
      <c r="B35" s="394"/>
      <c r="C35" s="395"/>
      <c r="D35" s="395"/>
      <c r="E35" s="395"/>
      <c r="F35" s="396"/>
      <c r="G35" s="1483" t="s">
        <v>1860</v>
      </c>
      <c r="H35" s="1483"/>
      <c r="I35" s="1484"/>
      <c r="J35" s="13">
        <f>SUM(J34:J34)</f>
        <v>0</v>
      </c>
      <c r="K35" s="14">
        <v>0.8</v>
      </c>
      <c r="L35" s="13">
        <f>J35/K35</f>
        <v>0</v>
      </c>
      <c r="M35" s="1482" t="s">
        <v>1861</v>
      </c>
      <c r="N35" s="1484"/>
      <c r="O35" s="13">
        <f>SUM(O34:O34)</f>
        <v>0</v>
      </c>
      <c r="P35" s="14">
        <v>0.8</v>
      </c>
      <c r="Q35" s="13">
        <f>O35/P35</f>
        <v>0</v>
      </c>
      <c r="R35" s="1482" t="s">
        <v>1860</v>
      </c>
      <c r="S35" s="1483"/>
      <c r="T35" s="1484"/>
      <c r="U35" s="13">
        <f>SUM(U34:U34)</f>
        <v>0</v>
      </c>
      <c r="V35" s="14">
        <v>0.8</v>
      </c>
      <c r="W35" s="13">
        <f>U35/V35</f>
        <v>0</v>
      </c>
    </row>
    <row r="36" spans="1:23" x14ac:dyDescent="0.25">
      <c r="A36" s="406" t="str">
        <f>'Расчет ЦП - общая форма'!C217</f>
        <v>ПС 35/10 кВ Половцово</v>
      </c>
      <c r="B36" s="398">
        <f>'Расчет ЦП - общая форма'!D217</f>
        <v>1.6</v>
      </c>
      <c r="C36" s="399"/>
      <c r="D36" s="399"/>
      <c r="E36" s="399"/>
      <c r="F36" s="400"/>
      <c r="G36" s="270"/>
      <c r="H36" s="142"/>
      <c r="I36" s="143"/>
      <c r="J36" s="1"/>
      <c r="K36" s="17"/>
      <c r="L36" s="73"/>
      <c r="M36" s="17"/>
      <c r="N36" s="17"/>
      <c r="O36" s="17"/>
      <c r="P36" s="17"/>
      <c r="Q36" s="17"/>
      <c r="R36" s="22"/>
      <c r="S36" s="142"/>
      <c r="T36" s="143"/>
      <c r="U36" s="1"/>
      <c r="V36" s="17"/>
      <c r="W36" s="73"/>
    </row>
    <row r="37" spans="1:23" ht="15.75" customHeight="1" thickBot="1" x14ac:dyDescent="0.3">
      <c r="A37" s="405"/>
      <c r="B37" s="394"/>
      <c r="C37" s="395"/>
      <c r="D37" s="395"/>
      <c r="E37" s="395"/>
      <c r="F37" s="396"/>
      <c r="G37" s="1483" t="s">
        <v>1860</v>
      </c>
      <c r="H37" s="1483"/>
      <c r="I37" s="1484"/>
      <c r="J37" s="13">
        <f>SUM(J36:J36)</f>
        <v>0</v>
      </c>
      <c r="K37" s="14">
        <v>0.8</v>
      </c>
      <c r="L37" s="13">
        <f>J37/K37</f>
        <v>0</v>
      </c>
      <c r="M37" s="1482" t="s">
        <v>1861</v>
      </c>
      <c r="N37" s="1484"/>
      <c r="O37" s="13">
        <f>SUM(O36:O36)</f>
        <v>0</v>
      </c>
      <c r="P37" s="14">
        <v>0.8</v>
      </c>
      <c r="Q37" s="13">
        <f>O37/P37</f>
        <v>0</v>
      </c>
      <c r="R37" s="1482" t="s">
        <v>1860</v>
      </c>
      <c r="S37" s="1483"/>
      <c r="T37" s="1484"/>
      <c r="U37" s="13">
        <f>SUM(U36:U36)</f>
        <v>0</v>
      </c>
      <c r="V37" s="14">
        <v>0.8</v>
      </c>
      <c r="W37" s="13">
        <f>U37/V37</f>
        <v>0</v>
      </c>
    </row>
    <row r="38" spans="1:23" x14ac:dyDescent="0.25">
      <c r="A38" s="406" t="str">
        <f>'Расчет ЦП - общая форма'!C218</f>
        <v>ПС 110/10 кВ Понизовье</v>
      </c>
      <c r="B38" s="398">
        <f>'Расчет ЦП - общая форма'!D218</f>
        <v>2.5</v>
      </c>
      <c r="C38" s="399"/>
      <c r="D38" s="399"/>
      <c r="E38" s="399"/>
      <c r="F38" s="400"/>
      <c r="G38" s="184"/>
      <c r="H38" s="143"/>
      <c r="I38" s="9"/>
      <c r="J38" s="9"/>
      <c r="K38" s="17"/>
      <c r="L38" s="73"/>
      <c r="M38" s="17"/>
      <c r="N38" s="17"/>
      <c r="O38" s="17"/>
      <c r="P38" s="17"/>
      <c r="Q38" s="17"/>
      <c r="R38" s="143"/>
      <c r="S38" s="143"/>
      <c r="T38" s="9"/>
      <c r="U38" s="9"/>
      <c r="V38" s="17"/>
      <c r="W38" s="73"/>
    </row>
    <row r="39" spans="1:23" ht="15.75" customHeight="1" thickBot="1" x14ac:dyDescent="0.3">
      <c r="A39" s="405"/>
      <c r="B39" s="394"/>
      <c r="C39" s="395"/>
      <c r="D39" s="395"/>
      <c r="E39" s="395"/>
      <c r="F39" s="396"/>
      <c r="G39" s="1699" t="s">
        <v>1860</v>
      </c>
      <c r="H39" s="1699"/>
      <c r="I39" s="1699"/>
      <c r="J39" s="13">
        <f>SUM(J38:J38)</f>
        <v>0</v>
      </c>
      <c r="K39" s="14">
        <v>0.8</v>
      </c>
      <c r="L39" s="13">
        <f>J39/K39</f>
        <v>0</v>
      </c>
      <c r="M39" s="1482" t="s">
        <v>1861</v>
      </c>
      <c r="N39" s="1484"/>
      <c r="O39" s="13">
        <f>SUM(O38:O38)</f>
        <v>0</v>
      </c>
      <c r="P39" s="14">
        <v>0.8</v>
      </c>
      <c r="Q39" s="13">
        <f>O39/P39</f>
        <v>0</v>
      </c>
      <c r="R39" s="1482" t="s">
        <v>1860</v>
      </c>
      <c r="S39" s="1483"/>
      <c r="T39" s="1484"/>
      <c r="U39" s="13">
        <f>SUM(U38:U38)</f>
        <v>0</v>
      </c>
      <c r="V39" s="14">
        <v>0.8</v>
      </c>
      <c r="W39" s="13">
        <f>U39/V39</f>
        <v>0</v>
      </c>
    </row>
    <row r="40" spans="1:23" ht="17.25" customHeight="1" x14ac:dyDescent="0.25">
      <c r="A40" s="1683" t="str">
        <f>'Расчет ЦП - общая форма'!C219</f>
        <v>ПС 35/10 кВ Синьково</v>
      </c>
      <c r="B40" s="1551">
        <f>'Расчет ЦП - общая форма'!D219</f>
        <v>1</v>
      </c>
      <c r="C40" s="399"/>
      <c r="D40" s="399"/>
      <c r="E40" s="399"/>
      <c r="F40" s="400"/>
      <c r="G40" s="1695" t="s">
        <v>2062</v>
      </c>
      <c r="H40" s="1696"/>
      <c r="I40" s="1696"/>
      <c r="J40" s="1696"/>
      <c r="K40" s="1696"/>
      <c r="L40" s="1696"/>
      <c r="M40" s="51" t="s">
        <v>797</v>
      </c>
      <c r="N40" s="51" t="s">
        <v>798</v>
      </c>
      <c r="O40" s="51">
        <v>0.03</v>
      </c>
      <c r="P40" s="51"/>
      <c r="Q40" s="51"/>
      <c r="R40" s="1682"/>
      <c r="S40" s="1682"/>
      <c r="T40" s="1682"/>
      <c r="U40" s="1682"/>
      <c r="V40" s="1682"/>
      <c r="W40" s="1682"/>
    </row>
    <row r="41" spans="1:23" ht="84" customHeight="1" x14ac:dyDescent="0.25">
      <c r="A41" s="1540"/>
      <c r="B41" s="1501"/>
      <c r="C41" s="403"/>
      <c r="D41" s="403"/>
      <c r="E41" s="403"/>
      <c r="F41" s="404"/>
      <c r="G41" s="152" t="s">
        <v>2023</v>
      </c>
      <c r="H41" s="1" t="s">
        <v>2024</v>
      </c>
      <c r="I41" s="1" t="s">
        <v>2262</v>
      </c>
      <c r="J41" s="143">
        <v>0.08</v>
      </c>
      <c r="K41" s="1"/>
      <c r="L41" s="22"/>
      <c r="M41" s="22"/>
      <c r="N41" s="22"/>
      <c r="O41" s="22"/>
      <c r="P41" s="22"/>
      <c r="Q41" s="22"/>
      <c r="R41" s="22"/>
      <c r="S41" s="22"/>
      <c r="T41" s="22"/>
      <c r="U41" s="142"/>
      <c r="V41" s="22"/>
      <c r="W41" s="22"/>
    </row>
    <row r="42" spans="1:23" ht="16.5" customHeight="1" x14ac:dyDescent="0.25">
      <c r="A42" s="1034"/>
      <c r="B42" s="1032"/>
      <c r="C42" s="1036"/>
      <c r="D42" s="1036"/>
      <c r="E42" s="1036"/>
      <c r="F42" s="1033"/>
      <c r="G42" s="1695" t="s">
        <v>3068</v>
      </c>
      <c r="H42" s="1696"/>
      <c r="I42" s="1696"/>
      <c r="J42" s="1696"/>
      <c r="K42" s="1696"/>
      <c r="L42" s="1696"/>
      <c r="M42" s="653"/>
      <c r="N42" s="310"/>
      <c r="O42" s="69"/>
      <c r="P42" s="69"/>
      <c r="Q42" s="69"/>
      <c r="R42" s="653"/>
      <c r="S42" s="71"/>
      <c r="T42" s="310"/>
      <c r="U42" s="157"/>
      <c r="V42" s="69"/>
      <c r="W42" s="69"/>
    </row>
    <row r="43" spans="1:23" ht="66" customHeight="1" x14ac:dyDescent="0.25">
      <c r="A43" s="1034"/>
      <c r="B43" s="1032"/>
      <c r="C43" s="1036"/>
      <c r="D43" s="1036"/>
      <c r="E43" s="1036"/>
      <c r="F43" s="1033"/>
      <c r="G43" s="1" t="s">
        <v>3135</v>
      </c>
      <c r="H43" s="1" t="s">
        <v>3136</v>
      </c>
      <c r="I43" s="1" t="s">
        <v>3137</v>
      </c>
      <c r="J43" s="143">
        <v>0.06</v>
      </c>
      <c r="K43" s="1"/>
      <c r="L43" s="22"/>
      <c r="M43" s="653"/>
      <c r="N43" s="310"/>
      <c r="O43" s="69"/>
      <c r="P43" s="69"/>
      <c r="Q43" s="69"/>
      <c r="R43" s="653"/>
      <c r="S43" s="71"/>
      <c r="T43" s="310"/>
      <c r="U43" s="157"/>
      <c r="V43" s="69"/>
      <c r="W43" s="69"/>
    </row>
    <row r="44" spans="1:23" ht="15.75" customHeight="1" thickBot="1" x14ac:dyDescent="0.3">
      <c r="A44" s="405"/>
      <c r="B44" s="394"/>
      <c r="C44" s="395"/>
      <c r="D44" s="395"/>
      <c r="E44" s="395"/>
      <c r="F44" s="396"/>
      <c r="G44" s="1565" t="s">
        <v>1860</v>
      </c>
      <c r="H44" s="1565"/>
      <c r="I44" s="1509"/>
      <c r="J44" s="140">
        <f>SUM(J43)</f>
        <v>0.06</v>
      </c>
      <c r="K44" s="141">
        <v>0.8</v>
      </c>
      <c r="L44" s="140">
        <f>J44/K44</f>
        <v>7.4999999999999997E-2</v>
      </c>
      <c r="M44" s="1546" t="s">
        <v>1861</v>
      </c>
      <c r="N44" s="1509"/>
      <c r="O44" s="140">
        <f>SUM(O40)</f>
        <v>0.03</v>
      </c>
      <c r="P44" s="141">
        <v>0.8</v>
      </c>
      <c r="Q44" s="140">
        <f>O44/P44</f>
        <v>3.7499999999999999E-2</v>
      </c>
      <c r="R44" s="1546" t="s">
        <v>1860</v>
      </c>
      <c r="S44" s="1565"/>
      <c r="T44" s="1509"/>
      <c r="U44" s="140">
        <f>SUM(U41:U41)</f>
        <v>0</v>
      </c>
      <c r="V44" s="141">
        <v>0.8</v>
      </c>
      <c r="W44" s="140">
        <f>U44/V44</f>
        <v>0</v>
      </c>
    </row>
    <row r="45" spans="1:23" x14ac:dyDescent="0.25">
      <c r="A45" s="406" t="str">
        <f>'Расчет ЦП - общая форма'!C220</f>
        <v>ПС 35/10 кВ Улин</v>
      </c>
      <c r="B45" s="398">
        <f>'Расчет ЦП - общая форма'!D220</f>
        <v>1.6</v>
      </c>
      <c r="C45" s="399"/>
      <c r="D45" s="399"/>
      <c r="E45" s="399"/>
      <c r="F45" s="400"/>
      <c r="G45" s="43"/>
      <c r="H45" s="17"/>
      <c r="I45" s="17"/>
      <c r="J45" s="17"/>
      <c r="K45" s="17"/>
      <c r="L45" s="7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73"/>
    </row>
    <row r="46" spans="1:23" x14ac:dyDescent="0.25">
      <c r="A46" s="401"/>
      <c r="B46" s="402"/>
      <c r="C46" s="403"/>
      <c r="D46" s="403"/>
      <c r="E46" s="403"/>
      <c r="F46" s="404"/>
      <c r="G46" s="152"/>
      <c r="H46" s="1"/>
      <c r="I46" s="1"/>
      <c r="J46" s="1"/>
      <c r="K46" s="1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22"/>
    </row>
    <row r="47" spans="1:23" ht="15.75" customHeight="1" thickBot="1" x14ac:dyDescent="0.3">
      <c r="A47" s="405"/>
      <c r="B47" s="394"/>
      <c r="C47" s="395"/>
      <c r="D47" s="395"/>
      <c r="E47" s="395"/>
      <c r="F47" s="396"/>
      <c r="G47" s="1483" t="s">
        <v>1860</v>
      </c>
      <c r="H47" s="1483"/>
      <c r="I47" s="1484"/>
      <c r="J47" s="13">
        <f>SUM(J45:J46)</f>
        <v>0</v>
      </c>
      <c r="K47" s="14">
        <v>0.8</v>
      </c>
      <c r="L47" s="13">
        <f>J47/K47</f>
        <v>0</v>
      </c>
      <c r="M47" s="1482" t="s">
        <v>1861</v>
      </c>
      <c r="N47" s="1484"/>
      <c r="O47" s="13">
        <f>SUM(O45:O46)</f>
        <v>0</v>
      </c>
      <c r="P47" s="14">
        <v>0.8</v>
      </c>
      <c r="Q47" s="13">
        <f>O47/P47</f>
        <v>0</v>
      </c>
      <c r="R47" s="1482" t="s">
        <v>1860</v>
      </c>
      <c r="S47" s="1483"/>
      <c r="T47" s="1484"/>
      <c r="U47" s="13">
        <f>SUM(U45:U46)</f>
        <v>0</v>
      </c>
      <c r="V47" s="14">
        <v>0.8</v>
      </c>
      <c r="W47" s="13">
        <f>U47/V47</f>
        <v>0</v>
      </c>
    </row>
    <row r="48" spans="1:23" x14ac:dyDescent="0.25">
      <c r="A48" s="406" t="str">
        <f>'Расчет ЦП - общая форма'!C221</f>
        <v>ПС 35/10 кВ Кавельщино</v>
      </c>
      <c r="B48" s="398">
        <f>'Расчет ЦП - общая форма'!D221</f>
        <v>2.5</v>
      </c>
      <c r="C48" s="399"/>
      <c r="D48" s="399"/>
      <c r="E48" s="399"/>
      <c r="F48" s="400"/>
      <c r="G48" s="184"/>
      <c r="H48" s="143"/>
      <c r="I48" s="1"/>
      <c r="J48" s="17"/>
      <c r="K48" s="17"/>
      <c r="L48" s="73"/>
      <c r="M48" s="17"/>
      <c r="N48" s="17"/>
      <c r="O48" s="17"/>
      <c r="P48" s="17"/>
      <c r="Q48" s="17"/>
      <c r="R48" s="143"/>
      <c r="S48" s="143"/>
      <c r="T48" s="1"/>
      <c r="U48" s="17"/>
      <c r="V48" s="17"/>
      <c r="W48" s="73"/>
    </row>
    <row r="49" spans="1:23" ht="15.75" customHeight="1" thickBot="1" x14ac:dyDescent="0.3">
      <c r="A49" s="405"/>
      <c r="B49" s="394"/>
      <c r="C49" s="395"/>
      <c r="D49" s="395"/>
      <c r="E49" s="395"/>
      <c r="F49" s="396"/>
      <c r="G49" s="1483" t="s">
        <v>1860</v>
      </c>
      <c r="H49" s="1483"/>
      <c r="I49" s="1484"/>
      <c r="J49" s="13">
        <f>SUM(J48:J48)</f>
        <v>0</v>
      </c>
      <c r="K49" s="14">
        <v>0.8</v>
      </c>
      <c r="L49" s="13">
        <f>J49/K49</f>
        <v>0</v>
      </c>
      <c r="M49" s="1482" t="s">
        <v>1861</v>
      </c>
      <c r="N49" s="1484"/>
      <c r="O49" s="13">
        <f>SUM(O48:O48)</f>
        <v>0</v>
      </c>
      <c r="P49" s="14">
        <v>0.8</v>
      </c>
      <c r="Q49" s="13">
        <f>O49/P49</f>
        <v>0</v>
      </c>
      <c r="R49" s="1482" t="s">
        <v>1860</v>
      </c>
      <c r="S49" s="1483"/>
      <c r="T49" s="1484"/>
      <c r="U49" s="13">
        <f>SUM(U48:U48)</f>
        <v>0</v>
      </c>
      <c r="V49" s="14">
        <v>0.8</v>
      </c>
      <c r="W49" s="13">
        <f>U49/V49</f>
        <v>0</v>
      </c>
    </row>
    <row r="50" spans="1:23" x14ac:dyDescent="0.25">
      <c r="A50" s="1683" t="str">
        <f>'Расчет ЦП - общая форма'!C222</f>
        <v>ПС 35/10 кВ Бологово</v>
      </c>
      <c r="B50" s="1551">
        <f>'Расчет ЦП - общая форма'!D222</f>
        <v>1.6</v>
      </c>
      <c r="C50" s="1552" t="str">
        <f>'Расчет ЦП - общая форма'!E222</f>
        <v>+</v>
      </c>
      <c r="D50" s="1552">
        <f>'Расчет ЦП - общая форма'!F222</f>
        <v>2.5</v>
      </c>
      <c r="E50" s="1552"/>
      <c r="F50" s="1502"/>
      <c r="G50" s="1695" t="s">
        <v>2352</v>
      </c>
      <c r="H50" s="1696"/>
      <c r="I50" s="1696"/>
      <c r="J50" s="1696"/>
      <c r="K50" s="1696"/>
      <c r="L50" s="1696"/>
      <c r="M50" s="131"/>
      <c r="N50" s="132"/>
      <c r="O50" s="73"/>
      <c r="P50" s="73"/>
      <c r="Q50" s="73"/>
      <c r="R50" s="1691"/>
      <c r="S50" s="1691"/>
      <c r="T50" s="1691"/>
      <c r="U50" s="1691"/>
      <c r="V50" s="1691"/>
      <c r="W50" s="1692"/>
    </row>
    <row r="51" spans="1:23" ht="48" customHeight="1" x14ac:dyDescent="0.25">
      <c r="A51" s="1540"/>
      <c r="B51" s="1501"/>
      <c r="C51" s="1553"/>
      <c r="D51" s="1553"/>
      <c r="E51" s="1553"/>
      <c r="F51" s="1503"/>
      <c r="G51" s="104" t="s">
        <v>1322</v>
      </c>
      <c r="H51" s="9" t="s">
        <v>1323</v>
      </c>
      <c r="I51" s="9" t="s">
        <v>1324</v>
      </c>
      <c r="J51" s="9">
        <v>9.9000000000000005E-2</v>
      </c>
      <c r="K51" s="9"/>
      <c r="L51" s="51"/>
      <c r="M51" s="9" t="s">
        <v>2449</v>
      </c>
      <c r="N51" s="9" t="s">
        <v>2450</v>
      </c>
      <c r="O51" s="9">
        <v>0.05</v>
      </c>
      <c r="P51" s="9"/>
      <c r="Q51" s="9"/>
      <c r="R51" s="51"/>
      <c r="S51" s="51"/>
      <c r="T51" s="51"/>
      <c r="U51" s="51"/>
      <c r="V51" s="51"/>
      <c r="W51" s="51"/>
    </row>
    <row r="52" spans="1:23" ht="21.75" customHeight="1" x14ac:dyDescent="0.25">
      <c r="A52" s="401"/>
      <c r="B52" s="402"/>
      <c r="C52" s="403"/>
      <c r="D52" s="403"/>
      <c r="E52" s="403"/>
      <c r="F52" s="404"/>
      <c r="G52" s="152" t="s">
        <v>759</v>
      </c>
      <c r="H52" s="9" t="s">
        <v>760</v>
      </c>
      <c r="I52" s="9" t="s">
        <v>761</v>
      </c>
      <c r="J52" s="1">
        <v>9.5000000000000001E-2</v>
      </c>
      <c r="K52" s="9"/>
      <c r="L52" s="51"/>
      <c r="M52" s="9"/>
      <c r="N52" s="9"/>
      <c r="O52" s="9"/>
      <c r="P52" s="9"/>
      <c r="Q52" s="9"/>
      <c r="R52" s="22"/>
      <c r="S52" s="51"/>
      <c r="T52" s="51"/>
      <c r="U52" s="22"/>
      <c r="V52" s="51"/>
      <c r="W52" s="51"/>
    </row>
    <row r="53" spans="1:23" ht="21.75" customHeight="1" x14ac:dyDescent="0.25">
      <c r="A53" s="401"/>
      <c r="B53" s="402"/>
      <c r="C53" s="403"/>
      <c r="D53" s="403"/>
      <c r="E53" s="403"/>
      <c r="F53" s="404"/>
      <c r="G53" s="152"/>
      <c r="H53" s="1"/>
      <c r="I53" s="1"/>
      <c r="J53" s="1"/>
      <c r="K53" s="1"/>
      <c r="L53" s="22"/>
      <c r="M53" s="1"/>
      <c r="N53" s="1"/>
      <c r="O53" s="1"/>
      <c r="P53" s="1"/>
      <c r="Q53" s="1"/>
      <c r="R53" s="22"/>
      <c r="S53" s="22"/>
      <c r="T53" s="22"/>
      <c r="U53" s="22"/>
      <c r="V53" s="22"/>
      <c r="W53" s="22"/>
    </row>
    <row r="54" spans="1:23" ht="21.75" customHeight="1" x14ac:dyDescent="0.25">
      <c r="A54" s="401"/>
      <c r="B54" s="402"/>
      <c r="C54" s="403"/>
      <c r="D54" s="403"/>
      <c r="E54" s="403"/>
      <c r="F54" s="404"/>
      <c r="G54" s="152"/>
      <c r="H54" s="1"/>
      <c r="I54" s="1"/>
      <c r="J54" s="1"/>
      <c r="K54" s="1"/>
      <c r="L54" s="22"/>
      <c r="M54" s="1"/>
      <c r="N54" s="1"/>
      <c r="O54" s="1"/>
      <c r="P54" s="1"/>
      <c r="Q54" s="1"/>
      <c r="R54" s="22"/>
      <c r="S54" s="22"/>
      <c r="T54" s="22"/>
      <c r="U54" s="22"/>
      <c r="V54" s="22"/>
      <c r="W54" s="22"/>
    </row>
    <row r="55" spans="1:23" ht="15.75" customHeight="1" thickBot="1" x14ac:dyDescent="0.3">
      <c r="A55" s="405"/>
      <c r="B55" s="394"/>
      <c r="C55" s="395"/>
      <c r="D55" s="395"/>
      <c r="E55" s="395"/>
      <c r="F55" s="396"/>
      <c r="G55" s="1483" t="s">
        <v>1860</v>
      </c>
      <c r="H55" s="1483"/>
      <c r="I55" s="1484"/>
      <c r="J55" s="13">
        <f>SUM(0)</f>
        <v>0</v>
      </c>
      <c r="K55" s="14">
        <v>0.8</v>
      </c>
      <c r="L55" s="13">
        <f>J55/K55</f>
        <v>0</v>
      </c>
      <c r="M55" s="1482" t="s">
        <v>1861</v>
      </c>
      <c r="N55" s="1484"/>
      <c r="O55" s="13">
        <f>SUM(O51:O52)</f>
        <v>0.05</v>
      </c>
      <c r="P55" s="14">
        <v>0.8</v>
      </c>
      <c r="Q55" s="13">
        <f>O55/P55</f>
        <v>6.25E-2</v>
      </c>
      <c r="R55" s="1482" t="s">
        <v>1860</v>
      </c>
      <c r="S55" s="1483"/>
      <c r="T55" s="1484"/>
      <c r="U55" s="13">
        <f>SUM(U53:U54)</f>
        <v>0</v>
      </c>
      <c r="V55" s="14">
        <v>0.8</v>
      </c>
      <c r="W55" s="13">
        <f>U55/V55</f>
        <v>0</v>
      </c>
    </row>
    <row r="56" spans="1:23" x14ac:dyDescent="0.25">
      <c r="A56" s="406" t="str">
        <f>'Расчет ЦП - общая форма'!C223</f>
        <v>ПС 35/10 кВ Верховье</v>
      </c>
      <c r="B56" s="398">
        <f>'Расчет ЦП - общая форма'!D223</f>
        <v>1</v>
      </c>
      <c r="C56" s="399" t="str">
        <f>'Расчет ЦП - общая форма'!E223</f>
        <v>+</v>
      </c>
      <c r="D56" s="399">
        <f>'Расчет ЦП - общая форма'!F223</f>
        <v>2.5</v>
      </c>
      <c r="E56" s="399"/>
      <c r="F56" s="400"/>
      <c r="G56" s="43"/>
      <c r="H56" s="17"/>
      <c r="I56" s="17"/>
      <c r="J56" s="17"/>
      <c r="K56" s="17"/>
      <c r="L56" s="7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73"/>
    </row>
    <row r="57" spans="1:23" ht="15.75" customHeight="1" thickBot="1" x14ac:dyDescent="0.3">
      <c r="A57" s="405"/>
      <c r="B57" s="394"/>
      <c r="C57" s="395"/>
      <c r="D57" s="395"/>
      <c r="E57" s="395"/>
      <c r="F57" s="396"/>
      <c r="G57" s="1483" t="s">
        <v>1860</v>
      </c>
      <c r="H57" s="1483"/>
      <c r="I57" s="1484"/>
      <c r="J57" s="13">
        <f>SUM(J56:J56)</f>
        <v>0</v>
      </c>
      <c r="K57" s="14">
        <v>0.8</v>
      </c>
      <c r="L57" s="13">
        <f>J57/K57</f>
        <v>0</v>
      </c>
      <c r="M57" s="1482" t="s">
        <v>1861</v>
      </c>
      <c r="N57" s="1484"/>
      <c r="O57" s="13">
        <f>SUM(O56:O56)</f>
        <v>0</v>
      </c>
      <c r="P57" s="14">
        <v>0.8</v>
      </c>
      <c r="Q57" s="13">
        <f>O57/P57</f>
        <v>0</v>
      </c>
      <c r="R57" s="1482" t="s">
        <v>1860</v>
      </c>
      <c r="S57" s="1483"/>
      <c r="T57" s="1484"/>
      <c r="U57" s="13">
        <f>SUM(U56:U56)</f>
        <v>0</v>
      </c>
      <c r="V57" s="14">
        <v>0.8</v>
      </c>
      <c r="W57" s="13">
        <f>U57/V57</f>
        <v>0</v>
      </c>
    </row>
    <row r="58" spans="1:23" ht="30" x14ac:dyDescent="0.25">
      <c r="A58" s="406" t="str">
        <f>'Расчет ЦП - общая форма'!C224</f>
        <v>ПС 35/10 кВ Воскресенское</v>
      </c>
      <c r="B58" s="398">
        <f>'Расчет ЦП - общая форма'!D224</f>
        <v>1.6</v>
      </c>
      <c r="C58" s="399" t="str">
        <f>'Расчет ЦП - общая форма'!E224</f>
        <v>+</v>
      </c>
      <c r="D58" s="399">
        <f>'Расчет ЦП - общая форма'!F224</f>
        <v>1.6</v>
      </c>
      <c r="E58" s="399"/>
      <c r="F58" s="400"/>
      <c r="G58" s="265"/>
      <c r="H58" s="142"/>
      <c r="I58" s="9"/>
      <c r="J58" s="9"/>
      <c r="K58" s="17"/>
      <c r="L58" s="73"/>
      <c r="M58" s="17"/>
      <c r="N58" s="17"/>
      <c r="O58" s="17"/>
      <c r="P58" s="17"/>
      <c r="Q58" s="17"/>
      <c r="R58" s="142"/>
      <c r="S58" s="142"/>
      <c r="T58" s="9"/>
      <c r="U58" s="9"/>
      <c r="V58" s="17"/>
      <c r="W58" s="73"/>
    </row>
    <row r="59" spans="1:23" ht="15.75" customHeight="1" thickBot="1" x14ac:dyDescent="0.3">
      <c r="A59" s="405"/>
      <c r="B59" s="394"/>
      <c r="C59" s="395"/>
      <c r="D59" s="395"/>
      <c r="E59" s="395"/>
      <c r="F59" s="396"/>
      <c r="G59" s="1483" t="s">
        <v>1860</v>
      </c>
      <c r="H59" s="1483"/>
      <c r="I59" s="1484"/>
      <c r="J59" s="13">
        <f>SUM(J58:J58)</f>
        <v>0</v>
      </c>
      <c r="K59" s="14">
        <v>0.8</v>
      </c>
      <c r="L59" s="13">
        <f>J59/K59</f>
        <v>0</v>
      </c>
      <c r="M59" s="1482" t="s">
        <v>1861</v>
      </c>
      <c r="N59" s="1484"/>
      <c r="O59" s="13">
        <f>SUM(O58:O58)</f>
        <v>0</v>
      </c>
      <c r="P59" s="14">
        <v>0.8</v>
      </c>
      <c r="Q59" s="13">
        <f>O59/P59</f>
        <v>0</v>
      </c>
      <c r="R59" s="1482" t="s">
        <v>1860</v>
      </c>
      <c r="S59" s="1483"/>
      <c r="T59" s="1484"/>
      <c r="U59" s="13">
        <f>SUM(U58:U58)</f>
        <v>0</v>
      </c>
      <c r="V59" s="14">
        <v>0.8</v>
      </c>
      <c r="W59" s="13">
        <f>U59/V59</f>
        <v>0</v>
      </c>
    </row>
    <row r="60" spans="1:23" ht="75" x14ac:dyDescent="0.25">
      <c r="A60" s="406" t="str">
        <f>'Расчет ЦП - общая форма'!C225</f>
        <v>ПС 35/10 кВ Дашково</v>
      </c>
      <c r="B60" s="398">
        <f>'Расчет ЦП - общая форма'!D225</f>
        <v>2.5</v>
      </c>
      <c r="C60" s="399" t="str">
        <f>'Расчет ЦП - общая форма'!E225</f>
        <v>+</v>
      </c>
      <c r="D60" s="399">
        <f>'Расчет ЦП - общая форма'!F225</f>
        <v>2.5</v>
      </c>
      <c r="E60" s="399"/>
      <c r="F60" s="400"/>
      <c r="G60" s="43"/>
      <c r="H60" s="17"/>
      <c r="I60" s="17"/>
      <c r="J60" s="17"/>
      <c r="K60" s="17"/>
      <c r="L60" s="73"/>
      <c r="M60" s="17" t="s">
        <v>2659</v>
      </c>
      <c r="N60" s="17" t="s">
        <v>2660</v>
      </c>
      <c r="O60" s="17">
        <f>0.5</f>
        <v>0.5</v>
      </c>
      <c r="P60" s="17"/>
      <c r="Q60" s="17"/>
      <c r="R60" s="17"/>
      <c r="S60" s="17"/>
      <c r="T60" s="17"/>
      <c r="U60" s="17"/>
      <c r="V60" s="17"/>
      <c r="W60" s="73"/>
    </row>
    <row r="61" spans="1:23" ht="15.75" customHeight="1" thickBot="1" x14ac:dyDescent="0.3">
      <c r="A61" s="405"/>
      <c r="B61" s="394"/>
      <c r="C61" s="395"/>
      <c r="D61" s="395"/>
      <c r="E61" s="395"/>
      <c r="F61" s="396"/>
      <c r="G61" s="1483" t="s">
        <v>1860</v>
      </c>
      <c r="H61" s="1483"/>
      <c r="I61" s="1484"/>
      <c r="J61" s="13">
        <f>SUM(J60:J60)</f>
        <v>0</v>
      </c>
      <c r="K61" s="14">
        <v>0.8</v>
      </c>
      <c r="L61" s="13">
        <f>J61/K61</f>
        <v>0</v>
      </c>
      <c r="M61" s="1482" t="s">
        <v>1861</v>
      </c>
      <c r="N61" s="1484"/>
      <c r="O61" s="13">
        <f>SUM(O60:O60)</f>
        <v>0.5</v>
      </c>
      <c r="P61" s="14">
        <v>0.8</v>
      </c>
      <c r="Q61" s="13">
        <f>O61/P61</f>
        <v>0.625</v>
      </c>
      <c r="R61" s="1482" t="s">
        <v>1860</v>
      </c>
      <c r="S61" s="1483"/>
      <c r="T61" s="1484"/>
      <c r="U61" s="13">
        <f>SUM(U60:U60)</f>
        <v>0</v>
      </c>
      <c r="V61" s="14">
        <v>0.8</v>
      </c>
      <c r="W61" s="13">
        <f>U61/V61</f>
        <v>0</v>
      </c>
    </row>
    <row r="62" spans="1:23" ht="15.75" customHeight="1" x14ac:dyDescent="0.25">
      <c r="A62" s="746" t="s">
        <v>2785</v>
      </c>
      <c r="B62" s="745">
        <v>25</v>
      </c>
      <c r="C62" s="744" t="s">
        <v>785</v>
      </c>
      <c r="D62" s="744">
        <v>25</v>
      </c>
      <c r="E62" s="744"/>
      <c r="F62" s="743"/>
      <c r="G62" s="43"/>
      <c r="H62" s="17"/>
      <c r="I62" s="17"/>
      <c r="J62" s="17"/>
      <c r="K62" s="17"/>
      <c r="L62" s="73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73"/>
    </row>
    <row r="63" spans="1:23" ht="15.75" customHeight="1" thickBot="1" x14ac:dyDescent="0.3">
      <c r="A63" s="748"/>
      <c r="B63" s="747"/>
      <c r="C63" s="646"/>
      <c r="D63" s="646"/>
      <c r="E63" s="646"/>
      <c r="F63" s="396"/>
      <c r="G63" s="1483" t="s">
        <v>1860</v>
      </c>
      <c r="H63" s="1483"/>
      <c r="I63" s="1484"/>
      <c r="J63" s="13">
        <f>SUM(J62)</f>
        <v>0</v>
      </c>
      <c r="K63" s="14">
        <v>0.8</v>
      </c>
      <c r="L63" s="13">
        <f>J63/K63</f>
        <v>0</v>
      </c>
      <c r="M63" s="1482" t="s">
        <v>1861</v>
      </c>
      <c r="N63" s="1484"/>
      <c r="O63" s="13">
        <f>SUM(O62:O62)</f>
        <v>0</v>
      </c>
      <c r="P63" s="14">
        <v>0.8</v>
      </c>
      <c r="Q63" s="13">
        <f>O63/P63</f>
        <v>0</v>
      </c>
      <c r="R63" s="1482" t="s">
        <v>1860</v>
      </c>
      <c r="S63" s="1483"/>
      <c r="T63" s="1484"/>
      <c r="U63" s="13">
        <f>SUM(U62:U62)</f>
        <v>0</v>
      </c>
      <c r="V63" s="14">
        <v>0.8</v>
      </c>
      <c r="W63" s="13">
        <f>U63/V63</f>
        <v>0</v>
      </c>
    </row>
    <row r="64" spans="1:23" ht="57" customHeight="1" x14ac:dyDescent="0.25">
      <c r="A64" s="406" t="str">
        <f>'Расчет ЦП - общая форма'!C227</f>
        <v>ПС 35/10 кВ Ильино</v>
      </c>
      <c r="B64" s="398">
        <f>'Расчет ЦП - общая форма'!D227</f>
        <v>1.6</v>
      </c>
      <c r="C64" s="399" t="str">
        <f>'Расчет ЦП - общая форма'!E227</f>
        <v>+</v>
      </c>
      <c r="D64" s="399">
        <f>'Расчет ЦП - общая форма'!F227</f>
        <v>2.5</v>
      </c>
      <c r="E64" s="399"/>
      <c r="F64" s="400"/>
      <c r="G64" s="265"/>
      <c r="H64" s="142"/>
      <c r="I64" s="142"/>
      <c r="J64" s="17"/>
      <c r="K64" s="17"/>
      <c r="L64" s="73"/>
      <c r="M64" s="9" t="s">
        <v>2546</v>
      </c>
      <c r="N64" s="9" t="s">
        <v>2580</v>
      </c>
      <c r="O64" s="17">
        <v>1.6E-2</v>
      </c>
      <c r="P64" s="17"/>
      <c r="Q64" s="17"/>
      <c r="R64" s="142"/>
      <c r="S64" s="142"/>
      <c r="T64" s="142"/>
      <c r="U64" s="17"/>
      <c r="V64" s="17"/>
      <c r="W64" s="73"/>
    </row>
    <row r="65" spans="1:23" ht="15.75" customHeight="1" thickBot="1" x14ac:dyDescent="0.3">
      <c r="A65" s="405"/>
      <c r="B65" s="394"/>
      <c r="C65" s="395"/>
      <c r="D65" s="395"/>
      <c r="E65" s="395"/>
      <c r="F65" s="396"/>
      <c r="G65" s="1482" t="s">
        <v>1860</v>
      </c>
      <c r="H65" s="1483"/>
      <c r="I65" s="1484"/>
      <c r="J65" s="13">
        <f>SUM(J64:J64)</f>
        <v>0</v>
      </c>
      <c r="K65" s="14">
        <v>0.8</v>
      </c>
      <c r="L65" s="13">
        <f>J65/K65</f>
        <v>0</v>
      </c>
      <c r="M65" s="1485" t="s">
        <v>1861</v>
      </c>
      <c r="N65" s="1487"/>
      <c r="O65" s="21">
        <f>SUM(O64:O64)</f>
        <v>1.6E-2</v>
      </c>
      <c r="P65" s="24">
        <v>0.8</v>
      </c>
      <c r="Q65" s="21">
        <f>O65/P65</f>
        <v>0.02</v>
      </c>
      <c r="R65" s="1485" t="s">
        <v>1860</v>
      </c>
      <c r="S65" s="1486"/>
      <c r="T65" s="1487"/>
      <c r="U65" s="21">
        <f>SUM(U64:U64)</f>
        <v>0</v>
      </c>
      <c r="V65" s="24">
        <v>0.8</v>
      </c>
      <c r="W65" s="21">
        <f>U65/V65</f>
        <v>0</v>
      </c>
    </row>
    <row r="66" spans="1:23" x14ac:dyDescent="0.25">
      <c r="A66" s="1683" t="str">
        <f>'Расчет ЦП - общая форма'!C228</f>
        <v>ПС 35/10 кВ Плоскошь</v>
      </c>
      <c r="B66" s="1551">
        <f>'Расчет ЦП - общая форма'!D228</f>
        <v>3.2</v>
      </c>
      <c r="C66" s="1552" t="str">
        <f>'Расчет ЦП - общая форма'!E228</f>
        <v>+</v>
      </c>
      <c r="D66" s="1552">
        <f>'Расчет ЦП - общая форма'!F228</f>
        <v>4</v>
      </c>
      <c r="E66" s="1552"/>
      <c r="F66" s="1502"/>
      <c r="G66" s="1695" t="s">
        <v>2062</v>
      </c>
      <c r="H66" s="1696"/>
      <c r="I66" s="1696"/>
      <c r="J66" s="1696"/>
      <c r="K66" s="1696"/>
      <c r="L66" s="1696"/>
      <c r="M66" s="73"/>
      <c r="N66" s="73"/>
      <c r="O66" s="73"/>
      <c r="P66" s="73"/>
      <c r="Q66" s="268"/>
      <c r="R66" s="1690"/>
      <c r="S66" s="1690"/>
      <c r="T66" s="1690"/>
      <c r="U66" s="1690"/>
      <c r="V66" s="1690"/>
      <c r="W66" s="1690"/>
    </row>
    <row r="67" spans="1:23" ht="30" customHeight="1" x14ac:dyDescent="0.25">
      <c r="A67" s="1540"/>
      <c r="B67" s="1501"/>
      <c r="C67" s="1553"/>
      <c r="D67" s="1553"/>
      <c r="E67" s="1553"/>
      <c r="F67" s="1503"/>
      <c r="G67" s="152" t="s">
        <v>2049</v>
      </c>
      <c r="H67" s="1" t="s">
        <v>2050</v>
      </c>
      <c r="I67" s="1" t="s">
        <v>2290</v>
      </c>
      <c r="J67" s="1">
        <v>0.17</v>
      </c>
      <c r="K67" s="1"/>
      <c r="L67" s="22"/>
      <c r="M67" s="9" t="s">
        <v>2546</v>
      </c>
      <c r="N67" s="9" t="s">
        <v>2841</v>
      </c>
      <c r="O67" s="22">
        <v>2.3E-2</v>
      </c>
      <c r="P67" s="22"/>
      <c r="Q67" s="22"/>
      <c r="R67" s="22"/>
      <c r="S67" s="22"/>
      <c r="T67" s="22"/>
      <c r="U67" s="22"/>
      <c r="V67" s="22"/>
      <c r="W67" s="22"/>
    </row>
    <row r="68" spans="1:23" ht="30" customHeight="1" x14ac:dyDescent="0.25">
      <c r="A68" s="750"/>
      <c r="B68" s="751"/>
      <c r="C68" s="752"/>
      <c r="D68" s="752"/>
      <c r="E68" s="752"/>
      <c r="F68" s="749"/>
      <c r="G68" s="1"/>
      <c r="H68" s="1"/>
      <c r="I68" s="1"/>
      <c r="J68" s="1"/>
      <c r="K68" s="1"/>
      <c r="L68" s="22"/>
      <c r="M68" s="1"/>
      <c r="N68" s="1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5.75" customHeight="1" thickBot="1" x14ac:dyDescent="0.3">
      <c r="A69" s="405"/>
      <c r="B69" s="394"/>
      <c r="C69" s="395"/>
      <c r="D69" s="395"/>
      <c r="E69" s="395"/>
      <c r="F69" s="396"/>
      <c r="G69" s="1483" t="s">
        <v>1860</v>
      </c>
      <c r="H69" s="1483"/>
      <c r="I69" s="1484"/>
      <c r="J69" s="13">
        <f>SUM(0)</f>
        <v>0</v>
      </c>
      <c r="K69" s="14">
        <v>0.8</v>
      </c>
      <c r="L69" s="13">
        <f>J69/K69</f>
        <v>0</v>
      </c>
      <c r="M69" s="1482" t="s">
        <v>1861</v>
      </c>
      <c r="N69" s="1484"/>
      <c r="O69" s="13">
        <f>SUM(O66:O67)</f>
        <v>2.3E-2</v>
      </c>
      <c r="P69" s="14">
        <v>0.8</v>
      </c>
      <c r="Q69" s="15">
        <f>O69/P69</f>
        <v>2.8749999999999998E-2</v>
      </c>
      <c r="R69" s="1482" t="s">
        <v>1860</v>
      </c>
      <c r="S69" s="1483"/>
      <c r="T69" s="1484"/>
      <c r="U69" s="13">
        <f>SUM(U67)</f>
        <v>0</v>
      </c>
      <c r="V69" s="14">
        <v>0.8</v>
      </c>
      <c r="W69" s="13">
        <f>U69/V69</f>
        <v>0</v>
      </c>
    </row>
    <row r="70" spans="1:23" x14ac:dyDescent="0.25">
      <c r="A70" s="406" t="str">
        <f>'Расчет ЦП - общая форма'!C229</f>
        <v>ПС 35/6 кВ Половцово</v>
      </c>
      <c r="B70" s="398">
        <f>'Расчет ЦП - общая форма'!D229</f>
        <v>5.6</v>
      </c>
      <c r="C70" s="399" t="str">
        <f>'Расчет ЦП - общая форма'!E229</f>
        <v>+</v>
      </c>
      <c r="D70" s="399">
        <f>'Расчет ЦП - общая форма'!F229</f>
        <v>5.6</v>
      </c>
      <c r="E70" s="399"/>
      <c r="F70" s="400"/>
      <c r="G70" s="43"/>
      <c r="H70" s="17"/>
      <c r="I70" s="17"/>
      <c r="J70" s="17"/>
      <c r="K70" s="17"/>
      <c r="L70" s="73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73"/>
    </row>
    <row r="71" spans="1:23" x14ac:dyDescent="0.25">
      <c r="A71" s="401"/>
      <c r="B71" s="402"/>
      <c r="C71" s="403"/>
      <c r="D71" s="403"/>
      <c r="E71" s="403"/>
      <c r="F71" s="404"/>
      <c r="G71" s="152"/>
      <c r="H71" s="1"/>
      <c r="I71" s="1"/>
      <c r="J71" s="1"/>
      <c r="K71" s="1"/>
      <c r="L71" s="22"/>
      <c r="M71" s="1"/>
      <c r="N71" s="1"/>
      <c r="O71" s="1"/>
      <c r="P71" s="1"/>
      <c r="Q71" s="1"/>
      <c r="R71" s="1"/>
      <c r="S71" s="1"/>
      <c r="T71" s="1"/>
      <c r="U71" s="1"/>
      <c r="V71" s="1"/>
      <c r="W71" s="22"/>
    </row>
    <row r="72" spans="1:23" ht="15.75" customHeight="1" thickBot="1" x14ac:dyDescent="0.3">
      <c r="A72" s="405"/>
      <c r="B72" s="394"/>
      <c r="C72" s="395"/>
      <c r="D72" s="395"/>
      <c r="E72" s="395"/>
      <c r="F72" s="396"/>
      <c r="G72" s="1483" t="s">
        <v>1860</v>
      </c>
      <c r="H72" s="1483"/>
      <c r="I72" s="1484"/>
      <c r="J72" s="13">
        <f>SUM(J70:J71)</f>
        <v>0</v>
      </c>
      <c r="K72" s="14">
        <v>0.8</v>
      </c>
      <c r="L72" s="13">
        <f>J72/K72</f>
        <v>0</v>
      </c>
      <c r="M72" s="1482" t="s">
        <v>1861</v>
      </c>
      <c r="N72" s="1484"/>
      <c r="O72" s="13">
        <f>SUM(O70:O71)</f>
        <v>0</v>
      </c>
      <c r="P72" s="14">
        <v>0.8</v>
      </c>
      <c r="Q72" s="13">
        <f>O72/P72</f>
        <v>0</v>
      </c>
      <c r="R72" s="1482" t="s">
        <v>1860</v>
      </c>
      <c r="S72" s="1483"/>
      <c r="T72" s="1484"/>
      <c r="U72" s="13">
        <f>SUM(U70:U71)</f>
        <v>0</v>
      </c>
      <c r="V72" s="14">
        <v>0.8</v>
      </c>
      <c r="W72" s="13">
        <f>U72/V72</f>
        <v>0</v>
      </c>
    </row>
    <row r="73" spans="1:23" ht="45" x14ac:dyDescent="0.25">
      <c r="A73" s="406" t="str">
        <f>'Расчет ЦП - общая форма'!C230</f>
        <v>ПС 35/10 кВ Ст. Торопа</v>
      </c>
      <c r="B73" s="398">
        <f>'Расчет ЦП - общая форма'!D230</f>
        <v>4</v>
      </c>
      <c r="C73" s="399" t="str">
        <f>'Расчет ЦП - общая форма'!E230</f>
        <v>+</v>
      </c>
      <c r="D73" s="399">
        <f>'Расчет ЦП - общая форма'!F230</f>
        <v>4</v>
      </c>
      <c r="E73" s="399"/>
      <c r="F73" s="400"/>
      <c r="G73" s="1655" t="s">
        <v>3068</v>
      </c>
      <c r="H73" s="1655"/>
      <c r="I73" s="1655"/>
      <c r="J73" s="1655"/>
      <c r="K73" s="1655"/>
      <c r="L73" s="1656"/>
      <c r="M73" s="9" t="s">
        <v>778</v>
      </c>
      <c r="N73" s="9" t="s">
        <v>779</v>
      </c>
      <c r="O73" s="9">
        <v>1.5</v>
      </c>
      <c r="P73" s="9"/>
      <c r="Q73" s="9"/>
      <c r="R73" s="42"/>
      <c r="S73" s="42"/>
      <c r="T73" s="267"/>
      <c r="U73" s="9"/>
      <c r="V73" s="9"/>
      <c r="W73" s="51"/>
    </row>
    <row r="74" spans="1:23" ht="45" customHeight="1" x14ac:dyDescent="0.25">
      <c r="A74" s="614"/>
      <c r="B74" s="615"/>
      <c r="C74" s="616"/>
      <c r="D74" s="616"/>
      <c r="E74" s="616"/>
      <c r="F74" s="613"/>
      <c r="G74" s="1665" t="s">
        <v>3482</v>
      </c>
      <c r="H74" s="1666"/>
      <c r="I74" s="1667"/>
      <c r="J74" s="1243">
        <v>0.13100000000000001</v>
      </c>
      <c r="K74" s="9"/>
      <c r="L74" s="51"/>
      <c r="M74" s="1" t="s">
        <v>2051</v>
      </c>
      <c r="N74" s="1" t="s">
        <v>2052</v>
      </c>
      <c r="O74" s="1">
        <v>8.5000000000000006E-2</v>
      </c>
      <c r="P74" s="9"/>
      <c r="Q74" s="9"/>
      <c r="R74" s="42"/>
      <c r="S74" s="42"/>
      <c r="T74" s="267"/>
      <c r="U74" s="9"/>
      <c r="V74" s="9"/>
      <c r="W74" s="51"/>
    </row>
    <row r="75" spans="1:23" ht="180" x14ac:dyDescent="0.25">
      <c r="A75" s="401"/>
      <c r="B75" s="402"/>
      <c r="C75" s="403"/>
      <c r="D75" s="403"/>
      <c r="E75" s="403"/>
      <c r="F75" s="404"/>
      <c r="G75" s="184"/>
      <c r="H75" s="143"/>
      <c r="I75" s="105"/>
      <c r="J75" s="1"/>
      <c r="K75" s="1"/>
      <c r="L75" s="22"/>
      <c r="M75" s="9" t="s">
        <v>2546</v>
      </c>
      <c r="N75" s="9" t="s">
        <v>2575</v>
      </c>
      <c r="O75" s="1">
        <v>1.6E-2</v>
      </c>
      <c r="P75" s="1"/>
      <c r="Q75" s="1"/>
      <c r="R75" s="143"/>
      <c r="S75" s="143"/>
      <c r="T75" s="105"/>
      <c r="U75" s="1"/>
      <c r="V75" s="1"/>
      <c r="W75" s="22"/>
    </row>
    <row r="76" spans="1:23" ht="15.75" customHeight="1" thickBot="1" x14ac:dyDescent="0.3">
      <c r="A76" s="405"/>
      <c r="B76" s="394"/>
      <c r="C76" s="395"/>
      <c r="D76" s="395"/>
      <c r="E76" s="395"/>
      <c r="F76" s="396"/>
      <c r="G76" s="1483" t="s">
        <v>1860</v>
      </c>
      <c r="H76" s="1483"/>
      <c r="I76" s="1484"/>
      <c r="J76" s="13">
        <f>SUM(J73:J74)</f>
        <v>0.13100000000000001</v>
      </c>
      <c r="K76" s="14">
        <v>0.8</v>
      </c>
      <c r="L76" s="13">
        <f>J76/K76</f>
        <v>0.16375000000000001</v>
      </c>
      <c r="M76" s="1482" t="s">
        <v>1861</v>
      </c>
      <c r="N76" s="1484"/>
      <c r="O76" s="13">
        <f>SUM(O73:O75)</f>
        <v>1.601</v>
      </c>
      <c r="P76" s="14">
        <v>0.8</v>
      </c>
      <c r="Q76" s="13">
        <f>O76/P76</f>
        <v>2.0012499999999998</v>
      </c>
      <c r="R76" s="1482" t="s">
        <v>1860</v>
      </c>
      <c r="S76" s="1483"/>
      <c r="T76" s="1484"/>
      <c r="U76" s="13">
        <f>SUM(U73:U73)</f>
        <v>0</v>
      </c>
      <c r="V76" s="14">
        <v>0.8</v>
      </c>
      <c r="W76" s="13">
        <f>U76/V76</f>
        <v>0</v>
      </c>
    </row>
    <row r="77" spans="1:23" x14ac:dyDescent="0.25">
      <c r="A77" s="1683" t="str">
        <f>'Расчет ЦП - общая форма'!C231</f>
        <v>ПС 110/35/10 кВ Андреаполь</v>
      </c>
      <c r="B77" s="1551">
        <f>'Расчет ЦП - общая форма'!D231</f>
        <v>10</v>
      </c>
      <c r="C77" s="1552" t="str">
        <f>'Расчет ЦП - общая форма'!E231</f>
        <v>+</v>
      </c>
      <c r="D77" s="1552">
        <f>'Расчет ЦП - общая форма'!F231</f>
        <v>10</v>
      </c>
      <c r="E77" s="1552"/>
      <c r="F77" s="1502"/>
      <c r="G77" s="1511" t="s">
        <v>2352</v>
      </c>
      <c r="H77" s="1511"/>
      <c r="I77" s="1511"/>
      <c r="J77" s="1511"/>
      <c r="K77" s="1511"/>
      <c r="L77" s="1542"/>
      <c r="M77" s="131"/>
      <c r="N77" s="132"/>
      <c r="O77" s="73"/>
      <c r="P77" s="73"/>
      <c r="Q77" s="73"/>
      <c r="R77" s="1691"/>
      <c r="S77" s="1691"/>
      <c r="T77" s="1691"/>
      <c r="U77" s="1691"/>
      <c r="V77" s="1691"/>
      <c r="W77" s="1692"/>
    </row>
    <row r="78" spans="1:23" ht="30" x14ac:dyDescent="0.25">
      <c r="A78" s="1540"/>
      <c r="B78" s="1501"/>
      <c r="C78" s="1553"/>
      <c r="D78" s="1553"/>
      <c r="E78" s="1553"/>
      <c r="F78" s="1503"/>
      <c r="G78" s="445" t="s">
        <v>1314</v>
      </c>
      <c r="H78" s="446" t="s">
        <v>1315</v>
      </c>
      <c r="I78" s="446" t="s">
        <v>1316</v>
      </c>
      <c r="J78" s="416">
        <v>0.74099999999999999</v>
      </c>
      <c r="K78" s="415"/>
      <c r="L78" s="415"/>
      <c r="M78" s="22"/>
      <c r="N78" s="22"/>
      <c r="O78" s="51"/>
      <c r="P78" s="51"/>
      <c r="Q78" s="51"/>
      <c r="R78" s="51"/>
      <c r="S78" s="51"/>
      <c r="T78" s="51"/>
      <c r="U78" s="22"/>
      <c r="V78" s="142"/>
      <c r="W78" s="142"/>
    </row>
    <row r="79" spans="1:23" ht="57.75" customHeight="1" x14ac:dyDescent="0.25">
      <c r="A79" s="401"/>
      <c r="B79" s="402"/>
      <c r="C79" s="403"/>
      <c r="D79" s="403"/>
      <c r="E79" s="403"/>
      <c r="F79" s="404"/>
      <c r="G79" s="498" t="s">
        <v>1317</v>
      </c>
      <c r="H79" s="415" t="s">
        <v>1318</v>
      </c>
      <c r="I79" s="416" t="s">
        <v>1319</v>
      </c>
      <c r="J79" s="446">
        <v>0.1</v>
      </c>
      <c r="K79" s="416"/>
      <c r="L79" s="416"/>
      <c r="M79" s="9" t="s">
        <v>1218</v>
      </c>
      <c r="N79" s="9" t="s">
        <v>1313</v>
      </c>
      <c r="O79" s="9">
        <v>5.3999999999999999E-2</v>
      </c>
      <c r="P79" s="9"/>
      <c r="Q79" s="9"/>
      <c r="R79" s="142"/>
      <c r="S79" s="142"/>
      <c r="T79" s="22"/>
      <c r="U79" s="51"/>
      <c r="V79" s="22"/>
      <c r="W79" s="22"/>
    </row>
    <row r="80" spans="1:23" ht="18.75" customHeight="1" x14ac:dyDescent="0.25">
      <c r="A80" s="401"/>
      <c r="B80" s="402"/>
      <c r="C80" s="403"/>
      <c r="D80" s="403"/>
      <c r="E80" s="403"/>
      <c r="F80" s="404"/>
      <c r="G80" s="1655" t="s">
        <v>2353</v>
      </c>
      <c r="H80" s="1655"/>
      <c r="I80" s="1655"/>
      <c r="J80" s="1655"/>
      <c r="K80" s="1655"/>
      <c r="L80" s="1656"/>
      <c r="M80" s="9"/>
      <c r="N80" s="9"/>
      <c r="O80" s="9"/>
      <c r="P80" s="9"/>
      <c r="Q80" s="9"/>
      <c r="R80" s="1681"/>
      <c r="S80" s="1681"/>
      <c r="T80" s="1681"/>
      <c r="U80" s="1681"/>
      <c r="V80" s="1681"/>
      <c r="W80" s="1408"/>
    </row>
    <row r="81" spans="1:23" ht="150" x14ac:dyDescent="0.25">
      <c r="A81" s="401"/>
      <c r="B81" s="402"/>
      <c r="C81" s="403"/>
      <c r="D81" s="403"/>
      <c r="E81" s="403"/>
      <c r="F81" s="404"/>
      <c r="G81" s="439" t="s">
        <v>1310</v>
      </c>
      <c r="H81" s="438" t="s">
        <v>1311</v>
      </c>
      <c r="I81" s="438" t="s">
        <v>1312</v>
      </c>
      <c r="J81" s="453">
        <v>3</v>
      </c>
      <c r="K81" s="438"/>
      <c r="L81" s="438"/>
      <c r="M81" s="9" t="s">
        <v>2469</v>
      </c>
      <c r="N81" s="9" t="s">
        <v>2559</v>
      </c>
      <c r="O81" s="9">
        <v>5.5E-2</v>
      </c>
      <c r="P81" s="9"/>
      <c r="Q81" s="9"/>
      <c r="R81" s="69"/>
      <c r="S81" s="69"/>
      <c r="T81" s="69"/>
      <c r="U81" s="62"/>
      <c r="V81" s="69"/>
      <c r="W81" s="69"/>
    </row>
    <row r="82" spans="1:23" x14ac:dyDescent="0.25">
      <c r="A82" s="401"/>
      <c r="B82" s="402"/>
      <c r="C82" s="403"/>
      <c r="D82" s="403"/>
      <c r="E82" s="403"/>
      <c r="F82" s="404"/>
      <c r="G82" s="1656" t="s">
        <v>2354</v>
      </c>
      <c r="H82" s="1693"/>
      <c r="I82" s="1693"/>
      <c r="J82" s="1693"/>
      <c r="K82" s="1693"/>
      <c r="L82" s="1693"/>
      <c r="M82" s="9"/>
      <c r="N82" s="9"/>
      <c r="O82" s="9"/>
      <c r="P82" s="9"/>
      <c r="Q82" s="9"/>
      <c r="R82" s="1694"/>
      <c r="S82" s="1694"/>
      <c r="T82" s="1694"/>
      <c r="U82" s="1694"/>
      <c r="V82" s="1694"/>
      <c r="W82" s="1694"/>
    </row>
    <row r="83" spans="1:23" ht="55.5" customHeight="1" x14ac:dyDescent="0.25">
      <c r="A83" s="401"/>
      <c r="B83" s="402"/>
      <c r="C83" s="403"/>
      <c r="D83" s="403"/>
      <c r="E83" s="403"/>
      <c r="F83" s="404"/>
      <c r="G83" s="445" t="s">
        <v>1320</v>
      </c>
      <c r="H83" s="446" t="s">
        <v>1320</v>
      </c>
      <c r="I83" s="446" t="s">
        <v>1321</v>
      </c>
      <c r="J83" s="446">
        <v>0.03</v>
      </c>
      <c r="K83" s="446"/>
      <c r="L83" s="446"/>
      <c r="M83" s="9" t="s">
        <v>2546</v>
      </c>
      <c r="N83" s="9" t="s">
        <v>2555</v>
      </c>
      <c r="O83" s="9">
        <v>2.5000000000000001E-2</v>
      </c>
      <c r="P83" s="9"/>
      <c r="Q83" s="9"/>
      <c r="R83" s="51"/>
      <c r="S83" s="51"/>
      <c r="T83" s="51"/>
      <c r="U83" s="51"/>
      <c r="V83" s="51"/>
      <c r="W83" s="51"/>
    </row>
    <row r="84" spans="1:23" ht="55.5" customHeight="1" x14ac:dyDescent="0.25">
      <c r="A84" s="629"/>
      <c r="B84" s="631"/>
      <c r="C84" s="632"/>
      <c r="D84" s="632"/>
      <c r="E84" s="632"/>
      <c r="F84" s="628"/>
      <c r="G84" s="453"/>
      <c r="H84" s="453"/>
      <c r="I84" s="453"/>
      <c r="J84" s="453"/>
      <c r="K84" s="453"/>
      <c r="L84" s="453"/>
      <c r="M84" s="128" t="s">
        <v>2546</v>
      </c>
      <c r="N84" s="128" t="s">
        <v>2613</v>
      </c>
      <c r="O84" s="128">
        <v>3.5000000000000003E-2</v>
      </c>
      <c r="P84" s="1"/>
      <c r="Q84" s="1"/>
      <c r="R84" s="22"/>
      <c r="S84" s="22"/>
      <c r="T84" s="22"/>
      <c r="U84" s="22"/>
      <c r="V84" s="22"/>
      <c r="W84" s="22"/>
    </row>
    <row r="85" spans="1:23" ht="55.5" customHeight="1" x14ac:dyDescent="0.25">
      <c r="A85" s="1163"/>
      <c r="B85" s="1164"/>
      <c r="C85" s="1166"/>
      <c r="D85" s="1166"/>
      <c r="E85" s="1166"/>
      <c r="F85" s="1165"/>
      <c r="G85" s="1170"/>
      <c r="H85" s="1170"/>
      <c r="I85" s="1170"/>
      <c r="J85" s="1170"/>
      <c r="K85" s="1170"/>
      <c r="L85" s="1170"/>
      <c r="M85" s="1" t="s">
        <v>3407</v>
      </c>
      <c r="N85" s="1" t="s">
        <v>3408</v>
      </c>
      <c r="O85" s="1">
        <v>0.13750000000000001</v>
      </c>
      <c r="P85" s="1"/>
      <c r="Q85" s="1"/>
      <c r="R85" s="22"/>
      <c r="S85" s="22"/>
      <c r="T85" s="22"/>
      <c r="U85" s="22"/>
      <c r="V85" s="22"/>
      <c r="W85" s="22"/>
    </row>
    <row r="86" spans="1:23" ht="15.75" customHeight="1" thickBot="1" x14ac:dyDescent="0.3">
      <c r="A86" s="405"/>
      <c r="B86" s="394"/>
      <c r="C86" s="395"/>
      <c r="D86" s="395"/>
      <c r="E86" s="395"/>
      <c r="F86" s="396"/>
      <c r="G86" s="1486" t="s">
        <v>1860</v>
      </c>
      <c r="H86" s="1486"/>
      <c r="I86" s="1487"/>
      <c r="J86" s="21">
        <f>SUM(0)</f>
        <v>0</v>
      </c>
      <c r="K86" s="24">
        <v>0.8</v>
      </c>
      <c r="L86" s="21">
        <f>J86/K86</f>
        <v>0</v>
      </c>
      <c r="M86" s="1485" t="s">
        <v>1861</v>
      </c>
      <c r="N86" s="1487"/>
      <c r="O86" s="21">
        <f>SUM(O79:O85)</f>
        <v>0.30649999999999999</v>
      </c>
      <c r="P86" s="24">
        <v>0.8</v>
      </c>
      <c r="Q86" s="21">
        <f>O86/P86</f>
        <v>0.38312499999999999</v>
      </c>
      <c r="R86" s="1485" t="s">
        <v>1860</v>
      </c>
      <c r="S86" s="1486"/>
      <c r="T86" s="1487"/>
      <c r="U86" s="21">
        <f>SUM(U81:U83)</f>
        <v>0</v>
      </c>
      <c r="V86" s="24">
        <v>0.8</v>
      </c>
      <c r="W86" s="21">
        <f>U86/V86</f>
        <v>0</v>
      </c>
    </row>
    <row r="87" spans="1:23" ht="15.75" customHeight="1" x14ac:dyDescent="0.25">
      <c r="A87" s="1683" t="str">
        <f>'Расчет ЦП - общая форма'!C234</f>
        <v>ПС 110/35/10 кВ Белый</v>
      </c>
      <c r="B87" s="1551">
        <f>'Расчет ЦП - общая форма'!D234</f>
        <v>16</v>
      </c>
      <c r="C87" s="1552" t="str">
        <f>'Расчет ЦП - общая форма'!E234</f>
        <v>+</v>
      </c>
      <c r="D87" s="1552">
        <f>'Расчет ЦП - общая форма'!F234</f>
        <v>10</v>
      </c>
      <c r="E87" s="1552"/>
      <c r="F87" s="1502"/>
      <c r="G87" s="1511" t="s">
        <v>2352</v>
      </c>
      <c r="H87" s="1511"/>
      <c r="I87" s="1511"/>
      <c r="J87" s="1511"/>
      <c r="K87" s="1511"/>
      <c r="L87" s="1542"/>
      <c r="M87" s="131"/>
      <c r="N87" s="132"/>
      <c r="O87" s="73"/>
      <c r="P87" s="73"/>
      <c r="Q87" s="73"/>
      <c r="R87" s="1691"/>
      <c r="S87" s="1691"/>
      <c r="T87" s="1691"/>
      <c r="U87" s="1691"/>
      <c r="V87" s="1691"/>
      <c r="W87" s="1692"/>
    </row>
    <row r="88" spans="1:23" ht="30" x14ac:dyDescent="0.25">
      <c r="A88" s="1540"/>
      <c r="B88" s="1501"/>
      <c r="C88" s="1553"/>
      <c r="D88" s="1553"/>
      <c r="E88" s="1553"/>
      <c r="F88" s="1503"/>
      <c r="G88" s="451" t="s">
        <v>762</v>
      </c>
      <c r="H88" s="416" t="s">
        <v>763</v>
      </c>
      <c r="I88" s="416" t="s">
        <v>764</v>
      </c>
      <c r="J88" s="416">
        <v>2.5000000000000001E-2</v>
      </c>
      <c r="K88" s="416"/>
      <c r="L88" s="416"/>
      <c r="M88" s="11"/>
      <c r="N88" s="11"/>
      <c r="O88" s="11"/>
      <c r="P88" s="1"/>
      <c r="Q88" s="1"/>
      <c r="R88" s="22"/>
      <c r="S88" s="22"/>
      <c r="T88" s="22"/>
      <c r="U88" s="22"/>
      <c r="V88" s="22"/>
      <c r="W88" s="22"/>
    </row>
    <row r="89" spans="1:23" ht="30.75" customHeight="1" x14ac:dyDescent="0.25">
      <c r="A89" s="401"/>
      <c r="B89" s="402"/>
      <c r="C89" s="403"/>
      <c r="D89" s="403"/>
      <c r="E89" s="403"/>
      <c r="F89" s="404"/>
      <c r="G89" s="1656" t="s">
        <v>2062</v>
      </c>
      <c r="H89" s="1693"/>
      <c r="I89" s="1693"/>
      <c r="J89" s="1693"/>
      <c r="K89" s="1693"/>
      <c r="L89" s="1693"/>
      <c r="M89" s="9"/>
      <c r="N89" s="9"/>
      <c r="O89" s="11"/>
      <c r="P89" s="1"/>
      <c r="Q89" s="1"/>
      <c r="R89" s="1694"/>
      <c r="S89" s="1694"/>
      <c r="T89" s="1694"/>
      <c r="U89" s="1694"/>
      <c r="V89" s="1694"/>
      <c r="W89" s="1694"/>
    </row>
    <row r="90" spans="1:23" ht="135" x14ac:dyDescent="0.25">
      <c r="A90" s="401"/>
      <c r="B90" s="402"/>
      <c r="C90" s="403"/>
      <c r="D90" s="403"/>
      <c r="E90" s="403"/>
      <c r="F90" s="404"/>
      <c r="G90" s="299" t="s">
        <v>1523</v>
      </c>
      <c r="H90" s="299" t="s">
        <v>1427</v>
      </c>
      <c r="I90" s="780" t="s">
        <v>2248</v>
      </c>
      <c r="J90" s="780">
        <f>0.0995-0.005</f>
        <v>9.4500000000000001E-2</v>
      </c>
      <c r="K90" s="780"/>
      <c r="L90" s="780"/>
      <c r="M90" s="1" t="s">
        <v>2687</v>
      </c>
      <c r="N90" s="1" t="s">
        <v>2688</v>
      </c>
      <c r="O90" s="11">
        <v>0.17</v>
      </c>
      <c r="P90" s="1"/>
      <c r="Q90" s="1"/>
      <c r="R90" s="35"/>
      <c r="S90" s="35"/>
      <c r="T90" s="22"/>
      <c r="U90" s="22"/>
      <c r="V90" s="22"/>
      <c r="W90" s="22"/>
    </row>
    <row r="91" spans="1:23" ht="22.5" customHeight="1" x14ac:dyDescent="0.25">
      <c r="A91" s="774"/>
      <c r="B91" s="775"/>
      <c r="C91" s="777"/>
      <c r="D91" s="777"/>
      <c r="E91" s="777"/>
      <c r="F91" s="773"/>
      <c r="G91" s="1656" t="s">
        <v>2675</v>
      </c>
      <c r="H91" s="1693"/>
      <c r="I91" s="1693"/>
      <c r="J91" s="1693"/>
      <c r="K91" s="1693"/>
      <c r="L91" s="1693"/>
      <c r="P91" s="1"/>
      <c r="Q91" s="1"/>
      <c r="R91" s="35"/>
      <c r="S91" s="35"/>
      <c r="T91" s="22"/>
      <c r="U91" s="22"/>
      <c r="V91" s="22"/>
      <c r="W91" s="22"/>
    </row>
    <row r="92" spans="1:23" ht="120" x14ac:dyDescent="0.25">
      <c r="A92" s="829"/>
      <c r="B92" s="830"/>
      <c r="C92" s="831"/>
      <c r="D92" s="831"/>
      <c r="E92" s="831"/>
      <c r="F92" s="828"/>
      <c r="G92" s="1" t="s">
        <v>2954</v>
      </c>
      <c r="H92" s="1" t="s">
        <v>2955</v>
      </c>
      <c r="I92" s="869" t="s">
        <v>3054</v>
      </c>
      <c r="J92" s="11">
        <f>0.025-0.008</f>
        <v>1.7000000000000001E-2</v>
      </c>
      <c r="K92" s="832"/>
      <c r="L92" s="832"/>
      <c r="M92" s="1" t="s">
        <v>2879</v>
      </c>
      <c r="N92" s="1" t="s">
        <v>2880</v>
      </c>
      <c r="O92" s="11">
        <v>0.03</v>
      </c>
      <c r="P92" s="1"/>
      <c r="Q92" s="1"/>
      <c r="R92" s="35"/>
      <c r="S92" s="35"/>
      <c r="T92" s="22"/>
      <c r="U92" s="22"/>
      <c r="V92" s="22"/>
      <c r="W92" s="22"/>
    </row>
    <row r="93" spans="1:23" x14ac:dyDescent="0.25">
      <c r="A93" s="1034"/>
      <c r="B93" s="1032"/>
      <c r="C93" s="1036"/>
      <c r="D93" s="1036"/>
      <c r="E93" s="1036"/>
      <c r="F93" s="1033"/>
      <c r="G93" s="1656" t="s">
        <v>3068</v>
      </c>
      <c r="H93" s="1693"/>
      <c r="I93" s="1693"/>
      <c r="J93" s="1693"/>
      <c r="K93" s="1693"/>
      <c r="L93" s="1693"/>
      <c r="M93" s="19"/>
      <c r="N93" s="20"/>
      <c r="O93" s="34"/>
      <c r="P93" s="24"/>
      <c r="Q93" s="24"/>
      <c r="R93" s="1051"/>
      <c r="S93" s="1052"/>
      <c r="T93" s="130"/>
      <c r="U93" s="62"/>
      <c r="V93" s="62"/>
      <c r="W93" s="62"/>
    </row>
    <row r="94" spans="1:23" ht="120" x14ac:dyDescent="0.25">
      <c r="A94" s="1034"/>
      <c r="B94" s="1032"/>
      <c r="C94" s="1036"/>
      <c r="D94" s="1036"/>
      <c r="E94" s="1036"/>
      <c r="F94" s="1033"/>
      <c r="G94" s="9" t="s">
        <v>2546</v>
      </c>
      <c r="H94" s="9" t="s">
        <v>2629</v>
      </c>
      <c r="I94" s="458" t="s">
        <v>3142</v>
      </c>
      <c r="J94" s="11">
        <f>0.032-0.01234</f>
        <v>1.966E-2</v>
      </c>
      <c r="K94" s="453"/>
      <c r="L94" s="453"/>
      <c r="M94" s="19"/>
      <c r="N94" s="20"/>
      <c r="O94" s="34"/>
      <c r="P94" s="24"/>
      <c r="Q94" s="24"/>
      <c r="R94" s="1051"/>
      <c r="S94" s="1052"/>
      <c r="T94" s="130"/>
      <c r="U94" s="62"/>
      <c r="V94" s="62"/>
      <c r="W94" s="62"/>
    </row>
    <row r="95" spans="1:23" x14ac:dyDescent="0.25">
      <c r="A95" s="1200"/>
      <c r="B95" s="1201"/>
      <c r="C95" s="1203"/>
      <c r="D95" s="1203"/>
      <c r="E95" s="1203"/>
      <c r="F95" s="1202"/>
      <c r="G95" s="1518" t="s">
        <v>3482</v>
      </c>
      <c r="H95" s="1519"/>
      <c r="I95" s="1520"/>
      <c r="J95" s="1227">
        <v>0.20699999999999999</v>
      </c>
      <c r="K95" s="1225"/>
      <c r="L95" s="1225"/>
      <c r="M95" s="19"/>
      <c r="N95" s="20"/>
      <c r="O95" s="34"/>
      <c r="P95" s="24"/>
      <c r="Q95" s="24"/>
      <c r="R95" s="1051"/>
      <c r="S95" s="1052"/>
      <c r="T95" s="130"/>
      <c r="U95" s="62"/>
      <c r="V95" s="62"/>
      <c r="W95" s="62"/>
    </row>
    <row r="96" spans="1:23" ht="15.75" customHeight="1" thickBot="1" x14ac:dyDescent="0.3">
      <c r="A96" s="405"/>
      <c r="B96" s="394"/>
      <c r="C96" s="395"/>
      <c r="D96" s="395"/>
      <c r="E96" s="395"/>
      <c r="F96" s="396"/>
      <c r="G96" s="1483" t="s">
        <v>1860</v>
      </c>
      <c r="H96" s="1483"/>
      <c r="I96" s="1484"/>
      <c r="J96" s="21">
        <f>SUM(J92:J95)</f>
        <v>0.24365999999999999</v>
      </c>
      <c r="K96" s="14">
        <v>0.8</v>
      </c>
      <c r="L96" s="13">
        <f>J96/K96</f>
        <v>0.30457499999999998</v>
      </c>
      <c r="M96" s="1482" t="s">
        <v>1861</v>
      </c>
      <c r="N96" s="1484"/>
      <c r="O96" s="13">
        <f>SUM(O88:O92)</f>
        <v>0.2</v>
      </c>
      <c r="P96" s="14">
        <v>0.8</v>
      </c>
      <c r="Q96" s="13">
        <f>O96/P96</f>
        <v>0.25</v>
      </c>
      <c r="R96" s="1482" t="s">
        <v>1860</v>
      </c>
      <c r="S96" s="1483"/>
      <c r="T96" s="1484"/>
      <c r="U96" s="21">
        <f>SUM(U90:U90)</f>
        <v>0</v>
      </c>
      <c r="V96" s="14">
        <v>0.8</v>
      </c>
      <c r="W96" s="13">
        <f>U96/V96</f>
        <v>0</v>
      </c>
    </row>
    <row r="97" spans="1:23" x14ac:dyDescent="0.25">
      <c r="A97" s="1683" t="str">
        <f>'Расчет ЦП - общая форма'!C237</f>
        <v>ПС 110/35/10 кВ Западная Двина</v>
      </c>
      <c r="B97" s="1551">
        <f>'Расчет ЦП - общая форма'!D237</f>
        <v>10</v>
      </c>
      <c r="C97" s="1552" t="str">
        <f>'Расчет ЦП - общая форма'!E237</f>
        <v>+</v>
      </c>
      <c r="D97" s="1552">
        <f>'Расчет ЦП - общая форма'!F237</f>
        <v>10</v>
      </c>
      <c r="E97" s="1552"/>
      <c r="F97" s="1502"/>
      <c r="G97" s="1511" t="s">
        <v>2353</v>
      </c>
      <c r="H97" s="1511"/>
      <c r="I97" s="1511"/>
      <c r="J97" s="1511"/>
      <c r="K97" s="1511"/>
      <c r="L97" s="1542"/>
      <c r="M97" s="131"/>
      <c r="N97" s="132"/>
      <c r="O97" s="73"/>
      <c r="P97" s="73"/>
      <c r="Q97" s="73"/>
      <c r="R97" s="1691"/>
      <c r="S97" s="1691"/>
      <c r="T97" s="1691"/>
      <c r="U97" s="1691"/>
      <c r="V97" s="1691"/>
      <c r="W97" s="1692"/>
    </row>
    <row r="98" spans="1:23" x14ac:dyDescent="0.25">
      <c r="A98" s="1540"/>
      <c r="B98" s="1501"/>
      <c r="C98" s="1553"/>
      <c r="D98" s="1553"/>
      <c r="E98" s="1553"/>
      <c r="F98" s="1503"/>
      <c r="G98" s="439" t="s">
        <v>767</v>
      </c>
      <c r="H98" s="438" t="s">
        <v>768</v>
      </c>
      <c r="I98" s="438" t="s">
        <v>769</v>
      </c>
      <c r="J98" s="438">
        <v>7.4999999999999997E-2</v>
      </c>
      <c r="K98" s="438"/>
      <c r="L98" s="438"/>
      <c r="M98" s="1"/>
      <c r="N98" s="1"/>
      <c r="O98" s="1"/>
      <c r="P98" s="1"/>
      <c r="Q98" s="1"/>
      <c r="R98" s="51"/>
      <c r="S98" s="51"/>
      <c r="T98" s="51"/>
      <c r="U98" s="51"/>
      <c r="V98" s="51"/>
      <c r="W98" s="51"/>
    </row>
    <row r="99" spans="1:23" x14ac:dyDescent="0.25">
      <c r="A99" s="581"/>
      <c r="B99" s="582"/>
      <c r="C99" s="584"/>
      <c r="D99" s="584"/>
      <c r="E99" s="584"/>
      <c r="F99" s="580"/>
      <c r="G99" s="1693" t="s">
        <v>2354</v>
      </c>
      <c r="H99" s="1693"/>
      <c r="I99" s="1693"/>
      <c r="J99" s="1693"/>
      <c r="K99" s="1693"/>
      <c r="L99" s="1693"/>
      <c r="M99" s="1"/>
      <c r="N99" s="1"/>
      <c r="O99" s="1"/>
      <c r="P99" s="1"/>
      <c r="Q99" s="1"/>
      <c r="R99" s="51"/>
      <c r="S99" s="51"/>
      <c r="T99" s="51"/>
      <c r="U99" s="71"/>
      <c r="V99" s="51"/>
      <c r="W99" s="51"/>
    </row>
    <row r="100" spans="1:23" ht="60" x14ac:dyDescent="0.25">
      <c r="A100" s="401"/>
      <c r="B100" s="402"/>
      <c r="C100" s="403"/>
      <c r="D100" s="403"/>
      <c r="E100" s="403"/>
      <c r="F100" s="404"/>
      <c r="G100" s="445" t="s">
        <v>770</v>
      </c>
      <c r="H100" s="446" t="s">
        <v>771</v>
      </c>
      <c r="I100" s="542" t="s">
        <v>2330</v>
      </c>
      <c r="J100" s="543">
        <v>9.9000000000000005E-2</v>
      </c>
      <c r="K100" s="446"/>
      <c r="L100" s="446"/>
      <c r="M100" s="1" t="s">
        <v>772</v>
      </c>
      <c r="N100" s="1" t="s">
        <v>773</v>
      </c>
      <c r="O100" s="1">
        <v>4.2000000000000003E-2</v>
      </c>
      <c r="P100" s="1"/>
      <c r="Q100" s="1"/>
      <c r="R100" s="51"/>
      <c r="S100" s="51"/>
      <c r="T100" s="349"/>
      <c r="U100" s="106"/>
      <c r="V100" s="51"/>
      <c r="W100" s="51"/>
    </row>
    <row r="101" spans="1:23" ht="20.25" customHeight="1" x14ac:dyDescent="0.25">
      <c r="A101" s="401"/>
      <c r="B101" s="402"/>
      <c r="C101" s="403"/>
      <c r="D101" s="403"/>
      <c r="E101" s="403"/>
      <c r="F101" s="404"/>
      <c r="G101" s="1693" t="s">
        <v>2675</v>
      </c>
      <c r="H101" s="1693"/>
      <c r="I101" s="1693"/>
      <c r="J101" s="1693"/>
      <c r="K101" s="1693"/>
      <c r="L101" s="1693"/>
      <c r="M101" s="1" t="s">
        <v>774</v>
      </c>
      <c r="N101" s="1" t="s">
        <v>775</v>
      </c>
      <c r="O101" s="1">
        <v>0.04</v>
      </c>
      <c r="P101" s="1"/>
      <c r="Q101" s="1"/>
      <c r="R101" s="108"/>
      <c r="S101" s="142"/>
      <c r="T101" s="142"/>
      <c r="U101" s="22"/>
      <c r="V101" s="22"/>
      <c r="W101" s="22"/>
    </row>
    <row r="102" spans="1:23" ht="150" x14ac:dyDescent="0.25">
      <c r="A102" s="401"/>
      <c r="B102" s="402"/>
      <c r="C102" s="403"/>
      <c r="D102" s="403"/>
      <c r="E102" s="403"/>
      <c r="F102" s="404"/>
      <c r="G102" s="1" t="s">
        <v>2769</v>
      </c>
      <c r="H102" s="1" t="s">
        <v>2770</v>
      </c>
      <c r="I102" s="1" t="s">
        <v>2794</v>
      </c>
      <c r="J102" s="299">
        <v>0.03</v>
      </c>
      <c r="K102" s="24"/>
      <c r="L102" s="62"/>
      <c r="M102" s="1" t="s">
        <v>776</v>
      </c>
      <c r="N102" s="1" t="s">
        <v>777</v>
      </c>
      <c r="O102" s="1">
        <v>2.5000000000000001E-2</v>
      </c>
      <c r="P102" s="1"/>
      <c r="Q102" s="1"/>
      <c r="R102" s="22"/>
      <c r="S102" s="22"/>
      <c r="T102" s="22"/>
      <c r="U102" s="62"/>
      <c r="V102" s="62"/>
      <c r="W102" s="62"/>
    </row>
    <row r="103" spans="1:23" ht="38.25" x14ac:dyDescent="0.25">
      <c r="A103" s="401"/>
      <c r="B103" s="402"/>
      <c r="C103" s="403"/>
      <c r="D103" s="403"/>
      <c r="E103" s="403"/>
      <c r="F103" s="404"/>
      <c r="G103" s="152"/>
      <c r="H103" s="1"/>
      <c r="I103" s="1"/>
      <c r="J103" s="1"/>
      <c r="K103" s="1"/>
      <c r="L103" s="22"/>
      <c r="M103" s="11" t="s">
        <v>1891</v>
      </c>
      <c r="N103" s="11" t="s">
        <v>1428</v>
      </c>
      <c r="O103" s="299">
        <v>0.15</v>
      </c>
      <c r="P103" s="1"/>
      <c r="Q103" s="1"/>
      <c r="R103" s="22"/>
      <c r="S103" s="22"/>
      <c r="T103" s="22"/>
      <c r="U103" s="22"/>
      <c r="V103" s="22"/>
      <c r="W103" s="22"/>
    </row>
    <row r="104" spans="1:23" ht="76.5" x14ac:dyDescent="0.25">
      <c r="A104" s="401"/>
      <c r="B104" s="402"/>
      <c r="C104" s="403"/>
      <c r="D104" s="403"/>
      <c r="E104" s="403"/>
      <c r="F104" s="404"/>
      <c r="G104" s="152"/>
      <c r="H104" s="1"/>
      <c r="I104" s="1"/>
      <c r="J104" s="1"/>
      <c r="K104" s="1"/>
      <c r="L104" s="22"/>
      <c r="M104" s="11" t="s">
        <v>2229</v>
      </c>
      <c r="N104" s="11" t="s">
        <v>2230</v>
      </c>
      <c r="O104" s="299">
        <v>0.16900000000000001</v>
      </c>
      <c r="P104" s="1"/>
      <c r="Q104" s="1"/>
      <c r="R104" s="22"/>
      <c r="S104" s="22"/>
      <c r="T104" s="22"/>
      <c r="U104" s="22"/>
      <c r="V104" s="22"/>
      <c r="W104" s="22"/>
    </row>
    <row r="105" spans="1:23" ht="180" x14ac:dyDescent="0.25">
      <c r="A105" s="629"/>
      <c r="B105" s="631"/>
      <c r="C105" s="632"/>
      <c r="D105" s="632"/>
      <c r="E105" s="632"/>
      <c r="F105" s="628"/>
      <c r="G105" s="152"/>
      <c r="H105" s="1"/>
      <c r="I105" s="1"/>
      <c r="J105" s="1"/>
      <c r="K105" s="1"/>
      <c r="L105" s="22"/>
      <c r="M105" s="9" t="s">
        <v>2546</v>
      </c>
      <c r="N105" s="9" t="s">
        <v>2627</v>
      </c>
      <c r="O105" s="456">
        <f>0.037-0.0156</f>
        <v>2.1399999999999999E-2</v>
      </c>
      <c r="P105" s="24"/>
      <c r="Q105" s="24"/>
      <c r="R105" s="129"/>
      <c r="S105" s="660"/>
      <c r="T105" s="130"/>
      <c r="U105" s="62"/>
      <c r="V105" s="62"/>
      <c r="W105" s="62"/>
    </row>
    <row r="106" spans="1:23" ht="135" x14ac:dyDescent="0.25">
      <c r="A106" s="629"/>
      <c r="B106" s="631"/>
      <c r="C106" s="632"/>
      <c r="D106" s="632"/>
      <c r="E106" s="632"/>
      <c r="F106" s="628"/>
      <c r="G106" s="1"/>
      <c r="H106" s="1"/>
      <c r="I106" s="1"/>
      <c r="J106" s="1"/>
      <c r="K106" s="1"/>
      <c r="L106" s="22"/>
      <c r="M106" s="128" t="s">
        <v>2469</v>
      </c>
      <c r="N106" s="128" t="s">
        <v>2628</v>
      </c>
      <c r="O106" s="456">
        <v>4.4999999999999998E-2</v>
      </c>
      <c r="P106" s="24"/>
      <c r="Q106" s="24"/>
      <c r="R106" s="129"/>
      <c r="S106" s="660"/>
      <c r="T106" s="130"/>
      <c r="U106" s="62"/>
      <c r="V106" s="62"/>
      <c r="W106" s="62"/>
    </row>
    <row r="107" spans="1:23" ht="68.25" customHeight="1" x14ac:dyDescent="0.25">
      <c r="A107" s="721"/>
      <c r="B107" s="722"/>
      <c r="C107" s="723"/>
      <c r="D107" s="723"/>
      <c r="E107" s="723"/>
      <c r="F107" s="720"/>
      <c r="G107" s="263"/>
      <c r="H107" s="263"/>
      <c r="I107" s="20"/>
      <c r="J107" s="24"/>
      <c r="K107" s="24"/>
      <c r="L107" s="62"/>
      <c r="M107" s="128" t="s">
        <v>2469</v>
      </c>
      <c r="N107" s="128" t="s">
        <v>3115</v>
      </c>
      <c r="O107" s="1">
        <v>2.2200000000000001E-2</v>
      </c>
      <c r="P107" s="1"/>
      <c r="Q107" s="1"/>
      <c r="R107" s="22"/>
      <c r="S107" s="22"/>
      <c r="T107" s="22"/>
      <c r="U107" s="22"/>
      <c r="V107" s="22"/>
      <c r="W107" s="22"/>
    </row>
    <row r="108" spans="1:23" ht="15.75" customHeight="1" thickBot="1" x14ac:dyDescent="0.3">
      <c r="A108" s="405"/>
      <c r="B108" s="394"/>
      <c r="C108" s="395"/>
      <c r="D108" s="395"/>
      <c r="E108" s="395"/>
      <c r="F108" s="396"/>
      <c r="G108" s="1483" t="s">
        <v>1860</v>
      </c>
      <c r="H108" s="1483"/>
      <c r="I108" s="1484"/>
      <c r="J108" s="13">
        <f>SUM(J102)</f>
        <v>0.03</v>
      </c>
      <c r="K108" s="14">
        <v>0.8</v>
      </c>
      <c r="L108" s="13">
        <f>J108/K108</f>
        <v>3.7499999999999999E-2</v>
      </c>
      <c r="M108" s="1482"/>
      <c r="N108" s="1484"/>
      <c r="O108" s="13">
        <f>SUM(O98:O107)</f>
        <v>0.51460000000000006</v>
      </c>
      <c r="P108" s="14">
        <v>0.8</v>
      </c>
      <c r="Q108" s="13">
        <f>O108/P108</f>
        <v>0.64324999999999999</v>
      </c>
      <c r="R108" s="1482" t="s">
        <v>1860</v>
      </c>
      <c r="S108" s="1483"/>
      <c r="T108" s="1484"/>
      <c r="U108" s="13">
        <f>SUM(U98:U103)</f>
        <v>0</v>
      </c>
      <c r="V108" s="14">
        <v>0.8</v>
      </c>
      <c r="W108" s="13">
        <f>U108/V108</f>
        <v>0</v>
      </c>
    </row>
    <row r="109" spans="1:23" ht="22.5" customHeight="1" x14ac:dyDescent="0.25">
      <c r="A109" s="1683" t="str">
        <f>'Расчет ЦП - общая форма'!C240</f>
        <v>ПС 110/35/10 кВ Торопец</v>
      </c>
      <c r="B109" s="1551">
        <f>'Расчет ЦП - общая форма'!D240</f>
        <v>25</v>
      </c>
      <c r="C109" s="1552" t="str">
        <f>'Расчет ЦП - общая форма'!E240</f>
        <v>+</v>
      </c>
      <c r="D109" s="1552">
        <f>'Расчет ЦП - общая форма'!F240</f>
        <v>25</v>
      </c>
      <c r="E109" s="1552"/>
      <c r="F109" s="1502"/>
      <c r="G109" s="1511" t="s">
        <v>2352</v>
      </c>
      <c r="H109" s="1511"/>
      <c r="I109" s="1511"/>
      <c r="J109" s="1511"/>
      <c r="K109" s="1511"/>
      <c r="L109" s="1542"/>
      <c r="M109" s="22" t="s">
        <v>2088</v>
      </c>
      <c r="N109" s="22" t="s">
        <v>2089</v>
      </c>
      <c r="O109" s="9">
        <v>0.06</v>
      </c>
      <c r="P109" s="73"/>
      <c r="Q109" s="73"/>
      <c r="R109" s="1691"/>
      <c r="S109" s="1691"/>
      <c r="T109" s="1691"/>
      <c r="U109" s="1691"/>
      <c r="V109" s="1691"/>
      <c r="W109" s="1692"/>
    </row>
    <row r="110" spans="1:23" ht="44.25" customHeight="1" x14ac:dyDescent="0.25">
      <c r="A110" s="1540"/>
      <c r="B110" s="1501"/>
      <c r="C110" s="1553"/>
      <c r="D110" s="1553"/>
      <c r="E110" s="1553"/>
      <c r="F110" s="1503"/>
      <c r="G110" s="451" t="s">
        <v>780</v>
      </c>
      <c r="H110" s="416" t="s">
        <v>781</v>
      </c>
      <c r="I110" s="416" t="s">
        <v>1307</v>
      </c>
      <c r="J110" s="416">
        <v>0.06</v>
      </c>
      <c r="K110" s="416"/>
      <c r="L110" s="416"/>
      <c r="M110" s="1" t="s">
        <v>2178</v>
      </c>
      <c r="N110" s="1" t="s">
        <v>2179</v>
      </c>
      <c r="O110" s="1" t="s">
        <v>2180</v>
      </c>
      <c r="P110" s="9"/>
      <c r="Q110" s="9"/>
      <c r="R110" s="22"/>
      <c r="S110" s="22"/>
      <c r="T110" s="22"/>
      <c r="U110" s="22"/>
      <c r="V110" s="22"/>
      <c r="W110" s="22"/>
    </row>
    <row r="111" spans="1:23" ht="43.5" customHeight="1" x14ac:dyDescent="0.25">
      <c r="A111" s="401"/>
      <c r="B111" s="402"/>
      <c r="C111" s="403"/>
      <c r="D111" s="403"/>
      <c r="E111" s="403"/>
      <c r="F111" s="404"/>
      <c r="G111" s="451" t="s">
        <v>782</v>
      </c>
      <c r="H111" s="416" t="s">
        <v>783</v>
      </c>
      <c r="I111" s="416" t="s">
        <v>2087</v>
      </c>
      <c r="J111" s="416">
        <v>1.5</v>
      </c>
      <c r="K111" s="416"/>
      <c r="L111" s="416"/>
      <c r="M111" s="9" t="s">
        <v>2546</v>
      </c>
      <c r="N111" s="9" t="s">
        <v>2626</v>
      </c>
      <c r="O111" s="241">
        <f>0.03-0.00915</f>
        <v>2.085E-2</v>
      </c>
      <c r="P111" s="1"/>
      <c r="Q111" s="1"/>
      <c r="R111" s="22"/>
      <c r="S111" s="22"/>
      <c r="T111" s="22"/>
      <c r="U111" s="22"/>
      <c r="V111" s="22"/>
      <c r="W111" s="22"/>
    </row>
    <row r="112" spans="1:23" ht="42" customHeight="1" x14ac:dyDescent="0.25">
      <c r="A112" s="401"/>
      <c r="B112" s="402"/>
      <c r="C112" s="403"/>
      <c r="D112" s="403"/>
      <c r="E112" s="403"/>
      <c r="F112" s="404"/>
      <c r="G112" s="451" t="s">
        <v>2090</v>
      </c>
      <c r="H112" s="416" t="s">
        <v>2091</v>
      </c>
      <c r="I112" s="416" t="s">
        <v>2092</v>
      </c>
      <c r="J112" s="416">
        <v>0.65</v>
      </c>
      <c r="K112" s="416"/>
      <c r="L112" s="416"/>
      <c r="M112" s="9"/>
      <c r="N112" s="9"/>
      <c r="O112" s="241"/>
      <c r="P112" s="1"/>
      <c r="Q112" s="1"/>
      <c r="R112" s="22"/>
      <c r="S112" s="22"/>
      <c r="T112" s="22"/>
      <c r="U112" s="22"/>
      <c r="V112" s="22"/>
      <c r="W112" s="22"/>
    </row>
    <row r="113" spans="1:23" ht="21.75" customHeight="1" x14ac:dyDescent="0.25">
      <c r="A113" s="401"/>
      <c r="B113" s="402"/>
      <c r="C113" s="403"/>
      <c r="D113" s="403"/>
      <c r="E113" s="403"/>
      <c r="F113" s="404"/>
      <c r="G113" s="1656" t="s">
        <v>2062</v>
      </c>
      <c r="H113" s="1693"/>
      <c r="I113" s="1693"/>
      <c r="J113" s="1693"/>
      <c r="K113" s="1693"/>
      <c r="L113" s="1693"/>
      <c r="M113" s="9"/>
      <c r="N113" s="9"/>
      <c r="O113" s="241"/>
      <c r="P113" s="1"/>
      <c r="Q113" s="1"/>
      <c r="R113" s="1694"/>
      <c r="S113" s="1694"/>
      <c r="T113" s="1694"/>
      <c r="U113" s="1694"/>
      <c r="V113" s="1694"/>
      <c r="W113" s="1694"/>
    </row>
    <row r="114" spans="1:23" ht="75" customHeight="1" x14ac:dyDescent="0.25">
      <c r="A114" s="401"/>
      <c r="B114" s="402"/>
      <c r="C114" s="403"/>
      <c r="D114" s="403"/>
      <c r="E114" s="403"/>
      <c r="F114" s="404"/>
      <c r="G114" s="451" t="s">
        <v>2053</v>
      </c>
      <c r="H114" s="416" t="s">
        <v>2054</v>
      </c>
      <c r="I114" s="637" t="s">
        <v>2291</v>
      </c>
      <c r="J114" s="416">
        <v>3</v>
      </c>
      <c r="K114" s="416"/>
      <c r="L114" s="416"/>
      <c r="M114" s="9"/>
      <c r="N114" s="9"/>
      <c r="O114" s="241"/>
      <c r="P114" s="1"/>
      <c r="Q114" s="1"/>
      <c r="R114" s="22"/>
      <c r="S114" s="22"/>
      <c r="T114" s="22"/>
      <c r="U114" s="22"/>
      <c r="V114" s="22"/>
      <c r="W114" s="22"/>
    </row>
    <row r="115" spans="1:23" ht="18" customHeight="1" x14ac:dyDescent="0.25">
      <c r="A115" s="716"/>
      <c r="B115" s="717"/>
      <c r="C115" s="718"/>
      <c r="D115" s="718"/>
      <c r="E115" s="718"/>
      <c r="F115" s="715"/>
      <c r="G115" s="1656" t="s">
        <v>2675</v>
      </c>
      <c r="H115" s="1693"/>
      <c r="I115" s="1693"/>
      <c r="J115" s="1693"/>
      <c r="K115" s="1693"/>
      <c r="L115" s="1693"/>
      <c r="M115" s="19"/>
      <c r="N115" s="20"/>
      <c r="O115" s="24"/>
      <c r="P115" s="24"/>
      <c r="Q115" s="24"/>
      <c r="R115" s="129"/>
      <c r="S115" s="660"/>
      <c r="T115" s="130"/>
      <c r="U115" s="62"/>
      <c r="V115" s="62"/>
      <c r="W115" s="62"/>
    </row>
    <row r="116" spans="1:23" ht="76.5" customHeight="1" x14ac:dyDescent="0.25">
      <c r="A116" s="716"/>
      <c r="B116" s="717"/>
      <c r="C116" s="718"/>
      <c r="D116" s="718"/>
      <c r="E116" s="718"/>
      <c r="F116" s="715"/>
      <c r="G116" s="1" t="s">
        <v>2592</v>
      </c>
      <c r="H116" s="1" t="s">
        <v>2593</v>
      </c>
      <c r="I116" s="458" t="s">
        <v>2737</v>
      </c>
      <c r="J116" s="453">
        <v>0.02</v>
      </c>
      <c r="K116" s="453"/>
      <c r="L116" s="453"/>
      <c r="M116" s="19"/>
      <c r="N116" s="20"/>
      <c r="O116" s="24"/>
      <c r="P116" s="24"/>
      <c r="Q116" s="24"/>
      <c r="R116" s="129"/>
      <c r="S116" s="660"/>
      <c r="T116" s="130"/>
      <c r="U116" s="62"/>
      <c r="V116" s="62"/>
      <c r="W116" s="62"/>
    </row>
    <row r="117" spans="1:23" ht="26.25" customHeight="1" x14ac:dyDescent="0.25">
      <c r="A117" s="1212"/>
      <c r="B117" s="1210"/>
      <c r="C117" s="1214"/>
      <c r="D117" s="1214"/>
      <c r="E117" s="1214"/>
      <c r="F117" s="1211"/>
      <c r="G117" s="1656" t="s">
        <v>3068</v>
      </c>
      <c r="H117" s="1693"/>
      <c r="I117" s="1693"/>
      <c r="J117" s="1693"/>
      <c r="K117" s="1693"/>
      <c r="L117" s="1693"/>
      <c r="M117" s="19"/>
      <c r="N117" s="20"/>
      <c r="O117" s="24"/>
      <c r="P117" s="24"/>
      <c r="Q117" s="24"/>
      <c r="R117" s="129"/>
      <c r="S117" s="660"/>
      <c r="T117" s="130"/>
      <c r="U117" s="62"/>
      <c r="V117" s="62"/>
      <c r="W117" s="62"/>
    </row>
    <row r="118" spans="1:23" ht="56.25" customHeight="1" x14ac:dyDescent="0.25">
      <c r="A118" s="1212"/>
      <c r="B118" s="1210"/>
      <c r="C118" s="1214"/>
      <c r="D118" s="1214"/>
      <c r="E118" s="1214"/>
      <c r="F118" s="1211"/>
      <c r="G118" s="9" t="s">
        <v>3443</v>
      </c>
      <c r="H118" s="9" t="s">
        <v>3444</v>
      </c>
      <c r="I118" s="265" t="s">
        <v>3504</v>
      </c>
      <c r="J118" s="149">
        <v>0.02</v>
      </c>
      <c r="K118" s="149"/>
      <c r="L118" s="149"/>
      <c r="M118" s="19"/>
      <c r="N118" s="20"/>
      <c r="O118" s="24"/>
      <c r="P118" s="24"/>
      <c r="Q118" s="24"/>
      <c r="R118" s="129"/>
      <c r="S118" s="660"/>
      <c r="T118" s="130"/>
      <c r="U118" s="62"/>
      <c r="V118" s="62"/>
      <c r="W118" s="62"/>
    </row>
    <row r="119" spans="1:23" ht="26.25" customHeight="1" x14ac:dyDescent="0.25">
      <c r="A119" s="1212"/>
      <c r="B119" s="1210"/>
      <c r="C119" s="1214"/>
      <c r="D119" s="1214"/>
      <c r="E119" s="1214"/>
      <c r="F119" s="1211"/>
      <c r="G119" s="9" t="s">
        <v>3443</v>
      </c>
      <c r="H119" s="9" t="s">
        <v>3445</v>
      </c>
      <c r="I119" s="265" t="s">
        <v>3505</v>
      </c>
      <c r="J119" s="149">
        <v>0.01</v>
      </c>
      <c r="K119" s="149"/>
      <c r="L119" s="149"/>
      <c r="M119" s="19"/>
      <c r="N119" s="20"/>
      <c r="O119" s="24"/>
      <c r="P119" s="24"/>
      <c r="Q119" s="24"/>
      <c r="R119" s="129"/>
      <c r="S119" s="660"/>
      <c r="T119" s="130"/>
      <c r="U119" s="62"/>
      <c r="V119" s="62"/>
      <c r="W119" s="62"/>
    </row>
    <row r="120" spans="1:23" ht="41.25" customHeight="1" x14ac:dyDescent="0.25">
      <c r="A120" s="1212"/>
      <c r="B120" s="1210"/>
      <c r="C120" s="1214"/>
      <c r="D120" s="1214"/>
      <c r="E120" s="1214"/>
      <c r="F120" s="1211"/>
      <c r="G120" s="1518" t="s">
        <v>3482</v>
      </c>
      <c r="H120" s="1519"/>
      <c r="I120" s="1520"/>
      <c r="J120" s="1225">
        <v>0.26300000000000001</v>
      </c>
      <c r="K120" s="453"/>
      <c r="L120" s="453"/>
      <c r="M120" s="19"/>
      <c r="N120" s="20"/>
      <c r="O120" s="24"/>
      <c r="P120" s="24"/>
      <c r="Q120" s="24"/>
      <c r="R120" s="129"/>
      <c r="S120" s="660"/>
      <c r="T120" s="130"/>
      <c r="U120" s="62"/>
      <c r="V120" s="62"/>
      <c r="W120" s="62"/>
    </row>
    <row r="121" spans="1:23" ht="15.75" customHeight="1" thickBot="1" x14ac:dyDescent="0.3">
      <c r="A121" s="405"/>
      <c r="B121" s="394"/>
      <c r="C121" s="395"/>
      <c r="D121" s="395"/>
      <c r="E121" s="395"/>
      <c r="F121" s="396"/>
      <c r="G121" s="1486" t="s">
        <v>1860</v>
      </c>
      <c r="H121" s="1486"/>
      <c r="I121" s="1487"/>
      <c r="J121" s="21">
        <f>SUM(J116:J120)</f>
        <v>0.313</v>
      </c>
      <c r="K121" s="24">
        <v>0.8</v>
      </c>
      <c r="L121" s="21">
        <f>J121/K121</f>
        <v>0.39124999999999999</v>
      </c>
      <c r="M121" s="1485" t="s">
        <v>1861</v>
      </c>
      <c r="N121" s="1487"/>
      <c r="O121" s="21">
        <f>SUM(O109:O116)</f>
        <v>8.0850000000000005E-2</v>
      </c>
      <c r="P121" s="24">
        <v>0.8</v>
      </c>
      <c r="Q121" s="21">
        <f>O121/P121</f>
        <v>0.1010625</v>
      </c>
      <c r="R121" s="1485" t="s">
        <v>1860</v>
      </c>
      <c r="S121" s="1486"/>
      <c r="T121" s="1487"/>
      <c r="U121" s="21">
        <f>SUM(U114:U114)</f>
        <v>0</v>
      </c>
      <c r="V121" s="24">
        <v>0.8</v>
      </c>
      <c r="W121" s="21">
        <f>U121/V121</f>
        <v>0</v>
      </c>
    </row>
    <row r="122" spans="1:23" ht="19.5" thickBot="1" x14ac:dyDescent="0.3">
      <c r="A122" s="1661" t="s">
        <v>1990</v>
      </c>
      <c r="B122" s="1662"/>
      <c r="C122" s="501"/>
      <c r="D122" s="501"/>
      <c r="E122" s="501"/>
      <c r="F122" s="501"/>
      <c r="G122" s="190"/>
      <c r="H122" s="191"/>
      <c r="I122" s="191"/>
      <c r="J122" s="191">
        <f>J9+J11+J13+J15+J20+J23++J25+J27+J31+J33+J35+J37+J39+J44+J47+J49+J55+J57+J59+J61+J65+J69+J72+J76+J86+J96+J108+J121</f>
        <v>0.80766000000000004</v>
      </c>
      <c r="K122" s="191"/>
      <c r="L122" s="191">
        <f>L9+L11+L13+L15+L20+L23++L25+L27+L31+L33+L35+L37+L39+L44+L47+L49+L55+L57+L59+L61+L65+L69+L72+L76+L86+L96+L108+L121</f>
        <v>1.0095749999999999</v>
      </c>
      <c r="M122" s="191"/>
      <c r="N122" s="191"/>
      <c r="O122" s="191"/>
      <c r="P122" s="190"/>
      <c r="Q122" s="190"/>
      <c r="R122" s="350"/>
      <c r="S122" s="351"/>
      <c r="T122" s="351"/>
      <c r="U122" s="351"/>
      <c r="V122" s="351"/>
      <c r="W122" s="352"/>
    </row>
    <row r="123" spans="1:23" x14ac:dyDescent="0.25">
      <c r="A123" s="153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71"/>
      <c r="M123" s="40"/>
      <c r="N123" s="40"/>
      <c r="O123" s="40"/>
      <c r="P123" s="40"/>
      <c r="Q123" s="40"/>
      <c r="R123" s="99"/>
    </row>
    <row r="124" spans="1:23" x14ac:dyDescent="0.25">
      <c r="A124" s="153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71"/>
      <c r="M124" s="40"/>
      <c r="N124" s="40"/>
      <c r="O124" s="40"/>
      <c r="P124" s="40"/>
      <c r="Q124" s="40"/>
      <c r="R124" s="99"/>
    </row>
    <row r="125" spans="1:23" x14ac:dyDescent="0.25">
      <c r="A125" s="153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71"/>
      <c r="M125" s="40"/>
      <c r="N125" s="40"/>
      <c r="O125" s="40"/>
      <c r="P125" s="40"/>
      <c r="Q125" s="40"/>
      <c r="R125" s="99"/>
    </row>
    <row r="126" spans="1:23" x14ac:dyDescent="0.25">
      <c r="A126" s="153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71"/>
      <c r="M126" s="40"/>
      <c r="N126" s="40"/>
      <c r="O126" s="40"/>
      <c r="P126" s="40"/>
      <c r="Q126" s="40"/>
      <c r="R126" s="99"/>
    </row>
    <row r="127" spans="1:23" x14ac:dyDescent="0.25">
      <c r="A127" s="153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71"/>
      <c r="M127" s="40"/>
      <c r="N127" s="40"/>
      <c r="O127" s="40"/>
      <c r="P127" s="40"/>
      <c r="Q127" s="40"/>
      <c r="R127" s="99"/>
    </row>
    <row r="128" spans="1:23" x14ac:dyDescent="0.25">
      <c r="A128" s="153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71"/>
      <c r="M128" s="40"/>
      <c r="N128" s="40"/>
      <c r="O128" s="40"/>
      <c r="P128" s="40"/>
      <c r="Q128" s="40"/>
      <c r="R128" s="99"/>
    </row>
    <row r="129" spans="1:18" x14ac:dyDescent="0.25">
      <c r="A129" s="153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71"/>
      <c r="M129" s="40"/>
      <c r="N129" s="40"/>
      <c r="O129" s="40"/>
      <c r="P129" s="40"/>
      <c r="Q129" s="40"/>
      <c r="R129" s="99"/>
    </row>
    <row r="130" spans="1:18" x14ac:dyDescent="0.25">
      <c r="A130" s="153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71"/>
      <c r="M130" s="40"/>
      <c r="N130" s="40"/>
      <c r="O130" s="40"/>
      <c r="P130" s="40"/>
      <c r="Q130" s="40"/>
      <c r="R130" s="99"/>
    </row>
    <row r="131" spans="1:18" x14ac:dyDescent="0.25">
      <c r="A131" s="153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71"/>
      <c r="M131" s="40"/>
      <c r="N131" s="40"/>
      <c r="O131" s="40"/>
      <c r="P131" s="40"/>
      <c r="Q131" s="40"/>
      <c r="R131" s="99"/>
    </row>
    <row r="132" spans="1:18" x14ac:dyDescent="0.25">
      <c r="A132" s="153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71"/>
      <c r="M132" s="40"/>
      <c r="N132" s="40"/>
      <c r="O132" s="40"/>
      <c r="P132" s="40"/>
      <c r="Q132" s="40"/>
      <c r="R132" s="99"/>
    </row>
    <row r="133" spans="1:18" x14ac:dyDescent="0.25">
      <c r="A133" s="153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71"/>
      <c r="M133" s="40"/>
      <c r="N133" s="40"/>
      <c r="O133" s="40"/>
      <c r="P133" s="40"/>
      <c r="Q133" s="40"/>
      <c r="R133" s="99"/>
    </row>
    <row r="134" spans="1:18" x14ac:dyDescent="0.25">
      <c r="A134" s="153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99"/>
    </row>
    <row r="135" spans="1:18" x14ac:dyDescent="0.25">
      <c r="A135" s="153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99"/>
    </row>
    <row r="136" spans="1:18" x14ac:dyDescent="0.25">
      <c r="A136" s="153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99"/>
    </row>
    <row r="137" spans="1:18" x14ac:dyDescent="0.25">
      <c r="A137" s="153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99"/>
    </row>
    <row r="138" spans="1:18" x14ac:dyDescent="0.25">
      <c r="A138" s="153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99"/>
    </row>
    <row r="139" spans="1:18" x14ac:dyDescent="0.25">
      <c r="A139" s="153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99"/>
    </row>
    <row r="140" spans="1:18" x14ac:dyDescent="0.25">
      <c r="A140" s="153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99"/>
    </row>
    <row r="141" spans="1:18" x14ac:dyDescent="0.25">
      <c r="A141" s="153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99"/>
    </row>
    <row r="142" spans="1:18" x14ac:dyDescent="0.25">
      <c r="A142" s="153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99"/>
    </row>
    <row r="143" spans="1:18" x14ac:dyDescent="0.25">
      <c r="A143" s="153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99"/>
    </row>
    <row r="144" spans="1:18" x14ac:dyDescent="0.25">
      <c r="A144" s="153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99"/>
    </row>
    <row r="145" spans="1:18" x14ac:dyDescent="0.25">
      <c r="A145" s="153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99"/>
    </row>
    <row r="146" spans="1:18" x14ac:dyDescent="0.25">
      <c r="A146" s="153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99"/>
    </row>
    <row r="147" spans="1:18" x14ac:dyDescent="0.25">
      <c r="A147" s="1492"/>
      <c r="B147" s="1492"/>
      <c r="C147" s="1492"/>
      <c r="D147" s="1492"/>
      <c r="E147" s="1492"/>
      <c r="F147" s="1492"/>
      <c r="G147" s="1492"/>
      <c r="H147" s="1492"/>
      <c r="I147" s="1492"/>
      <c r="J147" s="1492"/>
      <c r="K147" s="1492"/>
      <c r="L147" s="1492"/>
      <c r="M147" s="1492"/>
      <c r="N147" s="1492"/>
      <c r="O147" s="1492"/>
      <c r="P147" s="1492"/>
      <c r="Q147" s="1492"/>
      <c r="R147" s="99"/>
    </row>
    <row r="148" spans="1:18" x14ac:dyDescent="0.25">
      <c r="A148" s="153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99"/>
    </row>
    <row r="149" spans="1:18" x14ac:dyDescent="0.25">
      <c r="A149" s="153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99"/>
    </row>
    <row r="150" spans="1:18" x14ac:dyDescent="0.25">
      <c r="A150" s="153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99"/>
    </row>
    <row r="151" spans="1:18" x14ac:dyDescent="0.25">
      <c r="A151" s="1495"/>
      <c r="B151" s="1495"/>
      <c r="C151" s="1495"/>
      <c r="D151" s="1495"/>
      <c r="E151" s="1495"/>
      <c r="F151" s="1495"/>
      <c r="G151" s="1495"/>
      <c r="H151" s="1495"/>
      <c r="I151" s="1495"/>
      <c r="J151" s="1495"/>
      <c r="K151" s="1495"/>
      <c r="L151" s="1495"/>
      <c r="M151" s="1495"/>
      <c r="N151" s="1495"/>
      <c r="O151" s="1495"/>
      <c r="P151" s="1495"/>
      <c r="Q151" s="1495"/>
      <c r="R151" s="99"/>
    </row>
    <row r="152" spans="1:18" x14ac:dyDescent="0.25">
      <c r="A152" s="1698"/>
      <c r="B152" s="1698"/>
      <c r="C152" s="1698"/>
      <c r="D152" s="1698"/>
      <c r="E152" s="1698"/>
      <c r="F152" s="1698"/>
      <c r="G152" s="1698"/>
      <c r="H152" s="1698"/>
      <c r="I152" s="1698"/>
      <c r="J152" s="1698"/>
      <c r="K152" s="1698"/>
      <c r="L152" s="1698"/>
      <c r="M152" s="1698"/>
      <c r="N152" s="1698"/>
      <c r="O152" s="1698"/>
      <c r="P152" s="1698"/>
      <c r="Q152" s="1698"/>
      <c r="R152" s="99"/>
    </row>
    <row r="153" spans="1:18" x14ac:dyDescent="0.25">
      <c r="A153" s="153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99"/>
    </row>
    <row r="154" spans="1:18" x14ac:dyDescent="0.25">
      <c r="A154" s="153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99"/>
    </row>
    <row r="155" spans="1:18" x14ac:dyDescent="0.25">
      <c r="A155" s="153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99"/>
    </row>
    <row r="156" spans="1:18" x14ac:dyDescent="0.25">
      <c r="A156" s="1492"/>
      <c r="B156" s="1492"/>
      <c r="C156" s="1492"/>
      <c r="D156" s="1492"/>
      <c r="E156" s="1492"/>
      <c r="F156" s="1492"/>
      <c r="G156" s="1492"/>
      <c r="H156" s="1492"/>
      <c r="I156" s="1492"/>
      <c r="J156" s="1492"/>
      <c r="K156" s="1492"/>
      <c r="L156" s="1492"/>
      <c r="M156" s="1492"/>
      <c r="N156" s="1492"/>
      <c r="O156" s="1492"/>
      <c r="P156" s="1492"/>
      <c r="Q156" s="1492"/>
      <c r="R156" s="99"/>
    </row>
    <row r="157" spans="1:18" x14ac:dyDescent="0.25">
      <c r="A157" s="153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99"/>
    </row>
    <row r="158" spans="1:18" x14ac:dyDescent="0.25">
      <c r="A158" s="153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99"/>
    </row>
    <row r="159" spans="1:18" x14ac:dyDescent="0.25">
      <c r="A159" s="153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99"/>
    </row>
    <row r="160" spans="1:18" x14ac:dyDescent="0.25">
      <c r="A160" s="153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99"/>
    </row>
    <row r="161" spans="1:18" x14ac:dyDescent="0.25">
      <c r="A161" s="153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99"/>
    </row>
    <row r="162" spans="1:18" x14ac:dyDescent="0.25">
      <c r="A162" s="153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99"/>
    </row>
    <row r="163" spans="1:18" x14ac:dyDescent="0.25">
      <c r="A163" s="153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99"/>
    </row>
    <row r="164" spans="1:18" x14ac:dyDescent="0.25">
      <c r="A164" s="153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99"/>
    </row>
    <row r="165" spans="1:18" x14ac:dyDescent="0.25">
      <c r="A165" s="153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99"/>
    </row>
    <row r="166" spans="1:18" x14ac:dyDescent="0.25">
      <c r="A166" s="153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99"/>
    </row>
    <row r="167" spans="1:18" x14ac:dyDescent="0.25">
      <c r="A167" s="1495"/>
      <c r="B167" s="1495"/>
      <c r="C167" s="1495"/>
      <c r="D167" s="1495"/>
      <c r="E167" s="1495"/>
      <c r="F167" s="1495"/>
      <c r="G167" s="1495"/>
      <c r="H167" s="1495"/>
      <c r="I167" s="1495"/>
      <c r="J167" s="1495"/>
      <c r="K167" s="1495"/>
      <c r="L167" s="1495"/>
      <c r="M167" s="1495"/>
      <c r="N167" s="1495"/>
      <c r="O167" s="1495"/>
      <c r="P167" s="1495"/>
      <c r="Q167" s="1495"/>
      <c r="R167" s="99"/>
    </row>
    <row r="168" spans="1:18" x14ac:dyDescent="0.25">
      <c r="A168" s="1698"/>
      <c r="B168" s="1698"/>
      <c r="C168" s="1698"/>
      <c r="D168" s="1698"/>
      <c r="E168" s="1698"/>
      <c r="F168" s="1698"/>
      <c r="G168" s="1698"/>
      <c r="H168" s="1698"/>
      <c r="I168" s="1698"/>
      <c r="J168" s="1698"/>
      <c r="K168" s="1698"/>
      <c r="L168" s="1698"/>
      <c r="M168" s="1698"/>
      <c r="N168" s="1698"/>
      <c r="O168" s="1698"/>
      <c r="P168" s="1698"/>
      <c r="Q168" s="1698"/>
      <c r="R168" s="99"/>
    </row>
    <row r="169" spans="1:18" x14ac:dyDescent="0.25">
      <c r="A169" s="153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99"/>
    </row>
    <row r="170" spans="1:18" x14ac:dyDescent="0.25">
      <c r="A170" s="153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99"/>
    </row>
    <row r="171" spans="1:18" x14ac:dyDescent="0.25">
      <c r="A171" s="153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99"/>
    </row>
    <row r="172" spans="1:18" x14ac:dyDescent="0.25">
      <c r="A172" s="1492"/>
      <c r="B172" s="1492"/>
      <c r="C172" s="1492"/>
      <c r="D172" s="1492"/>
      <c r="E172" s="1492"/>
      <c r="F172" s="1492"/>
      <c r="G172" s="1492"/>
      <c r="H172" s="1492"/>
      <c r="I172" s="1492"/>
      <c r="J172" s="1492"/>
      <c r="K172" s="1492"/>
      <c r="L172" s="1492"/>
      <c r="M172" s="1492"/>
      <c r="N172" s="1492"/>
      <c r="O172" s="1492"/>
      <c r="P172" s="1492"/>
      <c r="Q172" s="1492"/>
      <c r="R172" s="99"/>
    </row>
    <row r="173" spans="1:18" x14ac:dyDescent="0.25">
      <c r="A173" s="153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99"/>
    </row>
    <row r="174" spans="1:18" x14ac:dyDescent="0.25">
      <c r="A174" s="153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99"/>
    </row>
    <row r="175" spans="1:18" x14ac:dyDescent="0.25">
      <c r="A175" s="153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99"/>
    </row>
    <row r="176" spans="1:18" x14ac:dyDescent="0.25">
      <c r="A176" s="153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99"/>
    </row>
    <row r="177" spans="1:18" x14ac:dyDescent="0.25">
      <c r="A177" s="153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99"/>
    </row>
    <row r="178" spans="1:18" x14ac:dyDescent="0.25">
      <c r="A178" s="153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99"/>
    </row>
    <row r="179" spans="1:18" x14ac:dyDescent="0.25">
      <c r="A179" s="153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99"/>
    </row>
    <row r="180" spans="1:18" x14ac:dyDescent="0.25">
      <c r="A180" s="153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99"/>
    </row>
    <row r="181" spans="1:18" x14ac:dyDescent="0.25">
      <c r="A181" s="153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99"/>
    </row>
    <row r="182" spans="1:18" x14ac:dyDescent="0.25">
      <c r="A182" s="153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99"/>
    </row>
    <row r="183" spans="1:18" x14ac:dyDescent="0.25">
      <c r="A183" s="153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99"/>
    </row>
    <row r="184" spans="1:18" x14ac:dyDescent="0.25">
      <c r="A184" s="1495"/>
      <c r="B184" s="1495"/>
      <c r="C184" s="1495"/>
      <c r="D184" s="1495"/>
      <c r="E184" s="1495"/>
      <c r="F184" s="1495"/>
      <c r="G184" s="1495"/>
      <c r="H184" s="1495"/>
      <c r="I184" s="1495"/>
      <c r="J184" s="1495"/>
      <c r="K184" s="1495"/>
      <c r="L184" s="1495"/>
      <c r="M184" s="1495"/>
      <c r="N184" s="1495"/>
      <c r="O184" s="1495"/>
      <c r="P184" s="1495"/>
      <c r="Q184" s="1495"/>
      <c r="R184" s="99"/>
    </row>
    <row r="185" spans="1:18" x14ac:dyDescent="0.25">
      <c r="A185" s="1698"/>
      <c r="B185" s="1698"/>
      <c r="C185" s="1698"/>
      <c r="D185" s="1698"/>
      <c r="E185" s="1698"/>
      <c r="F185" s="1698"/>
      <c r="G185" s="1698"/>
      <c r="H185" s="1698"/>
      <c r="I185" s="1698"/>
      <c r="J185" s="1698"/>
      <c r="K185" s="1698"/>
      <c r="L185" s="1698"/>
      <c r="M185" s="1698"/>
      <c r="N185" s="1698"/>
      <c r="O185" s="1698"/>
      <c r="P185" s="1698"/>
      <c r="Q185" s="1698"/>
      <c r="R185" s="99"/>
    </row>
    <row r="186" spans="1:18" x14ac:dyDescent="0.25">
      <c r="A186" s="153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99"/>
    </row>
    <row r="187" spans="1:18" x14ac:dyDescent="0.25">
      <c r="A187" s="153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99"/>
    </row>
    <row r="188" spans="1:18" x14ac:dyDescent="0.25">
      <c r="A188" s="153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99"/>
    </row>
    <row r="189" spans="1:18" x14ac:dyDescent="0.25">
      <c r="A189" s="153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99"/>
    </row>
    <row r="190" spans="1:18" x14ac:dyDescent="0.25">
      <c r="A190" s="153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99"/>
    </row>
    <row r="191" spans="1:18" x14ac:dyDescent="0.25">
      <c r="A191" s="153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99"/>
    </row>
    <row r="192" spans="1:18" x14ac:dyDescent="0.25">
      <c r="A192" s="153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99"/>
    </row>
    <row r="193" spans="1:18" x14ac:dyDescent="0.25">
      <c r="A193" s="153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99"/>
    </row>
    <row r="194" spans="1:18" x14ac:dyDescent="0.25">
      <c r="A194" s="153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99"/>
    </row>
    <row r="195" spans="1:18" x14ac:dyDescent="0.25">
      <c r="A195" s="153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99"/>
    </row>
    <row r="196" spans="1:18" x14ac:dyDescent="0.25">
      <c r="A196" s="153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99"/>
    </row>
    <row r="197" spans="1:18" x14ac:dyDescent="0.25">
      <c r="A197" s="153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99"/>
    </row>
    <row r="198" spans="1:18" x14ac:dyDescent="0.25">
      <c r="A198" s="1492"/>
      <c r="B198" s="1492"/>
      <c r="C198" s="1492"/>
      <c r="D198" s="1492"/>
      <c r="E198" s="1492"/>
      <c r="F198" s="1492"/>
      <c r="G198" s="1492"/>
      <c r="H198" s="1492"/>
      <c r="I198" s="1492"/>
      <c r="J198" s="1492"/>
      <c r="K198" s="1492"/>
      <c r="L198" s="1492"/>
      <c r="M198" s="1492"/>
      <c r="N198" s="1492"/>
      <c r="O198" s="1492"/>
      <c r="P198" s="1492"/>
      <c r="Q198" s="1492"/>
      <c r="R198" s="99"/>
    </row>
    <row r="199" spans="1:18" x14ac:dyDescent="0.25">
      <c r="A199" s="153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99"/>
    </row>
    <row r="200" spans="1:18" x14ac:dyDescent="0.25">
      <c r="A200" s="153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99"/>
    </row>
    <row r="201" spans="1:18" x14ac:dyDescent="0.25">
      <c r="A201" s="153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99"/>
    </row>
    <row r="202" spans="1:18" x14ac:dyDescent="0.25">
      <c r="A202" s="153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99"/>
    </row>
    <row r="203" spans="1:18" x14ac:dyDescent="0.25">
      <c r="A203" s="153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99"/>
    </row>
    <row r="204" spans="1:18" x14ac:dyDescent="0.25">
      <c r="A204" s="153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99"/>
    </row>
    <row r="205" spans="1:18" x14ac:dyDescent="0.25">
      <c r="A205" s="153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99"/>
    </row>
    <row r="206" spans="1:18" x14ac:dyDescent="0.25">
      <c r="A206" s="153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99"/>
    </row>
    <row r="207" spans="1:18" x14ac:dyDescent="0.25">
      <c r="A207" s="153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99"/>
    </row>
    <row r="208" spans="1:18" x14ac:dyDescent="0.25">
      <c r="A208" s="153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99"/>
    </row>
    <row r="209" spans="1:18" x14ac:dyDescent="0.25">
      <c r="A209" s="153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99"/>
    </row>
    <row r="210" spans="1:18" x14ac:dyDescent="0.25">
      <c r="A210" s="1495"/>
      <c r="B210" s="1495"/>
      <c r="C210" s="1495"/>
      <c r="D210" s="1495"/>
      <c r="E210" s="1495"/>
      <c r="F210" s="1495"/>
      <c r="G210" s="1495"/>
      <c r="H210" s="1495"/>
      <c r="I210" s="1495"/>
      <c r="J210" s="1495"/>
      <c r="K210" s="1495"/>
      <c r="L210" s="1495"/>
      <c r="M210" s="1495"/>
      <c r="N210" s="1495"/>
      <c r="O210" s="1495"/>
      <c r="P210" s="1495"/>
      <c r="Q210" s="1495"/>
      <c r="R210" s="99"/>
    </row>
    <row r="211" spans="1:18" x14ac:dyDescent="0.25">
      <c r="A211" s="1698"/>
      <c r="B211" s="1698"/>
      <c r="C211" s="1698"/>
      <c r="D211" s="1698"/>
      <c r="E211" s="1698"/>
      <c r="F211" s="1698"/>
      <c r="G211" s="1698"/>
      <c r="H211" s="1698"/>
      <c r="I211" s="1698"/>
      <c r="J211" s="1698"/>
      <c r="K211" s="1698"/>
      <c r="L211" s="1698"/>
      <c r="M211" s="1698"/>
      <c r="N211" s="1698"/>
      <c r="O211" s="1698"/>
      <c r="P211" s="1698"/>
      <c r="Q211" s="1698"/>
      <c r="R211" s="99"/>
    </row>
    <row r="212" spans="1:18" x14ac:dyDescent="0.25">
      <c r="A212" s="153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99"/>
    </row>
    <row r="213" spans="1:18" x14ac:dyDescent="0.25">
      <c r="A213" s="153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99"/>
    </row>
    <row r="214" spans="1:18" x14ac:dyDescent="0.25">
      <c r="A214" s="153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99"/>
    </row>
    <row r="215" spans="1:18" x14ac:dyDescent="0.25">
      <c r="A215" s="153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99"/>
    </row>
    <row r="216" spans="1:18" x14ac:dyDescent="0.25">
      <c r="A216" s="153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99"/>
    </row>
    <row r="217" spans="1:18" x14ac:dyDescent="0.25">
      <c r="A217" s="153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99"/>
    </row>
    <row r="218" spans="1:18" x14ac:dyDescent="0.25">
      <c r="A218" s="153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99"/>
    </row>
    <row r="219" spans="1:18" x14ac:dyDescent="0.25">
      <c r="A219" s="153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99"/>
    </row>
    <row r="220" spans="1:18" x14ac:dyDescent="0.25">
      <c r="A220" s="153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99"/>
    </row>
    <row r="221" spans="1:18" x14ac:dyDescent="0.25">
      <c r="A221" s="153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99"/>
    </row>
    <row r="222" spans="1:18" x14ac:dyDescent="0.25">
      <c r="A222" s="153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99"/>
    </row>
    <row r="223" spans="1:18" x14ac:dyDescent="0.25">
      <c r="A223" s="153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99"/>
    </row>
    <row r="224" spans="1:18" x14ac:dyDescent="0.25">
      <c r="A224" s="153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99"/>
    </row>
    <row r="225" spans="1:18" x14ac:dyDescent="0.25">
      <c r="A225" s="153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99"/>
    </row>
    <row r="226" spans="1:18" x14ac:dyDescent="0.25">
      <c r="A226" s="153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99"/>
    </row>
    <row r="227" spans="1:18" x14ac:dyDescent="0.25">
      <c r="A227" s="1492"/>
      <c r="B227" s="1492"/>
      <c r="C227" s="1492"/>
      <c r="D227" s="1492"/>
      <c r="E227" s="1492"/>
      <c r="F227" s="1492"/>
      <c r="G227" s="1492"/>
      <c r="H227" s="1492"/>
      <c r="I227" s="1492"/>
      <c r="J227" s="1492"/>
      <c r="K227" s="1492"/>
      <c r="L227" s="1492"/>
      <c r="M227" s="1492"/>
      <c r="N227" s="1492"/>
      <c r="O227" s="1492"/>
      <c r="P227" s="1492"/>
      <c r="Q227" s="1492"/>
      <c r="R227" s="99"/>
    </row>
    <row r="228" spans="1:18" x14ac:dyDescent="0.25">
      <c r="A228" s="153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99"/>
    </row>
    <row r="229" spans="1:18" x14ac:dyDescent="0.25">
      <c r="A229" s="153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99"/>
    </row>
    <row r="230" spans="1:18" x14ac:dyDescent="0.25">
      <c r="A230" s="153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99"/>
    </row>
    <row r="231" spans="1:18" x14ac:dyDescent="0.25">
      <c r="A231" s="153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99"/>
    </row>
    <row r="232" spans="1:18" x14ac:dyDescent="0.25">
      <c r="A232" s="153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99"/>
    </row>
    <row r="233" spans="1:18" x14ac:dyDescent="0.25">
      <c r="A233" s="153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99"/>
    </row>
    <row r="234" spans="1:18" x14ac:dyDescent="0.25">
      <c r="A234" s="153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99"/>
    </row>
    <row r="235" spans="1:18" x14ac:dyDescent="0.25">
      <c r="A235" s="153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99"/>
    </row>
    <row r="236" spans="1:18" x14ac:dyDescent="0.25">
      <c r="A236" s="153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99"/>
    </row>
    <row r="237" spans="1:18" x14ac:dyDescent="0.25">
      <c r="A237" s="153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99"/>
    </row>
    <row r="238" spans="1:18" x14ac:dyDescent="0.25">
      <c r="A238" s="153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99"/>
    </row>
    <row r="239" spans="1:18" x14ac:dyDescent="0.25">
      <c r="A239" s="153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99"/>
    </row>
    <row r="240" spans="1:18" x14ac:dyDescent="0.25">
      <c r="A240" s="153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99"/>
    </row>
    <row r="241" spans="1:18" x14ac:dyDescent="0.25">
      <c r="A241" s="153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99"/>
    </row>
    <row r="242" spans="1:18" x14ac:dyDescent="0.25">
      <c r="A242" s="1495"/>
      <c r="B242" s="1495"/>
      <c r="C242" s="1495"/>
      <c r="D242" s="1495"/>
      <c r="E242" s="1495"/>
      <c r="F242" s="1495"/>
      <c r="G242" s="1495"/>
      <c r="H242" s="1495"/>
      <c r="I242" s="1495"/>
      <c r="J242" s="1495"/>
      <c r="K242" s="1495"/>
      <c r="L242" s="1495"/>
      <c r="M242" s="1495"/>
      <c r="N242" s="1495"/>
      <c r="O242" s="1495"/>
      <c r="P242" s="1495"/>
      <c r="Q242" s="1495"/>
      <c r="R242" s="99"/>
    </row>
    <row r="243" spans="1:18" x14ac:dyDescent="0.25">
      <c r="A243" s="1698"/>
      <c r="B243" s="1698"/>
      <c r="C243" s="1698"/>
      <c r="D243" s="1698"/>
      <c r="E243" s="1698"/>
      <c r="F243" s="1698"/>
      <c r="G243" s="1698"/>
      <c r="H243" s="1698"/>
      <c r="I243" s="1698"/>
      <c r="J243" s="1698"/>
      <c r="K243" s="1698"/>
      <c r="L243" s="1698"/>
      <c r="M243" s="1698"/>
      <c r="N243" s="1698"/>
      <c r="O243" s="1698"/>
      <c r="P243" s="1698"/>
      <c r="Q243" s="1698"/>
      <c r="R243" s="99"/>
    </row>
    <row r="244" spans="1:18" x14ac:dyDescent="0.25">
      <c r="A244" s="153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99"/>
    </row>
    <row r="245" spans="1:18" x14ac:dyDescent="0.25">
      <c r="A245" s="153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99"/>
    </row>
    <row r="246" spans="1:18" x14ac:dyDescent="0.25">
      <c r="A246" s="153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99"/>
    </row>
    <row r="247" spans="1:18" x14ac:dyDescent="0.25">
      <c r="A247" s="153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71"/>
      <c r="M247" s="40"/>
      <c r="N247" s="40"/>
      <c r="O247" s="40"/>
      <c r="P247" s="40"/>
      <c r="Q247" s="40"/>
      <c r="R247" s="99"/>
    </row>
    <row r="248" spans="1:18" x14ac:dyDescent="0.25">
      <c r="A248" s="153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71"/>
      <c r="M248" s="40"/>
      <c r="N248" s="40"/>
      <c r="O248" s="40"/>
      <c r="P248" s="40"/>
      <c r="Q248" s="40"/>
      <c r="R248" s="99"/>
    </row>
    <row r="249" spans="1:18" x14ac:dyDescent="0.25">
      <c r="A249" s="153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71"/>
      <c r="M249" s="40"/>
      <c r="N249" s="40"/>
      <c r="O249" s="40"/>
      <c r="P249" s="40"/>
      <c r="Q249" s="40"/>
      <c r="R249" s="99"/>
    </row>
    <row r="250" spans="1:18" x14ac:dyDescent="0.25">
      <c r="A250" s="153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71"/>
      <c r="M250" s="40"/>
      <c r="N250" s="40"/>
      <c r="O250" s="40"/>
      <c r="P250" s="40"/>
      <c r="Q250" s="40"/>
      <c r="R250" s="99"/>
    </row>
    <row r="251" spans="1:18" x14ac:dyDescent="0.25">
      <c r="A251" s="153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71"/>
      <c r="M251" s="40"/>
      <c r="N251" s="40"/>
      <c r="O251" s="40"/>
      <c r="P251" s="40"/>
      <c r="Q251" s="40"/>
      <c r="R251" s="99"/>
    </row>
    <row r="252" spans="1:18" x14ac:dyDescent="0.25">
      <c r="A252" s="153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71"/>
      <c r="M252" s="40"/>
      <c r="N252" s="40"/>
      <c r="O252" s="40"/>
      <c r="P252" s="40"/>
      <c r="Q252" s="40"/>
      <c r="R252" s="99"/>
    </row>
    <row r="253" spans="1:18" x14ac:dyDescent="0.25">
      <c r="A253" s="153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71"/>
      <c r="M253" s="40"/>
      <c r="N253" s="40"/>
      <c r="O253" s="40"/>
      <c r="P253" s="40"/>
      <c r="Q253" s="40"/>
      <c r="R253" s="99"/>
    </row>
    <row r="254" spans="1:18" x14ac:dyDescent="0.25">
      <c r="A254" s="153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71"/>
      <c r="M254" s="40"/>
      <c r="N254" s="40"/>
      <c r="O254" s="40"/>
      <c r="P254" s="40"/>
      <c r="Q254" s="40"/>
      <c r="R254" s="99"/>
    </row>
    <row r="255" spans="1:18" x14ac:dyDescent="0.25">
      <c r="A255" s="153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71"/>
      <c r="M255" s="40"/>
      <c r="N255" s="40"/>
      <c r="O255" s="40"/>
      <c r="P255" s="40"/>
      <c r="Q255" s="40"/>
      <c r="R255" s="99"/>
    </row>
    <row r="256" spans="1:18" x14ac:dyDescent="0.25">
      <c r="A256" s="153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71"/>
      <c r="M256" s="40"/>
      <c r="N256" s="40"/>
      <c r="O256" s="40"/>
      <c r="P256" s="40"/>
      <c r="Q256" s="40"/>
      <c r="R256" s="99"/>
    </row>
    <row r="257" spans="1:18" x14ac:dyDescent="0.25">
      <c r="A257" s="153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71"/>
      <c r="M257" s="40"/>
      <c r="N257" s="40"/>
      <c r="O257" s="40"/>
      <c r="P257" s="40"/>
      <c r="Q257" s="40"/>
      <c r="R257" s="99"/>
    </row>
    <row r="258" spans="1:18" x14ac:dyDescent="0.25">
      <c r="A258" s="153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71"/>
      <c r="M258" s="40"/>
      <c r="N258" s="40"/>
      <c r="O258" s="40"/>
      <c r="P258" s="40"/>
      <c r="Q258" s="40"/>
      <c r="R258" s="99"/>
    </row>
    <row r="259" spans="1:18" x14ac:dyDescent="0.25">
      <c r="A259" s="153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71"/>
      <c r="M259" s="40"/>
      <c r="N259" s="40"/>
      <c r="O259" s="40"/>
      <c r="P259" s="40"/>
      <c r="Q259" s="40"/>
      <c r="R259" s="99"/>
    </row>
    <row r="260" spans="1:18" x14ac:dyDescent="0.25">
      <c r="A260" s="153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71"/>
      <c r="M260" s="40"/>
      <c r="N260" s="40"/>
      <c r="O260" s="40"/>
      <c r="P260" s="40"/>
      <c r="Q260" s="40"/>
      <c r="R260" s="99"/>
    </row>
    <row r="261" spans="1:18" x14ac:dyDescent="0.25">
      <c r="A261" s="153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71"/>
      <c r="M261" s="40"/>
      <c r="N261" s="40"/>
      <c r="O261" s="40"/>
      <c r="P261" s="40"/>
      <c r="Q261" s="40"/>
      <c r="R261" s="99"/>
    </row>
    <row r="262" spans="1:18" x14ac:dyDescent="0.25">
      <c r="A262" s="153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71"/>
      <c r="M262" s="40"/>
      <c r="N262" s="40"/>
      <c r="O262" s="40"/>
      <c r="P262" s="40"/>
      <c r="Q262" s="40"/>
      <c r="R262" s="99"/>
    </row>
    <row r="263" spans="1:18" x14ac:dyDescent="0.25">
      <c r="A263" s="153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71"/>
      <c r="M263" s="40"/>
      <c r="N263" s="40"/>
      <c r="O263" s="40"/>
      <c r="P263" s="40"/>
      <c r="Q263" s="40"/>
      <c r="R263" s="99"/>
    </row>
    <row r="264" spans="1:18" x14ac:dyDescent="0.25">
      <c r="A264" s="153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71"/>
      <c r="M264" s="40"/>
      <c r="N264" s="40"/>
      <c r="O264" s="40"/>
      <c r="P264" s="40"/>
      <c r="Q264" s="40"/>
      <c r="R264" s="99"/>
    </row>
    <row r="265" spans="1:18" x14ac:dyDescent="0.25">
      <c r="A265" s="153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71"/>
      <c r="M265" s="40"/>
      <c r="N265" s="40"/>
      <c r="O265" s="40"/>
      <c r="P265" s="40"/>
      <c r="Q265" s="40"/>
      <c r="R265" s="99"/>
    </row>
    <row r="266" spans="1:18" x14ac:dyDescent="0.25">
      <c r="A266" s="153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71"/>
      <c r="M266" s="40"/>
      <c r="N266" s="40"/>
      <c r="O266" s="40"/>
      <c r="P266" s="40"/>
      <c r="Q266" s="40"/>
      <c r="R266" s="99"/>
    </row>
    <row r="267" spans="1:18" x14ac:dyDescent="0.25">
      <c r="A267" s="153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71"/>
      <c r="M267" s="40"/>
      <c r="N267" s="40"/>
      <c r="O267" s="40"/>
      <c r="P267" s="40"/>
      <c r="Q267" s="40"/>
      <c r="R267" s="99"/>
    </row>
    <row r="268" spans="1:18" x14ac:dyDescent="0.25">
      <c r="A268" s="153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71"/>
      <c r="M268" s="40"/>
      <c r="N268" s="40"/>
      <c r="O268" s="40"/>
      <c r="P268" s="40"/>
      <c r="Q268" s="40"/>
      <c r="R268" s="99"/>
    </row>
    <row r="269" spans="1:18" x14ac:dyDescent="0.25">
      <c r="A269" s="153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71"/>
      <c r="M269" s="40"/>
      <c r="N269" s="40"/>
      <c r="O269" s="40"/>
      <c r="P269" s="40"/>
      <c r="Q269" s="40"/>
      <c r="R269" s="99"/>
    </row>
    <row r="270" spans="1:18" x14ac:dyDescent="0.25">
      <c r="A270" s="153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71"/>
      <c r="M270" s="40"/>
      <c r="N270" s="40"/>
      <c r="O270" s="40"/>
      <c r="P270" s="40"/>
      <c r="Q270" s="40"/>
      <c r="R270" s="99"/>
    </row>
    <row r="271" spans="1:18" x14ac:dyDescent="0.25">
      <c r="A271" s="153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71"/>
      <c r="M271" s="40"/>
      <c r="N271" s="40"/>
      <c r="O271" s="40"/>
      <c r="P271" s="40"/>
      <c r="Q271" s="40"/>
      <c r="R271" s="99"/>
    </row>
    <row r="272" spans="1:18" x14ac:dyDescent="0.25">
      <c r="A272" s="153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71"/>
      <c r="M272" s="40"/>
      <c r="N272" s="40"/>
      <c r="O272" s="40"/>
      <c r="P272" s="40"/>
      <c r="Q272" s="40"/>
      <c r="R272" s="99"/>
    </row>
    <row r="273" spans="1:18" x14ac:dyDescent="0.25">
      <c r="A273" s="153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71"/>
      <c r="M273" s="40"/>
      <c r="N273" s="40"/>
      <c r="O273" s="40"/>
      <c r="P273" s="40"/>
      <c r="Q273" s="40"/>
      <c r="R273" s="99"/>
    </row>
    <row r="274" spans="1:18" x14ac:dyDescent="0.25">
      <c r="A274" s="153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71"/>
      <c r="M274" s="40"/>
      <c r="N274" s="40"/>
      <c r="O274" s="40"/>
      <c r="P274" s="40"/>
      <c r="Q274" s="40"/>
      <c r="R274" s="99"/>
    </row>
    <row r="275" spans="1:18" x14ac:dyDescent="0.25">
      <c r="A275" s="153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71"/>
      <c r="M275" s="40"/>
      <c r="N275" s="40"/>
      <c r="O275" s="40"/>
      <c r="P275" s="40"/>
      <c r="Q275" s="40"/>
      <c r="R275" s="99"/>
    </row>
    <row r="276" spans="1:18" x14ac:dyDescent="0.25">
      <c r="A276" s="153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71"/>
      <c r="M276" s="40"/>
      <c r="N276" s="40"/>
      <c r="O276" s="40"/>
      <c r="P276" s="40"/>
      <c r="Q276" s="40"/>
      <c r="R276" s="99"/>
    </row>
    <row r="277" spans="1:18" x14ac:dyDescent="0.25">
      <c r="A277" s="153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71"/>
      <c r="M277" s="40"/>
      <c r="N277" s="40"/>
      <c r="O277" s="40"/>
      <c r="P277" s="40"/>
      <c r="Q277" s="40"/>
      <c r="R277" s="99"/>
    </row>
    <row r="278" spans="1:18" x14ac:dyDescent="0.25">
      <c r="A278" s="153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71"/>
      <c r="M278" s="40"/>
      <c r="N278" s="40"/>
      <c r="O278" s="40"/>
      <c r="P278" s="40"/>
      <c r="Q278" s="40"/>
      <c r="R278" s="99"/>
    </row>
    <row r="279" spans="1:18" x14ac:dyDescent="0.25">
      <c r="A279" s="153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71"/>
      <c r="M279" s="40"/>
      <c r="N279" s="40"/>
      <c r="O279" s="40"/>
      <c r="P279" s="40"/>
      <c r="Q279" s="40"/>
      <c r="R279" s="99"/>
    </row>
    <row r="280" spans="1:18" x14ac:dyDescent="0.25">
      <c r="A280" s="153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71"/>
      <c r="M280" s="40"/>
      <c r="N280" s="40"/>
      <c r="O280" s="40"/>
      <c r="P280" s="40"/>
      <c r="Q280" s="40"/>
      <c r="R280" s="99"/>
    </row>
    <row r="281" spans="1:18" x14ac:dyDescent="0.25">
      <c r="A281" s="153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71"/>
      <c r="M281" s="40"/>
      <c r="N281" s="40"/>
      <c r="O281" s="40"/>
      <c r="P281" s="40"/>
      <c r="Q281" s="40"/>
      <c r="R281" s="99"/>
    </row>
    <row r="282" spans="1:18" x14ac:dyDescent="0.25">
      <c r="A282" s="153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71"/>
      <c r="M282" s="40"/>
      <c r="N282" s="40"/>
      <c r="O282" s="40"/>
      <c r="P282" s="40"/>
      <c r="Q282" s="40"/>
      <c r="R282" s="99"/>
    </row>
    <row r="283" spans="1:18" x14ac:dyDescent="0.25">
      <c r="A283" s="153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71"/>
      <c r="M283" s="40"/>
      <c r="N283" s="40"/>
      <c r="O283" s="40"/>
      <c r="P283" s="40"/>
      <c r="Q283" s="40"/>
      <c r="R283" s="99"/>
    </row>
    <row r="284" spans="1:18" x14ac:dyDescent="0.25">
      <c r="A284" s="153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71"/>
      <c r="M284" s="40"/>
      <c r="N284" s="40"/>
      <c r="O284" s="40"/>
      <c r="P284" s="40"/>
      <c r="Q284" s="40"/>
      <c r="R284" s="99"/>
    </row>
    <row r="285" spans="1:18" x14ac:dyDescent="0.25">
      <c r="A285" s="153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71"/>
      <c r="M285" s="40"/>
      <c r="N285" s="40"/>
      <c r="O285" s="40"/>
      <c r="P285" s="40"/>
      <c r="Q285" s="40"/>
      <c r="R285" s="99"/>
    </row>
    <row r="286" spans="1:18" x14ac:dyDescent="0.25">
      <c r="A286" s="153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71"/>
      <c r="M286" s="40"/>
      <c r="N286" s="40"/>
      <c r="O286" s="40"/>
      <c r="P286" s="40"/>
      <c r="Q286" s="40"/>
      <c r="R286" s="99"/>
    </row>
    <row r="287" spans="1:18" x14ac:dyDescent="0.25">
      <c r="A287" s="153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71"/>
      <c r="M287" s="40"/>
      <c r="N287" s="40"/>
      <c r="O287" s="40"/>
      <c r="P287" s="40"/>
      <c r="Q287" s="40"/>
      <c r="R287" s="99"/>
    </row>
    <row r="288" spans="1:18" x14ac:dyDescent="0.25">
      <c r="A288" s="153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71"/>
      <c r="M288" s="40"/>
      <c r="N288" s="40"/>
      <c r="O288" s="40"/>
      <c r="P288" s="40"/>
      <c r="Q288" s="40"/>
      <c r="R288" s="99"/>
    </row>
    <row r="289" spans="1:18" x14ac:dyDescent="0.25">
      <c r="A289" s="153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71"/>
      <c r="M289" s="40"/>
      <c r="N289" s="40"/>
      <c r="O289" s="40"/>
      <c r="P289" s="40"/>
      <c r="Q289" s="40"/>
      <c r="R289" s="99"/>
    </row>
    <row r="290" spans="1:18" x14ac:dyDescent="0.25">
      <c r="A290" s="153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71"/>
      <c r="M290" s="40"/>
      <c r="N290" s="40"/>
      <c r="O290" s="40"/>
      <c r="P290" s="40"/>
      <c r="Q290" s="40"/>
      <c r="R290" s="99"/>
    </row>
    <row r="291" spans="1:18" x14ac:dyDescent="0.25">
      <c r="A291" s="153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71"/>
      <c r="M291" s="40"/>
      <c r="N291" s="40"/>
      <c r="O291" s="40"/>
      <c r="P291" s="40"/>
      <c r="Q291" s="40"/>
      <c r="R291" s="99"/>
    </row>
    <row r="292" spans="1:18" x14ac:dyDescent="0.25">
      <c r="A292" s="153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71"/>
      <c r="M292" s="40"/>
      <c r="N292" s="40"/>
      <c r="O292" s="40"/>
      <c r="P292" s="40"/>
      <c r="Q292" s="40"/>
      <c r="R292" s="99"/>
    </row>
    <row r="293" spans="1:18" x14ac:dyDescent="0.25">
      <c r="A293" s="153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71"/>
      <c r="M293" s="40"/>
      <c r="N293" s="40"/>
      <c r="O293" s="40"/>
      <c r="P293" s="40"/>
      <c r="Q293" s="40"/>
      <c r="R293" s="99"/>
    </row>
    <row r="294" spans="1:18" x14ac:dyDescent="0.25">
      <c r="A294" s="153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71"/>
      <c r="M294" s="40"/>
      <c r="N294" s="40"/>
      <c r="O294" s="40"/>
      <c r="P294" s="40"/>
      <c r="Q294" s="40"/>
      <c r="R294" s="99"/>
    </row>
    <row r="295" spans="1:18" x14ac:dyDescent="0.25">
      <c r="A295" s="153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71"/>
      <c r="M295" s="40"/>
      <c r="N295" s="40"/>
      <c r="O295" s="40"/>
      <c r="P295" s="40"/>
      <c r="Q295" s="40"/>
      <c r="R295" s="99"/>
    </row>
    <row r="296" spans="1:18" x14ac:dyDescent="0.25">
      <c r="A296" s="153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71"/>
      <c r="M296" s="40"/>
      <c r="N296" s="40"/>
      <c r="O296" s="40"/>
      <c r="P296" s="40"/>
      <c r="Q296" s="40"/>
      <c r="R296" s="99"/>
    </row>
    <row r="297" spans="1:18" x14ac:dyDescent="0.25">
      <c r="A297" s="153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71"/>
      <c r="M297" s="40"/>
      <c r="N297" s="40"/>
      <c r="O297" s="40"/>
      <c r="P297" s="40"/>
      <c r="Q297" s="40"/>
      <c r="R297" s="99"/>
    </row>
    <row r="298" spans="1:18" x14ac:dyDescent="0.25">
      <c r="A298" s="153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71"/>
      <c r="M298" s="40"/>
      <c r="N298" s="40"/>
      <c r="O298" s="40"/>
      <c r="P298" s="40"/>
      <c r="Q298" s="40"/>
      <c r="R298" s="99"/>
    </row>
    <row r="299" spans="1:18" x14ac:dyDescent="0.25">
      <c r="A299" s="153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71"/>
      <c r="M299" s="40"/>
      <c r="N299" s="40"/>
      <c r="O299" s="40"/>
      <c r="P299" s="40"/>
      <c r="Q299" s="40"/>
      <c r="R299" s="99"/>
    </row>
    <row r="300" spans="1:18" x14ac:dyDescent="0.25">
      <c r="A300" s="153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71"/>
      <c r="M300" s="40"/>
      <c r="N300" s="40"/>
      <c r="O300" s="40"/>
      <c r="P300" s="40"/>
      <c r="Q300" s="40"/>
      <c r="R300" s="99"/>
    </row>
    <row r="301" spans="1:18" x14ac:dyDescent="0.25">
      <c r="A301" s="153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71"/>
      <c r="M301" s="40"/>
      <c r="N301" s="40"/>
      <c r="O301" s="40"/>
      <c r="P301" s="40"/>
      <c r="Q301" s="40"/>
      <c r="R301" s="99"/>
    </row>
    <row r="302" spans="1:18" x14ac:dyDescent="0.25">
      <c r="A302" s="153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71"/>
      <c r="M302" s="40"/>
      <c r="N302" s="40"/>
      <c r="O302" s="40"/>
      <c r="P302" s="40"/>
      <c r="Q302" s="40"/>
      <c r="R302" s="99"/>
    </row>
    <row r="303" spans="1:18" x14ac:dyDescent="0.25">
      <c r="A303" s="153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71"/>
      <c r="M303" s="40"/>
      <c r="N303" s="40"/>
      <c r="O303" s="40"/>
      <c r="P303" s="40"/>
      <c r="Q303" s="40"/>
      <c r="R303" s="99"/>
    </row>
    <row r="304" spans="1:18" x14ac:dyDescent="0.25">
      <c r="A304" s="153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71"/>
      <c r="M304" s="40"/>
      <c r="N304" s="40"/>
      <c r="O304" s="40"/>
      <c r="P304" s="40"/>
      <c r="Q304" s="40"/>
      <c r="R304" s="99"/>
    </row>
    <row r="305" spans="1:18" x14ac:dyDescent="0.25">
      <c r="A305" s="153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71"/>
      <c r="M305" s="40"/>
      <c r="N305" s="40"/>
      <c r="O305" s="40"/>
      <c r="P305" s="40"/>
      <c r="Q305" s="40"/>
      <c r="R305" s="99"/>
    </row>
    <row r="306" spans="1:18" x14ac:dyDescent="0.25">
      <c r="A306" s="153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71"/>
      <c r="M306" s="40"/>
      <c r="N306" s="40"/>
      <c r="O306" s="40"/>
      <c r="P306" s="40"/>
      <c r="Q306" s="40"/>
      <c r="R306" s="99"/>
    </row>
    <row r="307" spans="1:18" x14ac:dyDescent="0.25">
      <c r="A307" s="153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71"/>
      <c r="M307" s="40"/>
      <c r="N307" s="40"/>
      <c r="O307" s="40"/>
      <c r="P307" s="40"/>
      <c r="Q307" s="40"/>
      <c r="R307" s="99"/>
    </row>
    <row r="308" spans="1:18" x14ac:dyDescent="0.25">
      <c r="A308" s="153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71"/>
      <c r="M308" s="40"/>
      <c r="N308" s="40"/>
      <c r="O308" s="40"/>
      <c r="P308" s="40"/>
      <c r="Q308" s="40"/>
      <c r="R308" s="99"/>
    </row>
    <row r="309" spans="1:18" x14ac:dyDescent="0.25">
      <c r="A309" s="153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71"/>
      <c r="M309" s="40"/>
      <c r="N309" s="40"/>
      <c r="O309" s="40"/>
      <c r="P309" s="40"/>
      <c r="Q309" s="40"/>
      <c r="R309" s="99"/>
    </row>
    <row r="310" spans="1:18" x14ac:dyDescent="0.25">
      <c r="A310" s="153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71"/>
      <c r="M310" s="40"/>
      <c r="N310" s="40"/>
      <c r="O310" s="40"/>
      <c r="P310" s="40"/>
      <c r="Q310" s="40"/>
      <c r="R310" s="99"/>
    </row>
    <row r="311" spans="1:18" x14ac:dyDescent="0.25">
      <c r="A311" s="153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71"/>
      <c r="M311" s="40"/>
      <c r="N311" s="40"/>
      <c r="O311" s="40"/>
      <c r="P311" s="40"/>
      <c r="Q311" s="40"/>
      <c r="R311" s="99"/>
    </row>
    <row r="312" spans="1:18" x14ac:dyDescent="0.25">
      <c r="A312" s="153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71"/>
      <c r="M312" s="40"/>
      <c r="N312" s="40"/>
      <c r="O312" s="40"/>
      <c r="P312" s="40"/>
      <c r="Q312" s="40"/>
      <c r="R312" s="99"/>
    </row>
    <row r="313" spans="1:18" x14ac:dyDescent="0.25">
      <c r="A313" s="153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71"/>
      <c r="M313" s="40"/>
      <c r="N313" s="40"/>
      <c r="O313" s="40"/>
      <c r="P313" s="40"/>
      <c r="Q313" s="40"/>
      <c r="R313" s="99"/>
    </row>
    <row r="314" spans="1:18" x14ac:dyDescent="0.25">
      <c r="A314" s="153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71"/>
      <c r="M314" s="40"/>
      <c r="N314" s="40"/>
      <c r="O314" s="40"/>
      <c r="P314" s="40"/>
      <c r="Q314" s="40"/>
      <c r="R314" s="99"/>
    </row>
    <row r="315" spans="1:18" x14ac:dyDescent="0.25">
      <c r="A315" s="153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71"/>
      <c r="M315" s="40"/>
      <c r="N315" s="40"/>
      <c r="O315" s="40"/>
      <c r="P315" s="40"/>
      <c r="Q315" s="40"/>
      <c r="R315" s="99"/>
    </row>
    <row r="316" spans="1:18" x14ac:dyDescent="0.25">
      <c r="A316" s="153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71"/>
      <c r="M316" s="40"/>
      <c r="N316" s="40"/>
      <c r="O316" s="40"/>
      <c r="P316" s="40"/>
      <c r="Q316" s="40"/>
      <c r="R316" s="99"/>
    </row>
    <row r="317" spans="1:18" x14ac:dyDescent="0.25">
      <c r="A317" s="153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71"/>
      <c r="M317" s="40"/>
      <c r="N317" s="40"/>
      <c r="O317" s="40"/>
      <c r="P317" s="40"/>
      <c r="Q317" s="40"/>
      <c r="R317" s="99"/>
    </row>
    <row r="318" spans="1:18" x14ac:dyDescent="0.25">
      <c r="A318" s="153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71"/>
      <c r="M318" s="40"/>
      <c r="N318" s="40"/>
      <c r="O318" s="40"/>
      <c r="P318" s="40"/>
      <c r="Q318" s="40"/>
      <c r="R318" s="99"/>
    </row>
    <row r="319" spans="1:18" x14ac:dyDescent="0.25">
      <c r="A319" s="153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71"/>
      <c r="M319" s="40"/>
      <c r="N319" s="40"/>
      <c r="O319" s="40"/>
      <c r="P319" s="40"/>
      <c r="Q319" s="40"/>
      <c r="R319" s="99"/>
    </row>
    <row r="320" spans="1:18" x14ac:dyDescent="0.25">
      <c r="A320" s="153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71"/>
      <c r="M320" s="40"/>
      <c r="N320" s="40"/>
      <c r="O320" s="40"/>
      <c r="P320" s="40"/>
      <c r="Q320" s="40"/>
      <c r="R320" s="99"/>
    </row>
    <row r="321" spans="1:18" x14ac:dyDescent="0.25">
      <c r="A321" s="153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71"/>
      <c r="M321" s="40"/>
      <c r="N321" s="40"/>
      <c r="O321" s="40"/>
      <c r="P321" s="40"/>
      <c r="Q321" s="40"/>
      <c r="R321" s="99"/>
    </row>
    <row r="322" spans="1:18" x14ac:dyDescent="0.25">
      <c r="A322" s="153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71"/>
      <c r="M322" s="40"/>
      <c r="N322" s="40"/>
      <c r="O322" s="40"/>
      <c r="P322" s="40"/>
      <c r="Q322" s="40"/>
      <c r="R322" s="99"/>
    </row>
    <row r="323" spans="1:18" x14ac:dyDescent="0.25">
      <c r="A323" s="153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71"/>
      <c r="M323" s="40"/>
      <c r="N323" s="40"/>
      <c r="O323" s="40"/>
      <c r="P323" s="40"/>
      <c r="Q323" s="40"/>
      <c r="R323" s="99"/>
    </row>
    <row r="324" spans="1:18" x14ac:dyDescent="0.25">
      <c r="A324" s="153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71"/>
      <c r="M324" s="40"/>
      <c r="N324" s="40"/>
      <c r="O324" s="40"/>
      <c r="P324" s="40"/>
      <c r="Q324" s="40"/>
      <c r="R324" s="99"/>
    </row>
    <row r="325" spans="1:18" x14ac:dyDescent="0.25">
      <c r="A325" s="153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71"/>
      <c r="M325" s="40"/>
      <c r="N325" s="40"/>
      <c r="O325" s="40"/>
      <c r="P325" s="40"/>
      <c r="Q325" s="40"/>
      <c r="R325" s="99"/>
    </row>
    <row r="326" spans="1:18" x14ac:dyDescent="0.25">
      <c r="A326" s="153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71"/>
      <c r="M326" s="40"/>
      <c r="N326" s="40"/>
      <c r="O326" s="40"/>
      <c r="P326" s="40"/>
      <c r="Q326" s="40"/>
      <c r="R326" s="99"/>
    </row>
    <row r="327" spans="1:18" x14ac:dyDescent="0.25">
      <c r="A327" s="153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71"/>
      <c r="M327" s="40"/>
      <c r="N327" s="40"/>
      <c r="O327" s="40"/>
      <c r="P327" s="40"/>
      <c r="Q327" s="40"/>
      <c r="R327" s="99"/>
    </row>
    <row r="328" spans="1:18" x14ac:dyDescent="0.25">
      <c r="A328" s="153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71"/>
      <c r="M328" s="40"/>
      <c r="N328" s="40"/>
      <c r="O328" s="40"/>
      <c r="P328" s="40"/>
      <c r="Q328" s="40"/>
      <c r="R328" s="99"/>
    </row>
    <row r="329" spans="1:18" x14ac:dyDescent="0.25">
      <c r="A329" s="153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71"/>
      <c r="M329" s="40"/>
      <c r="N329" s="40"/>
      <c r="O329" s="40"/>
      <c r="P329" s="40"/>
      <c r="Q329" s="40"/>
      <c r="R329" s="99"/>
    </row>
    <row r="330" spans="1:18" x14ac:dyDescent="0.25">
      <c r="A330" s="153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71"/>
      <c r="M330" s="40"/>
      <c r="N330" s="40"/>
      <c r="O330" s="40"/>
      <c r="P330" s="40"/>
      <c r="Q330" s="40"/>
      <c r="R330" s="99"/>
    </row>
    <row r="331" spans="1:18" x14ac:dyDescent="0.25">
      <c r="A331" s="153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71"/>
      <c r="M331" s="40"/>
      <c r="N331" s="40"/>
      <c r="O331" s="40"/>
      <c r="P331" s="40"/>
      <c r="Q331" s="40"/>
      <c r="R331" s="99"/>
    </row>
    <row r="332" spans="1:18" x14ac:dyDescent="0.25">
      <c r="A332" s="153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71"/>
      <c r="M332" s="40"/>
      <c r="N332" s="40"/>
      <c r="O332" s="40"/>
      <c r="P332" s="40"/>
      <c r="Q332" s="40"/>
      <c r="R332" s="99"/>
    </row>
    <row r="333" spans="1:18" x14ac:dyDescent="0.25">
      <c r="A333" s="153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71"/>
      <c r="M333" s="40"/>
      <c r="N333" s="40"/>
      <c r="O333" s="40"/>
      <c r="P333" s="40"/>
      <c r="Q333" s="40"/>
      <c r="R333" s="99"/>
    </row>
    <row r="334" spans="1:18" x14ac:dyDescent="0.25">
      <c r="A334" s="153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71"/>
      <c r="M334" s="40"/>
      <c r="N334" s="40"/>
      <c r="O334" s="40"/>
      <c r="P334" s="40"/>
      <c r="Q334" s="40"/>
      <c r="R334" s="99"/>
    </row>
    <row r="335" spans="1:18" x14ac:dyDescent="0.25">
      <c r="A335" s="153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71"/>
      <c r="M335" s="40"/>
      <c r="N335" s="40"/>
      <c r="O335" s="40"/>
      <c r="P335" s="40"/>
      <c r="Q335" s="40"/>
      <c r="R335" s="99"/>
    </row>
    <row r="336" spans="1:18" x14ac:dyDescent="0.25">
      <c r="A336" s="153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71"/>
      <c r="M336" s="40"/>
      <c r="N336" s="40"/>
      <c r="O336" s="40"/>
      <c r="P336" s="40"/>
      <c r="Q336" s="40"/>
      <c r="R336" s="99"/>
    </row>
    <row r="337" spans="1:18" x14ac:dyDescent="0.25">
      <c r="A337" s="153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71"/>
      <c r="M337" s="40"/>
      <c r="N337" s="40"/>
      <c r="O337" s="40"/>
      <c r="P337" s="40"/>
      <c r="Q337" s="40"/>
      <c r="R337" s="99"/>
    </row>
    <row r="338" spans="1:18" x14ac:dyDescent="0.25">
      <c r="A338" s="153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71"/>
      <c r="M338" s="40"/>
      <c r="N338" s="40"/>
      <c r="O338" s="40"/>
      <c r="P338" s="40"/>
      <c r="Q338" s="40"/>
      <c r="R338" s="99"/>
    </row>
    <row r="339" spans="1:18" x14ac:dyDescent="0.25">
      <c r="A339" s="153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71"/>
      <c r="M339" s="40"/>
      <c r="N339" s="40"/>
      <c r="O339" s="40"/>
      <c r="P339" s="40"/>
      <c r="Q339" s="40"/>
      <c r="R339" s="99"/>
    </row>
    <row r="340" spans="1:18" x14ac:dyDescent="0.25">
      <c r="A340" s="153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71"/>
      <c r="M340" s="40"/>
      <c r="N340" s="40"/>
      <c r="O340" s="40"/>
      <c r="P340" s="40"/>
      <c r="Q340" s="40"/>
      <c r="R340" s="99"/>
    </row>
    <row r="341" spans="1:18" x14ac:dyDescent="0.25">
      <c r="A341" s="153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71"/>
      <c r="M341" s="40"/>
      <c r="N341" s="40"/>
      <c r="O341" s="40"/>
      <c r="P341" s="40"/>
      <c r="Q341" s="40"/>
      <c r="R341" s="99"/>
    </row>
    <row r="342" spans="1:18" x14ac:dyDescent="0.25">
      <c r="A342" s="153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71"/>
      <c r="M342" s="40"/>
      <c r="N342" s="40"/>
      <c r="O342" s="40"/>
      <c r="P342" s="40"/>
      <c r="Q342" s="40"/>
      <c r="R342" s="99"/>
    </row>
    <row r="343" spans="1:18" x14ac:dyDescent="0.25">
      <c r="A343" s="153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71"/>
      <c r="M343" s="40"/>
      <c r="N343" s="40"/>
      <c r="O343" s="40"/>
      <c r="P343" s="40"/>
      <c r="Q343" s="40"/>
      <c r="R343" s="99"/>
    </row>
    <row r="344" spans="1:18" x14ac:dyDescent="0.25">
      <c r="A344" s="153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71"/>
      <c r="M344" s="40"/>
      <c r="N344" s="40"/>
      <c r="O344" s="40"/>
      <c r="P344" s="40"/>
      <c r="Q344" s="40"/>
      <c r="R344" s="99"/>
    </row>
    <row r="345" spans="1:18" x14ac:dyDescent="0.25">
      <c r="A345" s="153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71"/>
      <c r="M345" s="40"/>
      <c r="N345" s="40"/>
      <c r="O345" s="40"/>
      <c r="P345" s="40"/>
      <c r="Q345" s="40"/>
      <c r="R345" s="99"/>
    </row>
    <row r="346" spans="1:18" x14ac:dyDescent="0.25">
      <c r="A346" s="153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71"/>
      <c r="M346" s="40"/>
      <c r="N346" s="40"/>
      <c r="O346" s="40"/>
      <c r="P346" s="40"/>
      <c r="Q346" s="40"/>
      <c r="R346" s="99"/>
    </row>
    <row r="347" spans="1:18" x14ac:dyDescent="0.25">
      <c r="A347" s="153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71"/>
      <c r="M347" s="40"/>
      <c r="N347" s="40"/>
      <c r="O347" s="40"/>
      <c r="P347" s="40"/>
      <c r="Q347" s="40"/>
      <c r="R347" s="99"/>
    </row>
    <row r="348" spans="1:18" x14ac:dyDescent="0.25">
      <c r="A348" s="153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71"/>
      <c r="M348" s="40"/>
      <c r="N348" s="40"/>
      <c r="O348" s="40"/>
      <c r="P348" s="40"/>
      <c r="Q348" s="40"/>
      <c r="R348" s="99"/>
    </row>
    <row r="349" spans="1:18" x14ac:dyDescent="0.25">
      <c r="A349" s="153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71"/>
      <c r="M349" s="40"/>
      <c r="N349" s="40"/>
      <c r="O349" s="40"/>
      <c r="P349" s="40"/>
      <c r="Q349" s="40"/>
      <c r="R349" s="99"/>
    </row>
    <row r="350" spans="1:18" x14ac:dyDescent="0.25">
      <c r="A350" s="153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71"/>
      <c r="M350" s="40"/>
      <c r="N350" s="40"/>
      <c r="O350" s="40"/>
      <c r="P350" s="40"/>
      <c r="Q350" s="40"/>
      <c r="R350" s="99"/>
    </row>
    <row r="351" spans="1:18" x14ac:dyDescent="0.25">
      <c r="A351" s="153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71"/>
      <c r="M351" s="40"/>
      <c r="N351" s="40"/>
      <c r="O351" s="40"/>
      <c r="P351" s="40"/>
      <c r="Q351" s="40"/>
      <c r="R351" s="99"/>
    </row>
    <row r="352" spans="1:18" x14ac:dyDescent="0.25">
      <c r="A352" s="153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71"/>
      <c r="M352" s="40"/>
      <c r="N352" s="40"/>
      <c r="O352" s="40"/>
      <c r="P352" s="40"/>
      <c r="Q352" s="40"/>
      <c r="R352" s="99"/>
    </row>
    <row r="353" spans="1:18" x14ac:dyDescent="0.25">
      <c r="A353" s="153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71"/>
      <c r="M353" s="40"/>
      <c r="N353" s="40"/>
      <c r="O353" s="40"/>
      <c r="P353" s="40"/>
      <c r="Q353" s="40"/>
      <c r="R353" s="99"/>
    </row>
    <row r="354" spans="1:18" x14ac:dyDescent="0.25">
      <c r="A354" s="153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71"/>
      <c r="M354" s="40"/>
      <c r="N354" s="40"/>
      <c r="O354" s="40"/>
      <c r="P354" s="40"/>
      <c r="Q354" s="40"/>
      <c r="R354" s="99"/>
    </row>
    <row r="355" spans="1:18" x14ac:dyDescent="0.25">
      <c r="A355" s="153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71"/>
      <c r="M355" s="40"/>
      <c r="N355" s="40"/>
      <c r="O355" s="40"/>
      <c r="P355" s="40"/>
      <c r="Q355" s="40"/>
      <c r="R355" s="99"/>
    </row>
    <row r="356" spans="1:18" x14ac:dyDescent="0.25">
      <c r="A356" s="153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71"/>
      <c r="M356" s="40"/>
      <c r="N356" s="40"/>
      <c r="O356" s="40"/>
      <c r="P356" s="40"/>
      <c r="Q356" s="40"/>
      <c r="R356" s="99"/>
    </row>
    <row r="357" spans="1:18" x14ac:dyDescent="0.25">
      <c r="A357" s="153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71"/>
      <c r="M357" s="40"/>
      <c r="N357" s="40"/>
      <c r="O357" s="40"/>
      <c r="P357" s="40"/>
      <c r="Q357" s="40"/>
      <c r="R357" s="99"/>
    </row>
    <row r="358" spans="1:18" x14ac:dyDescent="0.25">
      <c r="A358" s="153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71"/>
      <c r="M358" s="40"/>
      <c r="N358" s="40"/>
      <c r="O358" s="40"/>
      <c r="P358" s="40"/>
      <c r="Q358" s="40"/>
      <c r="R358" s="99"/>
    </row>
    <row r="359" spans="1:18" x14ac:dyDescent="0.25">
      <c r="A359" s="153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71"/>
      <c r="M359" s="40"/>
      <c r="N359" s="40"/>
      <c r="O359" s="40"/>
      <c r="P359" s="40"/>
      <c r="Q359" s="40"/>
      <c r="R359" s="99"/>
    </row>
    <row r="360" spans="1:18" x14ac:dyDescent="0.25">
      <c r="A360" s="153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71"/>
      <c r="M360" s="40"/>
      <c r="N360" s="40"/>
      <c r="O360" s="40"/>
      <c r="P360" s="40"/>
      <c r="Q360" s="40"/>
      <c r="R360" s="99"/>
    </row>
    <row r="361" spans="1:18" x14ac:dyDescent="0.25">
      <c r="A361" s="153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71"/>
      <c r="M361" s="40"/>
      <c r="N361" s="40"/>
      <c r="O361" s="40"/>
      <c r="P361" s="40"/>
      <c r="Q361" s="40"/>
      <c r="R361" s="99"/>
    </row>
    <row r="362" spans="1:18" x14ac:dyDescent="0.25">
      <c r="A362" s="153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71"/>
      <c r="M362" s="40"/>
      <c r="N362" s="40"/>
      <c r="O362" s="40"/>
      <c r="P362" s="40"/>
      <c r="Q362" s="40"/>
      <c r="R362" s="99"/>
    </row>
    <row r="363" spans="1:18" x14ac:dyDescent="0.25">
      <c r="A363" s="153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71"/>
      <c r="M363" s="40"/>
      <c r="N363" s="40"/>
      <c r="O363" s="40"/>
      <c r="P363" s="40"/>
      <c r="Q363" s="40"/>
      <c r="R363" s="99"/>
    </row>
    <row r="364" spans="1:18" x14ac:dyDescent="0.25">
      <c r="A364" s="153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71"/>
      <c r="M364" s="40"/>
      <c r="N364" s="40"/>
      <c r="O364" s="40"/>
      <c r="P364" s="40"/>
      <c r="Q364" s="40"/>
      <c r="R364" s="99"/>
    </row>
    <row r="365" spans="1:18" x14ac:dyDescent="0.25">
      <c r="A365" s="153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71"/>
      <c r="M365" s="40"/>
      <c r="N365" s="40"/>
      <c r="O365" s="40"/>
      <c r="P365" s="40"/>
      <c r="Q365" s="40"/>
      <c r="R365" s="99"/>
    </row>
    <row r="366" spans="1:18" x14ac:dyDescent="0.25">
      <c r="A366" s="153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71"/>
      <c r="M366" s="40"/>
      <c r="N366" s="40"/>
      <c r="O366" s="40"/>
      <c r="P366" s="40"/>
      <c r="Q366" s="40"/>
      <c r="R366" s="99"/>
    </row>
    <row r="367" spans="1:18" x14ac:dyDescent="0.25">
      <c r="A367" s="153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71"/>
      <c r="M367" s="40"/>
      <c r="N367" s="40"/>
      <c r="O367" s="40"/>
      <c r="P367" s="40"/>
      <c r="Q367" s="40"/>
      <c r="R367" s="99"/>
    </row>
    <row r="368" spans="1:18" x14ac:dyDescent="0.25">
      <c r="A368" s="153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71"/>
      <c r="M368" s="40"/>
      <c r="N368" s="40"/>
      <c r="O368" s="40"/>
      <c r="P368" s="40"/>
      <c r="Q368" s="40"/>
      <c r="R368" s="99"/>
    </row>
    <row r="369" spans="1:18" x14ac:dyDescent="0.25">
      <c r="A369" s="153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71"/>
      <c r="M369" s="40"/>
      <c r="N369" s="40"/>
      <c r="O369" s="40"/>
      <c r="P369" s="40"/>
      <c r="Q369" s="40"/>
      <c r="R369" s="99"/>
    </row>
    <row r="370" spans="1:18" x14ac:dyDescent="0.25">
      <c r="A370" s="153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71"/>
      <c r="M370" s="40"/>
      <c r="N370" s="40"/>
      <c r="O370" s="40"/>
      <c r="P370" s="40"/>
      <c r="Q370" s="40"/>
      <c r="R370" s="99"/>
    </row>
    <row r="371" spans="1:18" x14ac:dyDescent="0.25">
      <c r="A371" s="153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71"/>
      <c r="M371" s="40"/>
      <c r="N371" s="40"/>
      <c r="O371" s="40"/>
      <c r="P371" s="40"/>
      <c r="Q371" s="40"/>
      <c r="R371" s="99"/>
    </row>
    <row r="372" spans="1:18" x14ac:dyDescent="0.25">
      <c r="A372" s="153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71"/>
      <c r="M372" s="40"/>
      <c r="N372" s="40"/>
      <c r="O372" s="40"/>
      <c r="P372" s="40"/>
      <c r="Q372" s="40"/>
      <c r="R372" s="99"/>
    </row>
    <row r="373" spans="1:18" x14ac:dyDescent="0.25">
      <c r="A373" s="153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71"/>
      <c r="M373" s="40"/>
      <c r="N373" s="40"/>
      <c r="O373" s="40"/>
      <c r="P373" s="40"/>
      <c r="Q373" s="40"/>
      <c r="R373" s="99"/>
    </row>
    <row r="374" spans="1:18" x14ac:dyDescent="0.25">
      <c r="A374" s="153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71"/>
      <c r="M374" s="40"/>
      <c r="N374" s="40"/>
      <c r="O374" s="40"/>
      <c r="P374" s="40"/>
      <c r="Q374" s="40"/>
      <c r="R374" s="99"/>
    </row>
    <row r="375" spans="1:18" x14ac:dyDescent="0.25">
      <c r="A375" s="153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71"/>
      <c r="M375" s="40"/>
      <c r="N375" s="40"/>
      <c r="O375" s="40"/>
      <c r="P375" s="40"/>
      <c r="Q375" s="40"/>
      <c r="R375" s="99"/>
    </row>
    <row r="376" spans="1:18" x14ac:dyDescent="0.25">
      <c r="A376" s="153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71"/>
      <c r="M376" s="40"/>
      <c r="N376" s="40"/>
      <c r="O376" s="40"/>
      <c r="P376" s="40"/>
      <c r="Q376" s="40"/>
      <c r="R376" s="99"/>
    </row>
    <row r="377" spans="1:18" x14ac:dyDescent="0.25">
      <c r="A377" s="153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71"/>
      <c r="M377" s="40"/>
      <c r="N377" s="40"/>
      <c r="O377" s="40"/>
      <c r="P377" s="40"/>
      <c r="Q377" s="40"/>
      <c r="R377" s="99"/>
    </row>
    <row r="378" spans="1:18" x14ac:dyDescent="0.25">
      <c r="A378" s="153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71"/>
      <c r="M378" s="40"/>
      <c r="N378" s="40"/>
      <c r="O378" s="40"/>
      <c r="P378" s="40"/>
      <c r="Q378" s="40"/>
      <c r="R378" s="99"/>
    </row>
    <row r="379" spans="1:18" x14ac:dyDescent="0.25">
      <c r="A379" s="153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71"/>
      <c r="M379" s="40"/>
      <c r="N379" s="40"/>
      <c r="O379" s="40"/>
      <c r="P379" s="40"/>
      <c r="Q379" s="40"/>
      <c r="R379" s="99"/>
    </row>
    <row r="380" spans="1:18" x14ac:dyDescent="0.25">
      <c r="A380" s="153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71"/>
      <c r="M380" s="40"/>
      <c r="N380" s="40"/>
      <c r="O380" s="40"/>
      <c r="P380" s="40"/>
      <c r="Q380" s="40"/>
      <c r="R380" s="99"/>
    </row>
    <row r="381" spans="1:18" x14ac:dyDescent="0.25">
      <c r="A381" s="153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71"/>
      <c r="M381" s="40"/>
      <c r="N381" s="40"/>
      <c r="O381" s="40"/>
      <c r="P381" s="40"/>
      <c r="Q381" s="40"/>
      <c r="R381" s="99"/>
    </row>
    <row r="382" spans="1:18" x14ac:dyDescent="0.25">
      <c r="A382" s="153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71"/>
      <c r="M382" s="40"/>
      <c r="N382" s="40"/>
      <c r="O382" s="40"/>
      <c r="P382" s="40"/>
      <c r="Q382" s="40"/>
      <c r="R382" s="99"/>
    </row>
    <row r="383" spans="1:18" x14ac:dyDescent="0.25">
      <c r="A383" s="153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71"/>
      <c r="M383" s="40"/>
      <c r="N383" s="40"/>
      <c r="O383" s="40"/>
      <c r="P383" s="40"/>
      <c r="Q383" s="40"/>
      <c r="R383" s="99"/>
    </row>
    <row r="384" spans="1:18" x14ac:dyDescent="0.25">
      <c r="A384" s="153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71"/>
      <c r="M384" s="40"/>
      <c r="N384" s="40"/>
      <c r="O384" s="40"/>
      <c r="P384" s="40"/>
      <c r="Q384" s="40"/>
      <c r="R384" s="99"/>
    </row>
    <row r="385" spans="1:18" x14ac:dyDescent="0.25">
      <c r="A385" s="153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71"/>
      <c r="M385" s="40"/>
      <c r="N385" s="40"/>
      <c r="O385" s="40"/>
      <c r="P385" s="40"/>
      <c r="Q385" s="40"/>
      <c r="R385" s="99"/>
    </row>
    <row r="386" spans="1:18" x14ac:dyDescent="0.25">
      <c r="A386" s="153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71"/>
      <c r="M386" s="40"/>
      <c r="N386" s="40"/>
      <c r="O386" s="40"/>
      <c r="P386" s="40"/>
      <c r="Q386" s="40"/>
      <c r="R386" s="99"/>
    </row>
    <row r="387" spans="1:18" x14ac:dyDescent="0.25">
      <c r="A387" s="153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71"/>
      <c r="M387" s="40"/>
      <c r="N387" s="40"/>
      <c r="O387" s="40"/>
      <c r="P387" s="40"/>
      <c r="Q387" s="40"/>
      <c r="R387" s="99"/>
    </row>
    <row r="388" spans="1:18" x14ac:dyDescent="0.25">
      <c r="A388" s="153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71"/>
      <c r="M388" s="40"/>
      <c r="N388" s="40"/>
      <c r="O388" s="40"/>
      <c r="P388" s="40"/>
      <c r="Q388" s="40"/>
      <c r="R388" s="99"/>
    </row>
    <row r="389" spans="1:18" x14ac:dyDescent="0.25">
      <c r="A389" s="153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71"/>
      <c r="M389" s="40"/>
      <c r="N389" s="40"/>
      <c r="O389" s="40"/>
      <c r="P389" s="40"/>
      <c r="Q389" s="40"/>
      <c r="R389" s="99"/>
    </row>
    <row r="390" spans="1:18" x14ac:dyDescent="0.25">
      <c r="A390" s="153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71"/>
      <c r="M390" s="40"/>
      <c r="N390" s="40"/>
      <c r="O390" s="40"/>
      <c r="P390" s="40"/>
      <c r="Q390" s="40"/>
      <c r="R390" s="99"/>
    </row>
    <row r="391" spans="1:18" x14ac:dyDescent="0.25">
      <c r="A391" s="153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71"/>
      <c r="M391" s="40"/>
      <c r="N391" s="40"/>
      <c r="O391" s="40"/>
      <c r="P391" s="40"/>
      <c r="Q391" s="40"/>
      <c r="R391" s="99"/>
    </row>
    <row r="392" spans="1:18" x14ac:dyDescent="0.25">
      <c r="A392" s="153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71"/>
      <c r="M392" s="40"/>
      <c r="N392" s="40"/>
      <c r="O392" s="40"/>
      <c r="P392" s="40"/>
      <c r="Q392" s="40"/>
      <c r="R392" s="99"/>
    </row>
    <row r="393" spans="1:18" x14ac:dyDescent="0.25">
      <c r="A393" s="153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71"/>
      <c r="M393" s="40"/>
      <c r="N393" s="40"/>
      <c r="O393" s="40"/>
      <c r="P393" s="40"/>
      <c r="Q393" s="40"/>
      <c r="R393" s="99"/>
    </row>
    <row r="394" spans="1:18" x14ac:dyDescent="0.25">
      <c r="A394" s="153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71"/>
      <c r="M394" s="40"/>
      <c r="N394" s="40"/>
      <c r="O394" s="40"/>
      <c r="P394" s="40"/>
      <c r="Q394" s="40"/>
      <c r="R394" s="99"/>
    </row>
    <row r="395" spans="1:18" x14ac:dyDescent="0.25">
      <c r="A395" s="153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71"/>
      <c r="M395" s="40"/>
      <c r="N395" s="40"/>
      <c r="O395" s="40"/>
      <c r="P395" s="40"/>
      <c r="Q395" s="40"/>
      <c r="R395" s="99"/>
    </row>
    <row r="396" spans="1:18" x14ac:dyDescent="0.25">
      <c r="A396" s="153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71"/>
      <c r="M396" s="40"/>
      <c r="N396" s="40"/>
      <c r="O396" s="40"/>
      <c r="P396" s="40"/>
      <c r="Q396" s="40"/>
      <c r="R396" s="99"/>
    </row>
    <row r="397" spans="1:18" x14ac:dyDescent="0.25">
      <c r="A397" s="153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71"/>
      <c r="M397" s="40"/>
      <c r="N397" s="40"/>
      <c r="O397" s="40"/>
      <c r="P397" s="40"/>
      <c r="Q397" s="40"/>
      <c r="R397" s="99"/>
    </row>
    <row r="398" spans="1:18" x14ac:dyDescent="0.25">
      <c r="A398" s="153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71"/>
      <c r="M398" s="40"/>
      <c r="N398" s="40"/>
      <c r="O398" s="40"/>
      <c r="P398" s="40"/>
      <c r="Q398" s="40"/>
      <c r="R398" s="99"/>
    </row>
    <row r="399" spans="1:18" x14ac:dyDescent="0.25">
      <c r="A399" s="153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71"/>
      <c r="M399" s="40"/>
      <c r="N399" s="40"/>
      <c r="O399" s="40"/>
      <c r="P399" s="40"/>
      <c r="Q399" s="40"/>
      <c r="R399" s="99"/>
    </row>
    <row r="400" spans="1:18" x14ac:dyDescent="0.25">
      <c r="A400" s="153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71"/>
      <c r="M400" s="40"/>
      <c r="N400" s="40"/>
      <c r="O400" s="40"/>
      <c r="P400" s="40"/>
      <c r="Q400" s="40"/>
      <c r="R400" s="99"/>
    </row>
    <row r="401" spans="1:18" x14ac:dyDescent="0.25">
      <c r="A401" s="153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71"/>
      <c r="M401" s="40"/>
      <c r="N401" s="40"/>
      <c r="O401" s="40"/>
      <c r="P401" s="40"/>
      <c r="Q401" s="40"/>
      <c r="R401" s="99"/>
    </row>
    <row r="402" spans="1:18" x14ac:dyDescent="0.25">
      <c r="A402" s="153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71"/>
      <c r="M402" s="40"/>
      <c r="N402" s="40"/>
      <c r="O402" s="40"/>
      <c r="P402" s="40"/>
      <c r="Q402" s="40"/>
      <c r="R402" s="99"/>
    </row>
    <row r="403" spans="1:18" x14ac:dyDescent="0.25">
      <c r="A403" s="153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71"/>
      <c r="M403" s="40"/>
      <c r="N403" s="40"/>
      <c r="O403" s="40"/>
      <c r="P403" s="40"/>
      <c r="Q403" s="40"/>
      <c r="R403" s="99"/>
    </row>
    <row r="404" spans="1:18" x14ac:dyDescent="0.25">
      <c r="A404" s="153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71"/>
      <c r="M404" s="40"/>
      <c r="N404" s="40"/>
      <c r="O404" s="40"/>
      <c r="P404" s="40"/>
      <c r="Q404" s="40"/>
      <c r="R404" s="99"/>
    </row>
    <row r="405" spans="1:18" x14ac:dyDescent="0.25">
      <c r="A405" s="153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71"/>
      <c r="M405" s="40"/>
      <c r="N405" s="40"/>
      <c r="O405" s="40"/>
      <c r="P405" s="40"/>
      <c r="Q405" s="40"/>
      <c r="R405" s="99"/>
    </row>
    <row r="406" spans="1:18" x14ac:dyDescent="0.25">
      <c r="A406" s="153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71"/>
      <c r="M406" s="40"/>
      <c r="N406" s="40"/>
      <c r="O406" s="40"/>
      <c r="P406" s="40"/>
      <c r="Q406" s="40"/>
      <c r="R406" s="99"/>
    </row>
    <row r="407" spans="1:18" x14ac:dyDescent="0.25">
      <c r="A407" s="153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71"/>
      <c r="M407" s="40"/>
      <c r="N407" s="40"/>
      <c r="O407" s="40"/>
      <c r="P407" s="40"/>
      <c r="Q407" s="40"/>
      <c r="R407" s="99"/>
    </row>
    <row r="408" spans="1:18" x14ac:dyDescent="0.25">
      <c r="A408" s="153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71"/>
      <c r="M408" s="40"/>
      <c r="N408" s="40"/>
      <c r="O408" s="40"/>
      <c r="P408" s="40"/>
      <c r="Q408" s="40"/>
      <c r="R408" s="99"/>
    </row>
    <row r="409" spans="1:18" x14ac:dyDescent="0.25">
      <c r="A409" s="153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71"/>
      <c r="M409" s="40"/>
      <c r="N409" s="40"/>
      <c r="O409" s="40"/>
      <c r="P409" s="40"/>
      <c r="Q409" s="40"/>
      <c r="R409" s="99"/>
    </row>
    <row r="410" spans="1:18" x14ac:dyDescent="0.25">
      <c r="A410" s="153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71"/>
      <c r="M410" s="40"/>
      <c r="N410" s="40"/>
      <c r="O410" s="40"/>
      <c r="P410" s="40"/>
      <c r="Q410" s="40"/>
      <c r="R410" s="99"/>
    </row>
    <row r="411" spans="1:18" x14ac:dyDescent="0.25">
      <c r="A411" s="153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71"/>
      <c r="M411" s="40"/>
      <c r="N411" s="40"/>
      <c r="O411" s="40"/>
      <c r="P411" s="40"/>
      <c r="Q411" s="40"/>
      <c r="R411" s="99"/>
    </row>
    <row r="412" spans="1:18" x14ac:dyDescent="0.25">
      <c r="A412" s="153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71"/>
      <c r="M412" s="40"/>
      <c r="N412" s="40"/>
      <c r="O412" s="40"/>
      <c r="P412" s="40"/>
      <c r="Q412" s="40"/>
      <c r="R412" s="99"/>
    </row>
    <row r="413" spans="1:18" x14ac:dyDescent="0.25">
      <c r="A413" s="153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71"/>
      <c r="M413" s="40"/>
      <c r="N413" s="40"/>
      <c r="O413" s="40"/>
      <c r="P413" s="40"/>
      <c r="Q413" s="40"/>
      <c r="R413" s="99"/>
    </row>
    <row r="414" spans="1:18" x14ac:dyDescent="0.25">
      <c r="A414" s="153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71"/>
      <c r="M414" s="40"/>
      <c r="N414" s="40"/>
      <c r="O414" s="40"/>
      <c r="P414" s="40"/>
      <c r="Q414" s="40"/>
      <c r="R414" s="99"/>
    </row>
    <row r="415" spans="1:18" x14ac:dyDescent="0.25">
      <c r="A415" s="153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71"/>
      <c r="M415" s="40"/>
      <c r="N415" s="40"/>
      <c r="O415" s="40"/>
      <c r="P415" s="40"/>
      <c r="Q415" s="40"/>
      <c r="R415" s="99"/>
    </row>
    <row r="416" spans="1:18" x14ac:dyDescent="0.25">
      <c r="A416" s="153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71"/>
      <c r="M416" s="40"/>
      <c r="N416" s="40"/>
      <c r="O416" s="40"/>
      <c r="P416" s="40"/>
      <c r="Q416" s="40"/>
      <c r="R416" s="99"/>
    </row>
    <row r="417" spans="1:18" x14ac:dyDescent="0.25">
      <c r="A417" s="153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71"/>
      <c r="M417" s="40"/>
      <c r="N417" s="40"/>
      <c r="O417" s="40"/>
      <c r="P417" s="40"/>
      <c r="Q417" s="40"/>
      <c r="R417" s="99"/>
    </row>
    <row r="418" spans="1:18" x14ac:dyDescent="0.25">
      <c r="A418" s="153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71"/>
      <c r="M418" s="40"/>
      <c r="N418" s="40"/>
      <c r="O418" s="40"/>
      <c r="P418" s="40"/>
      <c r="Q418" s="40"/>
      <c r="R418" s="99"/>
    </row>
    <row r="419" spans="1:18" x14ac:dyDescent="0.25">
      <c r="A419" s="153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71"/>
      <c r="M419" s="40"/>
      <c r="N419" s="40"/>
      <c r="O419" s="40"/>
      <c r="P419" s="40"/>
      <c r="Q419" s="40"/>
      <c r="R419" s="99"/>
    </row>
    <row r="420" spans="1:18" x14ac:dyDescent="0.25">
      <c r="A420" s="153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71"/>
      <c r="M420" s="40"/>
      <c r="N420" s="40"/>
      <c r="O420" s="40"/>
      <c r="P420" s="40"/>
      <c r="Q420" s="40"/>
      <c r="R420" s="99"/>
    </row>
    <row r="421" spans="1:18" x14ac:dyDescent="0.25">
      <c r="A421" s="153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71"/>
      <c r="M421" s="40"/>
      <c r="N421" s="40"/>
      <c r="O421" s="40"/>
      <c r="P421" s="40"/>
      <c r="Q421" s="40"/>
      <c r="R421" s="99"/>
    </row>
    <row r="422" spans="1:18" x14ac:dyDescent="0.25">
      <c r="A422" s="153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71"/>
      <c r="M422" s="40"/>
      <c r="N422" s="40"/>
      <c r="O422" s="40"/>
      <c r="P422" s="40"/>
      <c r="Q422" s="40"/>
      <c r="R422" s="99"/>
    </row>
    <row r="423" spans="1:18" x14ac:dyDescent="0.25">
      <c r="A423" s="153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71"/>
      <c r="M423" s="40"/>
      <c r="N423" s="40"/>
      <c r="O423" s="40"/>
      <c r="P423" s="40"/>
      <c r="Q423" s="40"/>
      <c r="R423" s="99"/>
    </row>
    <row r="424" spans="1:18" x14ac:dyDescent="0.25">
      <c r="A424" s="153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71"/>
      <c r="M424" s="40"/>
      <c r="N424" s="40"/>
      <c r="O424" s="40"/>
      <c r="P424" s="40"/>
      <c r="Q424" s="40"/>
      <c r="R424" s="99"/>
    </row>
    <row r="425" spans="1:18" x14ac:dyDescent="0.25">
      <c r="A425" s="153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71"/>
      <c r="M425" s="40"/>
      <c r="N425" s="40"/>
      <c r="O425" s="40"/>
      <c r="P425" s="40"/>
      <c r="Q425" s="40"/>
      <c r="R425" s="99"/>
    </row>
    <row r="426" spans="1:18" x14ac:dyDescent="0.25">
      <c r="A426" s="153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71"/>
      <c r="M426" s="40"/>
      <c r="N426" s="40"/>
      <c r="O426" s="40"/>
      <c r="P426" s="40"/>
      <c r="Q426" s="40"/>
      <c r="R426" s="99"/>
    </row>
    <row r="427" spans="1:18" x14ac:dyDescent="0.25">
      <c r="A427" s="153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71"/>
      <c r="M427" s="40"/>
      <c r="N427" s="40"/>
      <c r="O427" s="40"/>
      <c r="P427" s="40"/>
      <c r="Q427" s="40"/>
      <c r="R427" s="99"/>
    </row>
    <row r="428" spans="1:18" x14ac:dyDescent="0.25">
      <c r="A428" s="153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71"/>
      <c r="M428" s="40"/>
      <c r="N428" s="40"/>
      <c r="O428" s="40"/>
      <c r="P428" s="40"/>
      <c r="Q428" s="40"/>
      <c r="R428" s="99"/>
    </row>
    <row r="429" spans="1:18" x14ac:dyDescent="0.25">
      <c r="A429" s="153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71"/>
      <c r="M429" s="40"/>
      <c r="N429" s="40"/>
      <c r="O429" s="40"/>
      <c r="P429" s="40"/>
      <c r="Q429" s="40"/>
      <c r="R429" s="99"/>
    </row>
    <row r="430" spans="1:18" x14ac:dyDescent="0.25">
      <c r="A430" s="153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71"/>
      <c r="M430" s="40"/>
      <c r="N430" s="40"/>
      <c r="O430" s="40"/>
      <c r="P430" s="40"/>
      <c r="Q430" s="40"/>
      <c r="R430" s="99"/>
    </row>
    <row r="431" spans="1:18" x14ac:dyDescent="0.25">
      <c r="A431" s="153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71"/>
      <c r="M431" s="40"/>
      <c r="N431" s="40"/>
      <c r="O431" s="40"/>
      <c r="P431" s="40"/>
      <c r="Q431" s="40"/>
      <c r="R431" s="99"/>
    </row>
    <row r="432" spans="1:18" x14ac:dyDescent="0.25">
      <c r="A432" s="153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71"/>
      <c r="M432" s="40"/>
      <c r="N432" s="40"/>
      <c r="O432" s="40"/>
      <c r="P432" s="40"/>
      <c r="Q432" s="40"/>
      <c r="R432" s="99"/>
    </row>
    <row r="433" spans="1:18" x14ac:dyDescent="0.25">
      <c r="A433" s="153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71"/>
      <c r="M433" s="40"/>
      <c r="N433" s="40"/>
      <c r="O433" s="40"/>
      <c r="P433" s="40"/>
      <c r="Q433" s="40"/>
      <c r="R433" s="99"/>
    </row>
    <row r="434" spans="1:18" x14ac:dyDescent="0.25">
      <c r="A434" s="153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71"/>
      <c r="M434" s="40"/>
      <c r="N434" s="40"/>
      <c r="O434" s="40"/>
      <c r="P434" s="40"/>
      <c r="Q434" s="40"/>
      <c r="R434" s="99"/>
    </row>
    <row r="435" spans="1:18" x14ac:dyDescent="0.25">
      <c r="A435" s="153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71"/>
      <c r="M435" s="40"/>
      <c r="N435" s="40"/>
      <c r="O435" s="40"/>
      <c r="P435" s="40"/>
      <c r="Q435" s="40"/>
      <c r="R435" s="99"/>
    </row>
    <row r="436" spans="1:18" x14ac:dyDescent="0.25">
      <c r="A436" s="153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71"/>
      <c r="M436" s="40"/>
      <c r="N436" s="40"/>
      <c r="O436" s="40"/>
      <c r="P436" s="40"/>
      <c r="Q436" s="40"/>
      <c r="R436" s="99"/>
    </row>
    <row r="437" spans="1:18" x14ac:dyDescent="0.25">
      <c r="A437" s="153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71"/>
      <c r="M437" s="40"/>
      <c r="N437" s="40"/>
      <c r="O437" s="40"/>
      <c r="P437" s="40"/>
      <c r="Q437" s="40"/>
      <c r="R437" s="99"/>
    </row>
    <row r="438" spans="1:18" x14ac:dyDescent="0.25">
      <c r="A438" s="153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71"/>
      <c r="M438" s="40"/>
      <c r="N438" s="40"/>
      <c r="O438" s="40"/>
      <c r="P438" s="40"/>
      <c r="Q438" s="40"/>
      <c r="R438" s="99"/>
    </row>
    <row r="439" spans="1:18" x14ac:dyDescent="0.25">
      <c r="A439" s="153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71"/>
      <c r="M439" s="40"/>
      <c r="N439" s="40"/>
      <c r="O439" s="40"/>
      <c r="P439" s="40"/>
      <c r="Q439" s="40"/>
      <c r="R439" s="99"/>
    </row>
    <row r="440" spans="1:18" x14ac:dyDescent="0.25">
      <c r="A440" s="153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71"/>
      <c r="M440" s="40"/>
      <c r="N440" s="40"/>
      <c r="O440" s="40"/>
      <c r="P440" s="40"/>
      <c r="Q440" s="40"/>
      <c r="R440" s="99"/>
    </row>
    <row r="441" spans="1:18" x14ac:dyDescent="0.25">
      <c r="A441" s="153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71"/>
      <c r="M441" s="40"/>
      <c r="N441" s="40"/>
      <c r="O441" s="40"/>
      <c r="P441" s="40"/>
      <c r="Q441" s="40"/>
      <c r="R441" s="99"/>
    </row>
    <row r="442" spans="1:18" x14ac:dyDescent="0.25">
      <c r="A442" s="153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71"/>
      <c r="M442" s="40"/>
      <c r="N442" s="40"/>
      <c r="O442" s="40"/>
      <c r="P442" s="40"/>
      <c r="Q442" s="40"/>
      <c r="R442" s="99"/>
    </row>
    <row r="443" spans="1:18" x14ac:dyDescent="0.25">
      <c r="A443" s="153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71"/>
      <c r="M443" s="40"/>
      <c r="N443" s="40"/>
      <c r="O443" s="40"/>
      <c r="P443" s="40"/>
      <c r="Q443" s="40"/>
      <c r="R443" s="99"/>
    </row>
    <row r="444" spans="1:18" x14ac:dyDescent="0.25">
      <c r="A444" s="153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71"/>
      <c r="M444" s="40"/>
      <c r="N444" s="40"/>
      <c r="O444" s="40"/>
      <c r="P444" s="40"/>
      <c r="Q444" s="40"/>
      <c r="R444" s="99"/>
    </row>
    <row r="445" spans="1:18" x14ac:dyDescent="0.25">
      <c r="A445" s="153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71"/>
      <c r="M445" s="40"/>
      <c r="N445" s="40"/>
      <c r="O445" s="40"/>
      <c r="P445" s="40"/>
      <c r="Q445" s="40"/>
      <c r="R445" s="99"/>
    </row>
    <row r="446" spans="1:18" x14ac:dyDescent="0.25">
      <c r="A446" s="153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71"/>
      <c r="M446" s="40"/>
      <c r="N446" s="40"/>
      <c r="O446" s="40"/>
      <c r="P446" s="40"/>
      <c r="Q446" s="40"/>
      <c r="R446" s="99"/>
    </row>
    <row r="447" spans="1:18" x14ac:dyDescent="0.25">
      <c r="A447" s="153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71"/>
      <c r="M447" s="40"/>
      <c r="N447" s="40"/>
      <c r="O447" s="40"/>
      <c r="P447" s="40"/>
      <c r="Q447" s="40"/>
      <c r="R447" s="99"/>
    </row>
    <row r="448" spans="1:18" x14ac:dyDescent="0.25">
      <c r="A448" s="153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71"/>
      <c r="M448" s="40"/>
      <c r="N448" s="40"/>
      <c r="O448" s="40"/>
      <c r="P448" s="40"/>
      <c r="Q448" s="40"/>
      <c r="R448" s="99"/>
    </row>
    <row r="449" spans="1:18" x14ac:dyDescent="0.25">
      <c r="A449" s="153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71"/>
      <c r="M449" s="40"/>
      <c r="N449" s="40"/>
      <c r="O449" s="40"/>
      <c r="P449" s="40"/>
      <c r="Q449" s="40"/>
      <c r="R449" s="99"/>
    </row>
    <row r="450" spans="1:18" x14ac:dyDescent="0.25">
      <c r="A450" s="153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71"/>
      <c r="M450" s="40"/>
      <c r="N450" s="40"/>
      <c r="O450" s="40"/>
      <c r="P450" s="40"/>
      <c r="Q450" s="40"/>
      <c r="R450" s="99"/>
    </row>
    <row r="451" spans="1:18" x14ac:dyDescent="0.25">
      <c r="A451" s="153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71"/>
      <c r="M451" s="40"/>
      <c r="N451" s="40"/>
      <c r="O451" s="40"/>
      <c r="P451" s="40"/>
      <c r="Q451" s="40"/>
      <c r="R451" s="99"/>
    </row>
    <row r="452" spans="1:18" x14ac:dyDescent="0.25">
      <c r="A452" s="153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71"/>
      <c r="M452" s="40"/>
      <c r="N452" s="40"/>
      <c r="O452" s="40"/>
      <c r="P452" s="40"/>
      <c r="Q452" s="40"/>
      <c r="R452" s="99"/>
    </row>
    <row r="453" spans="1:18" x14ac:dyDescent="0.25">
      <c r="A453" s="153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71"/>
      <c r="M453" s="40"/>
      <c r="N453" s="40"/>
      <c r="O453" s="40"/>
      <c r="P453" s="40"/>
      <c r="Q453" s="40"/>
      <c r="R453" s="99"/>
    </row>
    <row r="454" spans="1:18" x14ac:dyDescent="0.25">
      <c r="A454" s="153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71"/>
      <c r="M454" s="40"/>
      <c r="N454" s="40"/>
      <c r="O454" s="40"/>
      <c r="P454" s="40"/>
      <c r="Q454" s="40"/>
      <c r="R454" s="99"/>
    </row>
    <row r="455" spans="1:18" x14ac:dyDescent="0.25">
      <c r="A455" s="153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71"/>
      <c r="M455" s="40"/>
      <c r="N455" s="40"/>
      <c r="O455" s="40"/>
      <c r="P455" s="40"/>
      <c r="Q455" s="40"/>
      <c r="R455" s="99"/>
    </row>
    <row r="456" spans="1:18" x14ac:dyDescent="0.25">
      <c r="A456" s="153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71"/>
      <c r="M456" s="40"/>
      <c r="N456" s="40"/>
      <c r="O456" s="40"/>
      <c r="P456" s="40"/>
      <c r="Q456" s="40"/>
      <c r="R456" s="99"/>
    </row>
    <row r="457" spans="1:18" x14ac:dyDescent="0.25">
      <c r="A457" s="153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71"/>
      <c r="M457" s="40"/>
      <c r="N457" s="40"/>
      <c r="O457" s="40"/>
      <c r="P457" s="40"/>
      <c r="Q457" s="40"/>
      <c r="R457" s="99"/>
    </row>
    <row r="458" spans="1:18" x14ac:dyDescent="0.25">
      <c r="A458" s="153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71"/>
      <c r="M458" s="40"/>
      <c r="N458" s="40"/>
      <c r="O458" s="40"/>
      <c r="P458" s="40"/>
      <c r="Q458" s="40"/>
      <c r="R458" s="99"/>
    </row>
    <row r="459" spans="1:18" x14ac:dyDescent="0.25">
      <c r="A459" s="153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71"/>
      <c r="M459" s="40"/>
      <c r="N459" s="40"/>
      <c r="O459" s="40"/>
      <c r="P459" s="40"/>
      <c r="Q459" s="40"/>
      <c r="R459" s="99"/>
    </row>
    <row r="460" spans="1:18" x14ac:dyDescent="0.25">
      <c r="A460" s="153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71"/>
      <c r="M460" s="40"/>
      <c r="N460" s="40"/>
      <c r="O460" s="40"/>
      <c r="P460" s="40"/>
      <c r="Q460" s="40"/>
      <c r="R460" s="99"/>
    </row>
    <row r="461" spans="1:18" x14ac:dyDescent="0.25">
      <c r="A461" s="153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71"/>
      <c r="M461" s="40"/>
      <c r="N461" s="40"/>
      <c r="O461" s="40"/>
      <c r="P461" s="40"/>
      <c r="Q461" s="40"/>
      <c r="R461" s="99"/>
    </row>
    <row r="462" spans="1:18" x14ac:dyDescent="0.25">
      <c r="A462" s="153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71"/>
      <c r="M462" s="40"/>
      <c r="N462" s="40"/>
      <c r="O462" s="40"/>
      <c r="P462" s="40"/>
      <c r="Q462" s="40"/>
      <c r="R462" s="99"/>
    </row>
    <row r="463" spans="1:18" x14ac:dyDescent="0.25">
      <c r="A463" s="153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71"/>
      <c r="M463" s="40"/>
      <c r="N463" s="40"/>
      <c r="O463" s="40"/>
      <c r="P463" s="40"/>
      <c r="Q463" s="40"/>
      <c r="R463" s="99"/>
    </row>
    <row r="464" spans="1:18" x14ac:dyDescent="0.25">
      <c r="A464" s="153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71"/>
      <c r="M464" s="40"/>
      <c r="N464" s="40"/>
      <c r="O464" s="40"/>
      <c r="P464" s="40"/>
      <c r="Q464" s="40"/>
      <c r="R464" s="99"/>
    </row>
    <row r="465" spans="1:18" x14ac:dyDescent="0.25">
      <c r="A465" s="153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71"/>
      <c r="M465" s="40"/>
      <c r="N465" s="40"/>
      <c r="O465" s="40"/>
      <c r="P465" s="40"/>
      <c r="Q465" s="40"/>
      <c r="R465" s="99"/>
    </row>
    <row r="466" spans="1:18" x14ac:dyDescent="0.25">
      <c r="A466" s="153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71"/>
      <c r="M466" s="40"/>
      <c r="N466" s="40"/>
      <c r="O466" s="40"/>
      <c r="P466" s="40"/>
      <c r="Q466" s="40"/>
      <c r="R466" s="99"/>
    </row>
    <row r="467" spans="1:18" x14ac:dyDescent="0.25">
      <c r="A467" s="153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71"/>
      <c r="M467" s="40"/>
      <c r="N467" s="40"/>
      <c r="O467" s="40"/>
      <c r="P467" s="40"/>
      <c r="Q467" s="40"/>
      <c r="R467" s="99"/>
    </row>
    <row r="468" spans="1:18" x14ac:dyDescent="0.25">
      <c r="A468" s="153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71"/>
      <c r="M468" s="40"/>
      <c r="N468" s="40"/>
      <c r="O468" s="40"/>
      <c r="P468" s="40"/>
      <c r="Q468" s="40"/>
      <c r="R468" s="99"/>
    </row>
    <row r="469" spans="1:18" x14ac:dyDescent="0.25">
      <c r="A469" s="153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71"/>
      <c r="M469" s="40"/>
      <c r="N469" s="40"/>
      <c r="O469" s="40"/>
      <c r="P469" s="40"/>
      <c r="Q469" s="40"/>
      <c r="R469" s="99"/>
    </row>
    <row r="470" spans="1:18" x14ac:dyDescent="0.25">
      <c r="A470" s="153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71"/>
      <c r="M470" s="40"/>
      <c r="N470" s="40"/>
      <c r="O470" s="40"/>
      <c r="P470" s="40"/>
      <c r="Q470" s="40"/>
      <c r="R470" s="99"/>
    </row>
    <row r="471" spans="1:18" x14ac:dyDescent="0.25">
      <c r="A471" s="153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71"/>
      <c r="M471" s="40"/>
      <c r="N471" s="40"/>
      <c r="O471" s="40"/>
      <c r="P471" s="40"/>
      <c r="Q471" s="40"/>
      <c r="R471" s="99"/>
    </row>
    <row r="472" spans="1:18" x14ac:dyDescent="0.25">
      <c r="A472" s="153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71"/>
      <c r="M472" s="40"/>
      <c r="N472" s="40"/>
      <c r="O472" s="40"/>
      <c r="P472" s="40"/>
      <c r="Q472" s="40"/>
      <c r="R472" s="99"/>
    </row>
    <row r="473" spans="1:18" x14ac:dyDescent="0.25">
      <c r="A473" s="153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71"/>
      <c r="M473" s="40"/>
      <c r="N473" s="40"/>
      <c r="O473" s="40"/>
      <c r="P473" s="40"/>
      <c r="Q473" s="40"/>
      <c r="R473" s="99"/>
    </row>
    <row r="474" spans="1:18" x14ac:dyDescent="0.25">
      <c r="A474" s="153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71"/>
      <c r="M474" s="40"/>
      <c r="N474" s="40"/>
      <c r="O474" s="40"/>
      <c r="P474" s="40"/>
      <c r="Q474" s="40"/>
      <c r="R474" s="99"/>
    </row>
    <row r="475" spans="1:18" x14ac:dyDescent="0.25">
      <c r="A475" s="153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71"/>
      <c r="M475" s="40"/>
      <c r="N475" s="40"/>
      <c r="O475" s="40"/>
      <c r="P475" s="40"/>
      <c r="Q475" s="40"/>
      <c r="R475" s="99"/>
    </row>
    <row r="476" spans="1:18" x14ac:dyDescent="0.25">
      <c r="A476" s="153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71"/>
      <c r="M476" s="40"/>
      <c r="N476" s="40"/>
      <c r="O476" s="40"/>
      <c r="P476" s="40"/>
      <c r="Q476" s="40"/>
      <c r="R476" s="99"/>
    </row>
    <row r="477" spans="1:18" x14ac:dyDescent="0.25">
      <c r="A477" s="153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71"/>
      <c r="M477" s="40"/>
      <c r="N477" s="40"/>
      <c r="O477" s="40"/>
      <c r="P477" s="40"/>
      <c r="Q477" s="40"/>
      <c r="R477" s="99"/>
    </row>
    <row r="478" spans="1:18" x14ac:dyDescent="0.25">
      <c r="A478" s="153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71"/>
      <c r="M478" s="40"/>
      <c r="N478" s="40"/>
      <c r="O478" s="40"/>
      <c r="P478" s="40"/>
      <c r="Q478" s="40"/>
      <c r="R478" s="99"/>
    </row>
    <row r="479" spans="1:18" x14ac:dyDescent="0.25">
      <c r="A479" s="153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71"/>
      <c r="M479" s="40"/>
      <c r="N479" s="40"/>
      <c r="O479" s="40"/>
      <c r="P479" s="40"/>
      <c r="Q479" s="40"/>
      <c r="R479" s="99"/>
    </row>
    <row r="480" spans="1:18" x14ac:dyDescent="0.25">
      <c r="A480" s="153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71"/>
      <c r="M480" s="40"/>
      <c r="N480" s="40"/>
      <c r="O480" s="40"/>
      <c r="P480" s="40"/>
      <c r="Q480" s="40"/>
      <c r="R480" s="99"/>
    </row>
    <row r="481" spans="1:18" x14ac:dyDescent="0.25">
      <c r="A481" s="153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71"/>
      <c r="M481" s="40"/>
      <c r="N481" s="40"/>
      <c r="O481" s="40"/>
      <c r="P481" s="40"/>
      <c r="Q481" s="40"/>
      <c r="R481" s="99"/>
    </row>
    <row r="482" spans="1:18" x14ac:dyDescent="0.25">
      <c r="A482" s="153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71"/>
      <c r="M482" s="40"/>
      <c r="N482" s="40"/>
      <c r="O482" s="40"/>
      <c r="P482" s="40"/>
      <c r="Q482" s="40"/>
      <c r="R482" s="99"/>
    </row>
    <row r="483" spans="1:18" x14ac:dyDescent="0.25">
      <c r="A483" s="153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71"/>
      <c r="M483" s="40"/>
      <c r="N483" s="40"/>
      <c r="O483" s="40"/>
      <c r="P483" s="40"/>
      <c r="Q483" s="40"/>
      <c r="R483" s="99"/>
    </row>
    <row r="484" spans="1:18" x14ac:dyDescent="0.25">
      <c r="A484" s="153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71"/>
      <c r="M484" s="40"/>
      <c r="N484" s="40"/>
      <c r="O484" s="40"/>
      <c r="P484" s="40"/>
      <c r="Q484" s="40"/>
      <c r="R484" s="99"/>
    </row>
    <row r="485" spans="1:18" x14ac:dyDescent="0.25">
      <c r="A485" s="153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71"/>
      <c r="M485" s="40"/>
      <c r="N485" s="40"/>
      <c r="O485" s="40"/>
      <c r="P485" s="40"/>
      <c r="Q485" s="40"/>
      <c r="R485" s="99"/>
    </row>
    <row r="486" spans="1:18" x14ac:dyDescent="0.25">
      <c r="A486" s="153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71"/>
      <c r="M486" s="40"/>
      <c r="N486" s="40"/>
      <c r="O486" s="40"/>
      <c r="P486" s="40"/>
      <c r="Q486" s="40"/>
      <c r="R486" s="99"/>
    </row>
    <row r="487" spans="1:18" x14ac:dyDescent="0.25">
      <c r="A487" s="153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71"/>
      <c r="M487" s="40"/>
      <c r="N487" s="40"/>
      <c r="O487" s="40"/>
      <c r="P487" s="40"/>
      <c r="Q487" s="40"/>
      <c r="R487" s="99"/>
    </row>
    <row r="488" spans="1:18" x14ac:dyDescent="0.25">
      <c r="A488" s="153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71"/>
      <c r="M488" s="40"/>
      <c r="N488" s="40"/>
      <c r="O488" s="40"/>
      <c r="P488" s="40"/>
      <c r="Q488" s="40"/>
      <c r="R488" s="99"/>
    </row>
    <row r="489" spans="1:18" x14ac:dyDescent="0.25">
      <c r="A489" s="153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71"/>
      <c r="M489" s="40"/>
      <c r="N489" s="40"/>
      <c r="O489" s="40"/>
      <c r="P489" s="40"/>
      <c r="Q489" s="40"/>
      <c r="R489" s="99"/>
    </row>
    <row r="490" spans="1:18" x14ac:dyDescent="0.25">
      <c r="A490" s="153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71"/>
      <c r="M490" s="40"/>
      <c r="N490" s="40"/>
      <c r="O490" s="40"/>
      <c r="P490" s="40"/>
      <c r="Q490" s="40"/>
      <c r="R490" s="99"/>
    </row>
    <row r="491" spans="1:18" x14ac:dyDescent="0.25">
      <c r="A491" s="153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71"/>
      <c r="M491" s="40"/>
      <c r="N491" s="40"/>
      <c r="O491" s="40"/>
      <c r="P491" s="40"/>
      <c r="Q491" s="40"/>
      <c r="R491" s="99"/>
    </row>
    <row r="492" spans="1:18" x14ac:dyDescent="0.25">
      <c r="A492" s="153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71"/>
      <c r="M492" s="40"/>
      <c r="N492" s="40"/>
      <c r="O492" s="40"/>
      <c r="P492" s="40"/>
      <c r="Q492" s="40"/>
      <c r="R492" s="99"/>
    </row>
    <row r="493" spans="1:18" x14ac:dyDescent="0.25">
      <c r="A493" s="153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71"/>
      <c r="M493" s="40"/>
      <c r="N493" s="40"/>
      <c r="O493" s="40"/>
      <c r="P493" s="40"/>
      <c r="Q493" s="40"/>
      <c r="R493" s="99"/>
    </row>
    <row r="494" spans="1:18" x14ac:dyDescent="0.25">
      <c r="A494" s="153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71"/>
      <c r="M494" s="40"/>
      <c r="N494" s="40"/>
      <c r="O494" s="40"/>
      <c r="P494" s="40"/>
      <c r="Q494" s="40"/>
      <c r="R494" s="99"/>
    </row>
    <row r="495" spans="1:18" x14ac:dyDescent="0.25">
      <c r="A495" s="153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71"/>
      <c r="M495" s="40"/>
      <c r="N495" s="40"/>
      <c r="O495" s="40"/>
      <c r="P495" s="40"/>
      <c r="Q495" s="40"/>
      <c r="R495" s="99"/>
    </row>
    <row r="496" spans="1:18" x14ac:dyDescent="0.25">
      <c r="A496" s="153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71"/>
      <c r="M496" s="40"/>
      <c r="N496" s="40"/>
      <c r="O496" s="40"/>
      <c r="P496" s="40"/>
      <c r="Q496" s="40"/>
      <c r="R496" s="99"/>
    </row>
    <row r="497" spans="1:18" x14ac:dyDescent="0.25">
      <c r="A497" s="153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71"/>
      <c r="M497" s="40"/>
      <c r="N497" s="40"/>
      <c r="O497" s="40"/>
      <c r="P497" s="40"/>
      <c r="Q497" s="40"/>
      <c r="R497" s="99"/>
    </row>
    <row r="498" spans="1:18" x14ac:dyDescent="0.25">
      <c r="A498" s="153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71"/>
      <c r="M498" s="40"/>
      <c r="N498" s="40"/>
      <c r="O498" s="40"/>
      <c r="P498" s="40"/>
      <c r="Q498" s="40"/>
      <c r="R498" s="99"/>
    </row>
    <row r="499" spans="1:18" x14ac:dyDescent="0.25">
      <c r="A499" s="153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71"/>
      <c r="M499" s="40"/>
      <c r="N499" s="40"/>
      <c r="O499" s="40"/>
      <c r="P499" s="40"/>
      <c r="Q499" s="40"/>
      <c r="R499" s="99"/>
    </row>
    <row r="500" spans="1:18" x14ac:dyDescent="0.25">
      <c r="A500" s="153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71"/>
      <c r="M500" s="40"/>
      <c r="N500" s="40"/>
      <c r="O500" s="40"/>
      <c r="P500" s="40"/>
      <c r="Q500" s="40"/>
      <c r="R500" s="99"/>
    </row>
    <row r="501" spans="1:18" x14ac:dyDescent="0.25">
      <c r="A501" s="153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71"/>
      <c r="M501" s="40"/>
      <c r="N501" s="40"/>
      <c r="O501" s="40"/>
      <c r="P501" s="40"/>
      <c r="Q501" s="40"/>
      <c r="R501" s="99"/>
    </row>
    <row r="502" spans="1:18" x14ac:dyDescent="0.25">
      <c r="A502" s="153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71"/>
      <c r="M502" s="40"/>
      <c r="N502" s="40"/>
      <c r="O502" s="40"/>
      <c r="P502" s="40"/>
      <c r="Q502" s="40"/>
      <c r="R502" s="99"/>
    </row>
    <row r="503" spans="1:18" x14ac:dyDescent="0.25">
      <c r="A503" s="153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71"/>
      <c r="M503" s="40"/>
      <c r="N503" s="40"/>
      <c r="O503" s="40"/>
      <c r="P503" s="40"/>
      <c r="Q503" s="40"/>
      <c r="R503" s="99"/>
    </row>
    <row r="504" spans="1:18" x14ac:dyDescent="0.25">
      <c r="A504" s="153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71"/>
      <c r="M504" s="40"/>
      <c r="N504" s="40"/>
      <c r="O504" s="40"/>
      <c r="P504" s="40"/>
      <c r="Q504" s="40"/>
      <c r="R504" s="99"/>
    </row>
    <row r="505" spans="1:18" x14ac:dyDescent="0.25">
      <c r="A505" s="153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71"/>
      <c r="M505" s="40"/>
      <c r="N505" s="40"/>
      <c r="O505" s="40"/>
      <c r="P505" s="40"/>
      <c r="Q505" s="40"/>
      <c r="R505" s="99"/>
    </row>
    <row r="506" spans="1:18" x14ac:dyDescent="0.25">
      <c r="A506" s="153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71"/>
      <c r="M506" s="40"/>
      <c r="N506" s="40"/>
      <c r="O506" s="40"/>
      <c r="P506" s="40"/>
      <c r="Q506" s="40"/>
      <c r="R506" s="99"/>
    </row>
    <row r="507" spans="1:18" x14ac:dyDescent="0.25">
      <c r="A507" s="153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71"/>
      <c r="M507" s="40"/>
      <c r="N507" s="40"/>
      <c r="O507" s="40"/>
      <c r="P507" s="40"/>
      <c r="Q507" s="40"/>
      <c r="R507" s="99"/>
    </row>
    <row r="508" spans="1:18" x14ac:dyDescent="0.25">
      <c r="A508" s="153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71"/>
      <c r="M508" s="40"/>
      <c r="N508" s="40"/>
      <c r="O508" s="40"/>
      <c r="P508" s="40"/>
      <c r="Q508" s="40"/>
      <c r="R508" s="99"/>
    </row>
    <row r="509" spans="1:18" x14ac:dyDescent="0.25">
      <c r="A509" s="153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71"/>
      <c r="M509" s="40"/>
      <c r="N509" s="40"/>
      <c r="O509" s="40"/>
      <c r="P509" s="40"/>
      <c r="Q509" s="40"/>
      <c r="R509" s="99"/>
    </row>
    <row r="510" spans="1:18" x14ac:dyDescent="0.25">
      <c r="A510" s="153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71"/>
      <c r="M510" s="40"/>
      <c r="N510" s="40"/>
      <c r="O510" s="40"/>
      <c r="P510" s="40"/>
      <c r="Q510" s="40"/>
      <c r="R510" s="99"/>
    </row>
    <row r="511" spans="1:18" x14ac:dyDescent="0.25">
      <c r="A511" s="153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71"/>
      <c r="M511" s="40"/>
      <c r="N511" s="40"/>
      <c r="O511" s="40"/>
      <c r="P511" s="40"/>
      <c r="Q511" s="40"/>
      <c r="R511" s="99"/>
    </row>
    <row r="512" spans="1:18" x14ac:dyDescent="0.25">
      <c r="A512" s="153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71"/>
      <c r="M512" s="40"/>
      <c r="N512" s="40"/>
      <c r="O512" s="40"/>
      <c r="P512" s="40"/>
      <c r="Q512" s="40"/>
      <c r="R512" s="99"/>
    </row>
    <row r="513" spans="1:18" x14ac:dyDescent="0.25">
      <c r="A513" s="153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71"/>
      <c r="M513" s="40"/>
      <c r="N513" s="40"/>
      <c r="O513" s="40"/>
      <c r="P513" s="40"/>
      <c r="Q513" s="40"/>
      <c r="R513" s="99"/>
    </row>
    <row r="514" spans="1:18" x14ac:dyDescent="0.25">
      <c r="A514" s="153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71"/>
      <c r="M514" s="40"/>
      <c r="N514" s="40"/>
      <c r="O514" s="40"/>
      <c r="P514" s="40"/>
      <c r="Q514" s="40"/>
      <c r="R514" s="99"/>
    </row>
    <row r="515" spans="1:18" x14ac:dyDescent="0.25">
      <c r="A515" s="153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71"/>
      <c r="M515" s="40"/>
      <c r="N515" s="40"/>
      <c r="O515" s="40"/>
      <c r="P515" s="40"/>
      <c r="Q515" s="40"/>
      <c r="R515" s="99"/>
    </row>
    <row r="516" spans="1:18" x14ac:dyDescent="0.25">
      <c r="A516" s="153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71"/>
      <c r="M516" s="40"/>
      <c r="N516" s="40"/>
      <c r="O516" s="40"/>
      <c r="P516" s="40"/>
      <c r="Q516" s="40"/>
      <c r="R516" s="99"/>
    </row>
    <row r="517" spans="1:18" x14ac:dyDescent="0.25">
      <c r="A517" s="153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71"/>
      <c r="M517" s="40"/>
      <c r="N517" s="40"/>
      <c r="O517" s="40"/>
      <c r="P517" s="40"/>
      <c r="Q517" s="40"/>
      <c r="R517" s="99"/>
    </row>
    <row r="518" spans="1:18" x14ac:dyDescent="0.25">
      <c r="A518" s="153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71"/>
      <c r="M518" s="40"/>
      <c r="N518" s="40"/>
      <c r="O518" s="40"/>
      <c r="P518" s="40"/>
      <c r="Q518" s="40"/>
      <c r="R518" s="99"/>
    </row>
    <row r="519" spans="1:18" x14ac:dyDescent="0.25">
      <c r="A519" s="153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71"/>
      <c r="M519" s="40"/>
      <c r="N519" s="40"/>
      <c r="O519" s="40"/>
      <c r="P519" s="40"/>
      <c r="Q519" s="40"/>
      <c r="R519" s="99"/>
    </row>
    <row r="520" spans="1:18" x14ac:dyDescent="0.25">
      <c r="A520" s="153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71"/>
      <c r="M520" s="40"/>
      <c r="N520" s="40"/>
      <c r="O520" s="40"/>
      <c r="P520" s="40"/>
      <c r="Q520" s="40"/>
      <c r="R520" s="99"/>
    </row>
    <row r="521" spans="1:18" x14ac:dyDescent="0.25">
      <c r="A521" s="153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71"/>
      <c r="M521" s="40"/>
      <c r="N521" s="40"/>
      <c r="O521" s="40"/>
      <c r="P521" s="40"/>
      <c r="Q521" s="40"/>
      <c r="R521" s="99"/>
    </row>
    <row r="522" spans="1:18" x14ac:dyDescent="0.25">
      <c r="A522" s="153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71"/>
      <c r="M522" s="40"/>
      <c r="N522" s="40"/>
      <c r="O522" s="40"/>
      <c r="P522" s="40"/>
      <c r="Q522" s="40"/>
      <c r="R522" s="99"/>
    </row>
    <row r="523" spans="1:18" x14ac:dyDescent="0.25">
      <c r="A523" s="153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71"/>
      <c r="M523" s="40"/>
      <c r="N523" s="40"/>
      <c r="O523" s="40"/>
      <c r="P523" s="40"/>
      <c r="Q523" s="40"/>
      <c r="R523" s="99"/>
    </row>
    <row r="524" spans="1:18" x14ac:dyDescent="0.25">
      <c r="A524" s="153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71"/>
      <c r="M524" s="40"/>
      <c r="N524" s="40"/>
      <c r="O524" s="40"/>
      <c r="P524" s="40"/>
      <c r="Q524" s="40"/>
      <c r="R524" s="99"/>
    </row>
    <row r="525" spans="1:18" x14ac:dyDescent="0.25">
      <c r="A525" s="153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71"/>
      <c r="M525" s="40"/>
      <c r="N525" s="40"/>
      <c r="O525" s="40"/>
      <c r="P525" s="40"/>
      <c r="Q525" s="40"/>
      <c r="R525" s="99"/>
    </row>
    <row r="526" spans="1:18" x14ac:dyDescent="0.25">
      <c r="A526" s="153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71"/>
      <c r="M526" s="40"/>
      <c r="N526" s="40"/>
      <c r="O526" s="40"/>
      <c r="P526" s="40"/>
      <c r="Q526" s="40"/>
      <c r="R526" s="99"/>
    </row>
    <row r="527" spans="1:18" x14ac:dyDescent="0.25">
      <c r="A527" s="153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71"/>
      <c r="M527" s="40"/>
      <c r="N527" s="40"/>
      <c r="O527" s="40"/>
      <c r="P527" s="40"/>
      <c r="Q527" s="40"/>
      <c r="R527" s="99"/>
    </row>
    <row r="528" spans="1:18" x14ac:dyDescent="0.25">
      <c r="A528" s="153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71"/>
      <c r="M528" s="40"/>
      <c r="N528" s="40"/>
      <c r="O528" s="40"/>
      <c r="P528" s="40"/>
      <c r="Q528" s="40"/>
      <c r="R528" s="99"/>
    </row>
    <row r="529" spans="1:18" x14ac:dyDescent="0.25">
      <c r="A529" s="153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71"/>
      <c r="M529" s="40"/>
      <c r="N529" s="40"/>
      <c r="O529" s="40"/>
      <c r="P529" s="40"/>
      <c r="Q529" s="40"/>
      <c r="R529" s="99"/>
    </row>
    <row r="530" spans="1:18" x14ac:dyDescent="0.25">
      <c r="A530" s="153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71"/>
      <c r="M530" s="40"/>
      <c r="N530" s="40"/>
      <c r="O530" s="40"/>
      <c r="P530" s="40"/>
      <c r="Q530" s="40"/>
      <c r="R530" s="99"/>
    </row>
    <row r="531" spans="1:18" x14ac:dyDescent="0.25">
      <c r="A531" s="153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71"/>
      <c r="M531" s="40"/>
      <c r="N531" s="40"/>
      <c r="O531" s="40"/>
      <c r="P531" s="40"/>
      <c r="Q531" s="40"/>
      <c r="R531" s="99"/>
    </row>
    <row r="532" spans="1:18" x14ac:dyDescent="0.25">
      <c r="A532" s="153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71"/>
      <c r="M532" s="40"/>
      <c r="N532" s="40"/>
      <c r="O532" s="40"/>
      <c r="P532" s="40"/>
      <c r="Q532" s="40"/>
      <c r="R532" s="99"/>
    </row>
    <row r="533" spans="1:18" x14ac:dyDescent="0.25">
      <c r="A533" s="153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71"/>
      <c r="M533" s="40"/>
      <c r="N533" s="40"/>
      <c r="O533" s="40"/>
      <c r="P533" s="40"/>
      <c r="Q533" s="40"/>
      <c r="R533" s="99"/>
    </row>
    <row r="534" spans="1:18" x14ac:dyDescent="0.25">
      <c r="A534" s="153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71"/>
      <c r="M534" s="40"/>
      <c r="N534" s="40"/>
      <c r="O534" s="40"/>
      <c r="P534" s="40"/>
      <c r="Q534" s="40"/>
      <c r="R534" s="99"/>
    </row>
    <row r="535" spans="1:18" x14ac:dyDescent="0.25">
      <c r="A535" s="153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71"/>
      <c r="M535" s="40"/>
      <c r="N535" s="40"/>
      <c r="O535" s="40"/>
      <c r="P535" s="40"/>
      <c r="Q535" s="40"/>
      <c r="R535" s="99"/>
    </row>
    <row r="536" spans="1:18" x14ac:dyDescent="0.25">
      <c r="A536" s="153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71"/>
      <c r="M536" s="40"/>
      <c r="N536" s="40"/>
      <c r="O536" s="40"/>
      <c r="P536" s="40"/>
      <c r="Q536" s="40"/>
      <c r="R536" s="99"/>
    </row>
    <row r="537" spans="1:18" x14ac:dyDescent="0.25">
      <c r="A537" s="153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71"/>
      <c r="M537" s="40"/>
      <c r="N537" s="40"/>
      <c r="O537" s="40"/>
      <c r="P537" s="40"/>
      <c r="Q537" s="40"/>
      <c r="R537" s="99"/>
    </row>
    <row r="538" spans="1:18" x14ac:dyDescent="0.25">
      <c r="A538" s="153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71"/>
      <c r="M538" s="40"/>
      <c r="N538" s="40"/>
      <c r="O538" s="40"/>
      <c r="P538" s="40"/>
      <c r="Q538" s="40"/>
      <c r="R538" s="99"/>
    </row>
    <row r="539" spans="1:18" x14ac:dyDescent="0.25">
      <c r="A539" s="153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71"/>
      <c r="M539" s="40"/>
      <c r="N539" s="40"/>
      <c r="O539" s="40"/>
      <c r="P539" s="40"/>
      <c r="Q539" s="40"/>
      <c r="R539" s="99"/>
    </row>
    <row r="540" spans="1:18" x14ac:dyDescent="0.25">
      <c r="A540" s="153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71"/>
      <c r="M540" s="40"/>
      <c r="N540" s="40"/>
      <c r="O540" s="40"/>
      <c r="P540" s="40"/>
      <c r="Q540" s="40"/>
      <c r="R540" s="99"/>
    </row>
    <row r="541" spans="1:18" x14ac:dyDescent="0.25">
      <c r="A541" s="153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71"/>
      <c r="M541" s="40"/>
      <c r="N541" s="40"/>
      <c r="O541" s="40"/>
      <c r="P541" s="40"/>
      <c r="Q541" s="40"/>
      <c r="R541" s="99"/>
    </row>
    <row r="542" spans="1:18" x14ac:dyDescent="0.25">
      <c r="A542" s="153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71"/>
      <c r="M542" s="40"/>
      <c r="N542" s="40"/>
      <c r="O542" s="40"/>
      <c r="P542" s="40"/>
      <c r="Q542" s="40"/>
      <c r="R542" s="99"/>
    </row>
    <row r="543" spans="1:18" x14ac:dyDescent="0.25">
      <c r="A543" s="153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71"/>
      <c r="M543" s="40"/>
      <c r="N543" s="40"/>
      <c r="O543" s="40"/>
      <c r="P543" s="40"/>
      <c r="Q543" s="40"/>
      <c r="R543" s="99"/>
    </row>
    <row r="544" spans="1:18" x14ac:dyDescent="0.25">
      <c r="A544" s="153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71"/>
      <c r="M544" s="40"/>
      <c r="N544" s="40"/>
      <c r="O544" s="40"/>
      <c r="P544" s="40"/>
      <c r="Q544" s="40"/>
      <c r="R544" s="99"/>
    </row>
    <row r="545" spans="1:18" x14ac:dyDescent="0.25">
      <c r="A545" s="153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71"/>
      <c r="M545" s="40"/>
      <c r="N545" s="40"/>
      <c r="O545" s="40"/>
      <c r="P545" s="40"/>
      <c r="Q545" s="40"/>
      <c r="R545" s="99"/>
    </row>
    <row r="546" spans="1:18" x14ac:dyDescent="0.25">
      <c r="A546" s="153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71"/>
      <c r="M546" s="40"/>
      <c r="N546" s="40"/>
      <c r="O546" s="40"/>
      <c r="P546" s="40"/>
      <c r="Q546" s="40"/>
      <c r="R546" s="99"/>
    </row>
    <row r="547" spans="1:18" x14ac:dyDescent="0.25">
      <c r="A547" s="153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71"/>
      <c r="M547" s="40"/>
      <c r="N547" s="40"/>
      <c r="O547" s="40"/>
      <c r="P547" s="40"/>
      <c r="Q547" s="40"/>
      <c r="R547" s="99"/>
    </row>
    <row r="548" spans="1:18" x14ac:dyDescent="0.25">
      <c r="A548" s="153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71"/>
      <c r="M548" s="40"/>
      <c r="N548" s="40"/>
      <c r="O548" s="40"/>
      <c r="P548" s="40"/>
      <c r="Q548" s="40"/>
      <c r="R548" s="99"/>
    </row>
    <row r="549" spans="1:18" x14ac:dyDescent="0.25">
      <c r="A549" s="153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71"/>
      <c r="M549" s="40"/>
      <c r="N549" s="40"/>
      <c r="O549" s="40"/>
      <c r="P549" s="40"/>
      <c r="Q549" s="40"/>
      <c r="R549" s="99"/>
    </row>
    <row r="550" spans="1:18" x14ac:dyDescent="0.25">
      <c r="A550" s="153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71"/>
      <c r="M550" s="40"/>
      <c r="N550" s="40"/>
      <c r="O550" s="40"/>
      <c r="P550" s="40"/>
      <c r="Q550" s="40"/>
      <c r="R550" s="99"/>
    </row>
    <row r="551" spans="1:18" x14ac:dyDescent="0.25">
      <c r="A551" s="153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71"/>
      <c r="M551" s="40"/>
      <c r="N551" s="40"/>
      <c r="O551" s="40"/>
      <c r="P551" s="40"/>
      <c r="Q551" s="40"/>
      <c r="R551" s="99"/>
    </row>
    <row r="552" spans="1:18" x14ac:dyDescent="0.25">
      <c r="A552" s="153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71"/>
      <c r="M552" s="40"/>
      <c r="N552" s="40"/>
      <c r="O552" s="40"/>
      <c r="P552" s="40"/>
      <c r="Q552" s="40"/>
      <c r="R552" s="99"/>
    </row>
    <row r="553" spans="1:18" x14ac:dyDescent="0.25">
      <c r="A553" s="153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71"/>
      <c r="M553" s="40"/>
      <c r="N553" s="40"/>
      <c r="O553" s="40"/>
      <c r="P553" s="40"/>
      <c r="Q553" s="40"/>
      <c r="R553" s="99"/>
    </row>
    <row r="554" spans="1:18" x14ac:dyDescent="0.25">
      <c r="A554" s="153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71"/>
      <c r="M554" s="40"/>
      <c r="N554" s="40"/>
      <c r="O554" s="40"/>
      <c r="P554" s="40"/>
      <c r="Q554" s="40"/>
      <c r="R554" s="99"/>
    </row>
    <row r="555" spans="1:18" x14ac:dyDescent="0.25">
      <c r="A555" s="153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71"/>
      <c r="M555" s="40"/>
      <c r="N555" s="40"/>
      <c r="O555" s="40"/>
      <c r="P555" s="40"/>
      <c r="Q555" s="40"/>
      <c r="R555" s="99"/>
    </row>
    <row r="556" spans="1:18" x14ac:dyDescent="0.25">
      <c r="A556" s="153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71"/>
      <c r="M556" s="40"/>
      <c r="N556" s="40"/>
      <c r="O556" s="40"/>
      <c r="P556" s="40"/>
      <c r="Q556" s="40"/>
      <c r="R556" s="99"/>
    </row>
    <row r="557" spans="1:18" x14ac:dyDescent="0.25">
      <c r="A557" s="153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71"/>
      <c r="M557" s="40"/>
      <c r="N557" s="40"/>
      <c r="O557" s="40"/>
      <c r="P557" s="40"/>
      <c r="Q557" s="40"/>
      <c r="R557" s="99"/>
    </row>
    <row r="558" spans="1:18" x14ac:dyDescent="0.25">
      <c r="A558" s="153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71"/>
      <c r="M558" s="40"/>
      <c r="N558" s="40"/>
      <c r="O558" s="40"/>
      <c r="P558" s="40"/>
      <c r="Q558" s="40"/>
      <c r="R558" s="99"/>
    </row>
    <row r="559" spans="1:18" x14ac:dyDescent="0.25">
      <c r="A559" s="153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71"/>
      <c r="M559" s="40"/>
      <c r="N559" s="40"/>
      <c r="O559" s="40"/>
      <c r="P559" s="40"/>
      <c r="Q559" s="40"/>
      <c r="R559" s="99"/>
    </row>
    <row r="560" spans="1:18" x14ac:dyDescent="0.25">
      <c r="A560" s="153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71"/>
      <c r="M560" s="40"/>
      <c r="N560" s="40"/>
      <c r="O560" s="40"/>
      <c r="P560" s="40"/>
      <c r="Q560" s="40"/>
      <c r="R560" s="99"/>
    </row>
    <row r="561" spans="1:18" x14ac:dyDescent="0.25">
      <c r="A561" s="153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71"/>
      <c r="M561" s="40"/>
      <c r="N561" s="40"/>
      <c r="O561" s="40"/>
      <c r="P561" s="40"/>
      <c r="Q561" s="40"/>
      <c r="R561" s="99"/>
    </row>
    <row r="562" spans="1:18" x14ac:dyDescent="0.25">
      <c r="A562" s="153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71"/>
      <c r="M562" s="40"/>
      <c r="N562" s="40"/>
      <c r="O562" s="40"/>
      <c r="P562" s="40"/>
      <c r="Q562" s="40"/>
      <c r="R562" s="99"/>
    </row>
    <row r="563" spans="1:18" x14ac:dyDescent="0.25">
      <c r="A563" s="153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71"/>
      <c r="M563" s="40"/>
      <c r="N563" s="40"/>
      <c r="O563" s="40"/>
      <c r="P563" s="40"/>
      <c r="Q563" s="40"/>
      <c r="R563" s="99"/>
    </row>
    <row r="564" spans="1:18" x14ac:dyDescent="0.25">
      <c r="A564" s="153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71"/>
      <c r="M564" s="40"/>
      <c r="N564" s="40"/>
      <c r="O564" s="40"/>
      <c r="P564" s="40"/>
      <c r="Q564" s="40"/>
      <c r="R564" s="99"/>
    </row>
    <row r="565" spans="1:18" x14ac:dyDescent="0.25">
      <c r="A565" s="153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71"/>
      <c r="M565" s="40"/>
      <c r="N565" s="40"/>
      <c r="O565" s="40"/>
      <c r="P565" s="40"/>
      <c r="Q565" s="40"/>
      <c r="R565" s="99"/>
    </row>
    <row r="566" spans="1:18" x14ac:dyDescent="0.25">
      <c r="A566" s="153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71"/>
      <c r="M566" s="40"/>
      <c r="N566" s="40"/>
      <c r="O566" s="40"/>
      <c r="P566" s="40"/>
      <c r="Q566" s="40"/>
      <c r="R566" s="99"/>
    </row>
    <row r="567" spans="1:18" x14ac:dyDescent="0.25">
      <c r="A567" s="153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71"/>
      <c r="M567" s="40"/>
      <c r="N567" s="40"/>
      <c r="O567" s="40"/>
      <c r="P567" s="40"/>
      <c r="Q567" s="40"/>
      <c r="R567" s="99"/>
    </row>
    <row r="568" spans="1:18" x14ac:dyDescent="0.25">
      <c r="A568" s="153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71"/>
      <c r="M568" s="40"/>
      <c r="N568" s="40"/>
      <c r="O568" s="40"/>
      <c r="P568" s="40"/>
      <c r="Q568" s="40"/>
      <c r="R568" s="99"/>
    </row>
    <row r="569" spans="1:18" x14ac:dyDescent="0.25">
      <c r="A569" s="153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71"/>
      <c r="M569" s="40"/>
      <c r="N569" s="40"/>
      <c r="O569" s="40"/>
      <c r="P569" s="40"/>
      <c r="Q569" s="40"/>
      <c r="R569" s="99"/>
    </row>
    <row r="570" spans="1:18" x14ac:dyDescent="0.25">
      <c r="A570" s="153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71"/>
      <c r="M570" s="40"/>
      <c r="N570" s="40"/>
      <c r="O570" s="40"/>
      <c r="P570" s="40"/>
      <c r="Q570" s="40"/>
      <c r="R570" s="99"/>
    </row>
    <row r="571" spans="1:18" x14ac:dyDescent="0.25">
      <c r="A571" s="153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71"/>
      <c r="M571" s="40"/>
      <c r="N571" s="40"/>
      <c r="O571" s="40"/>
      <c r="P571" s="40"/>
      <c r="Q571" s="40"/>
      <c r="R571" s="99"/>
    </row>
    <row r="572" spans="1:18" x14ac:dyDescent="0.25">
      <c r="A572" s="153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71"/>
      <c r="M572" s="40"/>
      <c r="N572" s="40"/>
      <c r="O572" s="40"/>
      <c r="P572" s="40"/>
      <c r="Q572" s="40"/>
      <c r="R572" s="99"/>
    </row>
    <row r="573" spans="1:18" x14ac:dyDescent="0.25">
      <c r="A573" s="153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71"/>
      <c r="M573" s="40"/>
      <c r="N573" s="40"/>
      <c r="O573" s="40"/>
      <c r="P573" s="40"/>
      <c r="Q573" s="40"/>
      <c r="R573" s="99"/>
    </row>
    <row r="574" spans="1:18" x14ac:dyDescent="0.25">
      <c r="A574" s="153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71"/>
      <c r="M574" s="40"/>
      <c r="N574" s="40"/>
      <c r="O574" s="40"/>
      <c r="P574" s="40"/>
      <c r="Q574" s="40"/>
      <c r="R574" s="99"/>
    </row>
    <row r="575" spans="1:18" x14ac:dyDescent="0.25">
      <c r="A575" s="153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71"/>
      <c r="M575" s="40"/>
      <c r="N575" s="40"/>
      <c r="O575" s="40"/>
      <c r="P575" s="40"/>
      <c r="Q575" s="40"/>
      <c r="R575" s="99"/>
    </row>
    <row r="576" spans="1:18" x14ac:dyDescent="0.25">
      <c r="A576" s="153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71"/>
      <c r="M576" s="40"/>
      <c r="N576" s="40"/>
      <c r="O576" s="40"/>
      <c r="P576" s="40"/>
      <c r="Q576" s="40"/>
      <c r="R576" s="99"/>
    </row>
    <row r="577" spans="1:18" x14ac:dyDescent="0.25">
      <c r="A577" s="153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71"/>
      <c r="M577" s="40"/>
      <c r="N577" s="40"/>
      <c r="O577" s="40"/>
      <c r="P577" s="40"/>
      <c r="Q577" s="40"/>
      <c r="R577" s="99"/>
    </row>
    <row r="578" spans="1:18" x14ac:dyDescent="0.25">
      <c r="A578" s="153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71"/>
      <c r="M578" s="40"/>
      <c r="N578" s="40"/>
      <c r="O578" s="40"/>
      <c r="P578" s="40"/>
      <c r="Q578" s="40"/>
      <c r="R578" s="99"/>
    </row>
    <row r="579" spans="1:18" x14ac:dyDescent="0.25">
      <c r="A579" s="153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71"/>
      <c r="M579" s="40"/>
      <c r="N579" s="40"/>
      <c r="O579" s="40"/>
      <c r="P579" s="40"/>
      <c r="Q579" s="40"/>
      <c r="R579" s="99"/>
    </row>
    <row r="580" spans="1:18" x14ac:dyDescent="0.25">
      <c r="A580" s="153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71"/>
      <c r="M580" s="40"/>
      <c r="N580" s="40"/>
      <c r="O580" s="40"/>
      <c r="P580" s="40"/>
      <c r="Q580" s="40"/>
      <c r="R580" s="99"/>
    </row>
    <row r="581" spans="1:18" x14ac:dyDescent="0.25">
      <c r="A581" s="153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71"/>
      <c r="M581" s="40"/>
      <c r="N581" s="40"/>
      <c r="O581" s="40"/>
      <c r="P581" s="40"/>
      <c r="Q581" s="40"/>
      <c r="R581" s="99"/>
    </row>
    <row r="582" spans="1:18" x14ac:dyDescent="0.25">
      <c r="A582" s="153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71"/>
      <c r="M582" s="40"/>
      <c r="N582" s="40"/>
      <c r="O582" s="40"/>
      <c r="P582" s="40"/>
      <c r="Q582" s="40"/>
      <c r="R582" s="99"/>
    </row>
    <row r="583" spans="1:18" x14ac:dyDescent="0.25">
      <c r="A583" s="153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71"/>
      <c r="M583" s="40"/>
      <c r="N583" s="40"/>
      <c r="O583" s="40"/>
      <c r="P583" s="40"/>
      <c r="Q583" s="40"/>
      <c r="R583" s="99"/>
    </row>
    <row r="584" spans="1:18" x14ac:dyDescent="0.25">
      <c r="A584" s="153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71"/>
      <c r="M584" s="40"/>
      <c r="N584" s="40"/>
      <c r="O584" s="40"/>
      <c r="P584" s="40"/>
      <c r="Q584" s="40"/>
      <c r="R584" s="99"/>
    </row>
    <row r="585" spans="1:18" x14ac:dyDescent="0.25">
      <c r="A585" s="153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71"/>
      <c r="M585" s="40"/>
      <c r="N585" s="40"/>
      <c r="O585" s="40"/>
      <c r="P585" s="40"/>
      <c r="Q585" s="40"/>
      <c r="R585" s="99"/>
    </row>
    <row r="586" spans="1:18" x14ac:dyDescent="0.25">
      <c r="A586" s="153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71"/>
      <c r="M586" s="40"/>
      <c r="N586" s="40"/>
      <c r="O586" s="40"/>
      <c r="P586" s="40"/>
      <c r="Q586" s="40"/>
      <c r="R586" s="99"/>
    </row>
    <row r="587" spans="1:18" x14ac:dyDescent="0.25">
      <c r="A587" s="153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71"/>
      <c r="M587" s="40"/>
      <c r="N587" s="40"/>
      <c r="O587" s="40"/>
      <c r="P587" s="40"/>
      <c r="Q587" s="40"/>
      <c r="R587" s="99"/>
    </row>
  </sheetData>
  <mergeCells count="197">
    <mergeCell ref="A40:A41"/>
    <mergeCell ref="M65:N65"/>
    <mergeCell ref="G63:I63"/>
    <mergeCell ref="M39:N39"/>
    <mergeCell ref="M27:N27"/>
    <mergeCell ref="B40:B41"/>
    <mergeCell ref="G39:I39"/>
    <mergeCell ref="G42:L42"/>
    <mergeCell ref="M44:N44"/>
    <mergeCell ref="M35:N35"/>
    <mergeCell ref="G35:I35"/>
    <mergeCell ref="A28:A29"/>
    <mergeCell ref="B28:B29"/>
    <mergeCell ref="G49:I49"/>
    <mergeCell ref="G50:L50"/>
    <mergeCell ref="M57:N57"/>
    <mergeCell ref="G47:I47"/>
    <mergeCell ref="G57:I57"/>
    <mergeCell ref="A50:A51"/>
    <mergeCell ref="B50:B51"/>
    <mergeCell ref="G65:I65"/>
    <mergeCell ref="G44:I44"/>
    <mergeCell ref="M47:N47"/>
    <mergeCell ref="M49:N49"/>
    <mergeCell ref="A2:A5"/>
    <mergeCell ref="M37:N37"/>
    <mergeCell ref="G28:L28"/>
    <mergeCell ref="G25:I25"/>
    <mergeCell ref="B16:B17"/>
    <mergeCell ref="M13:N13"/>
    <mergeCell ref="G33:I33"/>
    <mergeCell ref="G37:I37"/>
    <mergeCell ref="G27:I27"/>
    <mergeCell ref="G2:L2"/>
    <mergeCell ref="G3:L4"/>
    <mergeCell ref="G13:I13"/>
    <mergeCell ref="G15:I15"/>
    <mergeCell ref="G16:L16"/>
    <mergeCell ref="G31:I31"/>
    <mergeCell ref="G20:I20"/>
    <mergeCell ref="G9:I9"/>
    <mergeCell ref="G18:L18"/>
    <mergeCell ref="A16:A17"/>
    <mergeCell ref="M23:N23"/>
    <mergeCell ref="M33:N33"/>
    <mergeCell ref="M31:N31"/>
    <mergeCell ref="G21:L21"/>
    <mergeCell ref="A21:A22"/>
    <mergeCell ref="B21:B22"/>
    <mergeCell ref="G23:I23"/>
    <mergeCell ref="M3:Q4"/>
    <mergeCell ref="A243:Q243"/>
    <mergeCell ref="A227:Q227"/>
    <mergeCell ref="A198:Q198"/>
    <mergeCell ref="M121:N121"/>
    <mergeCell ref="G109:L109"/>
    <mergeCell ref="A151:Q151"/>
    <mergeCell ref="A210:Q210"/>
    <mergeCell ref="A185:Q185"/>
    <mergeCell ref="A242:Q242"/>
    <mergeCell ref="A211:Q211"/>
    <mergeCell ref="C109:C110"/>
    <mergeCell ref="D109:D110"/>
    <mergeCell ref="A184:Q184"/>
    <mergeCell ref="G66:L66"/>
    <mergeCell ref="G89:L89"/>
    <mergeCell ref="G108:I108"/>
    <mergeCell ref="G97:L97"/>
    <mergeCell ref="G121:I121"/>
    <mergeCell ref="A109:A110"/>
    <mergeCell ref="A152:Q152"/>
    <mergeCell ref="A172:Q172"/>
    <mergeCell ref="A168:Q168"/>
    <mergeCell ref="A167:Q167"/>
    <mergeCell ref="A156:Q156"/>
    <mergeCell ref="B87:B88"/>
    <mergeCell ref="A97:A98"/>
    <mergeCell ref="B97:B98"/>
    <mergeCell ref="G87:L87"/>
    <mergeCell ref="A147:Q147"/>
    <mergeCell ref="G91:L91"/>
    <mergeCell ref="M96:N96"/>
    <mergeCell ref="D97:D98"/>
    <mergeCell ref="E97:E98"/>
    <mergeCell ref="F97:F98"/>
    <mergeCell ref="A122:B122"/>
    <mergeCell ref="G95:I95"/>
    <mergeCell ref="C97:C98"/>
    <mergeCell ref="B109:B110"/>
    <mergeCell ref="B66:B67"/>
    <mergeCell ref="A77:A78"/>
    <mergeCell ref="C66:C67"/>
    <mergeCell ref="D66:D67"/>
    <mergeCell ref="E66:E67"/>
    <mergeCell ref="A87:A88"/>
    <mergeCell ref="A66:A67"/>
    <mergeCell ref="G76:I76"/>
    <mergeCell ref="C87:C88"/>
    <mergeCell ref="D87:D88"/>
    <mergeCell ref="E87:E88"/>
    <mergeCell ref="F87:F88"/>
    <mergeCell ref="G82:L82"/>
    <mergeCell ref="A1:W1"/>
    <mergeCell ref="R69:T69"/>
    <mergeCell ref="R72:T72"/>
    <mergeCell ref="E50:E51"/>
    <mergeCell ref="F50:F51"/>
    <mergeCell ref="F66:F67"/>
    <mergeCell ref="R57:T57"/>
    <mergeCell ref="R16:W16"/>
    <mergeCell ref="R20:T20"/>
    <mergeCell ref="R21:W21"/>
    <mergeCell ref="R23:T23"/>
    <mergeCell ref="R25:T25"/>
    <mergeCell ref="R27:T27"/>
    <mergeCell ref="M25:N25"/>
    <mergeCell ref="M20:N20"/>
    <mergeCell ref="C50:C51"/>
    <mergeCell ref="D50:D51"/>
    <mergeCell ref="R15:T15"/>
    <mergeCell ref="R35:T35"/>
    <mergeCell ref="R37:T37"/>
    <mergeCell ref="R39:T39"/>
    <mergeCell ref="R40:W40"/>
    <mergeCell ref="R28:W28"/>
    <mergeCell ref="R31:T31"/>
    <mergeCell ref="B2:F5"/>
    <mergeCell ref="B6:F6"/>
    <mergeCell ref="R49:T49"/>
    <mergeCell ref="R50:W50"/>
    <mergeCell ref="R55:T55"/>
    <mergeCell ref="C77:C78"/>
    <mergeCell ref="D77:D78"/>
    <mergeCell ref="E77:E78"/>
    <mergeCell ref="R44:T44"/>
    <mergeCell ref="R47:T47"/>
    <mergeCell ref="R33:T33"/>
    <mergeCell ref="B77:B78"/>
    <mergeCell ref="R2:W2"/>
    <mergeCell ref="R3:W4"/>
    <mergeCell ref="R9:T9"/>
    <mergeCell ref="R11:T11"/>
    <mergeCell ref="R13:T13"/>
    <mergeCell ref="G40:L40"/>
    <mergeCell ref="M76:N76"/>
    <mergeCell ref="M2:Q2"/>
    <mergeCell ref="G11:I11"/>
    <mergeCell ref="M11:N11"/>
    <mergeCell ref="M15:N15"/>
    <mergeCell ref="M9:N9"/>
    <mergeCell ref="R121:T121"/>
    <mergeCell ref="R97:W97"/>
    <mergeCell ref="R96:T96"/>
    <mergeCell ref="G113:L113"/>
    <mergeCell ref="G101:L101"/>
    <mergeCell ref="G115:L115"/>
    <mergeCell ref="R89:W89"/>
    <mergeCell ref="R76:T76"/>
    <mergeCell ref="R77:W77"/>
    <mergeCell ref="G117:L117"/>
    <mergeCell ref="G120:I120"/>
    <mergeCell ref="R113:W113"/>
    <mergeCell ref="G80:L80"/>
    <mergeCell ref="G86:I86"/>
    <mergeCell ref="G77:L77"/>
    <mergeCell ref="R66:W66"/>
    <mergeCell ref="F77:F78"/>
    <mergeCell ref="E109:E110"/>
    <mergeCell ref="F109:F110"/>
    <mergeCell ref="G96:I96"/>
    <mergeCell ref="R109:W109"/>
    <mergeCell ref="R108:T108"/>
    <mergeCell ref="M86:N86"/>
    <mergeCell ref="R86:T86"/>
    <mergeCell ref="M108:N108"/>
    <mergeCell ref="G93:L93"/>
    <mergeCell ref="R87:W87"/>
    <mergeCell ref="R80:W80"/>
    <mergeCell ref="G99:L99"/>
    <mergeCell ref="R82:W82"/>
    <mergeCell ref="M69:N69"/>
    <mergeCell ref="M72:N72"/>
    <mergeCell ref="G72:I72"/>
    <mergeCell ref="G73:L73"/>
    <mergeCell ref="G74:I74"/>
    <mergeCell ref="G69:I69"/>
    <mergeCell ref="R59:T59"/>
    <mergeCell ref="R61:T61"/>
    <mergeCell ref="R65:T65"/>
    <mergeCell ref="R63:T63"/>
    <mergeCell ref="M61:N61"/>
    <mergeCell ref="M63:N63"/>
    <mergeCell ref="M55:N55"/>
    <mergeCell ref="G55:I55"/>
    <mergeCell ref="M59:N59"/>
    <mergeCell ref="G61:I61"/>
    <mergeCell ref="G59:I5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ЦП - общая форма</vt:lpstr>
      <vt:lpstr>Интерактивная карта</vt:lpstr>
      <vt:lpstr>СводТекДефицитЗима</vt:lpstr>
      <vt:lpstr>СводТекущийДефицитФевраль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2013-01-31T12:01:48Z</cp:lastPrinted>
  <dcterms:created xsi:type="dcterms:W3CDTF">2008-10-03T08:18:33Z</dcterms:created>
  <dcterms:modified xsi:type="dcterms:W3CDTF">2013-03-07T06:56:35Z</dcterms:modified>
</cp:coreProperties>
</file>