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2240" activeTab="0"/>
  </bookViews>
  <sheets>
    <sheet name="Bryansk" sheetId="1" r:id="rId1"/>
  </sheets>
  <definedNames>
    <definedName name="_xlnm._FilterDatabase" localSheetId="0" hidden="1">'Bryansk'!$A$6:$Z$6</definedName>
  </definedNames>
  <calcPr fullCalcOnLoad="1"/>
</workbook>
</file>

<file path=xl/sharedStrings.xml><?xml version="1.0" encoding="utf-8"?>
<sst xmlns="http://schemas.openxmlformats.org/spreadsheetml/2006/main" count="1126" uniqueCount="207">
  <si>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</si>
  <si>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</si>
  <si>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</si>
  <si>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</si>
  <si>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</si>
  <si>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</si>
  <si>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</si>
  <si>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</si>
  <si>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</si>
  <si>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</si>
  <si>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</si>
  <si>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</si>
  <si>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</si>
  <si>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</si>
  <si>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</si>
  <si>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</si>
  <si>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</si>
  <si>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</si>
  <si>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</si>
  <si>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</si>
  <si>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</si>
  <si>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</si>
  <si>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</si>
  <si>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</si>
  <si>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</si>
  <si>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</si>
  <si>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</si>
  <si>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</si>
  <si>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3 час</t>
  </si>
  <si>
    <t>6 час</t>
  </si>
  <si>
    <t>40+31,5+40</t>
  </si>
  <si>
    <t>16+16+25+40</t>
  </si>
  <si>
    <t>12 час</t>
  </si>
  <si>
    <t>40+63</t>
  </si>
  <si>
    <t>table 1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</si>
  <si>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</si>
  <si>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</si>
  <si>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</si>
  <si>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</si>
  <si>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</si>
  <si>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</si>
  <si>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</si>
  <si>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</si>
  <si>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</si>
  <si>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</si>
  <si>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</si>
  <si>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MVA</t>
  </si>
  <si>
    <t>Min</t>
  </si>
  <si>
    <t>SS 110/10 kV Lopandino</t>
  </si>
  <si>
    <t>SS 110/35/10 kV Nerussa</t>
  </si>
  <si>
    <t xml:space="preserve">Nom. capacity MV, MVA </t>
  </si>
  <si>
    <t xml:space="preserve">Nom. capacity LV, MVA </t>
  </si>
  <si>
    <t>SS 110/6 kV Svenskaya</t>
  </si>
  <si>
    <t>SS 110/10 kV Khmelevskaya</t>
  </si>
  <si>
    <t>SS 110/6 kV Energoremont</t>
  </si>
  <si>
    <t>SS 110/6 kV Naytopovichi 8NA</t>
  </si>
  <si>
    <t>SS 110/10  kV Glybochka</t>
  </si>
  <si>
    <t>SS 110/10 kV Desyatukha</t>
  </si>
  <si>
    <t>SS 110/35/10 kV Ivaytenki</t>
  </si>
  <si>
    <t>SS 110/35/10 kV Lugovaya</t>
  </si>
  <si>
    <t>SS 110/35/10  kV Plyuskovo</t>
  </si>
  <si>
    <t>SS 35/10 kV Aleshinskaya</t>
  </si>
  <si>
    <t>SS 35/10 kV Altukhovskaya</t>
  </si>
  <si>
    <t>SS 35/10 kV Domashovo</t>
  </si>
  <si>
    <t>SS 35/6 kV Dronovskaya</t>
  </si>
  <si>
    <t>SS 35/10 kV Kokorevskaya</t>
  </si>
  <si>
    <t>SS 35/6 kV Malopolpinskaya</t>
  </si>
  <si>
    <t xml:space="preserve">SS 35/10  kV Morachevskaya </t>
  </si>
  <si>
    <t>SS 35/10  kV Saltanovskaya</t>
  </si>
  <si>
    <t>SS 35/10  kV Svetovo</t>
  </si>
  <si>
    <t xml:space="preserve">SS 35/10 kV Seshcha </t>
  </si>
  <si>
    <t>SS 35/10 kV Sovkhoznaya</t>
  </si>
  <si>
    <t>SS 35/10 kV Strachevskaya</t>
  </si>
  <si>
    <t>SS 35/10 kV Strashevichi</t>
  </si>
  <si>
    <t>SS 35/10 kV Usozhskaya</t>
  </si>
  <si>
    <t>SS 35/10 kV Kharinovskaya</t>
  </si>
  <si>
    <t>SS 35/10 kV Kharitonovskaya</t>
  </si>
  <si>
    <t>SS 35/10 kV Divovka</t>
  </si>
  <si>
    <t>SS 35/10 kV  Molodkovo</t>
  </si>
  <si>
    <t>SS 35/10 kV Papsuevskaya</t>
  </si>
  <si>
    <t>SS 35/10 kV Radutinskaya</t>
  </si>
  <si>
    <t>SS 35/6 kV Ushchepye</t>
  </si>
  <si>
    <t>SS 35/10 kV Ushchepye</t>
  </si>
  <si>
    <t>SS 35/10 kV Yakovskaya</t>
  </si>
  <si>
    <t>SS 110/35/6 kV Aksinino</t>
  </si>
  <si>
    <t>SS 110/10 kV Airport</t>
  </si>
  <si>
    <t>SS 110/6 kV Bezhitskaya</t>
  </si>
  <si>
    <t>SS 110/6 kV Water intake</t>
  </si>
  <si>
    <t>SS 110/6 kV Gorodishchenskaya</t>
  </si>
  <si>
    <t>SS 110/10  kV Dobrunskaya</t>
  </si>
  <si>
    <t>SS 110/35/6  kV Dormashevskaya</t>
  </si>
  <si>
    <t>Nom. capacity MV, MVA</t>
  </si>
  <si>
    <t>Nom. capacity LV, MVA</t>
  </si>
  <si>
    <t>SS 110/35/10 kV Dubrovskaya</t>
  </si>
  <si>
    <t>SS 110/35/6 kV Dyadkovkskaya</t>
  </si>
  <si>
    <t>SS 110/35/10 kV Zhukovskaya</t>
  </si>
  <si>
    <t>SS 110/6 kV Zarechnaya</t>
  </si>
  <si>
    <t>SS 110/35/6 kV Ivotskaya</t>
  </si>
  <si>
    <t>SS 110/6 kV Kamvolnaya</t>
  </si>
  <si>
    <t>SS 110/6 kV Karachevskaya</t>
  </si>
  <si>
    <t>SS 110/6 kV  Karachizhskaya</t>
  </si>
  <si>
    <t>SS 110/35/10 kV Kletnyanskaya</t>
  </si>
  <si>
    <t>SS 110/35/10 kV Komarichi</t>
  </si>
  <si>
    <t>SS 110/10 kV Letoshniki</t>
  </si>
  <si>
    <t>SS 110/6 kV Mamonovskaya</t>
  </si>
  <si>
    <t>SS 110/35/10 kV Maritskaya</t>
  </si>
  <si>
    <t>SS 110/6 kV Michurinskaya</t>
  </si>
  <si>
    <t>SS 110/10 kV Molotinskaya</t>
  </si>
  <si>
    <t>SS 110/10 kV Polpinskaya</t>
  </si>
  <si>
    <t>SS 110/6 kV Sovetskaya</t>
  </si>
  <si>
    <t>SS 110/6 kV Staleliteynaya</t>
  </si>
  <si>
    <t>SS 110/10 kV Teplichnaya</t>
  </si>
  <si>
    <t>SS 110/6 kV Uritskaya</t>
  </si>
  <si>
    <t>SS 110/35/10 kV Tsentralnaya</t>
  </si>
  <si>
    <t>SS 110/6 kV Yuzhnaya</t>
  </si>
  <si>
    <t>SS 110/10 kV Bobovichi</t>
  </si>
  <si>
    <t>SS 110/6 kV Belaya Berezka</t>
  </si>
  <si>
    <t>SS 110/10 kV Valuets</t>
  </si>
  <si>
    <t>SS 110/35/6 kV Vodoochistnaya</t>
  </si>
  <si>
    <t>SS 110/6 kV Vysokoe</t>
  </si>
  <si>
    <t>SS 110/10 kV Zalineynaya</t>
  </si>
  <si>
    <t>SS 110/6 kV Zapadnaya</t>
  </si>
  <si>
    <t>SS 110/35/10 kV Klimovo</t>
  </si>
  <si>
    <t>SS 110/35/6 kV Kozhany</t>
  </si>
  <si>
    <t>SS 110/10 kV Krasny Rog</t>
  </si>
  <si>
    <t>SS 110/35/10 kV Pogar</t>
  </si>
  <si>
    <t>SS 110/35/10 kV Pochepskaya</t>
  </si>
  <si>
    <t>SS 110/10 kV Semyachki</t>
  </si>
  <si>
    <t>SS 110/35/10 kV Starodub</t>
  </si>
  <si>
    <t>SS 110/10 kV Staroselye</t>
  </si>
  <si>
    <t>SS 110/35/6 kV Surazh</t>
  </si>
  <si>
    <t>SS 110/10 kV Trubchevsk</t>
  </si>
  <si>
    <t>SS 110/10 kV Shelomy</t>
  </si>
  <si>
    <t>SS 110/35/6 kV Yubileynaya</t>
  </si>
  <si>
    <t>SS 35/6 kV Beloberezhskaya</t>
  </si>
  <si>
    <t>SS 35/10 kV Brasovskaya</t>
  </si>
  <si>
    <t>SS 35/10 kV Bulshevskaya</t>
  </si>
  <si>
    <t>SS 35/6 kV Bytosh</t>
  </si>
  <si>
    <t>SS 35/6 kV Velyaminovskaya</t>
  </si>
  <si>
    <t>SS 35/6 kV Vetma</t>
  </si>
  <si>
    <t>SS 35/6 kV Volodarskaya</t>
  </si>
  <si>
    <t>SS 35/10 kV Glodnevskaya</t>
  </si>
  <si>
    <t>SS 35/6 kV Gorodskaya</t>
  </si>
  <si>
    <t>SS 35/10 kV Grishina Sloboda</t>
  </si>
  <si>
    <t>SS 35/10 kV Dobrovodye</t>
  </si>
  <si>
    <t>SS 35/10 kV Zhiryatinskaya</t>
  </si>
  <si>
    <t>SS 35/10 kV Igritskaya</t>
  </si>
  <si>
    <t>SS 35/10 kV Kasilovskaya</t>
  </si>
  <si>
    <t>SS 35/10 kV Kositskaya</t>
  </si>
  <si>
    <t>SS 35/10 kV Krupets</t>
  </si>
  <si>
    <t>SS 35/10 kV Luna</t>
  </si>
  <si>
    <t>SS 35/6 kV Lyubokhna</t>
  </si>
  <si>
    <t>SS 35/10 kV Mareevskaya</t>
  </si>
  <si>
    <t>SS 35/10 kV Nevdolsk</t>
  </si>
  <si>
    <t>SS 35/10 kV Norinskaya</t>
  </si>
  <si>
    <t>SS 35/6 kV Paltso</t>
  </si>
  <si>
    <t>SS 35/6 kV Pobeda</t>
  </si>
  <si>
    <t>SS 35/10 kV Pogreby</t>
  </si>
  <si>
    <t>SS 35/10 kV Privolskaya</t>
  </si>
  <si>
    <t>SS 35/10 kV Rzhanitskaya</t>
  </si>
  <si>
    <t>SS 35/10 kV Rognedinskaya</t>
  </si>
  <si>
    <t>SS 35/10,5 kV Ruzhnenskaya</t>
  </si>
  <si>
    <t>SS 35/10 kV Sevskaya</t>
  </si>
  <si>
    <t>SS 35/6 kc Seshcha</t>
  </si>
  <si>
    <t>SS 35/6 kV Star</t>
  </si>
  <si>
    <t>SS 35/10 kV Teplovskaya</t>
  </si>
  <si>
    <t>SS 35/10 kV Fedorovskaya</t>
  </si>
  <si>
    <t>SS 35/6 kV Fokinskaya</t>
  </si>
  <si>
    <t>SS 35/6 kV Fosforitnaya</t>
  </si>
  <si>
    <t>SS 35/10 kV Khvoshchevskaya</t>
  </si>
  <si>
    <t>SS 35/10 kV Abarinskaya</t>
  </si>
  <si>
    <t>SS 35/10 kV Andreykovichi</t>
  </si>
  <si>
    <t>SS 35/10 kV Borshchevo</t>
  </si>
  <si>
    <t>SS 35/10 kV Vlazovichi</t>
  </si>
  <si>
    <t>SS 35/6 kV Water intake</t>
  </si>
  <si>
    <t>SS 35/10 kV Voronok</t>
  </si>
  <si>
    <t>SS 35/10 kV Gordeevka</t>
  </si>
  <si>
    <t>SS 35/10 kV Gridenki</t>
  </si>
  <si>
    <t>SS 35/10 kV Zavodskaya</t>
  </si>
  <si>
    <t>SS 35/10 kV Istopki</t>
  </si>
  <si>
    <t>SS 35/10 kV Katashin</t>
  </si>
  <si>
    <t>SS 35/10 kV Kivay</t>
  </si>
  <si>
    <t>SS 35/10 kV Krutoyar</t>
  </si>
  <si>
    <t>SS 35/10 kV Logovatoe</t>
  </si>
  <si>
    <t>SS 35/10 kV Lopazna</t>
  </si>
  <si>
    <t>SS 35/10 kV Mglinskaya</t>
  </si>
  <si>
    <t>SS 35/10 kV Mishkovka</t>
  </si>
  <si>
    <t>SS 35/10 kV Novo-Drokov</t>
  </si>
  <si>
    <t>SS 35/10 kV Putevaya</t>
  </si>
  <si>
    <t>SS 35/10 kV Selishchanskaya</t>
  </si>
  <si>
    <t>SS 35/10 kV Slava</t>
  </si>
  <si>
    <t>SS 35/10 kV Smolevichi</t>
  </si>
  <si>
    <t>SS 35/10 kV Solovyevka</t>
  </si>
  <si>
    <t>SS 35/10 kV Sytaya Buda</t>
  </si>
  <si>
    <t>SS 35/6 kV Tembr</t>
  </si>
  <si>
    <t>SS 35/10 kV Churovichi</t>
  </si>
  <si>
    <t>SS 35/10 kV Shcherbinichi</t>
  </si>
  <si>
    <t>Total:</t>
  </si>
  <si>
    <t>deficit</t>
  </si>
  <si>
    <t>proficit</t>
  </si>
  <si>
    <t>1 day and night</t>
  </si>
  <si>
    <t>available</t>
  </si>
  <si>
    <t>unavailable</t>
  </si>
  <si>
    <t>table 2</t>
  </si>
  <si>
    <t>Expected deficit/proficit</t>
  </si>
  <si>
    <t>Additional capacity according to provided technical specifications at TS, MVA</t>
  </si>
  <si>
    <t>Expected load of Supply Center, MVA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</si>
</sst>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i/>
      <sz val="8"/>
      <color indexed="8"/>
      <name val="Arial"/>
      <family val="2"/>
    </font>
    <font>
      <i/>
      <sz val="8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165" fontId="46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165" fontId="46" fillId="33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6" fillId="0" borderId="14" xfId="0" applyFont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35" borderId="1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2" fontId="7" fillId="34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Alignment="1">
      <alignment/>
    </xf>
    <xf numFmtId="164" fontId="46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 wrapText="1"/>
    </xf>
    <xf numFmtId="165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164" fontId="46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164" fontId="45" fillId="0" borderId="0" xfId="0" applyNumberFormat="1" applyFont="1" applyAlignment="1">
      <alignment/>
    </xf>
    <xf numFmtId="166" fontId="46" fillId="33" borderId="10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164" fontId="3" fillId="33" borderId="15" xfId="0" applyNumberFormat="1" applyFont="1" applyFill="1" applyBorder="1" applyAlignment="1">
      <alignment horizontal="center" vertical="center" wrapText="1"/>
    </xf>
    <xf numFmtId="164" fontId="11" fillId="33" borderId="11" xfId="0" applyNumberFormat="1" applyFont="1" applyFill="1" applyBorder="1" applyAlignment="1">
      <alignment/>
    </xf>
    <xf numFmtId="164" fontId="11" fillId="33" borderId="14" xfId="0" applyNumberFormat="1" applyFont="1" applyFill="1" applyBorder="1" applyAlignment="1">
      <alignment/>
    </xf>
    <xf numFmtId="0" fontId="7" fillId="36" borderId="15" xfId="0" applyFont="1" applyFill="1" applyBorder="1" applyAlignment="1">
      <alignment horizontal="center" vertical="center" wrapText="1"/>
    </xf>
    <xf numFmtId="0" fontId="36" fillId="36" borderId="11" xfId="0" applyFont="1" applyFill="1" applyBorder="1" applyAlignment="1">
      <alignment/>
    </xf>
    <xf numFmtId="0" fontId="36" fillId="36" borderId="14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="90" zoomScaleNormal="90" zoomScalePageLayoutView="0" workbookViewId="0" topLeftCell="F1">
      <pane ySplit="5" topLeftCell="A6" activePane="bottomLeft" state="frozen"/>
      <selection pane="topLeft" activeCell="A1" sqref="A1"/>
      <selection pane="bottomLeft" activeCell="K8" sqref="K8:K10"/>
    </sheetView>
  </sheetViews>
  <sheetFormatPr defaultColWidth="9.140625" defaultRowHeight="15"/>
  <cols>
    <col min="1" max="1" width="6.00390625" style="51" customWidth="1"/>
    <col min="2" max="2" width="15.00390625" style="0" customWidth="1"/>
    <col min="3" max="3" width="9.140625" style="51" customWidth="1"/>
    <col min="13" max="13" width="2.7109375" style="0" customWidth="1"/>
    <col min="14" max="14" width="5.140625" style="0" customWidth="1"/>
    <col min="15" max="15" width="12.7109375" style="0" customWidth="1"/>
    <col min="17" max="17" width="7.28125" style="0" customWidth="1"/>
  </cols>
  <sheetData>
    <row r="1" spans="1:25" s="1" customFormat="1" ht="11.25">
      <c r="A1" s="59"/>
      <c r="C1" s="59"/>
      <c r="J1" s="126"/>
      <c r="K1" s="126"/>
      <c r="L1" s="42"/>
      <c r="M1" s="42"/>
      <c r="N1" s="42"/>
      <c r="X1" s="126"/>
      <c r="Y1" s="126"/>
    </row>
    <row r="2" spans="1:25" s="1" customFormat="1" ht="11.25">
      <c r="A2" s="59"/>
      <c r="C2" s="59"/>
      <c r="J2" s="127" t="s">
        <v>34</v>
      </c>
      <c r="K2" s="127"/>
      <c r="L2" s="42"/>
      <c r="M2" s="42"/>
      <c r="N2" s="42"/>
      <c r="X2" s="127" t="s">
        <v>203</v>
      </c>
      <c r="Y2" s="127"/>
    </row>
    <row r="3" spans="1:26" s="1" customFormat="1" ht="15" customHeight="1">
      <c r="A3" s="114" t="s">
        <v>35</v>
      </c>
      <c r="B3" s="110" t="s">
        <v>36</v>
      </c>
      <c r="C3" s="112" t="s">
        <v>37</v>
      </c>
      <c r="D3" s="118"/>
      <c r="E3" s="118"/>
      <c r="F3" s="118"/>
      <c r="G3" s="118"/>
      <c r="H3" s="118"/>
      <c r="I3" s="118"/>
      <c r="J3" s="118"/>
      <c r="K3" s="113"/>
      <c r="L3" s="137" t="s">
        <v>38</v>
      </c>
      <c r="M3" s="41"/>
      <c r="N3" s="140" t="s">
        <v>35</v>
      </c>
      <c r="O3" s="110" t="s">
        <v>36</v>
      </c>
      <c r="P3" s="112" t="s">
        <v>204</v>
      </c>
      <c r="Q3" s="118"/>
      <c r="R3" s="118"/>
      <c r="S3" s="118"/>
      <c r="T3" s="118"/>
      <c r="U3" s="118"/>
      <c r="V3" s="118"/>
      <c r="W3" s="118"/>
      <c r="X3" s="118"/>
      <c r="Y3" s="113"/>
      <c r="Z3" s="137" t="s">
        <v>38</v>
      </c>
    </row>
    <row r="4" spans="1:26" s="1" customFormat="1" ht="15" customHeight="1">
      <c r="A4" s="115"/>
      <c r="B4" s="117"/>
      <c r="C4" s="119" t="s">
        <v>39</v>
      </c>
      <c r="D4" s="110" t="s">
        <v>40</v>
      </c>
      <c r="E4" s="112" t="s">
        <v>41</v>
      </c>
      <c r="F4" s="113"/>
      <c r="G4" s="110" t="s">
        <v>42</v>
      </c>
      <c r="H4" s="110" t="s">
        <v>43</v>
      </c>
      <c r="I4" s="110" t="s">
        <v>44</v>
      </c>
      <c r="J4" s="128" t="s">
        <v>45</v>
      </c>
      <c r="K4" s="129"/>
      <c r="L4" s="138"/>
      <c r="M4" s="41"/>
      <c r="N4" s="141"/>
      <c r="O4" s="117"/>
      <c r="P4" s="110" t="s">
        <v>39</v>
      </c>
      <c r="Q4" s="110" t="s">
        <v>205</v>
      </c>
      <c r="R4" s="110" t="s">
        <v>206</v>
      </c>
      <c r="S4" s="112" t="s">
        <v>41</v>
      </c>
      <c r="T4" s="113"/>
      <c r="U4" s="110" t="s">
        <v>42</v>
      </c>
      <c r="V4" s="110" t="s">
        <v>43</v>
      </c>
      <c r="W4" s="110" t="s">
        <v>44</v>
      </c>
      <c r="X4" s="128" t="s">
        <v>45</v>
      </c>
      <c r="Y4" s="129"/>
      <c r="Z4" s="138"/>
    </row>
    <row r="5" spans="1:26" s="1" customFormat="1" ht="64.5" customHeight="1">
      <c r="A5" s="116"/>
      <c r="B5" s="111"/>
      <c r="C5" s="120"/>
      <c r="D5" s="111" t="s">
        <v>40</v>
      </c>
      <c r="E5" s="80" t="s">
        <v>46</v>
      </c>
      <c r="F5" s="80" t="s">
        <v>47</v>
      </c>
      <c r="G5" s="111"/>
      <c r="H5" s="111"/>
      <c r="I5" s="111"/>
      <c r="J5" s="130"/>
      <c r="K5" s="131"/>
      <c r="L5" s="139"/>
      <c r="M5" s="41"/>
      <c r="N5" s="142"/>
      <c r="O5" s="111"/>
      <c r="P5" s="111"/>
      <c r="Q5" s="111"/>
      <c r="R5" s="111"/>
      <c r="S5" s="80" t="s">
        <v>46</v>
      </c>
      <c r="T5" s="80" t="s">
        <v>47</v>
      </c>
      <c r="U5" s="111"/>
      <c r="V5" s="111"/>
      <c r="W5" s="111"/>
      <c r="X5" s="130"/>
      <c r="Y5" s="131"/>
      <c r="Z5" s="139"/>
    </row>
    <row r="6" spans="1:26" s="1" customFormat="1" ht="11.25">
      <c r="A6" s="69">
        <v>1</v>
      </c>
      <c r="B6" s="38">
        <v>2</v>
      </c>
      <c r="C6" s="69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40">
        <v>12</v>
      </c>
      <c r="M6" s="39"/>
      <c r="N6" s="38">
        <v>1</v>
      </c>
      <c r="O6" s="38">
        <v>2</v>
      </c>
      <c r="P6" s="38">
        <v>3</v>
      </c>
      <c r="Q6" s="38">
        <v>4</v>
      </c>
      <c r="R6" s="38">
        <v>5</v>
      </c>
      <c r="S6" s="38">
        <v>6</v>
      </c>
      <c r="T6" s="38">
        <v>7</v>
      </c>
      <c r="U6" s="38">
        <v>8</v>
      </c>
      <c r="V6" s="38">
        <v>9</v>
      </c>
      <c r="W6" s="38">
        <v>10</v>
      </c>
      <c r="X6" s="38">
        <v>11</v>
      </c>
      <c r="Y6" s="38">
        <v>12</v>
      </c>
      <c r="Z6" s="37">
        <v>13</v>
      </c>
    </row>
    <row r="7" spans="1:26" s="1" customFormat="1" ht="22.5">
      <c r="A7" s="18">
        <v>1</v>
      </c>
      <c r="B7" s="18" t="s">
        <v>48</v>
      </c>
      <c r="C7" s="18">
        <v>6.3</v>
      </c>
      <c r="D7" s="46">
        <v>0.231</v>
      </c>
      <c r="E7" s="12">
        <v>1.2</v>
      </c>
      <c r="F7" s="12" t="s">
        <v>200</v>
      </c>
      <c r="G7" s="26">
        <f aca="true" t="shared" si="0" ref="G7:G25">D7-E7</f>
        <v>-0.969</v>
      </c>
      <c r="H7" s="12">
        <v>0</v>
      </c>
      <c r="I7" s="24">
        <f>1.05*6.3</f>
        <v>6.615</v>
      </c>
      <c r="J7" s="5">
        <f>I7-H7-G7</f>
        <v>7.5840000000000005</v>
      </c>
      <c r="K7" s="5">
        <f>J7</f>
        <v>7.5840000000000005</v>
      </c>
      <c r="L7" s="17" t="s">
        <v>201</v>
      </c>
      <c r="M7" s="16"/>
      <c r="N7" s="12">
        <v>1</v>
      </c>
      <c r="O7" s="12" t="s">
        <v>48</v>
      </c>
      <c r="P7" s="12">
        <v>6.3</v>
      </c>
      <c r="Q7" s="46">
        <v>0</v>
      </c>
      <c r="R7" s="46">
        <f>Q7+D7</f>
        <v>0.231</v>
      </c>
      <c r="S7" s="12">
        <v>1.2</v>
      </c>
      <c r="T7" s="12" t="s">
        <v>200</v>
      </c>
      <c r="U7" s="26">
        <f aca="true" t="shared" si="1" ref="U7:U25">R7-S7</f>
        <v>-0.969</v>
      </c>
      <c r="V7" s="12">
        <v>0</v>
      </c>
      <c r="W7" s="24">
        <f>1.05*6.3</f>
        <v>6.615</v>
      </c>
      <c r="X7" s="5">
        <f>W7-V7-U7</f>
        <v>7.5840000000000005</v>
      </c>
      <c r="Y7" s="5">
        <f>X7</f>
        <v>7.5840000000000005</v>
      </c>
      <c r="Z7" s="12" t="s">
        <v>201</v>
      </c>
    </row>
    <row r="8" spans="1:26" s="1" customFormat="1" ht="22.5">
      <c r="A8" s="85">
        <v>2</v>
      </c>
      <c r="B8" s="12" t="s">
        <v>49</v>
      </c>
      <c r="C8" s="56">
        <v>16</v>
      </c>
      <c r="D8" s="46">
        <f>D9+D10</f>
        <v>2.904</v>
      </c>
      <c r="E8" s="12">
        <f>E9+E10</f>
        <v>3.4</v>
      </c>
      <c r="F8" s="12" t="s">
        <v>200</v>
      </c>
      <c r="G8" s="26">
        <f t="shared" si="0"/>
        <v>-0.496</v>
      </c>
      <c r="H8" s="12">
        <v>0</v>
      </c>
      <c r="I8" s="24">
        <f>1.05*16</f>
        <v>16.8</v>
      </c>
      <c r="J8" s="5">
        <f>I8-H8-G8</f>
        <v>17.296</v>
      </c>
      <c r="K8" s="84">
        <f>MIN(J8:J10)</f>
        <v>14.787</v>
      </c>
      <c r="L8" s="81" t="s">
        <v>201</v>
      </c>
      <c r="M8" s="16"/>
      <c r="N8" s="81">
        <v>2</v>
      </c>
      <c r="O8" s="12" t="s">
        <v>49</v>
      </c>
      <c r="P8" s="15">
        <v>16</v>
      </c>
      <c r="Q8" s="65">
        <f>Q10</f>
        <v>0.0508</v>
      </c>
      <c r="R8" s="46">
        <f>Q8+D8</f>
        <v>2.9548</v>
      </c>
      <c r="S8" s="12">
        <f>S9+S10</f>
        <v>2.6</v>
      </c>
      <c r="T8" s="12" t="s">
        <v>200</v>
      </c>
      <c r="U8" s="26">
        <f t="shared" si="1"/>
        <v>0.3548</v>
      </c>
      <c r="V8" s="12">
        <v>0</v>
      </c>
      <c r="W8" s="24">
        <f>1.05*16</f>
        <v>16.8</v>
      </c>
      <c r="X8" s="5">
        <f>W8-V8-U8</f>
        <v>16.4452</v>
      </c>
      <c r="Y8" s="84">
        <f>MIN(X8:X10)</f>
        <v>14.787</v>
      </c>
      <c r="Z8" s="81" t="s">
        <v>201</v>
      </c>
    </row>
    <row r="9" spans="1:26" s="1" customFormat="1" ht="22.5" customHeight="1">
      <c r="A9" s="86"/>
      <c r="B9" s="27" t="s">
        <v>50</v>
      </c>
      <c r="C9" s="52">
        <v>16</v>
      </c>
      <c r="D9" s="47">
        <v>2.013</v>
      </c>
      <c r="E9" s="25">
        <v>1.5</v>
      </c>
      <c r="F9" s="12" t="s">
        <v>200</v>
      </c>
      <c r="G9" s="26">
        <f t="shared" si="0"/>
        <v>0.5129999999999999</v>
      </c>
      <c r="H9" s="25">
        <v>0</v>
      </c>
      <c r="I9" s="24">
        <f>1.05*16</f>
        <v>16.8</v>
      </c>
      <c r="J9" s="5">
        <f>I9-D9</f>
        <v>14.787</v>
      </c>
      <c r="K9" s="82"/>
      <c r="L9" s="106"/>
      <c r="M9" s="16"/>
      <c r="N9" s="106"/>
      <c r="O9" s="27" t="s">
        <v>50</v>
      </c>
      <c r="P9" s="28">
        <v>16</v>
      </c>
      <c r="Q9" s="64"/>
      <c r="R9" s="46">
        <f aca="true" t="shared" si="2" ref="R9:R71">Q9+D9</f>
        <v>2.013</v>
      </c>
      <c r="S9" s="25">
        <v>1.5</v>
      </c>
      <c r="T9" s="12" t="s">
        <v>200</v>
      </c>
      <c r="U9" s="26">
        <f t="shared" si="1"/>
        <v>0.5129999999999999</v>
      </c>
      <c r="V9" s="25">
        <v>0</v>
      </c>
      <c r="W9" s="24">
        <f>1.05*16</f>
        <v>16.8</v>
      </c>
      <c r="X9" s="5">
        <f>W9-R9</f>
        <v>14.787</v>
      </c>
      <c r="Y9" s="121"/>
      <c r="Z9" s="106"/>
    </row>
    <row r="10" spans="1:26" s="1" customFormat="1" ht="21.75" customHeight="1">
      <c r="A10" s="87"/>
      <c r="B10" s="27" t="s">
        <v>51</v>
      </c>
      <c r="C10" s="52">
        <v>16</v>
      </c>
      <c r="D10" s="47">
        <v>0.891</v>
      </c>
      <c r="E10" s="25">
        <v>1.9</v>
      </c>
      <c r="F10" s="12" t="s">
        <v>200</v>
      </c>
      <c r="G10" s="26">
        <f t="shared" si="0"/>
        <v>-1.009</v>
      </c>
      <c r="H10" s="25">
        <v>0</v>
      </c>
      <c r="I10" s="24">
        <f>1.05*16</f>
        <v>16.8</v>
      </c>
      <c r="J10" s="5">
        <f>I10-G10-H10</f>
        <v>17.809</v>
      </c>
      <c r="K10" s="83"/>
      <c r="L10" s="107"/>
      <c r="M10" s="16"/>
      <c r="N10" s="107"/>
      <c r="O10" s="27" t="s">
        <v>51</v>
      </c>
      <c r="P10" s="28">
        <v>16</v>
      </c>
      <c r="Q10" s="64">
        <f>0.051+0.003-0.0032</f>
        <v>0.0508</v>
      </c>
      <c r="R10" s="46">
        <f t="shared" si="2"/>
        <v>0.9418</v>
      </c>
      <c r="S10" s="25">
        <v>1.1</v>
      </c>
      <c r="T10" s="12" t="s">
        <v>200</v>
      </c>
      <c r="U10" s="26">
        <f t="shared" si="1"/>
        <v>-0.15820000000000012</v>
      </c>
      <c r="V10" s="25">
        <v>0</v>
      </c>
      <c r="W10" s="24">
        <f>1.05*16</f>
        <v>16.8</v>
      </c>
      <c r="X10" s="5">
        <f>W10-U10-V10</f>
        <v>16.9582</v>
      </c>
      <c r="Y10" s="122"/>
      <c r="Z10" s="107"/>
    </row>
    <row r="11" spans="1:26" s="1" customFormat="1" ht="22.5">
      <c r="A11" s="18">
        <v>3</v>
      </c>
      <c r="B11" s="18" t="s">
        <v>52</v>
      </c>
      <c r="C11" s="56">
        <v>6.3</v>
      </c>
      <c r="D11" s="46">
        <v>1.327</v>
      </c>
      <c r="E11" s="12">
        <v>1.5</v>
      </c>
      <c r="F11" s="12" t="s">
        <v>200</v>
      </c>
      <c r="G11" s="26">
        <f t="shared" si="0"/>
        <v>-0.17300000000000004</v>
      </c>
      <c r="H11" s="12">
        <v>0</v>
      </c>
      <c r="I11" s="24">
        <f>1.05*6.3</f>
        <v>6.615</v>
      </c>
      <c r="J11" s="5">
        <f aca="true" t="shared" si="3" ref="J11:J17">I11-H11-G11</f>
        <v>6.788</v>
      </c>
      <c r="K11" s="5">
        <f aca="true" t="shared" si="4" ref="K11:K16">J11</f>
        <v>6.788</v>
      </c>
      <c r="L11" s="17" t="s">
        <v>201</v>
      </c>
      <c r="M11" s="16"/>
      <c r="N11" s="12">
        <v>3</v>
      </c>
      <c r="O11" s="12" t="s">
        <v>52</v>
      </c>
      <c r="P11" s="15">
        <v>6.3</v>
      </c>
      <c r="Q11" s="65">
        <f>0.047+0.005+0.001+0.011+0.065+0.048+0.016+0.01+0.0484-0.064+0.0161+0.016</f>
        <v>0.21950000000000003</v>
      </c>
      <c r="R11" s="46">
        <f t="shared" si="2"/>
        <v>1.5465</v>
      </c>
      <c r="S11" s="12">
        <v>1.5</v>
      </c>
      <c r="T11" s="12" t="s">
        <v>200</v>
      </c>
      <c r="U11" s="26">
        <f t="shared" si="1"/>
        <v>0.046499999999999986</v>
      </c>
      <c r="V11" s="12">
        <v>0</v>
      </c>
      <c r="W11" s="24">
        <f>1.05*6.3</f>
        <v>6.615</v>
      </c>
      <c r="X11" s="5">
        <f aca="true" t="shared" si="5" ref="X11:X17">W11-V11-U11</f>
        <v>6.5685</v>
      </c>
      <c r="Y11" s="5">
        <f aca="true" t="shared" si="6" ref="Y11:Y16">X11</f>
        <v>6.5685</v>
      </c>
      <c r="Z11" s="12" t="s">
        <v>201</v>
      </c>
    </row>
    <row r="12" spans="1:26" s="1" customFormat="1" ht="22.5">
      <c r="A12" s="18">
        <v>4</v>
      </c>
      <c r="B12" s="18" t="s">
        <v>53</v>
      </c>
      <c r="C12" s="56">
        <v>6.3</v>
      </c>
      <c r="D12" s="46">
        <v>0.366</v>
      </c>
      <c r="E12" s="12">
        <v>0.361</v>
      </c>
      <c r="F12" s="12" t="s">
        <v>200</v>
      </c>
      <c r="G12" s="26">
        <f t="shared" si="0"/>
        <v>0.0050000000000000044</v>
      </c>
      <c r="H12" s="12">
        <v>0</v>
      </c>
      <c r="I12" s="24">
        <f>1.05*6.3</f>
        <v>6.615</v>
      </c>
      <c r="J12" s="5">
        <f t="shared" si="3"/>
        <v>6.61</v>
      </c>
      <c r="K12" s="5">
        <f t="shared" si="4"/>
        <v>6.61</v>
      </c>
      <c r="L12" s="17" t="s">
        <v>201</v>
      </c>
      <c r="M12" s="16"/>
      <c r="N12" s="12">
        <v>4</v>
      </c>
      <c r="O12" s="12" t="s">
        <v>53</v>
      </c>
      <c r="P12" s="15">
        <v>6.3</v>
      </c>
      <c r="Q12" s="65">
        <f>0.016+0.005+0.0613-0.0161+1.1827</f>
        <v>1.2489000000000001</v>
      </c>
      <c r="R12" s="46">
        <f t="shared" si="2"/>
        <v>1.6149</v>
      </c>
      <c r="S12" s="12">
        <v>0.361</v>
      </c>
      <c r="T12" s="12" t="s">
        <v>200</v>
      </c>
      <c r="U12" s="26">
        <f t="shared" si="1"/>
        <v>1.2539</v>
      </c>
      <c r="V12" s="12">
        <v>0</v>
      </c>
      <c r="W12" s="24">
        <f>1.05*6.3</f>
        <v>6.615</v>
      </c>
      <c r="X12" s="5">
        <f t="shared" si="5"/>
        <v>5.3611</v>
      </c>
      <c r="Y12" s="5">
        <f t="shared" si="6"/>
        <v>5.3611</v>
      </c>
      <c r="Z12" s="12" t="s">
        <v>201</v>
      </c>
    </row>
    <row r="13" spans="1:26" s="1" customFormat="1" ht="21.75" customHeight="1">
      <c r="A13" s="18">
        <v>5</v>
      </c>
      <c r="B13" s="12" t="s">
        <v>54</v>
      </c>
      <c r="C13" s="56">
        <v>10</v>
      </c>
      <c r="D13" s="46">
        <v>5.456</v>
      </c>
      <c r="E13" s="12">
        <v>6.4</v>
      </c>
      <c r="F13" s="12" t="s">
        <v>200</v>
      </c>
      <c r="G13" s="26">
        <f t="shared" si="0"/>
        <v>-0.944</v>
      </c>
      <c r="H13" s="12">
        <v>0</v>
      </c>
      <c r="I13" s="24">
        <f>1.05*10</f>
        <v>10.5</v>
      </c>
      <c r="J13" s="5">
        <f t="shared" si="3"/>
        <v>11.443999999999999</v>
      </c>
      <c r="K13" s="5">
        <f t="shared" si="4"/>
        <v>11.443999999999999</v>
      </c>
      <c r="L13" s="17" t="s">
        <v>201</v>
      </c>
      <c r="M13" s="16"/>
      <c r="N13" s="12">
        <v>5</v>
      </c>
      <c r="O13" s="12" t="s">
        <v>54</v>
      </c>
      <c r="P13" s="15">
        <v>10</v>
      </c>
      <c r="Q13" s="65">
        <f>0.129</f>
        <v>0.129</v>
      </c>
      <c r="R13" s="46">
        <f t="shared" si="2"/>
        <v>5.585000000000001</v>
      </c>
      <c r="S13" s="12">
        <v>6.4</v>
      </c>
      <c r="T13" s="12" t="s">
        <v>200</v>
      </c>
      <c r="U13" s="26">
        <f t="shared" si="1"/>
        <v>-0.8149999999999995</v>
      </c>
      <c r="V13" s="12">
        <v>0</v>
      </c>
      <c r="W13" s="24">
        <f>1.05*10</f>
        <v>10.5</v>
      </c>
      <c r="X13" s="5">
        <f t="shared" si="5"/>
        <v>11.315</v>
      </c>
      <c r="Y13" s="5">
        <f t="shared" si="6"/>
        <v>11.315</v>
      </c>
      <c r="Z13" s="12" t="s">
        <v>201</v>
      </c>
    </row>
    <row r="14" spans="1:26" s="1" customFormat="1" ht="33.75">
      <c r="A14" s="18">
        <v>1</v>
      </c>
      <c r="B14" s="12" t="s">
        <v>55</v>
      </c>
      <c r="C14" s="56">
        <v>10</v>
      </c>
      <c r="D14" s="46">
        <v>0.805</v>
      </c>
      <c r="E14" s="12">
        <v>0.671</v>
      </c>
      <c r="F14" s="12" t="s">
        <v>200</v>
      </c>
      <c r="G14" s="26">
        <f t="shared" si="0"/>
        <v>0.134</v>
      </c>
      <c r="H14" s="12">
        <v>0</v>
      </c>
      <c r="I14" s="24">
        <f>1.05*10</f>
        <v>10.5</v>
      </c>
      <c r="J14" s="5">
        <f t="shared" si="3"/>
        <v>10.366</v>
      </c>
      <c r="K14" s="5">
        <f t="shared" si="4"/>
        <v>10.366</v>
      </c>
      <c r="L14" s="17" t="s">
        <v>201</v>
      </c>
      <c r="M14" s="16"/>
      <c r="N14" s="12">
        <v>1</v>
      </c>
      <c r="O14" s="12" t="s">
        <v>55</v>
      </c>
      <c r="P14" s="15">
        <v>10</v>
      </c>
      <c r="Q14" s="65">
        <f>0.018+0.002+0.025+0.0108-0.0282+0.0161+0.6451</f>
        <v>0.6888</v>
      </c>
      <c r="R14" s="46">
        <f>Q14+D14</f>
        <v>1.4938</v>
      </c>
      <c r="S14" s="12">
        <v>0.671</v>
      </c>
      <c r="T14" s="12" t="s">
        <v>200</v>
      </c>
      <c r="U14" s="26">
        <f t="shared" si="1"/>
        <v>0.8228</v>
      </c>
      <c r="V14" s="12">
        <v>0</v>
      </c>
      <c r="W14" s="24">
        <f>1.05*10</f>
        <v>10.5</v>
      </c>
      <c r="X14" s="5">
        <f t="shared" si="5"/>
        <v>9.6772</v>
      </c>
      <c r="Y14" s="5">
        <f t="shared" si="6"/>
        <v>9.6772</v>
      </c>
      <c r="Z14" s="12" t="s">
        <v>201</v>
      </c>
    </row>
    <row r="15" spans="1:26" s="1" customFormat="1" ht="22.5">
      <c r="A15" s="18">
        <v>2</v>
      </c>
      <c r="B15" s="12" t="s">
        <v>56</v>
      </c>
      <c r="C15" s="56">
        <v>2.5</v>
      </c>
      <c r="D15" s="46">
        <v>0.215</v>
      </c>
      <c r="E15" s="12">
        <v>1.225</v>
      </c>
      <c r="F15" s="12" t="s">
        <v>200</v>
      </c>
      <c r="G15" s="26">
        <f t="shared" si="0"/>
        <v>-1.01</v>
      </c>
      <c r="H15" s="12">
        <v>0</v>
      </c>
      <c r="I15" s="24">
        <f>1.05*2.5</f>
        <v>2.625</v>
      </c>
      <c r="J15" s="5">
        <f t="shared" si="3"/>
        <v>3.635</v>
      </c>
      <c r="K15" s="5">
        <f t="shared" si="4"/>
        <v>3.635</v>
      </c>
      <c r="L15" s="17" t="s">
        <v>201</v>
      </c>
      <c r="M15" s="16"/>
      <c r="N15" s="12">
        <v>2</v>
      </c>
      <c r="O15" s="12" t="s">
        <v>56</v>
      </c>
      <c r="P15" s="15">
        <v>2.5</v>
      </c>
      <c r="Q15" s="65">
        <f>0.016+0.011+0.112+0.015+0.1813+0.1806+0.0032+0.023</f>
        <v>0.5421</v>
      </c>
      <c r="R15" s="46">
        <f t="shared" si="2"/>
        <v>0.7571</v>
      </c>
      <c r="S15" s="12">
        <v>1.225</v>
      </c>
      <c r="T15" s="12" t="s">
        <v>200</v>
      </c>
      <c r="U15" s="26">
        <f t="shared" si="1"/>
        <v>-0.4679000000000001</v>
      </c>
      <c r="V15" s="12">
        <v>0</v>
      </c>
      <c r="W15" s="24">
        <f>1.05*2.5</f>
        <v>2.625</v>
      </c>
      <c r="X15" s="5">
        <f t="shared" si="5"/>
        <v>3.0929</v>
      </c>
      <c r="Y15" s="5">
        <f t="shared" si="6"/>
        <v>3.0929</v>
      </c>
      <c r="Z15" s="12" t="s">
        <v>201</v>
      </c>
    </row>
    <row r="16" spans="1:26" s="1" customFormat="1" ht="22.5">
      <c r="A16" s="18">
        <v>3</v>
      </c>
      <c r="B16" s="18" t="s">
        <v>57</v>
      </c>
      <c r="C16" s="56">
        <v>6.3</v>
      </c>
      <c r="D16" s="46">
        <v>0.885</v>
      </c>
      <c r="E16" s="12">
        <v>1.187</v>
      </c>
      <c r="F16" s="12" t="s">
        <v>200</v>
      </c>
      <c r="G16" s="26">
        <f t="shared" si="0"/>
        <v>-0.30200000000000005</v>
      </c>
      <c r="H16" s="12">
        <v>0</v>
      </c>
      <c r="I16" s="24">
        <f>1.05*6.3</f>
        <v>6.615</v>
      </c>
      <c r="J16" s="5">
        <f t="shared" si="3"/>
        <v>6.917</v>
      </c>
      <c r="K16" s="5">
        <f t="shared" si="4"/>
        <v>6.917</v>
      </c>
      <c r="L16" s="17" t="s">
        <v>201</v>
      </c>
      <c r="M16" s="16"/>
      <c r="N16" s="12">
        <v>3</v>
      </c>
      <c r="O16" s="12" t="s">
        <v>57</v>
      </c>
      <c r="P16" s="15">
        <v>6.3</v>
      </c>
      <c r="Q16" s="65">
        <f>0.021+0.004+0.001+0.003+0.004+0.017+0.0043-0.0285</f>
        <v>0.0258</v>
      </c>
      <c r="R16" s="46">
        <f t="shared" si="2"/>
        <v>0.9108</v>
      </c>
      <c r="S16" s="12">
        <v>1.187</v>
      </c>
      <c r="T16" s="12" t="s">
        <v>200</v>
      </c>
      <c r="U16" s="26">
        <f t="shared" si="1"/>
        <v>-0.2762</v>
      </c>
      <c r="V16" s="12">
        <v>0</v>
      </c>
      <c r="W16" s="24">
        <f>1.05*6.3</f>
        <v>6.615</v>
      </c>
      <c r="X16" s="5">
        <f t="shared" si="5"/>
        <v>6.8912</v>
      </c>
      <c r="Y16" s="5">
        <f t="shared" si="6"/>
        <v>6.8912</v>
      </c>
      <c r="Z16" s="12" t="s">
        <v>201</v>
      </c>
    </row>
    <row r="17" spans="1:26" s="1" customFormat="1" ht="22.5">
      <c r="A17" s="85">
        <v>4</v>
      </c>
      <c r="B17" s="18" t="s">
        <v>58</v>
      </c>
      <c r="C17" s="56">
        <v>6.3</v>
      </c>
      <c r="D17" s="46">
        <f>D18+D19</f>
        <v>1.3090000000000002</v>
      </c>
      <c r="E17" s="12">
        <f>E18+E19</f>
        <v>1.6</v>
      </c>
      <c r="F17" s="12" t="s">
        <v>200</v>
      </c>
      <c r="G17" s="26">
        <f t="shared" si="0"/>
        <v>-0.2909999999999999</v>
      </c>
      <c r="H17" s="12">
        <v>0</v>
      </c>
      <c r="I17" s="24">
        <f>1.05*6.3</f>
        <v>6.615</v>
      </c>
      <c r="J17" s="5">
        <f t="shared" si="3"/>
        <v>6.906000000000001</v>
      </c>
      <c r="K17" s="84">
        <f>MIN(J17:J19)</f>
        <v>5.972</v>
      </c>
      <c r="L17" s="81" t="s">
        <v>201</v>
      </c>
      <c r="M17" s="16"/>
      <c r="N17" s="81">
        <v>4</v>
      </c>
      <c r="O17" s="12" t="s">
        <v>58</v>
      </c>
      <c r="P17" s="15">
        <v>6.3</v>
      </c>
      <c r="Q17" s="65">
        <f>Q19</f>
        <v>0.07219999999999999</v>
      </c>
      <c r="R17" s="46">
        <f>R18+R19</f>
        <v>1.3812</v>
      </c>
      <c r="S17" s="12">
        <f>S18+S19</f>
        <v>1.6</v>
      </c>
      <c r="T17" s="12" t="s">
        <v>200</v>
      </c>
      <c r="U17" s="26">
        <f t="shared" si="1"/>
        <v>-0.2188000000000001</v>
      </c>
      <c r="V17" s="12">
        <v>0</v>
      </c>
      <c r="W17" s="24">
        <f>1.05*6.3</f>
        <v>6.615</v>
      </c>
      <c r="X17" s="5">
        <f t="shared" si="5"/>
        <v>6.8338</v>
      </c>
      <c r="Y17" s="84">
        <f>MIN(X17:X19)</f>
        <v>5.972</v>
      </c>
      <c r="Z17" s="81" t="s">
        <v>201</v>
      </c>
    </row>
    <row r="18" spans="1:26" s="1" customFormat="1" ht="21" customHeight="1">
      <c r="A18" s="86"/>
      <c r="B18" s="61" t="s">
        <v>50</v>
      </c>
      <c r="C18" s="52">
        <v>6.3</v>
      </c>
      <c r="D18" s="47">
        <v>0.643</v>
      </c>
      <c r="E18" s="25">
        <v>0.9</v>
      </c>
      <c r="F18" s="12" t="s">
        <v>200</v>
      </c>
      <c r="G18" s="26">
        <v>0</v>
      </c>
      <c r="H18" s="25">
        <v>0</v>
      </c>
      <c r="I18" s="24">
        <f>1.05*6.3</f>
        <v>6.615</v>
      </c>
      <c r="J18" s="5">
        <f>I18-D18</f>
        <v>5.972</v>
      </c>
      <c r="K18" s="82"/>
      <c r="L18" s="106"/>
      <c r="M18" s="16"/>
      <c r="N18" s="106"/>
      <c r="O18" s="27" t="s">
        <v>50</v>
      </c>
      <c r="P18" s="28">
        <v>6.3</v>
      </c>
      <c r="Q18" s="64"/>
      <c r="R18" s="46">
        <f t="shared" si="2"/>
        <v>0.643</v>
      </c>
      <c r="S18" s="25">
        <v>0.9</v>
      </c>
      <c r="T18" s="12" t="s">
        <v>200</v>
      </c>
      <c r="U18" s="26">
        <v>0</v>
      </c>
      <c r="V18" s="25">
        <v>0</v>
      </c>
      <c r="W18" s="24">
        <f>1.05*6.3</f>
        <v>6.615</v>
      </c>
      <c r="X18" s="5">
        <f>W18-R18</f>
        <v>5.972</v>
      </c>
      <c r="Y18" s="121"/>
      <c r="Z18" s="106"/>
    </row>
    <row r="19" spans="1:26" s="1" customFormat="1" ht="21" customHeight="1">
      <c r="A19" s="87"/>
      <c r="B19" s="61" t="s">
        <v>51</v>
      </c>
      <c r="C19" s="52">
        <v>6.3</v>
      </c>
      <c r="D19" s="47">
        <v>0.666</v>
      </c>
      <c r="E19" s="25">
        <v>0.7</v>
      </c>
      <c r="F19" s="12" t="s">
        <v>200</v>
      </c>
      <c r="G19" s="26">
        <f t="shared" si="0"/>
        <v>-0.03399999999999992</v>
      </c>
      <c r="H19" s="25">
        <v>0</v>
      </c>
      <c r="I19" s="24">
        <f>1.05*6.3</f>
        <v>6.615</v>
      </c>
      <c r="J19" s="5">
        <f>I19-G19-H19</f>
        <v>6.649</v>
      </c>
      <c r="K19" s="83"/>
      <c r="L19" s="107"/>
      <c r="M19" s="16"/>
      <c r="N19" s="107"/>
      <c r="O19" s="27" t="s">
        <v>51</v>
      </c>
      <c r="P19" s="28">
        <v>6.3</v>
      </c>
      <c r="Q19" s="64">
        <f>0.021+0.009+0.016+0.0269-0.0177+0.001+0.016</f>
        <v>0.07219999999999999</v>
      </c>
      <c r="R19" s="46">
        <f t="shared" si="2"/>
        <v>0.7382</v>
      </c>
      <c r="S19" s="25">
        <v>0.7</v>
      </c>
      <c r="T19" s="12" t="s">
        <v>200</v>
      </c>
      <c r="U19" s="26">
        <f t="shared" si="1"/>
        <v>0.03820000000000001</v>
      </c>
      <c r="V19" s="25">
        <v>0</v>
      </c>
      <c r="W19" s="24">
        <f>1.05*6.3</f>
        <v>6.615</v>
      </c>
      <c r="X19" s="5">
        <f>W19-U19-V19</f>
        <v>6.5768</v>
      </c>
      <c r="Y19" s="122"/>
      <c r="Z19" s="107"/>
    </row>
    <row r="20" spans="1:26" s="1" customFormat="1" ht="23.25" customHeight="1">
      <c r="A20" s="85">
        <v>5</v>
      </c>
      <c r="B20" s="12" t="s">
        <v>59</v>
      </c>
      <c r="C20" s="56">
        <v>16</v>
      </c>
      <c r="D20" s="46">
        <f>D21+D22</f>
        <v>5.093</v>
      </c>
      <c r="E20" s="12">
        <f>E21+E22</f>
        <v>4.7</v>
      </c>
      <c r="F20" s="12" t="s">
        <v>200</v>
      </c>
      <c r="G20" s="26">
        <f t="shared" si="0"/>
        <v>0.3929999999999998</v>
      </c>
      <c r="H20" s="12">
        <v>0</v>
      </c>
      <c r="I20" s="24">
        <f>1.05*16</f>
        <v>16.8</v>
      </c>
      <c r="J20" s="5">
        <f>I20-H20-G20</f>
        <v>16.407</v>
      </c>
      <c r="K20" s="84">
        <f>MIN(J20:J22)</f>
        <v>12.450000000000001</v>
      </c>
      <c r="L20" s="81" t="s">
        <v>201</v>
      </c>
      <c r="M20" s="16"/>
      <c r="N20" s="81">
        <v>5</v>
      </c>
      <c r="O20" s="12" t="s">
        <v>59</v>
      </c>
      <c r="P20" s="15">
        <v>16</v>
      </c>
      <c r="Q20" s="65">
        <f>-Q21+Q22</f>
        <v>0.0718</v>
      </c>
      <c r="R20" s="46">
        <f>R21+R22</f>
        <v>5.1648</v>
      </c>
      <c r="S20" s="12">
        <f>S21+S22</f>
        <v>4.7</v>
      </c>
      <c r="T20" s="12" t="s">
        <v>200</v>
      </c>
      <c r="U20" s="26">
        <f t="shared" si="1"/>
        <v>0.46479999999999944</v>
      </c>
      <c r="V20" s="12">
        <v>0</v>
      </c>
      <c r="W20" s="24">
        <f>1.05*16</f>
        <v>16.8</v>
      </c>
      <c r="X20" s="5">
        <f>W20-V20-U20</f>
        <v>16.3352</v>
      </c>
      <c r="Y20" s="84">
        <f>MIN(X20:X22)</f>
        <v>12.450000000000001</v>
      </c>
      <c r="Z20" s="81" t="s">
        <v>201</v>
      </c>
    </row>
    <row r="21" spans="1:26" s="1" customFormat="1" ht="22.5" customHeight="1">
      <c r="A21" s="86"/>
      <c r="B21" s="61" t="s">
        <v>50</v>
      </c>
      <c r="C21" s="52">
        <v>16</v>
      </c>
      <c r="D21" s="47">
        <v>4.35</v>
      </c>
      <c r="E21" s="25">
        <v>3.8</v>
      </c>
      <c r="F21" s="12" t="s">
        <v>200</v>
      </c>
      <c r="G21" s="26">
        <f t="shared" si="0"/>
        <v>0.5499999999999998</v>
      </c>
      <c r="H21" s="25">
        <v>0</v>
      </c>
      <c r="I21" s="24">
        <f>1.05*16</f>
        <v>16.8</v>
      </c>
      <c r="J21" s="5">
        <f>I21-D21</f>
        <v>12.450000000000001</v>
      </c>
      <c r="K21" s="82"/>
      <c r="L21" s="106"/>
      <c r="M21" s="16"/>
      <c r="N21" s="106"/>
      <c r="O21" s="27" t="s">
        <v>50</v>
      </c>
      <c r="P21" s="28">
        <v>16</v>
      </c>
      <c r="Q21" s="64"/>
      <c r="R21" s="46">
        <f t="shared" si="2"/>
        <v>4.35</v>
      </c>
      <c r="S21" s="25">
        <v>3.8</v>
      </c>
      <c r="T21" s="12" t="s">
        <v>200</v>
      </c>
      <c r="U21" s="26">
        <f t="shared" si="1"/>
        <v>0.5499999999999998</v>
      </c>
      <c r="V21" s="25">
        <v>0</v>
      </c>
      <c r="W21" s="24">
        <f>1.05*16</f>
        <v>16.8</v>
      </c>
      <c r="X21" s="5">
        <f>W21-R21</f>
        <v>12.450000000000001</v>
      </c>
      <c r="Y21" s="121"/>
      <c r="Z21" s="106"/>
    </row>
    <row r="22" spans="1:26" s="1" customFormat="1" ht="21.75" customHeight="1">
      <c r="A22" s="87"/>
      <c r="B22" s="61" t="s">
        <v>51</v>
      </c>
      <c r="C22" s="52">
        <v>16</v>
      </c>
      <c r="D22" s="47">
        <v>0.743</v>
      </c>
      <c r="E22" s="25">
        <v>0.9</v>
      </c>
      <c r="F22" s="12" t="s">
        <v>200</v>
      </c>
      <c r="G22" s="26">
        <v>0</v>
      </c>
      <c r="H22" s="25">
        <v>0</v>
      </c>
      <c r="I22" s="24">
        <f>1.05*16</f>
        <v>16.8</v>
      </c>
      <c r="J22" s="5">
        <f>I22-G22-H22</f>
        <v>16.8</v>
      </c>
      <c r="K22" s="83"/>
      <c r="L22" s="107"/>
      <c r="M22" s="16"/>
      <c r="N22" s="107"/>
      <c r="O22" s="27" t="s">
        <v>51</v>
      </c>
      <c r="P22" s="28">
        <v>16</v>
      </c>
      <c r="Q22" s="64">
        <f>0.043+0.017+0.012+0.005-0.0102+0.005</f>
        <v>0.0718</v>
      </c>
      <c r="R22" s="46">
        <f t="shared" si="2"/>
        <v>0.8148</v>
      </c>
      <c r="S22" s="25">
        <v>0.9</v>
      </c>
      <c r="T22" s="12" t="s">
        <v>200</v>
      </c>
      <c r="U22" s="26">
        <v>0</v>
      </c>
      <c r="V22" s="25">
        <v>0</v>
      </c>
      <c r="W22" s="24">
        <f>1.05*16</f>
        <v>16.8</v>
      </c>
      <c r="X22" s="5">
        <f>W22-U22-V22</f>
        <v>16.8</v>
      </c>
      <c r="Y22" s="122"/>
      <c r="Z22" s="107"/>
    </row>
    <row r="23" spans="1:26" s="1" customFormat="1" ht="22.5">
      <c r="A23" s="85">
        <v>6</v>
      </c>
      <c r="B23" s="12" t="s">
        <v>60</v>
      </c>
      <c r="C23" s="56">
        <v>6.3</v>
      </c>
      <c r="D23" s="46">
        <f>D24+D25</f>
        <v>1.967</v>
      </c>
      <c r="E23" s="12">
        <f>E24+E25</f>
        <v>2.1</v>
      </c>
      <c r="F23" s="12" t="s">
        <v>200</v>
      </c>
      <c r="G23" s="26">
        <f t="shared" si="0"/>
        <v>-0.133</v>
      </c>
      <c r="H23" s="12">
        <v>0</v>
      </c>
      <c r="I23" s="24">
        <f>1.05*6.3</f>
        <v>6.615</v>
      </c>
      <c r="J23" s="5">
        <f>I23-H23-G23</f>
        <v>6.748</v>
      </c>
      <c r="K23" s="84">
        <f>MIN(J23:J25)</f>
        <v>5.385</v>
      </c>
      <c r="L23" s="81" t="s">
        <v>201</v>
      </c>
      <c r="M23" s="16"/>
      <c r="N23" s="81">
        <v>6</v>
      </c>
      <c r="O23" s="12" t="s">
        <v>60</v>
      </c>
      <c r="P23" s="15">
        <v>6.3</v>
      </c>
      <c r="Q23" s="65">
        <f>Q25</f>
        <v>0.9742999999999999</v>
      </c>
      <c r="R23" s="46">
        <f>R24+R25</f>
        <v>2.9413</v>
      </c>
      <c r="S23" s="12">
        <f>S24+S25</f>
        <v>2.1</v>
      </c>
      <c r="T23" s="12" t="s">
        <v>200</v>
      </c>
      <c r="U23" s="26">
        <f t="shared" si="1"/>
        <v>0.8412999999999999</v>
      </c>
      <c r="V23" s="12">
        <v>0</v>
      </c>
      <c r="W23" s="24">
        <f>1.05*6.3</f>
        <v>6.615</v>
      </c>
      <c r="X23" s="5">
        <f>W23-V23-U23</f>
        <v>5.7737</v>
      </c>
      <c r="Y23" s="84">
        <f>MIN(X23:X25)</f>
        <v>5.385</v>
      </c>
      <c r="Z23" s="81" t="s">
        <v>201</v>
      </c>
    </row>
    <row r="24" spans="1:26" s="1" customFormat="1" ht="21" customHeight="1">
      <c r="A24" s="86"/>
      <c r="B24" s="61" t="s">
        <v>50</v>
      </c>
      <c r="C24" s="52">
        <v>6.3</v>
      </c>
      <c r="D24" s="47">
        <v>1.23</v>
      </c>
      <c r="E24" s="25">
        <v>1.1</v>
      </c>
      <c r="F24" s="12" t="s">
        <v>200</v>
      </c>
      <c r="G24" s="26">
        <v>0</v>
      </c>
      <c r="H24" s="25">
        <v>0</v>
      </c>
      <c r="I24" s="24">
        <f>1.05*6.3</f>
        <v>6.615</v>
      </c>
      <c r="J24" s="5">
        <f>I24-D24</f>
        <v>5.385</v>
      </c>
      <c r="K24" s="82"/>
      <c r="L24" s="106"/>
      <c r="M24" s="16"/>
      <c r="N24" s="106"/>
      <c r="O24" s="27" t="s">
        <v>50</v>
      </c>
      <c r="P24" s="28">
        <v>6.3</v>
      </c>
      <c r="Q24" s="64"/>
      <c r="R24" s="46">
        <f t="shared" si="2"/>
        <v>1.23</v>
      </c>
      <c r="S24" s="25">
        <v>1.1</v>
      </c>
      <c r="T24" s="12" t="s">
        <v>200</v>
      </c>
      <c r="U24" s="26">
        <v>0</v>
      </c>
      <c r="V24" s="25">
        <v>0</v>
      </c>
      <c r="W24" s="24">
        <f>1.05*6.3</f>
        <v>6.615</v>
      </c>
      <c r="X24" s="5">
        <f>W24-R24</f>
        <v>5.385</v>
      </c>
      <c r="Y24" s="121"/>
      <c r="Z24" s="106"/>
    </row>
    <row r="25" spans="1:26" s="1" customFormat="1" ht="20.25" customHeight="1">
      <c r="A25" s="87"/>
      <c r="B25" s="61" t="s">
        <v>51</v>
      </c>
      <c r="C25" s="52">
        <v>6.3</v>
      </c>
      <c r="D25" s="47">
        <v>0.737</v>
      </c>
      <c r="E25" s="25">
        <v>1</v>
      </c>
      <c r="F25" s="12" t="s">
        <v>200</v>
      </c>
      <c r="G25" s="26">
        <f t="shared" si="0"/>
        <v>-0.263</v>
      </c>
      <c r="H25" s="25">
        <v>0</v>
      </c>
      <c r="I25" s="24">
        <f>1.05*6.3</f>
        <v>6.615</v>
      </c>
      <c r="J25" s="5">
        <f>I25-G25-H25</f>
        <v>6.878</v>
      </c>
      <c r="K25" s="83"/>
      <c r="L25" s="107"/>
      <c r="M25" s="16"/>
      <c r="N25" s="107"/>
      <c r="O25" s="27" t="s">
        <v>51</v>
      </c>
      <c r="P25" s="28">
        <v>6.3</v>
      </c>
      <c r="Q25" s="64">
        <f>0.082+0.016+0.005+0.005+0.181+0.0161+0.1806+0.0161+0.4564+0.0161</f>
        <v>0.9742999999999999</v>
      </c>
      <c r="R25" s="46">
        <f t="shared" si="2"/>
        <v>1.7113</v>
      </c>
      <c r="S25" s="25">
        <v>1</v>
      </c>
      <c r="T25" s="12" t="s">
        <v>200</v>
      </c>
      <c r="U25" s="26">
        <f t="shared" si="1"/>
        <v>0.7113</v>
      </c>
      <c r="V25" s="25">
        <v>0</v>
      </c>
      <c r="W25" s="24">
        <f>1.05*6.3</f>
        <v>6.615</v>
      </c>
      <c r="X25" s="5">
        <f>W25-U25-V25</f>
        <v>5.903700000000001</v>
      </c>
      <c r="Y25" s="122"/>
      <c r="Z25" s="107"/>
    </row>
    <row r="26" spans="1:26" s="1" customFormat="1" ht="22.5">
      <c r="A26" s="18">
        <v>7</v>
      </c>
      <c r="B26" s="12" t="s">
        <v>61</v>
      </c>
      <c r="C26" s="56">
        <v>2.5</v>
      </c>
      <c r="D26" s="46">
        <v>0.338</v>
      </c>
      <c r="E26" s="12">
        <f aca="true" t="shared" si="7" ref="E26:E48">D26</f>
        <v>0.338</v>
      </c>
      <c r="F26" s="12" t="s">
        <v>200</v>
      </c>
      <c r="G26" s="5">
        <f aca="true" t="shared" si="8" ref="G26:G48">E26</f>
        <v>0.338</v>
      </c>
      <c r="H26" s="25">
        <v>0</v>
      </c>
      <c r="I26" s="5">
        <f aca="true" t="shared" si="9" ref="I26:I48">G26-H26</f>
        <v>0.338</v>
      </c>
      <c r="J26" s="5">
        <f aca="true" t="shared" si="10" ref="J26:J48">I26-D26</f>
        <v>0</v>
      </c>
      <c r="K26" s="5">
        <f aca="true" t="shared" si="11" ref="K26:K48">J26</f>
        <v>0</v>
      </c>
      <c r="L26" s="17" t="s">
        <v>201</v>
      </c>
      <c r="M26" s="16"/>
      <c r="N26" s="12">
        <v>7</v>
      </c>
      <c r="O26" s="12" t="s">
        <v>61</v>
      </c>
      <c r="P26" s="15">
        <v>2.5</v>
      </c>
      <c r="Q26" s="65">
        <f>0.019+0.016+0.024+0.0129-0.007+0.0108</f>
        <v>0.0757</v>
      </c>
      <c r="R26" s="46">
        <f t="shared" si="2"/>
        <v>0.4137</v>
      </c>
      <c r="S26" s="12">
        <f aca="true" t="shared" si="12" ref="S26:S48">R26</f>
        <v>0.4137</v>
      </c>
      <c r="T26" s="12" t="s">
        <v>200</v>
      </c>
      <c r="U26" s="5">
        <f aca="true" t="shared" si="13" ref="U26:U48">S26</f>
        <v>0.4137</v>
      </c>
      <c r="V26" s="25">
        <v>0</v>
      </c>
      <c r="W26" s="5">
        <f aca="true" t="shared" si="14" ref="W26:W48">U26-V26</f>
        <v>0.4137</v>
      </c>
      <c r="X26" s="5">
        <f aca="true" t="shared" si="15" ref="X26:X48">W26-R26</f>
        <v>0</v>
      </c>
      <c r="Y26" s="5">
        <f aca="true" t="shared" si="16" ref="Y26:Y48">X26</f>
        <v>0</v>
      </c>
      <c r="Z26" s="12" t="s">
        <v>201</v>
      </c>
    </row>
    <row r="27" spans="1:26" s="1" customFormat="1" ht="22.5">
      <c r="A27" s="18">
        <v>8</v>
      </c>
      <c r="B27" s="12" t="s">
        <v>62</v>
      </c>
      <c r="C27" s="56">
        <v>1.6</v>
      </c>
      <c r="D27" s="46">
        <v>0.375</v>
      </c>
      <c r="E27" s="12">
        <f t="shared" si="7"/>
        <v>0.375</v>
      </c>
      <c r="F27" s="12" t="s">
        <v>200</v>
      </c>
      <c r="G27" s="5">
        <f t="shared" si="8"/>
        <v>0.375</v>
      </c>
      <c r="H27" s="25">
        <v>0</v>
      </c>
      <c r="I27" s="5">
        <f t="shared" si="9"/>
        <v>0.375</v>
      </c>
      <c r="J27" s="5">
        <f t="shared" si="10"/>
        <v>0</v>
      </c>
      <c r="K27" s="5">
        <f t="shared" si="11"/>
        <v>0</v>
      </c>
      <c r="L27" s="17" t="s">
        <v>201</v>
      </c>
      <c r="M27" s="16"/>
      <c r="N27" s="12">
        <v>8</v>
      </c>
      <c r="O27" s="12" t="s">
        <v>62</v>
      </c>
      <c r="P27" s="15">
        <v>1.6</v>
      </c>
      <c r="Q27" s="65">
        <v>0</v>
      </c>
      <c r="R27" s="46">
        <f t="shared" si="2"/>
        <v>0.375</v>
      </c>
      <c r="S27" s="12">
        <f t="shared" si="12"/>
        <v>0.375</v>
      </c>
      <c r="T27" s="12" t="s">
        <v>200</v>
      </c>
      <c r="U27" s="5">
        <f t="shared" si="13"/>
        <v>0.375</v>
      </c>
      <c r="V27" s="25">
        <v>0</v>
      </c>
      <c r="W27" s="5">
        <f t="shared" si="14"/>
        <v>0.375</v>
      </c>
      <c r="X27" s="5">
        <f t="shared" si="15"/>
        <v>0</v>
      </c>
      <c r="Y27" s="5">
        <f t="shared" si="16"/>
        <v>0</v>
      </c>
      <c r="Z27" s="12" t="s">
        <v>201</v>
      </c>
    </row>
    <row r="28" spans="1:26" s="1" customFormat="1" ht="22.5">
      <c r="A28" s="18">
        <v>9</v>
      </c>
      <c r="B28" s="12" t="s">
        <v>63</v>
      </c>
      <c r="C28" s="56">
        <v>2.5</v>
      </c>
      <c r="D28" s="46">
        <v>0.354</v>
      </c>
      <c r="E28" s="12">
        <f t="shared" si="7"/>
        <v>0.354</v>
      </c>
      <c r="F28" s="12" t="s">
        <v>200</v>
      </c>
      <c r="G28" s="5">
        <f t="shared" si="8"/>
        <v>0.354</v>
      </c>
      <c r="H28" s="25">
        <v>0</v>
      </c>
      <c r="I28" s="5">
        <f t="shared" si="9"/>
        <v>0.354</v>
      </c>
      <c r="J28" s="5">
        <f t="shared" si="10"/>
        <v>0</v>
      </c>
      <c r="K28" s="5">
        <f t="shared" si="11"/>
        <v>0</v>
      </c>
      <c r="L28" s="17" t="s">
        <v>201</v>
      </c>
      <c r="M28" s="16"/>
      <c r="N28" s="12">
        <v>9</v>
      </c>
      <c r="O28" s="12" t="s">
        <v>63</v>
      </c>
      <c r="P28" s="15">
        <v>2.5</v>
      </c>
      <c r="Q28" s="65">
        <f>0.091+0.016+0.009+0.288+0.487+0.005+0.0054-0.2091+0.0011</f>
        <v>0.6933999999999999</v>
      </c>
      <c r="R28" s="46">
        <f t="shared" si="2"/>
        <v>1.0473999999999999</v>
      </c>
      <c r="S28" s="12">
        <f t="shared" si="12"/>
        <v>1.0473999999999999</v>
      </c>
      <c r="T28" s="12" t="s">
        <v>200</v>
      </c>
      <c r="U28" s="5">
        <f t="shared" si="13"/>
        <v>1.0473999999999999</v>
      </c>
      <c r="V28" s="25">
        <v>0</v>
      </c>
      <c r="W28" s="5">
        <f t="shared" si="14"/>
        <v>1.0473999999999999</v>
      </c>
      <c r="X28" s="5">
        <f t="shared" si="15"/>
        <v>0</v>
      </c>
      <c r="Y28" s="5">
        <f t="shared" si="16"/>
        <v>0</v>
      </c>
      <c r="Z28" s="12" t="s">
        <v>201</v>
      </c>
    </row>
    <row r="29" spans="1:26" s="1" customFormat="1" ht="22.5">
      <c r="A29" s="18">
        <v>10</v>
      </c>
      <c r="B29" s="12" t="s">
        <v>64</v>
      </c>
      <c r="C29" s="56">
        <v>2.5</v>
      </c>
      <c r="D29" s="46">
        <v>0.354</v>
      </c>
      <c r="E29" s="12">
        <f t="shared" si="7"/>
        <v>0.354</v>
      </c>
      <c r="F29" s="12" t="s">
        <v>200</v>
      </c>
      <c r="G29" s="5">
        <f t="shared" si="8"/>
        <v>0.354</v>
      </c>
      <c r="H29" s="25">
        <v>0</v>
      </c>
      <c r="I29" s="5">
        <f t="shared" si="9"/>
        <v>0.354</v>
      </c>
      <c r="J29" s="5">
        <f t="shared" si="10"/>
        <v>0</v>
      </c>
      <c r="K29" s="5">
        <f t="shared" si="11"/>
        <v>0</v>
      </c>
      <c r="L29" s="17" t="s">
        <v>201</v>
      </c>
      <c r="M29" s="16"/>
      <c r="N29" s="12">
        <v>10</v>
      </c>
      <c r="O29" s="12" t="s">
        <v>64</v>
      </c>
      <c r="P29" s="15">
        <v>2.5</v>
      </c>
      <c r="Q29" s="65">
        <f>0.001+0.01+0.0161+0.0161+0.0032+0.0161</f>
        <v>0.0625</v>
      </c>
      <c r="R29" s="46">
        <f t="shared" si="2"/>
        <v>0.4165</v>
      </c>
      <c r="S29" s="12">
        <f t="shared" si="12"/>
        <v>0.4165</v>
      </c>
      <c r="T29" s="12" t="s">
        <v>200</v>
      </c>
      <c r="U29" s="5">
        <f t="shared" si="13"/>
        <v>0.4165</v>
      </c>
      <c r="V29" s="25">
        <v>0</v>
      </c>
      <c r="W29" s="5">
        <f t="shared" si="14"/>
        <v>0.4165</v>
      </c>
      <c r="X29" s="5">
        <f t="shared" si="15"/>
        <v>0</v>
      </c>
      <c r="Y29" s="5">
        <f t="shared" si="16"/>
        <v>0</v>
      </c>
      <c r="Z29" s="12" t="s">
        <v>201</v>
      </c>
    </row>
    <row r="30" spans="1:26" s="1" customFormat="1" ht="22.5">
      <c r="A30" s="18">
        <v>11</v>
      </c>
      <c r="B30" s="12" t="s">
        <v>65</v>
      </c>
      <c r="C30" s="56">
        <v>4</v>
      </c>
      <c r="D30" s="46">
        <v>0.851</v>
      </c>
      <c r="E30" s="12">
        <f t="shared" si="7"/>
        <v>0.851</v>
      </c>
      <c r="F30" s="12" t="s">
        <v>200</v>
      </c>
      <c r="G30" s="5">
        <f t="shared" si="8"/>
        <v>0.851</v>
      </c>
      <c r="H30" s="25">
        <v>0</v>
      </c>
      <c r="I30" s="5">
        <f t="shared" si="9"/>
        <v>0.851</v>
      </c>
      <c r="J30" s="5">
        <f t="shared" si="10"/>
        <v>0</v>
      </c>
      <c r="K30" s="5">
        <f t="shared" si="11"/>
        <v>0</v>
      </c>
      <c r="L30" s="17" t="s">
        <v>201</v>
      </c>
      <c r="M30" s="16"/>
      <c r="N30" s="12">
        <v>11</v>
      </c>
      <c r="O30" s="12" t="s">
        <v>65</v>
      </c>
      <c r="P30" s="15">
        <v>4</v>
      </c>
      <c r="Q30" s="65">
        <v>0.003</v>
      </c>
      <c r="R30" s="46">
        <f t="shared" si="2"/>
        <v>0.854</v>
      </c>
      <c r="S30" s="12">
        <f t="shared" si="12"/>
        <v>0.854</v>
      </c>
      <c r="T30" s="12" t="s">
        <v>200</v>
      </c>
      <c r="U30" s="5">
        <f t="shared" si="13"/>
        <v>0.854</v>
      </c>
      <c r="V30" s="25">
        <v>0</v>
      </c>
      <c r="W30" s="5">
        <f t="shared" si="14"/>
        <v>0.854</v>
      </c>
      <c r="X30" s="5">
        <f t="shared" si="15"/>
        <v>0</v>
      </c>
      <c r="Y30" s="5">
        <f t="shared" si="16"/>
        <v>0</v>
      </c>
      <c r="Z30" s="12" t="s">
        <v>201</v>
      </c>
    </row>
    <row r="31" spans="1:26" s="1" customFormat="1" ht="27" customHeight="1">
      <c r="A31" s="18">
        <v>12</v>
      </c>
      <c r="B31" s="12" t="s">
        <v>66</v>
      </c>
      <c r="C31" s="56">
        <v>4</v>
      </c>
      <c r="D31" s="46">
        <v>0.819</v>
      </c>
      <c r="E31" s="12">
        <f t="shared" si="7"/>
        <v>0.819</v>
      </c>
      <c r="F31" s="12" t="s">
        <v>200</v>
      </c>
      <c r="G31" s="5">
        <f t="shared" si="8"/>
        <v>0.819</v>
      </c>
      <c r="H31" s="25">
        <v>0</v>
      </c>
      <c r="I31" s="5">
        <f t="shared" si="9"/>
        <v>0.819</v>
      </c>
      <c r="J31" s="5">
        <f t="shared" si="10"/>
        <v>0</v>
      </c>
      <c r="K31" s="5">
        <f t="shared" si="11"/>
        <v>0</v>
      </c>
      <c r="L31" s="17" t="s">
        <v>201</v>
      </c>
      <c r="M31" s="16"/>
      <c r="N31" s="12">
        <v>12</v>
      </c>
      <c r="O31" s="12" t="s">
        <v>66</v>
      </c>
      <c r="P31" s="15">
        <v>4</v>
      </c>
      <c r="Q31" s="65">
        <f>0.031+0.018+0.005+0.005+0.011+0.016+0.005+0.007+0.0011+0.0215</f>
        <v>0.12060000000000001</v>
      </c>
      <c r="R31" s="46">
        <f t="shared" si="2"/>
        <v>0.9396</v>
      </c>
      <c r="S31" s="12">
        <f t="shared" si="12"/>
        <v>0.9396</v>
      </c>
      <c r="T31" s="12" t="s">
        <v>200</v>
      </c>
      <c r="U31" s="5">
        <f t="shared" si="13"/>
        <v>0.9396</v>
      </c>
      <c r="V31" s="25">
        <v>0</v>
      </c>
      <c r="W31" s="5">
        <f t="shared" si="14"/>
        <v>0.9396</v>
      </c>
      <c r="X31" s="5">
        <f t="shared" si="15"/>
        <v>0</v>
      </c>
      <c r="Y31" s="5">
        <f t="shared" si="16"/>
        <v>0</v>
      </c>
      <c r="Z31" s="12" t="s">
        <v>201</v>
      </c>
    </row>
    <row r="32" spans="1:26" s="1" customFormat="1" ht="22.5">
      <c r="A32" s="18">
        <v>13</v>
      </c>
      <c r="B32" s="12" t="s">
        <v>67</v>
      </c>
      <c r="C32" s="56">
        <v>1.6</v>
      </c>
      <c r="D32" s="46">
        <v>0.332</v>
      </c>
      <c r="E32" s="12">
        <f t="shared" si="7"/>
        <v>0.332</v>
      </c>
      <c r="F32" s="12" t="s">
        <v>200</v>
      </c>
      <c r="G32" s="5">
        <f t="shared" si="8"/>
        <v>0.332</v>
      </c>
      <c r="H32" s="25">
        <v>0</v>
      </c>
      <c r="I32" s="5">
        <f t="shared" si="9"/>
        <v>0.332</v>
      </c>
      <c r="J32" s="5">
        <f t="shared" si="10"/>
        <v>0</v>
      </c>
      <c r="K32" s="5">
        <f t="shared" si="11"/>
        <v>0</v>
      </c>
      <c r="L32" s="17" t="s">
        <v>201</v>
      </c>
      <c r="M32" s="16"/>
      <c r="N32" s="12">
        <v>13</v>
      </c>
      <c r="O32" s="12" t="s">
        <v>67</v>
      </c>
      <c r="P32" s="15">
        <v>1.6</v>
      </c>
      <c r="Q32" s="65">
        <f>0.016+0.725-0.109</f>
        <v>0.632</v>
      </c>
      <c r="R32" s="46">
        <f t="shared" si="2"/>
        <v>0.964</v>
      </c>
      <c r="S32" s="12">
        <f t="shared" si="12"/>
        <v>0.964</v>
      </c>
      <c r="T32" s="12" t="s">
        <v>200</v>
      </c>
      <c r="U32" s="5">
        <f t="shared" si="13"/>
        <v>0.964</v>
      </c>
      <c r="V32" s="25">
        <v>0</v>
      </c>
      <c r="W32" s="5">
        <f t="shared" si="14"/>
        <v>0.964</v>
      </c>
      <c r="X32" s="5">
        <f t="shared" si="15"/>
        <v>0</v>
      </c>
      <c r="Y32" s="5">
        <f t="shared" si="16"/>
        <v>0</v>
      </c>
      <c r="Z32" s="12" t="s">
        <v>201</v>
      </c>
    </row>
    <row r="33" spans="1:26" s="1" customFormat="1" ht="22.5">
      <c r="A33" s="18">
        <v>14</v>
      </c>
      <c r="B33" s="12" t="s">
        <v>68</v>
      </c>
      <c r="C33" s="56">
        <v>2.5</v>
      </c>
      <c r="D33" s="46">
        <v>0.591</v>
      </c>
      <c r="E33" s="12">
        <f t="shared" si="7"/>
        <v>0.591</v>
      </c>
      <c r="F33" s="12" t="s">
        <v>200</v>
      </c>
      <c r="G33" s="5">
        <f t="shared" si="8"/>
        <v>0.591</v>
      </c>
      <c r="H33" s="25">
        <v>0</v>
      </c>
      <c r="I33" s="5">
        <f t="shared" si="9"/>
        <v>0.591</v>
      </c>
      <c r="J33" s="5">
        <f t="shared" si="10"/>
        <v>0</v>
      </c>
      <c r="K33" s="5">
        <f t="shared" si="11"/>
        <v>0</v>
      </c>
      <c r="L33" s="17" t="s">
        <v>201</v>
      </c>
      <c r="M33" s="16"/>
      <c r="N33" s="12">
        <v>14</v>
      </c>
      <c r="O33" s="12" t="s">
        <v>68</v>
      </c>
      <c r="P33" s="15">
        <v>2.5</v>
      </c>
      <c r="Q33" s="65">
        <f>0.002+0.003+0.0161</f>
        <v>0.0211</v>
      </c>
      <c r="R33" s="46">
        <f t="shared" si="2"/>
        <v>0.6121</v>
      </c>
      <c r="S33" s="12">
        <f t="shared" si="12"/>
        <v>0.6121</v>
      </c>
      <c r="T33" s="12" t="s">
        <v>200</v>
      </c>
      <c r="U33" s="5">
        <f t="shared" si="13"/>
        <v>0.6121</v>
      </c>
      <c r="V33" s="25">
        <v>0</v>
      </c>
      <c r="W33" s="5">
        <f t="shared" si="14"/>
        <v>0.6121</v>
      </c>
      <c r="X33" s="5">
        <f t="shared" si="15"/>
        <v>0</v>
      </c>
      <c r="Y33" s="5">
        <f t="shared" si="16"/>
        <v>0</v>
      </c>
      <c r="Z33" s="12" t="s">
        <v>201</v>
      </c>
    </row>
    <row r="34" spans="1:26" s="1" customFormat="1" ht="22.5">
      <c r="A34" s="18">
        <v>15</v>
      </c>
      <c r="B34" s="12" t="s">
        <v>69</v>
      </c>
      <c r="C34" s="56">
        <v>2.5</v>
      </c>
      <c r="D34" s="46">
        <v>0.328</v>
      </c>
      <c r="E34" s="12">
        <f t="shared" si="7"/>
        <v>0.328</v>
      </c>
      <c r="F34" s="12" t="s">
        <v>200</v>
      </c>
      <c r="G34" s="5">
        <f t="shared" si="8"/>
        <v>0.328</v>
      </c>
      <c r="H34" s="25">
        <v>0</v>
      </c>
      <c r="I34" s="5">
        <f t="shared" si="9"/>
        <v>0.328</v>
      </c>
      <c r="J34" s="5">
        <f t="shared" si="10"/>
        <v>0</v>
      </c>
      <c r="K34" s="5">
        <f t="shared" si="11"/>
        <v>0</v>
      </c>
      <c r="L34" s="17" t="s">
        <v>201</v>
      </c>
      <c r="M34" s="16"/>
      <c r="N34" s="12">
        <v>15</v>
      </c>
      <c r="O34" s="12" t="s">
        <v>69</v>
      </c>
      <c r="P34" s="15">
        <v>2.5</v>
      </c>
      <c r="Q34" s="65">
        <f>0.005+0.0161</f>
        <v>0.0211</v>
      </c>
      <c r="R34" s="46">
        <f t="shared" si="2"/>
        <v>0.3491</v>
      </c>
      <c r="S34" s="12">
        <f t="shared" si="12"/>
        <v>0.3491</v>
      </c>
      <c r="T34" s="12" t="s">
        <v>200</v>
      </c>
      <c r="U34" s="5">
        <f t="shared" si="13"/>
        <v>0.3491</v>
      </c>
      <c r="V34" s="25">
        <v>0</v>
      </c>
      <c r="W34" s="5">
        <f t="shared" si="14"/>
        <v>0.3491</v>
      </c>
      <c r="X34" s="5">
        <f t="shared" si="15"/>
        <v>0</v>
      </c>
      <c r="Y34" s="5">
        <f t="shared" si="16"/>
        <v>0</v>
      </c>
      <c r="Z34" s="12" t="s">
        <v>201</v>
      </c>
    </row>
    <row r="35" spans="1:26" s="1" customFormat="1" ht="22.5">
      <c r="A35" s="18">
        <v>16</v>
      </c>
      <c r="B35" s="12" t="s">
        <v>70</v>
      </c>
      <c r="C35" s="56">
        <v>2.5</v>
      </c>
      <c r="D35" s="46">
        <v>0.789</v>
      </c>
      <c r="E35" s="12">
        <f t="shared" si="7"/>
        <v>0.789</v>
      </c>
      <c r="F35" s="12" t="s">
        <v>200</v>
      </c>
      <c r="G35" s="5">
        <f t="shared" si="8"/>
        <v>0.789</v>
      </c>
      <c r="H35" s="25">
        <v>0</v>
      </c>
      <c r="I35" s="5">
        <f t="shared" si="9"/>
        <v>0.789</v>
      </c>
      <c r="J35" s="5">
        <f t="shared" si="10"/>
        <v>0</v>
      </c>
      <c r="K35" s="5">
        <f t="shared" si="11"/>
        <v>0</v>
      </c>
      <c r="L35" s="17" t="s">
        <v>201</v>
      </c>
      <c r="M35" s="16"/>
      <c r="N35" s="12">
        <v>16</v>
      </c>
      <c r="O35" s="12" t="s">
        <v>70</v>
      </c>
      <c r="P35" s="15">
        <v>2.5</v>
      </c>
      <c r="Q35" s="65">
        <f>0.01</f>
        <v>0.01</v>
      </c>
      <c r="R35" s="46">
        <f t="shared" si="2"/>
        <v>0.799</v>
      </c>
      <c r="S35" s="12">
        <f t="shared" si="12"/>
        <v>0.799</v>
      </c>
      <c r="T35" s="12" t="s">
        <v>200</v>
      </c>
      <c r="U35" s="5">
        <f t="shared" si="13"/>
        <v>0.799</v>
      </c>
      <c r="V35" s="25">
        <v>0</v>
      </c>
      <c r="W35" s="5">
        <f t="shared" si="14"/>
        <v>0.799</v>
      </c>
      <c r="X35" s="5">
        <f t="shared" si="15"/>
        <v>0</v>
      </c>
      <c r="Y35" s="5">
        <f t="shared" si="16"/>
        <v>0</v>
      </c>
      <c r="Z35" s="12" t="s">
        <v>201</v>
      </c>
    </row>
    <row r="36" spans="1:26" s="1" customFormat="1" ht="22.5">
      <c r="A36" s="18">
        <v>17</v>
      </c>
      <c r="B36" s="12" t="s">
        <v>71</v>
      </c>
      <c r="C36" s="56">
        <v>4</v>
      </c>
      <c r="D36" s="46">
        <v>0.3</v>
      </c>
      <c r="E36" s="12">
        <f t="shared" si="7"/>
        <v>0.3</v>
      </c>
      <c r="F36" s="12" t="s">
        <v>200</v>
      </c>
      <c r="G36" s="5">
        <f t="shared" si="8"/>
        <v>0.3</v>
      </c>
      <c r="H36" s="25">
        <v>0</v>
      </c>
      <c r="I36" s="5">
        <f t="shared" si="9"/>
        <v>0.3</v>
      </c>
      <c r="J36" s="5">
        <f t="shared" si="10"/>
        <v>0</v>
      </c>
      <c r="K36" s="5">
        <f t="shared" si="11"/>
        <v>0</v>
      </c>
      <c r="L36" s="17" t="s">
        <v>201</v>
      </c>
      <c r="M36" s="16"/>
      <c r="N36" s="12">
        <v>17</v>
      </c>
      <c r="O36" s="12" t="s">
        <v>71</v>
      </c>
      <c r="P36" s="15">
        <v>4</v>
      </c>
      <c r="Q36" s="65">
        <f>0.005+0.0043-0.0054+0.0032</f>
        <v>0.007099999999999999</v>
      </c>
      <c r="R36" s="46">
        <f t="shared" si="2"/>
        <v>0.3071</v>
      </c>
      <c r="S36" s="12">
        <f t="shared" si="12"/>
        <v>0.3071</v>
      </c>
      <c r="T36" s="12" t="s">
        <v>200</v>
      </c>
      <c r="U36" s="5">
        <f t="shared" si="13"/>
        <v>0.3071</v>
      </c>
      <c r="V36" s="25">
        <v>0</v>
      </c>
      <c r="W36" s="5">
        <f t="shared" si="14"/>
        <v>0.3071</v>
      </c>
      <c r="X36" s="5">
        <f t="shared" si="15"/>
        <v>0</v>
      </c>
      <c r="Y36" s="5">
        <f t="shared" si="16"/>
        <v>0</v>
      </c>
      <c r="Z36" s="12" t="s">
        <v>201</v>
      </c>
    </row>
    <row r="37" spans="1:26" s="1" customFormat="1" ht="22.5">
      <c r="A37" s="18">
        <v>18</v>
      </c>
      <c r="B37" s="12" t="s">
        <v>72</v>
      </c>
      <c r="C37" s="56">
        <v>2.5</v>
      </c>
      <c r="D37" s="46">
        <v>0.494</v>
      </c>
      <c r="E37" s="12">
        <f t="shared" si="7"/>
        <v>0.494</v>
      </c>
      <c r="F37" s="12" t="s">
        <v>200</v>
      </c>
      <c r="G37" s="5">
        <f t="shared" si="8"/>
        <v>0.494</v>
      </c>
      <c r="H37" s="25">
        <v>0</v>
      </c>
      <c r="I37" s="5">
        <f t="shared" si="9"/>
        <v>0.494</v>
      </c>
      <c r="J37" s="5">
        <f t="shared" si="10"/>
        <v>0</v>
      </c>
      <c r="K37" s="5">
        <f t="shared" si="11"/>
        <v>0</v>
      </c>
      <c r="L37" s="17" t="s">
        <v>201</v>
      </c>
      <c r="M37" s="16"/>
      <c r="N37" s="12">
        <v>18</v>
      </c>
      <c r="O37" s="12" t="s">
        <v>72</v>
      </c>
      <c r="P37" s="15">
        <v>2.5</v>
      </c>
      <c r="Q37" s="65">
        <f>0.02+0.005+0.002+0.011+0.016+0.0161-0.0129+0.0462+0.028</f>
        <v>0.13140000000000002</v>
      </c>
      <c r="R37" s="46">
        <f t="shared" si="2"/>
        <v>0.6254</v>
      </c>
      <c r="S37" s="12">
        <f t="shared" si="12"/>
        <v>0.6254</v>
      </c>
      <c r="T37" s="12" t="s">
        <v>200</v>
      </c>
      <c r="U37" s="5">
        <f t="shared" si="13"/>
        <v>0.6254</v>
      </c>
      <c r="V37" s="25">
        <v>0</v>
      </c>
      <c r="W37" s="5">
        <f t="shared" si="14"/>
        <v>0.6254</v>
      </c>
      <c r="X37" s="5">
        <f t="shared" si="15"/>
        <v>0</v>
      </c>
      <c r="Y37" s="5">
        <f t="shared" si="16"/>
        <v>0</v>
      </c>
      <c r="Z37" s="12" t="s">
        <v>201</v>
      </c>
    </row>
    <row r="38" spans="1:26" s="1" customFormat="1" ht="22.5">
      <c r="A38" s="18">
        <v>19</v>
      </c>
      <c r="B38" s="12" t="s">
        <v>73</v>
      </c>
      <c r="C38" s="56">
        <v>4</v>
      </c>
      <c r="D38" s="46">
        <v>0.772</v>
      </c>
      <c r="E38" s="12">
        <f t="shared" si="7"/>
        <v>0.772</v>
      </c>
      <c r="F38" s="12" t="s">
        <v>200</v>
      </c>
      <c r="G38" s="5">
        <f t="shared" si="8"/>
        <v>0.772</v>
      </c>
      <c r="H38" s="25">
        <v>0</v>
      </c>
      <c r="I38" s="5">
        <f t="shared" si="9"/>
        <v>0.772</v>
      </c>
      <c r="J38" s="5">
        <f t="shared" si="10"/>
        <v>0</v>
      </c>
      <c r="K38" s="5">
        <f t="shared" si="11"/>
        <v>0</v>
      </c>
      <c r="L38" s="17" t="s">
        <v>201</v>
      </c>
      <c r="M38" s="16"/>
      <c r="N38" s="12">
        <v>19</v>
      </c>
      <c r="O38" s="12" t="s">
        <v>73</v>
      </c>
      <c r="P38" s="15">
        <v>4</v>
      </c>
      <c r="Q38" s="65">
        <f>0.009+1.129+0.0161+0.0462-0.5209+0.1613+0.1613+0.269</f>
        <v>1.271</v>
      </c>
      <c r="R38" s="46">
        <f t="shared" si="2"/>
        <v>2.043</v>
      </c>
      <c r="S38" s="12">
        <f t="shared" si="12"/>
        <v>2.043</v>
      </c>
      <c r="T38" s="12" t="s">
        <v>200</v>
      </c>
      <c r="U38" s="5">
        <f t="shared" si="13"/>
        <v>2.043</v>
      </c>
      <c r="V38" s="25">
        <v>0</v>
      </c>
      <c r="W38" s="5">
        <f t="shared" si="14"/>
        <v>2.043</v>
      </c>
      <c r="X38" s="5">
        <f t="shared" si="15"/>
        <v>0</v>
      </c>
      <c r="Y38" s="5">
        <f t="shared" si="16"/>
        <v>0</v>
      </c>
      <c r="Z38" s="12" t="s">
        <v>201</v>
      </c>
    </row>
    <row r="39" spans="1:26" s="1" customFormat="1" ht="22.5">
      <c r="A39" s="18">
        <v>20</v>
      </c>
      <c r="B39" s="12" t="s">
        <v>74</v>
      </c>
      <c r="C39" s="56">
        <v>2.5</v>
      </c>
      <c r="D39" s="46">
        <v>0.685</v>
      </c>
      <c r="E39" s="12">
        <f t="shared" si="7"/>
        <v>0.685</v>
      </c>
      <c r="F39" s="12" t="s">
        <v>200</v>
      </c>
      <c r="G39" s="5">
        <f t="shared" si="8"/>
        <v>0.685</v>
      </c>
      <c r="H39" s="25">
        <v>0</v>
      </c>
      <c r="I39" s="5">
        <f t="shared" si="9"/>
        <v>0.685</v>
      </c>
      <c r="J39" s="5">
        <f t="shared" si="10"/>
        <v>0</v>
      </c>
      <c r="K39" s="5">
        <f t="shared" si="11"/>
        <v>0</v>
      </c>
      <c r="L39" s="17" t="s">
        <v>201</v>
      </c>
      <c r="M39" s="16"/>
      <c r="N39" s="12">
        <v>20</v>
      </c>
      <c r="O39" s="12" t="s">
        <v>74</v>
      </c>
      <c r="P39" s="15">
        <v>2.5</v>
      </c>
      <c r="Q39" s="65">
        <f>0.03+0.016+0.008</f>
        <v>0.054</v>
      </c>
      <c r="R39" s="46">
        <f t="shared" si="2"/>
        <v>0.7390000000000001</v>
      </c>
      <c r="S39" s="12">
        <f t="shared" si="12"/>
        <v>0.7390000000000001</v>
      </c>
      <c r="T39" s="12" t="s">
        <v>200</v>
      </c>
      <c r="U39" s="5">
        <f t="shared" si="13"/>
        <v>0.7390000000000001</v>
      </c>
      <c r="V39" s="25">
        <v>0</v>
      </c>
      <c r="W39" s="5">
        <f t="shared" si="14"/>
        <v>0.7390000000000001</v>
      </c>
      <c r="X39" s="5">
        <f t="shared" si="15"/>
        <v>0</v>
      </c>
      <c r="Y39" s="5">
        <f t="shared" si="16"/>
        <v>0</v>
      </c>
      <c r="Z39" s="12" t="s">
        <v>201</v>
      </c>
    </row>
    <row r="40" spans="1:26" s="1" customFormat="1" ht="22.5">
      <c r="A40" s="18">
        <v>21</v>
      </c>
      <c r="B40" s="12" t="s">
        <v>75</v>
      </c>
      <c r="C40" s="56">
        <v>1</v>
      </c>
      <c r="D40" s="46">
        <v>0.085</v>
      </c>
      <c r="E40" s="12">
        <f t="shared" si="7"/>
        <v>0.085</v>
      </c>
      <c r="F40" s="12" t="s">
        <v>200</v>
      </c>
      <c r="G40" s="5">
        <f t="shared" si="8"/>
        <v>0.085</v>
      </c>
      <c r="H40" s="25">
        <v>0</v>
      </c>
      <c r="I40" s="5">
        <f t="shared" si="9"/>
        <v>0.085</v>
      </c>
      <c r="J40" s="5">
        <f t="shared" si="10"/>
        <v>0</v>
      </c>
      <c r="K40" s="5">
        <f t="shared" si="11"/>
        <v>0</v>
      </c>
      <c r="L40" s="17" t="s">
        <v>201</v>
      </c>
      <c r="M40" s="16"/>
      <c r="N40" s="12">
        <v>21</v>
      </c>
      <c r="O40" s="12" t="s">
        <v>75</v>
      </c>
      <c r="P40" s="15">
        <v>1</v>
      </c>
      <c r="Q40" s="65">
        <v>0</v>
      </c>
      <c r="R40" s="46">
        <f t="shared" si="2"/>
        <v>0.085</v>
      </c>
      <c r="S40" s="12">
        <f t="shared" si="12"/>
        <v>0.085</v>
      </c>
      <c r="T40" s="12" t="s">
        <v>200</v>
      </c>
      <c r="U40" s="5">
        <f t="shared" si="13"/>
        <v>0.085</v>
      </c>
      <c r="V40" s="25">
        <v>0</v>
      </c>
      <c r="W40" s="5">
        <f t="shared" si="14"/>
        <v>0.085</v>
      </c>
      <c r="X40" s="5">
        <f t="shared" si="15"/>
        <v>0</v>
      </c>
      <c r="Y40" s="5">
        <f t="shared" si="16"/>
        <v>0</v>
      </c>
      <c r="Z40" s="12" t="s">
        <v>201</v>
      </c>
    </row>
    <row r="41" spans="1:26" s="1" customFormat="1" ht="24.75" customHeight="1">
      <c r="A41" s="18">
        <v>22</v>
      </c>
      <c r="B41" s="12" t="s">
        <v>76</v>
      </c>
      <c r="C41" s="56">
        <v>4</v>
      </c>
      <c r="D41" s="46">
        <v>0.667</v>
      </c>
      <c r="E41" s="12">
        <f t="shared" si="7"/>
        <v>0.667</v>
      </c>
      <c r="F41" s="12" t="s">
        <v>200</v>
      </c>
      <c r="G41" s="5">
        <f t="shared" si="8"/>
        <v>0.667</v>
      </c>
      <c r="H41" s="25">
        <v>0</v>
      </c>
      <c r="I41" s="5">
        <f t="shared" si="9"/>
        <v>0.667</v>
      </c>
      <c r="J41" s="5">
        <f t="shared" si="10"/>
        <v>0</v>
      </c>
      <c r="K41" s="5">
        <f t="shared" si="11"/>
        <v>0</v>
      </c>
      <c r="L41" s="17" t="s">
        <v>201</v>
      </c>
      <c r="M41" s="16"/>
      <c r="N41" s="12">
        <v>22</v>
      </c>
      <c r="O41" s="12" t="s">
        <v>76</v>
      </c>
      <c r="P41" s="15">
        <v>4</v>
      </c>
      <c r="Q41" s="65">
        <f>0.1+0.01+0.007-0.0032+0.006</f>
        <v>0.11980000000000002</v>
      </c>
      <c r="R41" s="46">
        <f t="shared" si="2"/>
        <v>0.7868</v>
      </c>
      <c r="S41" s="12">
        <f t="shared" si="12"/>
        <v>0.7868</v>
      </c>
      <c r="T41" s="12" t="s">
        <v>200</v>
      </c>
      <c r="U41" s="5">
        <f t="shared" si="13"/>
        <v>0.7868</v>
      </c>
      <c r="V41" s="25">
        <v>0</v>
      </c>
      <c r="W41" s="5">
        <f t="shared" si="14"/>
        <v>0.7868</v>
      </c>
      <c r="X41" s="5">
        <f t="shared" si="15"/>
        <v>0</v>
      </c>
      <c r="Y41" s="5">
        <f t="shared" si="16"/>
        <v>0</v>
      </c>
      <c r="Z41" s="12" t="s">
        <v>201</v>
      </c>
    </row>
    <row r="42" spans="1:26" s="1" customFormat="1" ht="22.5">
      <c r="A42" s="18">
        <v>23</v>
      </c>
      <c r="B42" s="12" t="s">
        <v>77</v>
      </c>
      <c r="C42" s="56">
        <v>2.5</v>
      </c>
      <c r="D42" s="46">
        <v>0.624</v>
      </c>
      <c r="E42" s="12">
        <f t="shared" si="7"/>
        <v>0.624</v>
      </c>
      <c r="F42" s="12" t="s">
        <v>200</v>
      </c>
      <c r="G42" s="5">
        <f t="shared" si="8"/>
        <v>0.624</v>
      </c>
      <c r="H42" s="25">
        <v>0</v>
      </c>
      <c r="I42" s="5">
        <f t="shared" si="9"/>
        <v>0.624</v>
      </c>
      <c r="J42" s="5">
        <f t="shared" si="10"/>
        <v>0</v>
      </c>
      <c r="K42" s="5">
        <f t="shared" si="11"/>
        <v>0</v>
      </c>
      <c r="L42" s="17" t="s">
        <v>201</v>
      </c>
      <c r="M42" s="16"/>
      <c r="N42" s="12">
        <v>23</v>
      </c>
      <c r="O42" s="12" t="s">
        <v>77</v>
      </c>
      <c r="P42" s="15">
        <v>2.5</v>
      </c>
      <c r="Q42" s="65">
        <f>0.005+0.003+0.005+0.0156</f>
        <v>0.0286</v>
      </c>
      <c r="R42" s="46">
        <f t="shared" si="2"/>
        <v>0.6526</v>
      </c>
      <c r="S42" s="12">
        <f t="shared" si="12"/>
        <v>0.6526</v>
      </c>
      <c r="T42" s="12" t="s">
        <v>200</v>
      </c>
      <c r="U42" s="5">
        <f t="shared" si="13"/>
        <v>0.6526</v>
      </c>
      <c r="V42" s="25">
        <v>0</v>
      </c>
      <c r="W42" s="5">
        <f t="shared" si="14"/>
        <v>0.6526</v>
      </c>
      <c r="X42" s="5">
        <f t="shared" si="15"/>
        <v>0</v>
      </c>
      <c r="Y42" s="5">
        <f t="shared" si="16"/>
        <v>0</v>
      </c>
      <c r="Z42" s="12" t="s">
        <v>201</v>
      </c>
    </row>
    <row r="43" spans="1:26" s="1" customFormat="1" ht="22.5">
      <c r="A43" s="18">
        <v>24</v>
      </c>
      <c r="B43" s="12" t="s">
        <v>78</v>
      </c>
      <c r="C43" s="56">
        <v>1</v>
      </c>
      <c r="D43" s="46">
        <v>0.179</v>
      </c>
      <c r="E43" s="12">
        <f t="shared" si="7"/>
        <v>0.179</v>
      </c>
      <c r="F43" s="12" t="s">
        <v>200</v>
      </c>
      <c r="G43" s="5">
        <f t="shared" si="8"/>
        <v>0.179</v>
      </c>
      <c r="H43" s="25">
        <v>0</v>
      </c>
      <c r="I43" s="5">
        <f t="shared" si="9"/>
        <v>0.179</v>
      </c>
      <c r="J43" s="5">
        <f t="shared" si="10"/>
        <v>0</v>
      </c>
      <c r="K43" s="5">
        <f t="shared" si="11"/>
        <v>0</v>
      </c>
      <c r="L43" s="17" t="s">
        <v>201</v>
      </c>
      <c r="M43" s="16"/>
      <c r="N43" s="12">
        <v>24</v>
      </c>
      <c r="O43" s="12" t="s">
        <v>78</v>
      </c>
      <c r="P43" s="15">
        <v>1</v>
      </c>
      <c r="Q43" s="65">
        <v>0</v>
      </c>
      <c r="R43" s="46">
        <f t="shared" si="2"/>
        <v>0.179</v>
      </c>
      <c r="S43" s="12">
        <f t="shared" si="12"/>
        <v>0.179</v>
      </c>
      <c r="T43" s="12" t="s">
        <v>200</v>
      </c>
      <c r="U43" s="5">
        <f t="shared" si="13"/>
        <v>0.179</v>
      </c>
      <c r="V43" s="25">
        <v>0</v>
      </c>
      <c r="W43" s="5">
        <f t="shared" si="14"/>
        <v>0.179</v>
      </c>
      <c r="X43" s="5">
        <f t="shared" si="15"/>
        <v>0</v>
      </c>
      <c r="Y43" s="5">
        <f t="shared" si="16"/>
        <v>0</v>
      </c>
      <c r="Z43" s="12" t="s">
        <v>201</v>
      </c>
    </row>
    <row r="44" spans="1:26" s="1" customFormat="1" ht="22.5">
      <c r="A44" s="18">
        <v>25</v>
      </c>
      <c r="B44" s="12" t="s">
        <v>79</v>
      </c>
      <c r="C44" s="56">
        <v>2.5</v>
      </c>
      <c r="D44" s="46">
        <v>0.434</v>
      </c>
      <c r="E44" s="12">
        <f t="shared" si="7"/>
        <v>0.434</v>
      </c>
      <c r="F44" s="12" t="s">
        <v>200</v>
      </c>
      <c r="G44" s="5">
        <f t="shared" si="8"/>
        <v>0.434</v>
      </c>
      <c r="H44" s="25">
        <v>0</v>
      </c>
      <c r="I44" s="5">
        <f t="shared" si="9"/>
        <v>0.434</v>
      </c>
      <c r="J44" s="5">
        <f t="shared" si="10"/>
        <v>0</v>
      </c>
      <c r="K44" s="5">
        <f t="shared" si="11"/>
        <v>0</v>
      </c>
      <c r="L44" s="17" t="s">
        <v>201</v>
      </c>
      <c r="M44" s="16"/>
      <c r="N44" s="12">
        <v>25</v>
      </c>
      <c r="O44" s="12" t="s">
        <v>79</v>
      </c>
      <c r="P44" s="15">
        <v>2.5</v>
      </c>
      <c r="Q44" s="65">
        <f>0.003+0.005+0.003+0.003-0.0086</f>
        <v>0.0053999999999999986</v>
      </c>
      <c r="R44" s="46">
        <f t="shared" si="2"/>
        <v>0.4394</v>
      </c>
      <c r="S44" s="12">
        <f t="shared" si="12"/>
        <v>0.4394</v>
      </c>
      <c r="T44" s="12" t="s">
        <v>200</v>
      </c>
      <c r="U44" s="5">
        <f t="shared" si="13"/>
        <v>0.4394</v>
      </c>
      <c r="V44" s="25">
        <v>0</v>
      </c>
      <c r="W44" s="5">
        <f t="shared" si="14"/>
        <v>0.4394</v>
      </c>
      <c r="X44" s="5">
        <f t="shared" si="15"/>
        <v>0</v>
      </c>
      <c r="Y44" s="5">
        <f t="shared" si="16"/>
        <v>0</v>
      </c>
      <c r="Z44" s="12" t="s">
        <v>201</v>
      </c>
    </row>
    <row r="45" spans="1:26" s="1" customFormat="1" ht="22.5">
      <c r="A45" s="18">
        <v>26</v>
      </c>
      <c r="B45" s="12" t="s">
        <v>80</v>
      </c>
      <c r="C45" s="56">
        <v>1.6</v>
      </c>
      <c r="D45" s="46">
        <v>0.651</v>
      </c>
      <c r="E45" s="12">
        <f t="shared" si="7"/>
        <v>0.651</v>
      </c>
      <c r="F45" s="12" t="s">
        <v>200</v>
      </c>
      <c r="G45" s="5">
        <f t="shared" si="8"/>
        <v>0.651</v>
      </c>
      <c r="H45" s="25">
        <v>0</v>
      </c>
      <c r="I45" s="5">
        <f t="shared" si="9"/>
        <v>0.651</v>
      </c>
      <c r="J45" s="5">
        <f t="shared" si="10"/>
        <v>0</v>
      </c>
      <c r="K45" s="5">
        <f t="shared" si="11"/>
        <v>0</v>
      </c>
      <c r="L45" s="17" t="s">
        <v>201</v>
      </c>
      <c r="M45" s="16"/>
      <c r="N45" s="12">
        <v>26</v>
      </c>
      <c r="O45" s="12" t="s">
        <v>80</v>
      </c>
      <c r="P45" s="15">
        <v>1.6</v>
      </c>
      <c r="Q45" s="65">
        <f>0.022+0.01+0.024+0.016+0.0054+0.0183</f>
        <v>0.09570000000000001</v>
      </c>
      <c r="R45" s="46">
        <f t="shared" si="2"/>
        <v>0.7467</v>
      </c>
      <c r="S45" s="12">
        <f t="shared" si="12"/>
        <v>0.7467</v>
      </c>
      <c r="T45" s="12" t="s">
        <v>200</v>
      </c>
      <c r="U45" s="5">
        <f t="shared" si="13"/>
        <v>0.7467</v>
      </c>
      <c r="V45" s="25">
        <v>0</v>
      </c>
      <c r="W45" s="5">
        <f t="shared" si="14"/>
        <v>0.7467</v>
      </c>
      <c r="X45" s="5">
        <f t="shared" si="15"/>
        <v>0</v>
      </c>
      <c r="Y45" s="5">
        <f t="shared" si="16"/>
        <v>0</v>
      </c>
      <c r="Z45" s="12" t="s">
        <v>201</v>
      </c>
    </row>
    <row r="46" spans="1:26" s="1" customFormat="1" ht="22.5">
      <c r="A46" s="18">
        <v>27</v>
      </c>
      <c r="B46" s="12" t="s">
        <v>81</v>
      </c>
      <c r="C46" s="56">
        <v>1.6</v>
      </c>
      <c r="D46" s="46">
        <v>0.155</v>
      </c>
      <c r="E46" s="12">
        <f t="shared" si="7"/>
        <v>0.155</v>
      </c>
      <c r="F46" s="12" t="s">
        <v>200</v>
      </c>
      <c r="G46" s="5">
        <f t="shared" si="8"/>
        <v>0.155</v>
      </c>
      <c r="H46" s="25">
        <v>0</v>
      </c>
      <c r="I46" s="5">
        <f t="shared" si="9"/>
        <v>0.155</v>
      </c>
      <c r="J46" s="5">
        <f t="shared" si="10"/>
        <v>0</v>
      </c>
      <c r="K46" s="5">
        <f t="shared" si="11"/>
        <v>0</v>
      </c>
      <c r="L46" s="17" t="s">
        <v>201</v>
      </c>
      <c r="M46" s="16"/>
      <c r="N46" s="12">
        <v>27</v>
      </c>
      <c r="O46" s="12" t="s">
        <v>81</v>
      </c>
      <c r="P46" s="15">
        <v>1.6</v>
      </c>
      <c r="Q46" s="65">
        <f>0.005+0.005+0.007+0.005+0.0054+0.0048+0.0032+0.0065</f>
        <v>0.0419</v>
      </c>
      <c r="R46" s="46">
        <f t="shared" si="2"/>
        <v>0.1969</v>
      </c>
      <c r="S46" s="12">
        <f t="shared" si="12"/>
        <v>0.1969</v>
      </c>
      <c r="T46" s="12" t="s">
        <v>200</v>
      </c>
      <c r="U46" s="5">
        <f t="shared" si="13"/>
        <v>0.1969</v>
      </c>
      <c r="V46" s="25">
        <v>0</v>
      </c>
      <c r="W46" s="5">
        <f t="shared" si="14"/>
        <v>0.1969</v>
      </c>
      <c r="X46" s="5">
        <f t="shared" si="15"/>
        <v>0</v>
      </c>
      <c r="Y46" s="5">
        <f t="shared" si="16"/>
        <v>0</v>
      </c>
      <c r="Z46" s="12" t="s">
        <v>201</v>
      </c>
    </row>
    <row r="47" spans="1:26" s="1" customFormat="1" ht="22.5">
      <c r="A47" s="18">
        <v>28</v>
      </c>
      <c r="B47" s="12" t="s">
        <v>82</v>
      </c>
      <c r="C47" s="56">
        <v>1.6</v>
      </c>
      <c r="D47" s="46">
        <v>0.049</v>
      </c>
      <c r="E47" s="12">
        <f t="shared" si="7"/>
        <v>0.049</v>
      </c>
      <c r="F47" s="12" t="s">
        <v>200</v>
      </c>
      <c r="G47" s="5">
        <f t="shared" si="8"/>
        <v>0.049</v>
      </c>
      <c r="H47" s="25">
        <v>0</v>
      </c>
      <c r="I47" s="5">
        <f t="shared" si="9"/>
        <v>0.049</v>
      </c>
      <c r="J47" s="5">
        <f t="shared" si="10"/>
        <v>0</v>
      </c>
      <c r="K47" s="5">
        <f t="shared" si="11"/>
        <v>0</v>
      </c>
      <c r="L47" s="17" t="s">
        <v>201</v>
      </c>
      <c r="M47" s="16"/>
      <c r="N47" s="12">
        <v>28</v>
      </c>
      <c r="O47" s="12" t="s">
        <v>82</v>
      </c>
      <c r="P47" s="15">
        <v>1.6</v>
      </c>
      <c r="Q47" s="65">
        <v>0</v>
      </c>
      <c r="R47" s="46">
        <f t="shared" si="2"/>
        <v>0.049</v>
      </c>
      <c r="S47" s="12">
        <f t="shared" si="12"/>
        <v>0.049</v>
      </c>
      <c r="T47" s="12" t="s">
        <v>200</v>
      </c>
      <c r="U47" s="5">
        <f t="shared" si="13"/>
        <v>0.049</v>
      </c>
      <c r="V47" s="25">
        <v>0</v>
      </c>
      <c r="W47" s="5">
        <f t="shared" si="14"/>
        <v>0.049</v>
      </c>
      <c r="X47" s="5">
        <f t="shared" si="15"/>
        <v>0</v>
      </c>
      <c r="Y47" s="5">
        <f t="shared" si="16"/>
        <v>0</v>
      </c>
      <c r="Z47" s="12" t="s">
        <v>201</v>
      </c>
    </row>
    <row r="48" spans="1:26" s="1" customFormat="1" ht="22.5">
      <c r="A48" s="18">
        <v>29</v>
      </c>
      <c r="B48" s="12" t="s">
        <v>83</v>
      </c>
      <c r="C48" s="56">
        <v>2.5</v>
      </c>
      <c r="D48" s="46">
        <v>0.58</v>
      </c>
      <c r="E48" s="12">
        <f t="shared" si="7"/>
        <v>0.58</v>
      </c>
      <c r="F48" s="12" t="s">
        <v>200</v>
      </c>
      <c r="G48" s="5">
        <f t="shared" si="8"/>
        <v>0.58</v>
      </c>
      <c r="H48" s="25">
        <v>0</v>
      </c>
      <c r="I48" s="5">
        <f t="shared" si="9"/>
        <v>0.58</v>
      </c>
      <c r="J48" s="5">
        <f t="shared" si="10"/>
        <v>0</v>
      </c>
      <c r="K48" s="5">
        <f t="shared" si="11"/>
        <v>0</v>
      </c>
      <c r="L48" s="17" t="s">
        <v>201</v>
      </c>
      <c r="M48" s="16"/>
      <c r="N48" s="12">
        <v>29</v>
      </c>
      <c r="O48" s="12" t="s">
        <v>83</v>
      </c>
      <c r="P48" s="15">
        <v>2.5</v>
      </c>
      <c r="Q48" s="65">
        <f>0.025+0.009+0.016+0.065+0.0043-0.1011+0.0155+0.0054</f>
        <v>0.03910000000000001</v>
      </c>
      <c r="R48" s="46">
        <f t="shared" si="2"/>
        <v>0.6191</v>
      </c>
      <c r="S48" s="12">
        <f t="shared" si="12"/>
        <v>0.6191</v>
      </c>
      <c r="T48" s="12" t="s">
        <v>200</v>
      </c>
      <c r="U48" s="5">
        <f t="shared" si="13"/>
        <v>0.6191</v>
      </c>
      <c r="V48" s="25">
        <v>0</v>
      </c>
      <c r="W48" s="5">
        <f t="shared" si="14"/>
        <v>0.6191</v>
      </c>
      <c r="X48" s="5">
        <f t="shared" si="15"/>
        <v>0</v>
      </c>
      <c r="Y48" s="5">
        <f t="shared" si="16"/>
        <v>0</v>
      </c>
      <c r="Z48" s="12" t="s">
        <v>201</v>
      </c>
    </row>
    <row r="49" spans="1:26" s="1" customFormat="1" ht="22.5">
      <c r="A49" s="85">
        <v>30</v>
      </c>
      <c r="B49" s="25" t="s">
        <v>84</v>
      </c>
      <c r="C49" s="52" t="s">
        <v>11</v>
      </c>
      <c r="D49" s="47">
        <f>D50+D51</f>
        <v>21.1</v>
      </c>
      <c r="E49" s="25">
        <f>E50+E51</f>
        <v>0</v>
      </c>
      <c r="F49" s="25">
        <v>0</v>
      </c>
      <c r="G49" s="26">
        <f aca="true" t="shared" si="17" ref="G49:G71">D49-E49</f>
        <v>21.1</v>
      </c>
      <c r="H49" s="25">
        <v>0</v>
      </c>
      <c r="I49" s="24">
        <f>1.05*40</f>
        <v>42</v>
      </c>
      <c r="J49" s="5">
        <f>I49-G49-H49</f>
        <v>20.9</v>
      </c>
      <c r="K49" s="84">
        <f>MIN(J49:J51)</f>
        <v>20.9</v>
      </c>
      <c r="L49" s="81" t="s">
        <v>201</v>
      </c>
      <c r="M49" s="16"/>
      <c r="N49" s="81">
        <v>30</v>
      </c>
      <c r="O49" s="25" t="s">
        <v>84</v>
      </c>
      <c r="P49" s="28" t="s">
        <v>11</v>
      </c>
      <c r="Q49" s="64">
        <f>Q51</f>
        <v>0.019</v>
      </c>
      <c r="R49" s="46">
        <f>R50+R51</f>
        <v>21.119</v>
      </c>
      <c r="S49" s="25">
        <f>S50+S51</f>
        <v>0</v>
      </c>
      <c r="T49" s="25">
        <v>0</v>
      </c>
      <c r="U49" s="26">
        <f aca="true" t="shared" si="18" ref="U49:U71">R49-S49</f>
        <v>21.119</v>
      </c>
      <c r="V49" s="25">
        <v>0</v>
      </c>
      <c r="W49" s="24">
        <f>1.05*40</f>
        <v>42</v>
      </c>
      <c r="X49" s="5">
        <f>W49-U49-V49</f>
        <v>20.881</v>
      </c>
      <c r="Y49" s="132">
        <f>MIN(X49:X51)</f>
        <v>20.881</v>
      </c>
      <c r="Z49" s="81" t="s">
        <v>201</v>
      </c>
    </row>
    <row r="50" spans="1:26" s="1" customFormat="1" ht="24" customHeight="1">
      <c r="A50" s="108"/>
      <c r="B50" s="27" t="s">
        <v>50</v>
      </c>
      <c r="C50" s="52" t="s">
        <v>11</v>
      </c>
      <c r="D50" s="47">
        <v>3.5</v>
      </c>
      <c r="E50" s="25">
        <v>0</v>
      </c>
      <c r="F50" s="25">
        <v>0</v>
      </c>
      <c r="G50" s="26">
        <f t="shared" si="17"/>
        <v>3.5</v>
      </c>
      <c r="H50" s="25">
        <v>0</v>
      </c>
      <c r="I50" s="24">
        <f>1.05*40</f>
        <v>42</v>
      </c>
      <c r="J50" s="5">
        <f>I50-D50</f>
        <v>38.5</v>
      </c>
      <c r="K50" s="82"/>
      <c r="L50" s="82"/>
      <c r="M50" s="16"/>
      <c r="N50" s="82"/>
      <c r="O50" s="27" t="s">
        <v>50</v>
      </c>
      <c r="P50" s="28" t="s">
        <v>11</v>
      </c>
      <c r="Q50" s="64"/>
      <c r="R50" s="46">
        <f t="shared" si="2"/>
        <v>3.5</v>
      </c>
      <c r="S50" s="25">
        <v>0</v>
      </c>
      <c r="T50" s="25">
        <v>0</v>
      </c>
      <c r="U50" s="26">
        <f t="shared" si="18"/>
        <v>3.5</v>
      </c>
      <c r="V50" s="25">
        <v>0</v>
      </c>
      <c r="W50" s="24">
        <f>1.05*40</f>
        <v>42</v>
      </c>
      <c r="X50" s="5">
        <f>W50-R50</f>
        <v>38.5</v>
      </c>
      <c r="Y50" s="133"/>
      <c r="Z50" s="106"/>
    </row>
    <row r="51" spans="1:26" s="1" customFormat="1" ht="21.75" customHeight="1">
      <c r="A51" s="109"/>
      <c r="B51" s="27" t="s">
        <v>51</v>
      </c>
      <c r="C51" s="52" t="s">
        <v>11</v>
      </c>
      <c r="D51" s="47">
        <v>17.6</v>
      </c>
      <c r="E51" s="25">
        <v>0</v>
      </c>
      <c r="F51" s="25">
        <v>0</v>
      </c>
      <c r="G51" s="26">
        <f t="shared" si="17"/>
        <v>17.6</v>
      </c>
      <c r="H51" s="25">
        <v>0</v>
      </c>
      <c r="I51" s="24">
        <f>1.05*40</f>
        <v>42</v>
      </c>
      <c r="J51" s="5">
        <f aca="true" t="shared" si="19" ref="J51:J57">I51-G51-H51</f>
        <v>24.4</v>
      </c>
      <c r="K51" s="83"/>
      <c r="L51" s="83"/>
      <c r="M51" s="16"/>
      <c r="N51" s="83"/>
      <c r="O51" s="27" t="s">
        <v>51</v>
      </c>
      <c r="P51" s="28" t="s">
        <v>11</v>
      </c>
      <c r="Q51" s="64">
        <f>0.005+0.009+0.005+0.0048-0.0048</f>
        <v>0.019</v>
      </c>
      <c r="R51" s="46">
        <f t="shared" si="2"/>
        <v>17.619</v>
      </c>
      <c r="S51" s="25">
        <v>0</v>
      </c>
      <c r="T51" s="25">
        <v>0</v>
      </c>
      <c r="U51" s="26">
        <f t="shared" si="18"/>
        <v>17.619</v>
      </c>
      <c r="V51" s="25">
        <v>0</v>
      </c>
      <c r="W51" s="24">
        <f>1.05*40</f>
        <v>42</v>
      </c>
      <c r="X51" s="5">
        <f aca="true" t="shared" si="20" ref="X51:X57">W51-U51-V51</f>
        <v>24.381</v>
      </c>
      <c r="Y51" s="134"/>
      <c r="Z51" s="107"/>
    </row>
    <row r="52" spans="1:26" s="1" customFormat="1" ht="22.5">
      <c r="A52" s="18">
        <v>31</v>
      </c>
      <c r="B52" s="54" t="s">
        <v>85</v>
      </c>
      <c r="C52" s="52" t="s">
        <v>3</v>
      </c>
      <c r="D52" s="47">
        <v>0.736</v>
      </c>
      <c r="E52" s="25">
        <v>0</v>
      </c>
      <c r="F52" s="25">
        <v>0</v>
      </c>
      <c r="G52" s="26">
        <f t="shared" si="17"/>
        <v>0.736</v>
      </c>
      <c r="H52" s="25">
        <v>0</v>
      </c>
      <c r="I52" s="24">
        <f>1.05*6.3</f>
        <v>6.615</v>
      </c>
      <c r="J52" s="6">
        <f t="shared" si="19"/>
        <v>5.8790000000000004</v>
      </c>
      <c r="K52" s="26">
        <f>J52</f>
        <v>5.8790000000000004</v>
      </c>
      <c r="L52" s="17" t="s">
        <v>201</v>
      </c>
      <c r="M52" s="16"/>
      <c r="N52" s="12">
        <v>31</v>
      </c>
      <c r="O52" s="25" t="s">
        <v>85</v>
      </c>
      <c r="P52" s="28" t="s">
        <v>3</v>
      </c>
      <c r="Q52" s="64">
        <f>0.003+0.005+0.005+0.0376+0.0097+0.0032+0.0215</f>
        <v>0.08499999999999999</v>
      </c>
      <c r="R52" s="46">
        <f>Q52+D52</f>
        <v>0.821</v>
      </c>
      <c r="S52" s="25">
        <v>0</v>
      </c>
      <c r="T52" s="25">
        <v>0</v>
      </c>
      <c r="U52" s="26">
        <f t="shared" si="18"/>
        <v>0.821</v>
      </c>
      <c r="V52" s="25">
        <v>0</v>
      </c>
      <c r="W52" s="24">
        <f>1.05*6.3</f>
        <v>6.615</v>
      </c>
      <c r="X52" s="6">
        <f t="shared" si="20"/>
        <v>5.7940000000000005</v>
      </c>
      <c r="Y52" s="26">
        <f>X52</f>
        <v>5.7940000000000005</v>
      </c>
      <c r="Z52" s="12" t="s">
        <v>201</v>
      </c>
    </row>
    <row r="53" spans="1:26" s="36" customFormat="1" ht="22.5">
      <c r="A53" s="22">
        <v>32</v>
      </c>
      <c r="B53" s="31" t="s">
        <v>86</v>
      </c>
      <c r="C53" s="32" t="s">
        <v>20</v>
      </c>
      <c r="D53" s="48">
        <v>34.57</v>
      </c>
      <c r="E53" s="31">
        <v>0</v>
      </c>
      <c r="F53" s="31">
        <v>0</v>
      </c>
      <c r="G53" s="29">
        <f t="shared" si="17"/>
        <v>34.57</v>
      </c>
      <c r="H53" s="31">
        <v>0</v>
      </c>
      <c r="I53" s="30">
        <f>1.05*25</f>
        <v>26.25</v>
      </c>
      <c r="J53" s="4">
        <f t="shared" si="19"/>
        <v>-8.32</v>
      </c>
      <c r="K53" s="48">
        <f>J53</f>
        <v>-8.32</v>
      </c>
      <c r="L53" s="19" t="s">
        <v>202</v>
      </c>
      <c r="M53" s="35"/>
      <c r="N53" s="22">
        <v>32</v>
      </c>
      <c r="O53" s="31" t="s">
        <v>86</v>
      </c>
      <c r="P53" s="32" t="s">
        <v>20</v>
      </c>
      <c r="Q53" s="66">
        <f>3.182+0.629+0.2021+0.5215+0.204</f>
        <v>4.738599999999999</v>
      </c>
      <c r="R53" s="50">
        <f t="shared" si="2"/>
        <v>39.3086</v>
      </c>
      <c r="S53" s="31">
        <v>0</v>
      </c>
      <c r="T53" s="31">
        <v>0</v>
      </c>
      <c r="U53" s="29">
        <f t="shared" si="18"/>
        <v>39.3086</v>
      </c>
      <c r="V53" s="31">
        <v>0</v>
      </c>
      <c r="W53" s="30">
        <f>1.05*25</f>
        <v>26.25</v>
      </c>
      <c r="X53" s="4">
        <f>W53-U53-V53</f>
        <v>-13.058599999999998</v>
      </c>
      <c r="Y53" s="79">
        <f>X53</f>
        <v>-13.058599999999998</v>
      </c>
      <c r="Z53" s="22" t="s">
        <v>202</v>
      </c>
    </row>
    <row r="54" spans="1:26" s="1" customFormat="1" ht="22.5">
      <c r="A54" s="18">
        <v>33</v>
      </c>
      <c r="B54" s="54" t="s">
        <v>87</v>
      </c>
      <c r="C54" s="52" t="s">
        <v>3</v>
      </c>
      <c r="D54" s="47">
        <v>2.11</v>
      </c>
      <c r="E54" s="25">
        <v>0</v>
      </c>
      <c r="F54" s="25">
        <v>0</v>
      </c>
      <c r="G54" s="26">
        <f t="shared" si="17"/>
        <v>2.11</v>
      </c>
      <c r="H54" s="25">
        <v>0</v>
      </c>
      <c r="I54" s="24">
        <f>1.05*6.3</f>
        <v>6.615</v>
      </c>
      <c r="J54" s="6">
        <f t="shared" si="19"/>
        <v>4.505000000000001</v>
      </c>
      <c r="K54" s="26">
        <f>J54</f>
        <v>4.505000000000001</v>
      </c>
      <c r="L54" s="17" t="s">
        <v>201</v>
      </c>
      <c r="M54" s="16"/>
      <c r="N54" s="12">
        <v>33</v>
      </c>
      <c r="O54" s="25" t="s">
        <v>87</v>
      </c>
      <c r="P54" s="28" t="s">
        <v>3</v>
      </c>
      <c r="Q54" s="64">
        <f>0.811+0.005+0.026+0.016+0.005-0.0349+0.0161+0.0161+0.0054+1.0827</f>
        <v>1.9484</v>
      </c>
      <c r="R54" s="46">
        <f t="shared" si="2"/>
        <v>4.0584</v>
      </c>
      <c r="S54" s="25">
        <v>0</v>
      </c>
      <c r="T54" s="25">
        <v>0</v>
      </c>
      <c r="U54" s="26">
        <f t="shared" si="18"/>
        <v>4.0584</v>
      </c>
      <c r="V54" s="25">
        <v>0</v>
      </c>
      <c r="W54" s="24">
        <f>1.05*6.3</f>
        <v>6.615</v>
      </c>
      <c r="X54" s="6">
        <f t="shared" si="20"/>
        <v>2.5566000000000004</v>
      </c>
      <c r="Y54" s="26">
        <f>X54</f>
        <v>2.5566000000000004</v>
      </c>
      <c r="Z54" s="12" t="s">
        <v>201</v>
      </c>
    </row>
    <row r="55" spans="1:26" s="1" customFormat="1" ht="33.75">
      <c r="A55" s="22">
        <v>34</v>
      </c>
      <c r="B55" s="31" t="s">
        <v>88</v>
      </c>
      <c r="C55" s="32" t="s">
        <v>4</v>
      </c>
      <c r="D55" s="48">
        <v>25.56</v>
      </c>
      <c r="E55" s="31">
        <v>1.5</v>
      </c>
      <c r="F55" s="31" t="s">
        <v>32</v>
      </c>
      <c r="G55" s="29">
        <f t="shared" si="17"/>
        <v>24.06</v>
      </c>
      <c r="H55" s="31">
        <v>0</v>
      </c>
      <c r="I55" s="30">
        <f>1.05*16</f>
        <v>16.8</v>
      </c>
      <c r="J55" s="4">
        <f t="shared" si="19"/>
        <v>-7.259999999999998</v>
      </c>
      <c r="K55" s="48">
        <f>J55</f>
        <v>-7.259999999999998</v>
      </c>
      <c r="L55" s="19" t="s">
        <v>202</v>
      </c>
      <c r="M55" s="35"/>
      <c r="N55" s="22">
        <v>34</v>
      </c>
      <c r="O55" s="31" t="s">
        <v>88</v>
      </c>
      <c r="P55" s="32" t="s">
        <v>4</v>
      </c>
      <c r="Q55" s="66">
        <f>0.806+0.2421+0.3387+1.29+1.43</f>
        <v>4.1068</v>
      </c>
      <c r="R55" s="50">
        <f t="shared" si="2"/>
        <v>29.6668</v>
      </c>
      <c r="S55" s="31">
        <v>1.5</v>
      </c>
      <c r="T55" s="31" t="s">
        <v>32</v>
      </c>
      <c r="U55" s="29">
        <f t="shared" si="18"/>
        <v>28.1668</v>
      </c>
      <c r="V55" s="31">
        <v>0</v>
      </c>
      <c r="W55" s="30">
        <f>1.05*16</f>
        <v>16.8</v>
      </c>
      <c r="X55" s="4">
        <f t="shared" si="20"/>
        <v>-11.366799999999998</v>
      </c>
      <c r="Y55" s="79">
        <f>X55</f>
        <v>-11.366799999999998</v>
      </c>
      <c r="Z55" s="22" t="s">
        <v>202</v>
      </c>
    </row>
    <row r="56" spans="1:26" s="75" customFormat="1" ht="22.5">
      <c r="A56" s="31">
        <v>35</v>
      </c>
      <c r="B56" s="31" t="s">
        <v>89</v>
      </c>
      <c r="C56" s="32" t="s">
        <v>17</v>
      </c>
      <c r="D56" s="48">
        <v>4.338</v>
      </c>
      <c r="E56" s="31">
        <v>0</v>
      </c>
      <c r="F56" s="31">
        <v>0</v>
      </c>
      <c r="G56" s="29">
        <f t="shared" si="17"/>
        <v>4.338</v>
      </c>
      <c r="H56" s="31">
        <v>0</v>
      </c>
      <c r="I56" s="30">
        <f>1.05*4</f>
        <v>4.2</v>
      </c>
      <c r="J56" s="44">
        <f t="shared" si="19"/>
        <v>-0.1379999999999999</v>
      </c>
      <c r="K56" s="48">
        <f>J56</f>
        <v>-0.1379999999999999</v>
      </c>
      <c r="L56" s="31" t="s">
        <v>202</v>
      </c>
      <c r="M56" s="73"/>
      <c r="N56" s="31">
        <v>35</v>
      </c>
      <c r="O56" s="31" t="s">
        <v>89</v>
      </c>
      <c r="P56" s="32" t="s">
        <v>17</v>
      </c>
      <c r="Q56" s="66">
        <f>0.412+0.096+0.016+0.03+0.022+0.037+0.046+0.06+0.069+0.062+0.017+0.027+0.4785+0.0581+0.3871-0.4422+0.0097+0.4833+0.0855+0.0564+0.3473+0.166+0.0667</f>
        <v>2.5904000000000003</v>
      </c>
      <c r="R56" s="48">
        <f t="shared" si="2"/>
        <v>6.9284</v>
      </c>
      <c r="S56" s="31">
        <v>0</v>
      </c>
      <c r="T56" s="31">
        <v>0</v>
      </c>
      <c r="U56" s="29">
        <f t="shared" si="18"/>
        <v>6.9284</v>
      </c>
      <c r="V56" s="31">
        <v>0</v>
      </c>
      <c r="W56" s="30">
        <f>1.05*4</f>
        <v>4.2</v>
      </c>
      <c r="X56" s="74">
        <f t="shared" si="20"/>
        <v>-2.7283999999999997</v>
      </c>
      <c r="Y56" s="79">
        <f>X56</f>
        <v>-2.7283999999999997</v>
      </c>
      <c r="Z56" s="31" t="s">
        <v>202</v>
      </c>
    </row>
    <row r="57" spans="1:26" s="75" customFormat="1" ht="26.25" customHeight="1">
      <c r="A57" s="88">
        <v>36</v>
      </c>
      <c r="B57" s="31" t="s">
        <v>90</v>
      </c>
      <c r="C57" s="32" t="s">
        <v>33</v>
      </c>
      <c r="D57" s="48">
        <f>D58+D59</f>
        <v>44.35</v>
      </c>
      <c r="E57" s="31">
        <f>E58+E59</f>
        <v>0</v>
      </c>
      <c r="F57" s="31">
        <v>0</v>
      </c>
      <c r="G57" s="30">
        <f t="shared" si="17"/>
        <v>44.35</v>
      </c>
      <c r="H57" s="31">
        <v>0</v>
      </c>
      <c r="I57" s="30">
        <f>1.05*40</f>
        <v>42</v>
      </c>
      <c r="J57" s="3">
        <f t="shared" si="19"/>
        <v>-2.3500000000000014</v>
      </c>
      <c r="K57" s="96">
        <f>MIN(J57:J59)</f>
        <v>-2.3500000000000014</v>
      </c>
      <c r="L57" s="88" t="s">
        <v>202</v>
      </c>
      <c r="M57" s="73"/>
      <c r="N57" s="88">
        <v>36</v>
      </c>
      <c r="O57" s="31" t="s">
        <v>90</v>
      </c>
      <c r="P57" s="32" t="s">
        <v>33</v>
      </c>
      <c r="Q57" s="66">
        <f>Q58+Q59</f>
        <v>5.7438</v>
      </c>
      <c r="R57" s="48">
        <f>R58+R59</f>
        <v>50.0938</v>
      </c>
      <c r="S57" s="31">
        <f>S58+S59</f>
        <v>0</v>
      </c>
      <c r="T57" s="31">
        <v>0</v>
      </c>
      <c r="U57" s="29">
        <f t="shared" si="18"/>
        <v>50.0938</v>
      </c>
      <c r="V57" s="31">
        <v>0</v>
      </c>
      <c r="W57" s="30">
        <f>1.05*40</f>
        <v>42</v>
      </c>
      <c r="X57" s="3">
        <f t="shared" si="20"/>
        <v>-8.093800000000002</v>
      </c>
      <c r="Y57" s="96">
        <f>MIN(X57:X59)</f>
        <v>-8.093800000000002</v>
      </c>
      <c r="Z57" s="88" t="s">
        <v>202</v>
      </c>
    </row>
    <row r="58" spans="1:26" s="75" customFormat="1" ht="21.75" customHeight="1">
      <c r="A58" s="89"/>
      <c r="B58" s="34" t="s">
        <v>91</v>
      </c>
      <c r="C58" s="32" t="s">
        <v>33</v>
      </c>
      <c r="D58" s="48">
        <v>25.76</v>
      </c>
      <c r="E58" s="31">
        <v>0</v>
      </c>
      <c r="F58" s="31">
        <v>0</v>
      </c>
      <c r="G58" s="30">
        <f t="shared" si="17"/>
        <v>25.76</v>
      </c>
      <c r="H58" s="31">
        <v>0</v>
      </c>
      <c r="I58" s="30">
        <f>1.05*40</f>
        <v>42</v>
      </c>
      <c r="J58" s="3">
        <f>I58-D58</f>
        <v>16.24</v>
      </c>
      <c r="K58" s="97"/>
      <c r="L58" s="94"/>
      <c r="M58" s="73"/>
      <c r="N58" s="89"/>
      <c r="O58" s="34" t="s">
        <v>91</v>
      </c>
      <c r="P58" s="32" t="s">
        <v>33</v>
      </c>
      <c r="Q58" s="66"/>
      <c r="R58" s="48">
        <f t="shared" si="2"/>
        <v>25.76</v>
      </c>
      <c r="S58" s="31">
        <v>0</v>
      </c>
      <c r="T58" s="31">
        <v>0</v>
      </c>
      <c r="U58" s="29">
        <f t="shared" si="18"/>
        <v>25.76</v>
      </c>
      <c r="V58" s="31">
        <v>0</v>
      </c>
      <c r="W58" s="30">
        <f>1.05*40</f>
        <v>42</v>
      </c>
      <c r="X58" s="3">
        <f>W58-R58</f>
        <v>16.24</v>
      </c>
      <c r="Y58" s="135"/>
      <c r="Z58" s="89"/>
    </row>
    <row r="59" spans="1:26" s="75" customFormat="1" ht="24.75" customHeight="1">
      <c r="A59" s="90"/>
      <c r="B59" s="34" t="s">
        <v>92</v>
      </c>
      <c r="C59" s="32" t="s">
        <v>33</v>
      </c>
      <c r="D59" s="48">
        <v>18.59</v>
      </c>
      <c r="E59" s="31">
        <v>0</v>
      </c>
      <c r="F59" s="31">
        <v>0</v>
      </c>
      <c r="G59" s="30">
        <f t="shared" si="17"/>
        <v>18.59</v>
      </c>
      <c r="H59" s="31">
        <v>0</v>
      </c>
      <c r="I59" s="30">
        <f>1.05*40</f>
        <v>42</v>
      </c>
      <c r="J59" s="3">
        <f>I59-G59-H59</f>
        <v>23.41</v>
      </c>
      <c r="K59" s="98"/>
      <c r="L59" s="95"/>
      <c r="M59" s="73"/>
      <c r="N59" s="90"/>
      <c r="O59" s="34" t="s">
        <v>92</v>
      </c>
      <c r="P59" s="32" t="s">
        <v>33</v>
      </c>
      <c r="Q59" s="66">
        <f>3.226+0.267+0.161+0.188-0.7956+0.4301+1.6061+0.5376+0.1236</f>
        <v>5.7438</v>
      </c>
      <c r="R59" s="48">
        <f t="shared" si="2"/>
        <v>24.3338</v>
      </c>
      <c r="S59" s="31">
        <v>0</v>
      </c>
      <c r="T59" s="31">
        <v>0</v>
      </c>
      <c r="U59" s="29">
        <f t="shared" si="18"/>
        <v>24.3338</v>
      </c>
      <c r="V59" s="31">
        <v>0</v>
      </c>
      <c r="W59" s="30">
        <f>1.05*40</f>
        <v>42</v>
      </c>
      <c r="X59" s="3">
        <f>W59-U59-V59</f>
        <v>17.6662</v>
      </c>
      <c r="Y59" s="136"/>
      <c r="Z59" s="90"/>
    </row>
    <row r="60" spans="1:26" s="1" customFormat="1" ht="33.75">
      <c r="A60" s="85">
        <v>37</v>
      </c>
      <c r="B60" s="25" t="s">
        <v>93</v>
      </c>
      <c r="C60" s="52" t="s">
        <v>4</v>
      </c>
      <c r="D60" s="47">
        <f>D61+D62</f>
        <v>8.741</v>
      </c>
      <c r="E60" s="25">
        <f>E61+E62</f>
        <v>0</v>
      </c>
      <c r="F60" s="25">
        <v>0</v>
      </c>
      <c r="G60" s="26">
        <f t="shared" si="17"/>
        <v>8.741</v>
      </c>
      <c r="H60" s="25">
        <v>0</v>
      </c>
      <c r="I60" s="24">
        <f>1.05*16</f>
        <v>16.8</v>
      </c>
      <c r="J60" s="5">
        <f>I60-G60-H60</f>
        <v>8.059000000000001</v>
      </c>
      <c r="K60" s="84">
        <f>MIN(J60:J62)</f>
        <v>8.059000000000001</v>
      </c>
      <c r="L60" s="81" t="s">
        <v>201</v>
      </c>
      <c r="M60" s="16"/>
      <c r="N60" s="81">
        <v>37</v>
      </c>
      <c r="O60" s="25" t="s">
        <v>93</v>
      </c>
      <c r="P60" s="28" t="s">
        <v>4</v>
      </c>
      <c r="Q60" s="64">
        <f>Q61+Q62</f>
        <v>0.1105</v>
      </c>
      <c r="R60" s="46">
        <f>R61+R62</f>
        <v>8.851500000000001</v>
      </c>
      <c r="S60" s="25">
        <f>S61+S62</f>
        <v>0</v>
      </c>
      <c r="T60" s="25">
        <v>0</v>
      </c>
      <c r="U60" s="26">
        <f t="shared" si="18"/>
        <v>8.851500000000001</v>
      </c>
      <c r="V60" s="25">
        <v>0</v>
      </c>
      <c r="W60" s="24">
        <f>1.05*16</f>
        <v>16.8</v>
      </c>
      <c r="X60" s="5">
        <f>W60-U60-V60</f>
        <v>7.948499999999999</v>
      </c>
      <c r="Y60" s="84">
        <f>MIN(X60:X62)</f>
        <v>7.948499999999999</v>
      </c>
      <c r="Z60" s="81" t="s">
        <v>201</v>
      </c>
    </row>
    <row r="61" spans="1:26" s="1" customFormat="1" ht="24.75" customHeight="1">
      <c r="A61" s="86"/>
      <c r="B61" s="27" t="s">
        <v>50</v>
      </c>
      <c r="C61" s="52" t="s">
        <v>4</v>
      </c>
      <c r="D61" s="47">
        <f>2.035+3.204</f>
        <v>5.239000000000001</v>
      </c>
      <c r="E61" s="25">
        <v>0</v>
      </c>
      <c r="F61" s="25">
        <v>0</v>
      </c>
      <c r="G61" s="26">
        <f t="shared" si="17"/>
        <v>5.239000000000001</v>
      </c>
      <c r="H61" s="25">
        <v>0</v>
      </c>
      <c r="I61" s="24">
        <f>1.05*16</f>
        <v>16.8</v>
      </c>
      <c r="J61" s="5">
        <f>I61-D61</f>
        <v>11.561</v>
      </c>
      <c r="K61" s="82"/>
      <c r="L61" s="82"/>
      <c r="M61" s="16"/>
      <c r="N61" s="106"/>
      <c r="O61" s="27" t="s">
        <v>50</v>
      </c>
      <c r="P61" s="28" t="s">
        <v>4</v>
      </c>
      <c r="Q61" s="64"/>
      <c r="R61" s="46">
        <f t="shared" si="2"/>
        <v>5.239000000000001</v>
      </c>
      <c r="S61" s="25">
        <v>0</v>
      </c>
      <c r="T61" s="25">
        <v>0</v>
      </c>
      <c r="U61" s="26">
        <f t="shared" si="18"/>
        <v>5.239000000000001</v>
      </c>
      <c r="V61" s="25">
        <v>0</v>
      </c>
      <c r="W61" s="24">
        <f>1.05*16</f>
        <v>16.8</v>
      </c>
      <c r="X61" s="5">
        <f>W61-R61</f>
        <v>11.561</v>
      </c>
      <c r="Y61" s="121"/>
      <c r="Z61" s="106"/>
    </row>
    <row r="62" spans="1:26" s="1" customFormat="1" ht="22.5" customHeight="1">
      <c r="A62" s="87"/>
      <c r="B62" s="27" t="s">
        <v>51</v>
      </c>
      <c r="C62" s="52" t="s">
        <v>4</v>
      </c>
      <c r="D62" s="47">
        <f>1.77+1.732</f>
        <v>3.502</v>
      </c>
      <c r="E62" s="25">
        <v>0</v>
      </c>
      <c r="F62" s="25">
        <v>0</v>
      </c>
      <c r="G62" s="26">
        <f t="shared" si="17"/>
        <v>3.502</v>
      </c>
      <c r="H62" s="25">
        <v>0</v>
      </c>
      <c r="I62" s="24">
        <f>1.05*16</f>
        <v>16.8</v>
      </c>
      <c r="J62" s="5">
        <f>I62-G62-H62</f>
        <v>13.298000000000002</v>
      </c>
      <c r="K62" s="83"/>
      <c r="L62" s="83"/>
      <c r="M62" s="16"/>
      <c r="N62" s="107"/>
      <c r="O62" s="27" t="s">
        <v>51</v>
      </c>
      <c r="P62" s="28" t="s">
        <v>4</v>
      </c>
      <c r="Q62" s="64">
        <f>0.04+0.01+0.005+0.003+0.004+0.0199+0.0102+0.0075-0.0446+0.0102+0.0349+0.0054+0.005</f>
        <v>0.1105</v>
      </c>
      <c r="R62" s="46">
        <f t="shared" si="2"/>
        <v>3.6125</v>
      </c>
      <c r="S62" s="25">
        <v>0</v>
      </c>
      <c r="T62" s="25">
        <v>0</v>
      </c>
      <c r="U62" s="26">
        <f t="shared" si="18"/>
        <v>3.6125</v>
      </c>
      <c r="V62" s="25">
        <v>0</v>
      </c>
      <c r="W62" s="24">
        <f>1.05*16</f>
        <v>16.8</v>
      </c>
      <c r="X62" s="5">
        <f>W62-U62-V62</f>
        <v>13.1875</v>
      </c>
      <c r="Y62" s="122"/>
      <c r="Z62" s="107"/>
    </row>
    <row r="63" spans="1:26" s="1" customFormat="1" ht="22.5">
      <c r="A63" s="91">
        <v>38</v>
      </c>
      <c r="B63" s="31" t="s">
        <v>94</v>
      </c>
      <c r="C63" s="32" t="s">
        <v>5</v>
      </c>
      <c r="D63" s="48">
        <f>D64+D65</f>
        <v>37.17</v>
      </c>
      <c r="E63" s="31">
        <f>E64+E65</f>
        <v>7.92</v>
      </c>
      <c r="F63" s="31" t="s">
        <v>32</v>
      </c>
      <c r="G63" s="29">
        <f t="shared" si="17"/>
        <v>29.25</v>
      </c>
      <c r="H63" s="31">
        <v>0</v>
      </c>
      <c r="I63" s="30">
        <f>1.05*25</f>
        <v>26.25</v>
      </c>
      <c r="J63" s="44">
        <f>I63-G63-H63</f>
        <v>-3</v>
      </c>
      <c r="K63" s="96">
        <f>MIN(J63:J65)</f>
        <v>-3</v>
      </c>
      <c r="L63" s="91" t="s">
        <v>202</v>
      </c>
      <c r="M63" s="16"/>
      <c r="N63" s="91">
        <v>38</v>
      </c>
      <c r="O63" s="31" t="s">
        <v>94</v>
      </c>
      <c r="P63" s="32" t="s">
        <v>5</v>
      </c>
      <c r="Q63" s="66">
        <f>Q64+Q65</f>
        <v>0.636</v>
      </c>
      <c r="R63" s="50">
        <f>R64+R65</f>
        <v>37.806</v>
      </c>
      <c r="S63" s="31">
        <f>S64+S65</f>
        <v>8.9</v>
      </c>
      <c r="T63" s="31" t="s">
        <v>32</v>
      </c>
      <c r="U63" s="29">
        <f t="shared" si="18"/>
        <v>28.906</v>
      </c>
      <c r="V63" s="31">
        <v>0</v>
      </c>
      <c r="W63" s="30">
        <f>1.05*25</f>
        <v>26.25</v>
      </c>
      <c r="X63" s="3">
        <f>W63-U63-V63</f>
        <v>-2.655999999999999</v>
      </c>
      <c r="Y63" s="96">
        <f>MIN(X63:X65)</f>
        <v>-3.6359999999999992</v>
      </c>
      <c r="Z63" s="91" t="s">
        <v>202</v>
      </c>
    </row>
    <row r="64" spans="1:26" s="1" customFormat="1" ht="21.75" customHeight="1">
      <c r="A64" s="92"/>
      <c r="B64" s="34" t="s">
        <v>50</v>
      </c>
      <c r="C64" s="32" t="s">
        <v>5</v>
      </c>
      <c r="D64" s="48">
        <v>7.92</v>
      </c>
      <c r="E64" s="48">
        <f>D64</f>
        <v>7.92</v>
      </c>
      <c r="F64" s="31" t="s">
        <v>32</v>
      </c>
      <c r="G64" s="30">
        <f t="shared" si="17"/>
        <v>0</v>
      </c>
      <c r="H64" s="31">
        <v>0</v>
      </c>
      <c r="I64" s="30">
        <f>1.05*25</f>
        <v>26.25</v>
      </c>
      <c r="J64" s="3">
        <f>I64-D64</f>
        <v>18.33</v>
      </c>
      <c r="K64" s="102"/>
      <c r="L64" s="104"/>
      <c r="M64" s="16"/>
      <c r="N64" s="92"/>
      <c r="O64" s="34" t="s">
        <v>50</v>
      </c>
      <c r="P64" s="32" t="s">
        <v>5</v>
      </c>
      <c r="Q64" s="66"/>
      <c r="R64" s="50">
        <f>D64+Q64</f>
        <v>7.92</v>
      </c>
      <c r="S64" s="31">
        <v>8.9</v>
      </c>
      <c r="T64" s="31" t="s">
        <v>32</v>
      </c>
      <c r="U64" s="29">
        <f t="shared" si="18"/>
        <v>-0.9800000000000004</v>
      </c>
      <c r="V64" s="31">
        <v>0</v>
      </c>
      <c r="W64" s="30">
        <f>1.05*25</f>
        <v>26.25</v>
      </c>
      <c r="X64" s="3">
        <f>W64-R64</f>
        <v>18.33</v>
      </c>
      <c r="Y64" s="135"/>
      <c r="Z64" s="92"/>
    </row>
    <row r="65" spans="1:26" s="1" customFormat="1" ht="25.5" customHeight="1">
      <c r="A65" s="93"/>
      <c r="B65" s="34" t="s">
        <v>51</v>
      </c>
      <c r="C65" s="32" t="s">
        <v>5</v>
      </c>
      <c r="D65" s="48">
        <v>29.25</v>
      </c>
      <c r="E65" s="31">
        <v>0</v>
      </c>
      <c r="F65" s="31">
        <v>0</v>
      </c>
      <c r="G65" s="30">
        <f t="shared" si="17"/>
        <v>29.25</v>
      </c>
      <c r="H65" s="31">
        <v>0</v>
      </c>
      <c r="I65" s="30">
        <f>1.05*25</f>
        <v>26.25</v>
      </c>
      <c r="J65" s="3">
        <f>I65-G65-H65</f>
        <v>-3</v>
      </c>
      <c r="K65" s="103"/>
      <c r="L65" s="105"/>
      <c r="M65" s="16"/>
      <c r="N65" s="93"/>
      <c r="O65" s="34" t="s">
        <v>51</v>
      </c>
      <c r="P65" s="32" t="s">
        <v>5</v>
      </c>
      <c r="Q65" s="66">
        <f>0.012+0.017+0.0054-0.0215+0.607+0.0161</f>
        <v>0.636</v>
      </c>
      <c r="R65" s="50">
        <f>D65+Q65</f>
        <v>29.886</v>
      </c>
      <c r="S65" s="31">
        <v>0</v>
      </c>
      <c r="T65" s="31">
        <v>0</v>
      </c>
      <c r="U65" s="29">
        <f t="shared" si="18"/>
        <v>29.886</v>
      </c>
      <c r="V65" s="31">
        <v>0</v>
      </c>
      <c r="W65" s="30">
        <f>1.05*25</f>
        <v>26.25</v>
      </c>
      <c r="X65" s="3">
        <f>W65-U65-V65</f>
        <v>-3.6359999999999992</v>
      </c>
      <c r="Y65" s="136"/>
      <c r="Z65" s="93"/>
    </row>
    <row r="66" spans="1:26" s="1" customFormat="1" ht="33.75">
      <c r="A66" s="85">
        <v>39</v>
      </c>
      <c r="B66" s="25" t="s">
        <v>95</v>
      </c>
      <c r="C66" s="52" t="s">
        <v>21</v>
      </c>
      <c r="D66" s="47">
        <f>D67+D68</f>
        <v>12.760000000000002</v>
      </c>
      <c r="E66" s="25">
        <f>E67+E68</f>
        <v>5.2</v>
      </c>
      <c r="F66" s="25" t="str">
        <f>F67</f>
        <v>6 час</v>
      </c>
      <c r="G66" s="26">
        <f t="shared" si="17"/>
        <v>7.560000000000001</v>
      </c>
      <c r="H66" s="25">
        <v>0</v>
      </c>
      <c r="I66" s="24">
        <f>1.05*16</f>
        <v>16.8</v>
      </c>
      <c r="J66" s="5">
        <f>I66-G66-H66</f>
        <v>9.239999999999998</v>
      </c>
      <c r="K66" s="84">
        <f>MIN(J66:J68)</f>
        <v>9.239999999999998</v>
      </c>
      <c r="L66" s="81" t="s">
        <v>201</v>
      </c>
      <c r="M66" s="16"/>
      <c r="N66" s="81">
        <v>39</v>
      </c>
      <c r="O66" s="25" t="s">
        <v>95</v>
      </c>
      <c r="P66" s="28" t="s">
        <v>21</v>
      </c>
      <c r="Q66" s="64">
        <f>Q67+Q68+0</f>
        <v>0.24200000000000005</v>
      </c>
      <c r="R66" s="46">
        <f>R67+R68</f>
        <v>13.002</v>
      </c>
      <c r="S66" s="25">
        <f>S67+S68</f>
        <v>5.2</v>
      </c>
      <c r="T66" s="25" t="str">
        <f>T67</f>
        <v>6 час</v>
      </c>
      <c r="U66" s="26">
        <f t="shared" si="18"/>
        <v>7.8020000000000005</v>
      </c>
      <c r="V66" s="25">
        <v>0</v>
      </c>
      <c r="W66" s="24">
        <f>1.05*16</f>
        <v>16.8</v>
      </c>
      <c r="X66" s="5">
        <f>W66-U66-V66</f>
        <v>8.998000000000001</v>
      </c>
      <c r="Y66" s="84">
        <f>MIN(X66:X68)</f>
        <v>8.998000000000001</v>
      </c>
      <c r="Z66" s="81" t="s">
        <v>201</v>
      </c>
    </row>
    <row r="67" spans="1:26" s="1" customFormat="1" ht="22.5" customHeight="1">
      <c r="A67" s="86"/>
      <c r="B67" s="27" t="s">
        <v>50</v>
      </c>
      <c r="C67" s="52" t="s">
        <v>21</v>
      </c>
      <c r="D67" s="47">
        <v>5.9</v>
      </c>
      <c r="E67" s="25">
        <v>5.2</v>
      </c>
      <c r="F67" s="25" t="s">
        <v>29</v>
      </c>
      <c r="G67" s="26">
        <f t="shared" si="17"/>
        <v>0.7000000000000002</v>
      </c>
      <c r="H67" s="25">
        <v>0</v>
      </c>
      <c r="I67" s="24">
        <f>1.05*16</f>
        <v>16.8</v>
      </c>
      <c r="J67" s="5">
        <f>I67-D67</f>
        <v>10.9</v>
      </c>
      <c r="K67" s="82"/>
      <c r="L67" s="82"/>
      <c r="M67" s="16"/>
      <c r="N67" s="106"/>
      <c r="O67" s="27" t="s">
        <v>50</v>
      </c>
      <c r="P67" s="28" t="s">
        <v>21</v>
      </c>
      <c r="Q67" s="64"/>
      <c r="R67" s="46">
        <f t="shared" si="2"/>
        <v>5.9</v>
      </c>
      <c r="S67" s="25">
        <v>5.2</v>
      </c>
      <c r="T67" s="25" t="s">
        <v>29</v>
      </c>
      <c r="U67" s="26">
        <f t="shared" si="18"/>
        <v>0.7000000000000002</v>
      </c>
      <c r="V67" s="25">
        <v>0</v>
      </c>
      <c r="W67" s="24">
        <f>1.05*16</f>
        <v>16.8</v>
      </c>
      <c r="X67" s="5">
        <f>W67-R67</f>
        <v>10.9</v>
      </c>
      <c r="Y67" s="121"/>
      <c r="Z67" s="106"/>
    </row>
    <row r="68" spans="1:26" s="1" customFormat="1" ht="22.5" customHeight="1">
      <c r="A68" s="87"/>
      <c r="B68" s="27" t="s">
        <v>51</v>
      </c>
      <c r="C68" s="52" t="s">
        <v>21</v>
      </c>
      <c r="D68" s="47">
        <v>6.86</v>
      </c>
      <c r="E68" s="25">
        <v>0</v>
      </c>
      <c r="F68" s="25">
        <v>0</v>
      </c>
      <c r="G68" s="26">
        <f t="shared" si="17"/>
        <v>6.86</v>
      </c>
      <c r="H68" s="25">
        <v>0</v>
      </c>
      <c r="I68" s="24">
        <f>1.05*16</f>
        <v>16.8</v>
      </c>
      <c r="J68" s="5">
        <f>I68-G68-H68</f>
        <v>9.940000000000001</v>
      </c>
      <c r="K68" s="83"/>
      <c r="L68" s="83"/>
      <c r="M68" s="16"/>
      <c r="N68" s="107"/>
      <c r="O68" s="27" t="s">
        <v>51</v>
      </c>
      <c r="P68" s="28" t="s">
        <v>21</v>
      </c>
      <c r="Q68" s="64">
        <f>0.102+0.031+0.005+0.032+0.018+0.006+0.011+0.016+0.007-0.0973+0.0215+0.0269+0.0183+0.0312+0.008+0.0054</f>
        <v>0.24200000000000005</v>
      </c>
      <c r="R68" s="46">
        <f t="shared" si="2"/>
        <v>7.102</v>
      </c>
      <c r="S68" s="25">
        <v>0</v>
      </c>
      <c r="T68" s="25">
        <v>0</v>
      </c>
      <c r="U68" s="26">
        <f t="shared" si="18"/>
        <v>7.102</v>
      </c>
      <c r="V68" s="25">
        <v>0</v>
      </c>
      <c r="W68" s="24">
        <f>1.05*16</f>
        <v>16.8</v>
      </c>
      <c r="X68" s="5">
        <f>W68-U68-V68</f>
        <v>9.698</v>
      </c>
      <c r="Y68" s="122"/>
      <c r="Z68" s="107"/>
    </row>
    <row r="69" spans="1:26" s="1" customFormat="1" ht="22.5">
      <c r="A69" s="18">
        <v>40</v>
      </c>
      <c r="B69" s="54" t="s">
        <v>96</v>
      </c>
      <c r="C69" s="52" t="s">
        <v>0</v>
      </c>
      <c r="D69" s="47">
        <v>8.27</v>
      </c>
      <c r="E69" s="25">
        <v>0</v>
      </c>
      <c r="F69" s="25">
        <v>0</v>
      </c>
      <c r="G69" s="24">
        <f t="shared" si="17"/>
        <v>8.27</v>
      </c>
      <c r="H69" s="25">
        <v>0</v>
      </c>
      <c r="I69" s="24">
        <f>1.05*10</f>
        <v>10.5</v>
      </c>
      <c r="J69" s="6">
        <f>I69-G69-H69</f>
        <v>2.2300000000000004</v>
      </c>
      <c r="K69" s="24">
        <f>J69</f>
        <v>2.2300000000000004</v>
      </c>
      <c r="L69" s="17" t="s">
        <v>201</v>
      </c>
      <c r="M69" s="16"/>
      <c r="N69" s="12">
        <v>40</v>
      </c>
      <c r="O69" s="54" t="s">
        <v>96</v>
      </c>
      <c r="P69" s="28" t="s">
        <v>0</v>
      </c>
      <c r="Q69" s="64">
        <f>1.183+0.215+0.323</f>
        <v>1.721</v>
      </c>
      <c r="R69" s="46">
        <f t="shared" si="2"/>
        <v>9.991</v>
      </c>
      <c r="S69" s="25">
        <v>0</v>
      </c>
      <c r="T69" s="25">
        <v>0</v>
      </c>
      <c r="U69" s="26">
        <f t="shared" si="18"/>
        <v>9.991</v>
      </c>
      <c r="V69" s="25">
        <v>0</v>
      </c>
      <c r="W69" s="24">
        <f>1.05*10</f>
        <v>10.5</v>
      </c>
      <c r="X69" s="6">
        <f>W69-U69-V69</f>
        <v>0.5090000000000003</v>
      </c>
      <c r="Y69" s="26">
        <f>X69</f>
        <v>0.5090000000000003</v>
      </c>
      <c r="Z69" s="12" t="s">
        <v>201</v>
      </c>
    </row>
    <row r="70" spans="1:26" s="1" customFormat="1" ht="22.5">
      <c r="A70" s="85">
        <v>41</v>
      </c>
      <c r="B70" s="25" t="s">
        <v>97</v>
      </c>
      <c r="C70" s="52" t="s">
        <v>5</v>
      </c>
      <c r="D70" s="47">
        <f>D71+D72</f>
        <v>15.72</v>
      </c>
      <c r="E70" s="25">
        <f>E71+E72</f>
        <v>2.68</v>
      </c>
      <c r="F70" s="25" t="s">
        <v>29</v>
      </c>
      <c r="G70" s="26">
        <f t="shared" si="17"/>
        <v>13.040000000000001</v>
      </c>
      <c r="H70" s="25">
        <v>0</v>
      </c>
      <c r="I70" s="24">
        <f>1.05*25</f>
        <v>26.25</v>
      </c>
      <c r="J70" s="5">
        <f>I70-G70-H70</f>
        <v>13.209999999999999</v>
      </c>
      <c r="K70" s="84">
        <f>MIN(J70:J72)</f>
        <v>13.209999999999999</v>
      </c>
      <c r="L70" s="81" t="s">
        <v>201</v>
      </c>
      <c r="M70" s="16"/>
      <c r="N70" s="81">
        <v>41</v>
      </c>
      <c r="O70" s="25" t="s">
        <v>97</v>
      </c>
      <c r="P70" s="28" t="s">
        <v>5</v>
      </c>
      <c r="Q70" s="64">
        <f>Q71+Q72</f>
        <v>0</v>
      </c>
      <c r="R70" s="46">
        <f>R71+R72</f>
        <v>15.72</v>
      </c>
      <c r="S70" s="25">
        <f>S71+S72</f>
        <v>2.4</v>
      </c>
      <c r="T70" s="25" t="s">
        <v>29</v>
      </c>
      <c r="U70" s="26">
        <f t="shared" si="18"/>
        <v>13.32</v>
      </c>
      <c r="V70" s="25">
        <v>0</v>
      </c>
      <c r="W70" s="24">
        <f>1.05*25</f>
        <v>26.25</v>
      </c>
      <c r="X70" s="5">
        <f>W70-U70-V70</f>
        <v>12.93</v>
      </c>
      <c r="Y70" s="84">
        <f>MIN(X70:X72)</f>
        <v>12.93</v>
      </c>
      <c r="Z70" s="81" t="s">
        <v>201</v>
      </c>
    </row>
    <row r="71" spans="1:26" s="1" customFormat="1" ht="22.5" customHeight="1">
      <c r="A71" s="86"/>
      <c r="B71" s="27" t="s">
        <v>50</v>
      </c>
      <c r="C71" s="52" t="s">
        <v>5</v>
      </c>
      <c r="D71" s="47">
        <v>6.07</v>
      </c>
      <c r="E71" s="25">
        <v>2.68</v>
      </c>
      <c r="F71" s="25" t="s">
        <v>29</v>
      </c>
      <c r="G71" s="26">
        <f t="shared" si="17"/>
        <v>3.39</v>
      </c>
      <c r="H71" s="25">
        <v>0</v>
      </c>
      <c r="I71" s="24">
        <f>1.05*25</f>
        <v>26.25</v>
      </c>
      <c r="J71" s="5">
        <f>I71-D71</f>
        <v>20.18</v>
      </c>
      <c r="K71" s="82"/>
      <c r="L71" s="82"/>
      <c r="M71" s="16"/>
      <c r="N71" s="106"/>
      <c r="O71" s="27" t="s">
        <v>50</v>
      </c>
      <c r="P71" s="28" t="s">
        <v>5</v>
      </c>
      <c r="Q71" s="64"/>
      <c r="R71" s="46">
        <f t="shared" si="2"/>
        <v>6.07</v>
      </c>
      <c r="S71" s="25">
        <v>2.4</v>
      </c>
      <c r="T71" s="25" t="s">
        <v>29</v>
      </c>
      <c r="U71" s="26">
        <f t="shared" si="18"/>
        <v>3.6700000000000004</v>
      </c>
      <c r="V71" s="25">
        <v>0</v>
      </c>
      <c r="W71" s="24">
        <f>1.05*25</f>
        <v>26.25</v>
      </c>
      <c r="X71" s="5">
        <f>W71-R71</f>
        <v>20.18</v>
      </c>
      <c r="Y71" s="121"/>
      <c r="Z71" s="106"/>
    </row>
    <row r="72" spans="1:26" s="1" customFormat="1" ht="24.75" customHeight="1">
      <c r="A72" s="87"/>
      <c r="B72" s="27" t="s">
        <v>51</v>
      </c>
      <c r="C72" s="52" t="s">
        <v>5</v>
      </c>
      <c r="D72" s="47">
        <v>9.65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83"/>
      <c r="L72" s="83"/>
      <c r="M72" s="16"/>
      <c r="N72" s="107"/>
      <c r="O72" s="27" t="s">
        <v>51</v>
      </c>
      <c r="P72" s="28" t="s">
        <v>5</v>
      </c>
      <c r="Q72" s="64">
        <v>0</v>
      </c>
      <c r="R72" s="46">
        <f aca="true" t="shared" si="21" ref="R72:R135">Q72+D72</f>
        <v>9.65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22"/>
      <c r="Z72" s="107"/>
    </row>
    <row r="73" spans="1:26" s="1" customFormat="1" ht="22.5">
      <c r="A73" s="18">
        <v>42</v>
      </c>
      <c r="B73" s="54" t="s">
        <v>98</v>
      </c>
      <c r="C73" s="52" t="s">
        <v>5</v>
      </c>
      <c r="D73" s="63">
        <v>17.92</v>
      </c>
      <c r="E73" s="54">
        <v>0</v>
      </c>
      <c r="F73" s="54">
        <v>0</v>
      </c>
      <c r="G73" s="55">
        <f aca="true" t="shared" si="22" ref="G73:G104">D73-E73</f>
        <v>17.92</v>
      </c>
      <c r="H73" s="54">
        <v>0</v>
      </c>
      <c r="I73" s="55">
        <f>1.05*25</f>
        <v>26.25</v>
      </c>
      <c r="J73" s="2">
        <f>I73-G73-H73</f>
        <v>8.329999999999998</v>
      </c>
      <c r="K73" s="63">
        <f>J73</f>
        <v>8.329999999999998</v>
      </c>
      <c r="L73" s="72" t="s">
        <v>201</v>
      </c>
      <c r="M73" s="16"/>
      <c r="N73" s="18">
        <v>42</v>
      </c>
      <c r="O73" s="54" t="s">
        <v>98</v>
      </c>
      <c r="P73" s="52" t="s">
        <v>5</v>
      </c>
      <c r="Q73" s="62">
        <f>0.965+0.005+0.011+0.12+0.011+0.054+0.8505+0.0054-0.2408+1.0214+0.0237+0.7956+1.355</f>
        <v>4.976799999999999</v>
      </c>
      <c r="R73" s="60">
        <f t="shared" si="21"/>
        <v>22.8968</v>
      </c>
      <c r="S73" s="54">
        <v>0</v>
      </c>
      <c r="T73" s="54">
        <v>0</v>
      </c>
      <c r="U73" s="53">
        <f aca="true" t="shared" si="23" ref="U73:U104">R73-S73</f>
        <v>22.8968</v>
      </c>
      <c r="V73" s="54">
        <v>0</v>
      </c>
      <c r="W73" s="55">
        <f>1.05*25</f>
        <v>26.25</v>
      </c>
      <c r="X73" s="2">
        <f>W73-U73-V73</f>
        <v>3.353200000000001</v>
      </c>
      <c r="Y73" s="63">
        <f>X73</f>
        <v>3.353200000000001</v>
      </c>
      <c r="Z73" s="18" t="s">
        <v>201</v>
      </c>
    </row>
    <row r="74" spans="1:26" s="1" customFormat="1" ht="22.5">
      <c r="A74" s="18">
        <v>43</v>
      </c>
      <c r="B74" s="25" t="s">
        <v>99</v>
      </c>
      <c r="C74" s="52" t="s">
        <v>21</v>
      </c>
      <c r="D74" s="47">
        <v>11.684</v>
      </c>
      <c r="E74" s="25">
        <v>0</v>
      </c>
      <c r="F74" s="25">
        <v>0</v>
      </c>
      <c r="G74" s="26">
        <f t="shared" si="22"/>
        <v>11.684</v>
      </c>
      <c r="H74" s="25">
        <v>0</v>
      </c>
      <c r="I74" s="24">
        <f>1.05*16</f>
        <v>16.8</v>
      </c>
      <c r="J74" s="6">
        <f>I74-G74-H74</f>
        <v>5.116000000000001</v>
      </c>
      <c r="K74" s="26">
        <f>J74</f>
        <v>5.116000000000001</v>
      </c>
      <c r="L74" s="17" t="s">
        <v>201</v>
      </c>
      <c r="M74" s="16"/>
      <c r="N74" s="12">
        <v>43</v>
      </c>
      <c r="O74" s="25" t="s">
        <v>99</v>
      </c>
      <c r="P74" s="28" t="s">
        <v>21</v>
      </c>
      <c r="Q74" s="64">
        <f>0.143+0.054+0.005+0.015+0.075+0.016+0.005+0.053+0.215+0.012+0.038+0.0048+0.0161-0.3316+0.029+0.0048+0.0581+0.0048</f>
        <v>0.4170000000000001</v>
      </c>
      <c r="R74" s="46">
        <f t="shared" si="21"/>
        <v>12.100999999999999</v>
      </c>
      <c r="S74" s="25">
        <v>0</v>
      </c>
      <c r="T74" s="25">
        <v>0</v>
      </c>
      <c r="U74" s="26">
        <f t="shared" si="23"/>
        <v>12.100999999999999</v>
      </c>
      <c r="V74" s="25">
        <v>0</v>
      </c>
      <c r="W74" s="24">
        <f>1.05*16</f>
        <v>16.8</v>
      </c>
      <c r="X74" s="6">
        <f>W74-U74-V74</f>
        <v>4.699000000000002</v>
      </c>
      <c r="Y74" s="26">
        <f>X74</f>
        <v>4.699000000000002</v>
      </c>
      <c r="Z74" s="12" t="s">
        <v>201</v>
      </c>
    </row>
    <row r="75" spans="1:26" s="1" customFormat="1" ht="22.5">
      <c r="A75" s="22">
        <v>44</v>
      </c>
      <c r="B75" s="31" t="s">
        <v>100</v>
      </c>
      <c r="C75" s="32" t="s">
        <v>0</v>
      </c>
      <c r="D75" s="48">
        <v>18.28</v>
      </c>
      <c r="E75" s="31">
        <v>0</v>
      </c>
      <c r="F75" s="31">
        <v>0</v>
      </c>
      <c r="G75" s="30">
        <f t="shared" si="22"/>
        <v>18.28</v>
      </c>
      <c r="H75" s="31">
        <v>0</v>
      </c>
      <c r="I75" s="30">
        <f>1.05*10</f>
        <v>10.5</v>
      </c>
      <c r="J75" s="4">
        <f>I75-G75-H75</f>
        <v>-7.780000000000001</v>
      </c>
      <c r="K75" s="48">
        <f>J75</f>
        <v>-7.780000000000001</v>
      </c>
      <c r="L75" s="19" t="s">
        <v>202</v>
      </c>
      <c r="M75" s="16"/>
      <c r="N75" s="22">
        <v>44</v>
      </c>
      <c r="O75" s="31" t="s">
        <v>100</v>
      </c>
      <c r="P75" s="32" t="s">
        <v>0</v>
      </c>
      <c r="Q75" s="66">
        <f>0.457+1.078+1.078+0.1398</f>
        <v>2.7528000000000006</v>
      </c>
      <c r="R75" s="50">
        <f t="shared" si="21"/>
        <v>21.0328</v>
      </c>
      <c r="S75" s="31">
        <v>0</v>
      </c>
      <c r="T75" s="31">
        <v>0</v>
      </c>
      <c r="U75" s="29">
        <f t="shared" si="23"/>
        <v>21.0328</v>
      </c>
      <c r="V75" s="31">
        <v>0</v>
      </c>
      <c r="W75" s="30">
        <f>1.05*10</f>
        <v>10.5</v>
      </c>
      <c r="X75" s="4">
        <f>W75-U75-V75</f>
        <v>-10.532800000000002</v>
      </c>
      <c r="Y75" s="79">
        <f>X75</f>
        <v>-10.532800000000002</v>
      </c>
      <c r="Z75" s="22" t="s">
        <v>202</v>
      </c>
    </row>
    <row r="76" spans="1:26" s="1" customFormat="1" ht="33.75">
      <c r="A76" s="85">
        <v>45</v>
      </c>
      <c r="B76" s="25" t="s">
        <v>101</v>
      </c>
      <c r="C76" s="52" t="s">
        <v>12</v>
      </c>
      <c r="D76" s="47">
        <f>D77+D78</f>
        <v>7.056</v>
      </c>
      <c r="E76" s="25">
        <f>E77+E78</f>
        <v>1.4</v>
      </c>
      <c r="F76" s="25" t="s">
        <v>29</v>
      </c>
      <c r="G76" s="26">
        <f t="shared" si="22"/>
        <v>5.656000000000001</v>
      </c>
      <c r="H76" s="25">
        <v>0</v>
      </c>
      <c r="I76" s="24">
        <f>1.05*10</f>
        <v>10.5</v>
      </c>
      <c r="J76" s="5">
        <f>I76-G76-H76</f>
        <v>4.843999999999999</v>
      </c>
      <c r="K76" s="84">
        <f>MIN(J76:J78)</f>
        <v>4.843999999999999</v>
      </c>
      <c r="L76" s="81" t="s">
        <v>201</v>
      </c>
      <c r="M76" s="16"/>
      <c r="N76" s="81">
        <v>45</v>
      </c>
      <c r="O76" s="25" t="s">
        <v>101</v>
      </c>
      <c r="P76" s="28" t="s">
        <v>12</v>
      </c>
      <c r="Q76" s="64">
        <f>Q77+Q78</f>
        <v>0.8024</v>
      </c>
      <c r="R76" s="46">
        <f>R77+R78</f>
        <v>7.8584</v>
      </c>
      <c r="S76" s="25">
        <f>S77+S78</f>
        <v>1.4</v>
      </c>
      <c r="T76" s="25" t="s">
        <v>29</v>
      </c>
      <c r="U76" s="26">
        <f t="shared" si="23"/>
        <v>6.458399999999999</v>
      </c>
      <c r="V76" s="25">
        <v>0</v>
      </c>
      <c r="W76" s="24">
        <f>1.05*10</f>
        <v>10.5</v>
      </c>
      <c r="X76" s="5">
        <f>W76-U76-V76</f>
        <v>4.041600000000001</v>
      </c>
      <c r="Y76" s="84">
        <f>MIN(X76:X78)</f>
        <v>4.041600000000001</v>
      </c>
      <c r="Z76" s="81" t="s">
        <v>201</v>
      </c>
    </row>
    <row r="77" spans="1:26" s="1" customFormat="1" ht="24" customHeight="1">
      <c r="A77" s="86"/>
      <c r="B77" s="27" t="s">
        <v>50</v>
      </c>
      <c r="C77" s="52" t="s">
        <v>12</v>
      </c>
      <c r="D77" s="47">
        <f>1.526+0.708</f>
        <v>2.234</v>
      </c>
      <c r="E77" s="25">
        <v>1.4</v>
      </c>
      <c r="F77" s="25" t="s">
        <v>29</v>
      </c>
      <c r="G77" s="26">
        <f t="shared" si="22"/>
        <v>0.8340000000000001</v>
      </c>
      <c r="H77" s="25">
        <v>0</v>
      </c>
      <c r="I77" s="24">
        <f>1.05*10</f>
        <v>10.5</v>
      </c>
      <c r="J77" s="5">
        <f>I77-D77</f>
        <v>8.266</v>
      </c>
      <c r="K77" s="82"/>
      <c r="L77" s="82"/>
      <c r="M77" s="16"/>
      <c r="N77" s="106"/>
      <c r="O77" s="27" t="s">
        <v>50</v>
      </c>
      <c r="P77" s="28" t="s">
        <v>12</v>
      </c>
      <c r="Q77" s="64"/>
      <c r="R77" s="46">
        <f t="shared" si="21"/>
        <v>2.234</v>
      </c>
      <c r="S77" s="25">
        <v>1.4</v>
      </c>
      <c r="T77" s="25" t="s">
        <v>29</v>
      </c>
      <c r="U77" s="26">
        <f t="shared" si="23"/>
        <v>0.8340000000000001</v>
      </c>
      <c r="V77" s="25">
        <v>0</v>
      </c>
      <c r="W77" s="24">
        <f>1.05*10</f>
        <v>10.5</v>
      </c>
      <c r="X77" s="5">
        <f>W77-R77</f>
        <v>8.266</v>
      </c>
      <c r="Y77" s="121"/>
      <c r="Z77" s="106"/>
    </row>
    <row r="78" spans="1:26" s="1" customFormat="1" ht="24" customHeight="1">
      <c r="A78" s="87"/>
      <c r="B78" s="27" t="s">
        <v>51</v>
      </c>
      <c r="C78" s="52" t="s">
        <v>12</v>
      </c>
      <c r="D78" s="47">
        <f>3.22+1.602</f>
        <v>4.822</v>
      </c>
      <c r="E78" s="25">
        <v>0</v>
      </c>
      <c r="F78" s="25">
        <v>0</v>
      </c>
      <c r="G78" s="26">
        <f t="shared" si="22"/>
        <v>4.822</v>
      </c>
      <c r="H78" s="25">
        <v>0</v>
      </c>
      <c r="I78" s="24">
        <f>1.05*10</f>
        <v>10.5</v>
      </c>
      <c r="J78" s="5">
        <f>I78-G78-H78</f>
        <v>5.678</v>
      </c>
      <c r="K78" s="83"/>
      <c r="L78" s="83"/>
      <c r="M78" s="16"/>
      <c r="N78" s="107"/>
      <c r="O78" s="27" t="s">
        <v>51</v>
      </c>
      <c r="P78" s="28" t="s">
        <v>12</v>
      </c>
      <c r="Q78" s="64">
        <f>0.059+0.048+0.005+0.017+0.005+0.031+0.023+0.348+0.014+0.01+0.0172+0.0263-0.0914+0.0108+0.0426+0.0183+0.1545+0.006+0.0581</f>
        <v>0.8024</v>
      </c>
      <c r="R78" s="46">
        <f t="shared" si="21"/>
        <v>5.6244</v>
      </c>
      <c r="S78" s="25">
        <v>0</v>
      </c>
      <c r="T78" s="25">
        <v>0</v>
      </c>
      <c r="U78" s="26">
        <f t="shared" si="23"/>
        <v>5.6244</v>
      </c>
      <c r="V78" s="25">
        <v>0</v>
      </c>
      <c r="W78" s="24">
        <f>1.05*10</f>
        <v>10.5</v>
      </c>
      <c r="X78" s="5">
        <f>W78-U78-V78</f>
        <v>4.8756</v>
      </c>
      <c r="Y78" s="122"/>
      <c r="Z78" s="107"/>
    </row>
    <row r="79" spans="1:26" s="1" customFormat="1" ht="22.5">
      <c r="A79" s="85">
        <v>46</v>
      </c>
      <c r="B79" s="25" t="s">
        <v>102</v>
      </c>
      <c r="C79" s="52" t="s">
        <v>4</v>
      </c>
      <c r="D79" s="47">
        <f>D80+D81</f>
        <v>10.253</v>
      </c>
      <c r="E79" s="25">
        <f>E80+E81</f>
        <v>3.7</v>
      </c>
      <c r="F79" s="25" t="s">
        <v>29</v>
      </c>
      <c r="G79" s="26">
        <f t="shared" si="22"/>
        <v>6.553</v>
      </c>
      <c r="H79" s="25">
        <v>0</v>
      </c>
      <c r="I79" s="24">
        <f>1.05*16</f>
        <v>16.8</v>
      </c>
      <c r="J79" s="5">
        <f>I79-G79-H79</f>
        <v>10.247</v>
      </c>
      <c r="K79" s="84">
        <f>MIN(J79:J81)</f>
        <v>10.247</v>
      </c>
      <c r="L79" s="81" t="s">
        <v>201</v>
      </c>
      <c r="M79" s="16"/>
      <c r="N79" s="81">
        <v>46</v>
      </c>
      <c r="O79" s="25" t="s">
        <v>102</v>
      </c>
      <c r="P79" s="28" t="s">
        <v>4</v>
      </c>
      <c r="Q79" s="64">
        <f>Q80+Q81</f>
        <v>0.22450000000000003</v>
      </c>
      <c r="R79" s="46">
        <f>R80+R81</f>
        <v>10.4775</v>
      </c>
      <c r="S79" s="25">
        <f>S80+S81</f>
        <v>3.7</v>
      </c>
      <c r="T79" s="25" t="s">
        <v>29</v>
      </c>
      <c r="U79" s="26">
        <f t="shared" si="23"/>
        <v>6.777499999999999</v>
      </c>
      <c r="V79" s="25">
        <v>0</v>
      </c>
      <c r="W79" s="24">
        <f>1.05*16</f>
        <v>16.8</v>
      </c>
      <c r="X79" s="5">
        <f>W79-U79-V79</f>
        <v>10.0225</v>
      </c>
      <c r="Y79" s="84">
        <f>MIN(X79:X81)</f>
        <v>10.0225</v>
      </c>
      <c r="Z79" s="81" t="s">
        <v>201</v>
      </c>
    </row>
    <row r="80" spans="1:26" s="1" customFormat="1" ht="21" customHeight="1">
      <c r="A80" s="86"/>
      <c r="B80" s="27" t="s">
        <v>50</v>
      </c>
      <c r="C80" s="52" t="s">
        <v>4</v>
      </c>
      <c r="D80" s="47">
        <f>3.748+1.249</f>
        <v>4.997</v>
      </c>
      <c r="E80" s="25">
        <v>3.7</v>
      </c>
      <c r="F80" s="25" t="s">
        <v>29</v>
      </c>
      <c r="G80" s="26">
        <f t="shared" si="22"/>
        <v>1.2969999999999997</v>
      </c>
      <c r="H80" s="25">
        <v>0</v>
      </c>
      <c r="I80" s="24">
        <f>1.05*16</f>
        <v>16.8</v>
      </c>
      <c r="J80" s="5">
        <f>I80-D80</f>
        <v>11.803</v>
      </c>
      <c r="K80" s="82"/>
      <c r="L80" s="82"/>
      <c r="M80" s="16"/>
      <c r="N80" s="106"/>
      <c r="O80" s="27" t="s">
        <v>50</v>
      </c>
      <c r="P80" s="28" t="s">
        <v>4</v>
      </c>
      <c r="Q80" s="64"/>
      <c r="R80" s="46">
        <f t="shared" si="21"/>
        <v>4.997</v>
      </c>
      <c r="S80" s="25">
        <v>3.7</v>
      </c>
      <c r="T80" s="25" t="s">
        <v>29</v>
      </c>
      <c r="U80" s="26">
        <f t="shared" si="23"/>
        <v>1.2969999999999997</v>
      </c>
      <c r="V80" s="25">
        <v>0</v>
      </c>
      <c r="W80" s="24">
        <f>1.05*16</f>
        <v>16.8</v>
      </c>
      <c r="X80" s="5">
        <f>W80-R80</f>
        <v>11.803</v>
      </c>
      <c r="Y80" s="121"/>
      <c r="Z80" s="106"/>
    </row>
    <row r="81" spans="1:26" s="1" customFormat="1" ht="18.75" customHeight="1">
      <c r="A81" s="87"/>
      <c r="B81" s="27" t="s">
        <v>51</v>
      </c>
      <c r="C81" s="52" t="s">
        <v>4</v>
      </c>
      <c r="D81" s="47">
        <f>1.109+4.147</f>
        <v>5.256</v>
      </c>
      <c r="E81" s="25">
        <v>0</v>
      </c>
      <c r="F81" s="25">
        <v>0</v>
      </c>
      <c r="G81" s="26">
        <f t="shared" si="22"/>
        <v>5.256</v>
      </c>
      <c r="H81" s="25">
        <v>0</v>
      </c>
      <c r="I81" s="24">
        <f>1.05*16</f>
        <v>16.8</v>
      </c>
      <c r="J81" s="5">
        <f>I81-G81-H81</f>
        <v>11.544</v>
      </c>
      <c r="K81" s="83"/>
      <c r="L81" s="83"/>
      <c r="M81" s="16"/>
      <c r="N81" s="107"/>
      <c r="O81" s="27" t="s">
        <v>51</v>
      </c>
      <c r="P81" s="28" t="s">
        <v>4</v>
      </c>
      <c r="Q81" s="64">
        <f>0.02+0.016+0.003+0.003-0.0086+0.0269+0.1562+0.008</f>
        <v>0.22450000000000003</v>
      </c>
      <c r="R81" s="46">
        <f t="shared" si="21"/>
        <v>5.4805</v>
      </c>
      <c r="S81" s="25">
        <v>0</v>
      </c>
      <c r="T81" s="25">
        <v>0</v>
      </c>
      <c r="U81" s="26">
        <f t="shared" si="23"/>
        <v>5.4805</v>
      </c>
      <c r="V81" s="25">
        <v>0</v>
      </c>
      <c r="W81" s="24">
        <f>1.05*16</f>
        <v>16.8</v>
      </c>
      <c r="X81" s="5">
        <f>W81-U81-V81</f>
        <v>11.319500000000001</v>
      </c>
      <c r="Y81" s="122"/>
      <c r="Z81" s="107"/>
    </row>
    <row r="82" spans="1:26" s="1" customFormat="1" ht="22.5">
      <c r="A82" s="18">
        <v>47</v>
      </c>
      <c r="B82" s="54" t="s">
        <v>103</v>
      </c>
      <c r="C82" s="52" t="s">
        <v>22</v>
      </c>
      <c r="D82" s="47">
        <v>0.717</v>
      </c>
      <c r="E82" s="25">
        <v>0</v>
      </c>
      <c r="F82" s="25">
        <v>0</v>
      </c>
      <c r="G82" s="26">
        <f t="shared" si="22"/>
        <v>0.717</v>
      </c>
      <c r="H82" s="25">
        <v>0</v>
      </c>
      <c r="I82" s="24">
        <f>1.05*2.5</f>
        <v>2.625</v>
      </c>
      <c r="J82" s="6">
        <f>I82-G82-H82</f>
        <v>1.908</v>
      </c>
      <c r="K82" s="26">
        <f>J82</f>
        <v>1.908</v>
      </c>
      <c r="L82" s="17" t="s">
        <v>201</v>
      </c>
      <c r="M82" s="16"/>
      <c r="N82" s="12">
        <v>47</v>
      </c>
      <c r="O82" s="25" t="s">
        <v>103</v>
      </c>
      <c r="P82" s="28" t="s">
        <v>22</v>
      </c>
      <c r="Q82" s="64">
        <f>0.008+0.002+0.005+0.005+0.008+0.0054+0.0108+0.0161+0.1851+0.0075+0.008+0.0102</f>
        <v>0.2711</v>
      </c>
      <c r="R82" s="46">
        <f t="shared" si="21"/>
        <v>0.9881</v>
      </c>
      <c r="S82" s="25">
        <v>0</v>
      </c>
      <c r="T82" s="25">
        <v>0</v>
      </c>
      <c r="U82" s="26">
        <f t="shared" si="23"/>
        <v>0.9881</v>
      </c>
      <c r="V82" s="25">
        <v>0</v>
      </c>
      <c r="W82" s="24">
        <f>1.05*2.5</f>
        <v>2.625</v>
      </c>
      <c r="X82" s="6">
        <f>W82-U82-V82</f>
        <v>1.6369</v>
      </c>
      <c r="Y82" s="26">
        <f>X82</f>
        <v>1.6369</v>
      </c>
      <c r="Z82" s="12" t="s">
        <v>201</v>
      </c>
    </row>
    <row r="83" spans="1:26" s="59" customFormat="1" ht="22.5">
      <c r="A83" s="18">
        <v>48</v>
      </c>
      <c r="B83" s="54" t="s">
        <v>104</v>
      </c>
      <c r="C83" s="52" t="s">
        <v>4</v>
      </c>
      <c r="D83" s="63">
        <v>15.29</v>
      </c>
      <c r="E83" s="54">
        <v>0</v>
      </c>
      <c r="F83" s="54">
        <v>0</v>
      </c>
      <c r="G83" s="55">
        <f t="shared" si="22"/>
        <v>15.29</v>
      </c>
      <c r="H83" s="54">
        <v>0</v>
      </c>
      <c r="I83" s="55">
        <f>1.05*16</f>
        <v>16.8</v>
      </c>
      <c r="J83" s="2">
        <f>I83-G83-H83</f>
        <v>1.5100000000000016</v>
      </c>
      <c r="K83" s="63">
        <f>J83</f>
        <v>1.5100000000000016</v>
      </c>
      <c r="L83" s="72" t="s">
        <v>201</v>
      </c>
      <c r="M83" s="16"/>
      <c r="N83" s="18">
        <v>48</v>
      </c>
      <c r="O83" s="54" t="s">
        <v>104</v>
      </c>
      <c r="P83" s="52" t="s">
        <v>4</v>
      </c>
      <c r="Q83" s="62">
        <f>1.472-0.8354+0.3226</f>
        <v>0.9591999999999999</v>
      </c>
      <c r="R83" s="60">
        <f t="shared" si="21"/>
        <v>16.2492</v>
      </c>
      <c r="S83" s="54">
        <v>0</v>
      </c>
      <c r="T83" s="54">
        <v>0</v>
      </c>
      <c r="U83" s="53">
        <f t="shared" si="23"/>
        <v>16.2492</v>
      </c>
      <c r="V83" s="54">
        <v>0</v>
      </c>
      <c r="W83" s="55">
        <f>1.05*16</f>
        <v>16.8</v>
      </c>
      <c r="X83" s="2">
        <f>W83-U83-V83</f>
        <v>0.5508000000000024</v>
      </c>
      <c r="Y83" s="63">
        <f>X83</f>
        <v>0.5508000000000024</v>
      </c>
      <c r="Z83" s="18" t="s">
        <v>201</v>
      </c>
    </row>
    <row r="84" spans="1:26" s="1" customFormat="1" ht="22.5">
      <c r="A84" s="85">
        <v>49</v>
      </c>
      <c r="B84" s="25" t="s">
        <v>105</v>
      </c>
      <c r="C84" s="52" t="s">
        <v>12</v>
      </c>
      <c r="D84" s="47">
        <f>D85+D86</f>
        <v>5.796</v>
      </c>
      <c r="E84" s="25">
        <f>E85+E86</f>
        <v>4.5</v>
      </c>
      <c r="F84" s="25" t="s">
        <v>29</v>
      </c>
      <c r="G84" s="26">
        <f t="shared" si="22"/>
        <v>1.2960000000000003</v>
      </c>
      <c r="H84" s="25">
        <v>0</v>
      </c>
      <c r="I84" s="24">
        <f>1.05*10</f>
        <v>10.5</v>
      </c>
      <c r="J84" s="5">
        <f>I84-G84-H84</f>
        <v>9.204</v>
      </c>
      <c r="K84" s="84">
        <f>MIN(J84:J86)</f>
        <v>5.362</v>
      </c>
      <c r="L84" s="81" t="s">
        <v>201</v>
      </c>
      <c r="M84" s="16"/>
      <c r="N84" s="81">
        <v>49</v>
      </c>
      <c r="O84" s="25" t="s">
        <v>105</v>
      </c>
      <c r="P84" s="28" t="s">
        <v>12</v>
      </c>
      <c r="Q84" s="64">
        <f>Q85+Q86</f>
        <v>0.7403000000000001</v>
      </c>
      <c r="R84" s="46">
        <f>R85+R86</f>
        <v>6.5363</v>
      </c>
      <c r="S84" s="25">
        <f>S85+S86</f>
        <v>4.5</v>
      </c>
      <c r="T84" s="25" t="s">
        <v>29</v>
      </c>
      <c r="U84" s="26">
        <f t="shared" si="23"/>
        <v>2.0362999999999998</v>
      </c>
      <c r="V84" s="25">
        <v>0</v>
      </c>
      <c r="W84" s="24">
        <f>1.05*10</f>
        <v>10.5</v>
      </c>
      <c r="X84" s="5">
        <f>W84-U84-V84</f>
        <v>8.4637</v>
      </c>
      <c r="Y84" s="84">
        <f>MIN(X84:X86)</f>
        <v>5.362</v>
      </c>
      <c r="Z84" s="81" t="s">
        <v>201</v>
      </c>
    </row>
    <row r="85" spans="1:26" s="1" customFormat="1" ht="21.75" customHeight="1">
      <c r="A85" s="86"/>
      <c r="B85" s="27" t="s">
        <v>50</v>
      </c>
      <c r="C85" s="52" t="s">
        <v>12</v>
      </c>
      <c r="D85" s="47">
        <v>5.138</v>
      </c>
      <c r="E85" s="25">
        <v>4.5</v>
      </c>
      <c r="F85" s="25" t="s">
        <v>29</v>
      </c>
      <c r="G85" s="26">
        <v>0</v>
      </c>
      <c r="H85" s="25">
        <v>0</v>
      </c>
      <c r="I85" s="24">
        <f>1.05*10</f>
        <v>10.5</v>
      </c>
      <c r="J85" s="5">
        <f>I85-D85</f>
        <v>5.362</v>
      </c>
      <c r="K85" s="82"/>
      <c r="L85" s="82"/>
      <c r="M85" s="16"/>
      <c r="N85" s="106"/>
      <c r="O85" s="27" t="s">
        <v>50</v>
      </c>
      <c r="P85" s="28" t="s">
        <v>12</v>
      </c>
      <c r="Q85" s="64"/>
      <c r="R85" s="46">
        <f t="shared" si="21"/>
        <v>5.138</v>
      </c>
      <c r="S85" s="25">
        <v>4.5</v>
      </c>
      <c r="T85" s="25" t="s">
        <v>29</v>
      </c>
      <c r="U85" s="26">
        <v>0</v>
      </c>
      <c r="V85" s="25">
        <v>0</v>
      </c>
      <c r="W85" s="24">
        <f>1.05*10</f>
        <v>10.5</v>
      </c>
      <c r="X85" s="5">
        <f>W85-R85</f>
        <v>5.362</v>
      </c>
      <c r="Y85" s="121"/>
      <c r="Z85" s="106"/>
    </row>
    <row r="86" spans="1:26" s="1" customFormat="1" ht="21.75" customHeight="1">
      <c r="A86" s="87"/>
      <c r="B86" s="27" t="s">
        <v>51</v>
      </c>
      <c r="C86" s="52" t="s">
        <v>12</v>
      </c>
      <c r="D86" s="47">
        <f>0.658</f>
        <v>0.658</v>
      </c>
      <c r="E86" s="25">
        <v>0</v>
      </c>
      <c r="F86" s="25">
        <v>0</v>
      </c>
      <c r="G86" s="26">
        <f t="shared" si="22"/>
        <v>0.658</v>
      </c>
      <c r="H86" s="25">
        <v>0</v>
      </c>
      <c r="I86" s="24">
        <f>1.05*10</f>
        <v>10.5</v>
      </c>
      <c r="J86" s="5">
        <f aca="true" t="shared" si="24" ref="J86:J94">I86-G86-H86</f>
        <v>9.842</v>
      </c>
      <c r="K86" s="83"/>
      <c r="L86" s="83"/>
      <c r="M86" s="16"/>
      <c r="N86" s="107"/>
      <c r="O86" s="27" t="s">
        <v>51</v>
      </c>
      <c r="P86" s="28" t="s">
        <v>12</v>
      </c>
      <c r="Q86" s="64">
        <f>0.01+0.118+0.323+0.015+0.0151-0.3322+0.5914</f>
        <v>0.7403000000000001</v>
      </c>
      <c r="R86" s="46">
        <f t="shared" si="21"/>
        <v>1.3983</v>
      </c>
      <c r="S86" s="25">
        <v>0</v>
      </c>
      <c r="T86" s="25">
        <v>0</v>
      </c>
      <c r="U86" s="26">
        <f t="shared" si="23"/>
        <v>1.3983</v>
      </c>
      <c r="V86" s="25">
        <v>0</v>
      </c>
      <c r="W86" s="24">
        <f>1.05*10</f>
        <v>10.5</v>
      </c>
      <c r="X86" s="5">
        <f aca="true" t="shared" si="25" ref="X86:X94">W86-U86-V86</f>
        <v>9.1017</v>
      </c>
      <c r="Y86" s="122"/>
      <c r="Z86" s="107"/>
    </row>
    <row r="87" spans="1:26" s="1" customFormat="1" ht="22.5">
      <c r="A87" s="18">
        <v>50</v>
      </c>
      <c r="B87" s="25" t="s">
        <v>106</v>
      </c>
      <c r="C87" s="52" t="s">
        <v>0</v>
      </c>
      <c r="D87" s="47">
        <v>3.457</v>
      </c>
      <c r="E87" s="25">
        <v>0</v>
      </c>
      <c r="F87" s="25">
        <v>0</v>
      </c>
      <c r="G87" s="26">
        <f t="shared" si="22"/>
        <v>3.457</v>
      </c>
      <c r="H87" s="25">
        <v>0</v>
      </c>
      <c r="I87" s="24">
        <f>1.05*6.3</f>
        <v>6.615</v>
      </c>
      <c r="J87" s="6">
        <f t="shared" si="24"/>
        <v>3.1580000000000004</v>
      </c>
      <c r="K87" s="26">
        <f aca="true" t="shared" si="26" ref="K87:K93">J87</f>
        <v>3.1580000000000004</v>
      </c>
      <c r="L87" s="17" t="s">
        <v>201</v>
      </c>
      <c r="M87" s="16"/>
      <c r="N87" s="12">
        <v>50</v>
      </c>
      <c r="O87" s="25" t="s">
        <v>106</v>
      </c>
      <c r="P87" s="28" t="s">
        <v>0</v>
      </c>
      <c r="Q87" s="64">
        <f>0.493+0.107+0.005+0.016+0.005+0.022+0.045+0.125+0.039+0.028+0.147+0.33+0.032+0.0054+0.021-0.4559+0.0032+0.0161+0.0538+0.0108+0.094+0.0269</f>
        <v>1.1693</v>
      </c>
      <c r="R87" s="46">
        <f t="shared" si="21"/>
        <v>4.6263</v>
      </c>
      <c r="S87" s="25">
        <v>0</v>
      </c>
      <c r="T87" s="25">
        <v>0</v>
      </c>
      <c r="U87" s="26">
        <f t="shared" si="23"/>
        <v>4.6263</v>
      </c>
      <c r="V87" s="25">
        <v>0</v>
      </c>
      <c r="W87" s="24">
        <f>1.05*6.3</f>
        <v>6.615</v>
      </c>
      <c r="X87" s="6">
        <f t="shared" si="25"/>
        <v>1.9887000000000006</v>
      </c>
      <c r="Y87" s="26">
        <f aca="true" t="shared" si="27" ref="Y87:Y93">X87</f>
        <v>1.9887000000000006</v>
      </c>
      <c r="Z87" s="12" t="s">
        <v>201</v>
      </c>
    </row>
    <row r="88" spans="1:26" s="1" customFormat="1" ht="22.5">
      <c r="A88" s="18">
        <v>51</v>
      </c>
      <c r="B88" s="54" t="s">
        <v>107</v>
      </c>
      <c r="C88" s="52" t="s">
        <v>3</v>
      </c>
      <c r="D88" s="47">
        <v>2.438</v>
      </c>
      <c r="E88" s="25">
        <v>0</v>
      </c>
      <c r="F88" s="25">
        <v>0</v>
      </c>
      <c r="G88" s="26">
        <f t="shared" si="22"/>
        <v>2.438</v>
      </c>
      <c r="H88" s="25">
        <v>0</v>
      </c>
      <c r="I88" s="24">
        <f>1.05*6.3</f>
        <v>6.615</v>
      </c>
      <c r="J88" s="6">
        <f t="shared" si="24"/>
        <v>4.177</v>
      </c>
      <c r="K88" s="26">
        <f t="shared" si="26"/>
        <v>4.177</v>
      </c>
      <c r="L88" s="17" t="s">
        <v>201</v>
      </c>
      <c r="M88" s="16"/>
      <c r="N88" s="12">
        <v>51</v>
      </c>
      <c r="O88" s="25" t="s">
        <v>107</v>
      </c>
      <c r="P88" s="28" t="s">
        <v>3</v>
      </c>
      <c r="Q88" s="64">
        <f>0.007+0.005+0.011+0.005+0.005+0.021+0.091+0.022+0.021+0.05+0.022+0.0027-0.1124+0.0373+0.0032+0.0011+0.0323+0.005+0.0253</f>
        <v>0.2545</v>
      </c>
      <c r="R88" s="46">
        <f t="shared" si="21"/>
        <v>2.6925000000000003</v>
      </c>
      <c r="S88" s="25">
        <v>0</v>
      </c>
      <c r="T88" s="25">
        <v>0</v>
      </c>
      <c r="U88" s="26">
        <f t="shared" si="23"/>
        <v>2.6925000000000003</v>
      </c>
      <c r="V88" s="25">
        <v>0</v>
      </c>
      <c r="W88" s="24">
        <f>1.05*6.3</f>
        <v>6.615</v>
      </c>
      <c r="X88" s="6">
        <f t="shared" si="25"/>
        <v>3.9225</v>
      </c>
      <c r="Y88" s="26">
        <f t="shared" si="27"/>
        <v>3.9225</v>
      </c>
      <c r="Z88" s="12" t="s">
        <v>201</v>
      </c>
    </row>
    <row r="89" spans="1:26" s="1" customFormat="1" ht="22.5">
      <c r="A89" s="18">
        <v>52</v>
      </c>
      <c r="B89" s="25" t="s">
        <v>108</v>
      </c>
      <c r="C89" s="52" t="s">
        <v>4</v>
      </c>
      <c r="D89" s="47">
        <v>5.734</v>
      </c>
      <c r="E89" s="25">
        <v>0</v>
      </c>
      <c r="F89" s="25">
        <v>0</v>
      </c>
      <c r="G89" s="24">
        <f t="shared" si="22"/>
        <v>5.734</v>
      </c>
      <c r="H89" s="25">
        <v>0</v>
      </c>
      <c r="I89" s="24">
        <f>1.05*16</f>
        <v>16.8</v>
      </c>
      <c r="J89" s="6">
        <f t="shared" si="24"/>
        <v>11.066</v>
      </c>
      <c r="K89" s="24">
        <f t="shared" si="26"/>
        <v>11.066</v>
      </c>
      <c r="L89" s="17" t="s">
        <v>201</v>
      </c>
      <c r="M89" s="16"/>
      <c r="N89" s="12">
        <v>52</v>
      </c>
      <c r="O89" s="25" t="s">
        <v>108</v>
      </c>
      <c r="P89" s="28" t="s">
        <v>4</v>
      </c>
      <c r="Q89" s="64">
        <f>0.097+0.032-0.0323+0.2113</f>
        <v>0.308</v>
      </c>
      <c r="R89" s="46">
        <f t="shared" si="21"/>
        <v>6.042</v>
      </c>
      <c r="S89" s="25">
        <v>0</v>
      </c>
      <c r="T89" s="25">
        <v>0</v>
      </c>
      <c r="U89" s="26">
        <f t="shared" si="23"/>
        <v>6.042</v>
      </c>
      <c r="V89" s="25">
        <v>0</v>
      </c>
      <c r="W89" s="24">
        <f>1.05*16</f>
        <v>16.8</v>
      </c>
      <c r="X89" s="6">
        <f t="shared" si="25"/>
        <v>10.758000000000001</v>
      </c>
      <c r="Y89" s="26">
        <f t="shared" si="27"/>
        <v>10.758000000000001</v>
      </c>
      <c r="Z89" s="12" t="s">
        <v>201</v>
      </c>
    </row>
    <row r="90" spans="1:26" s="1" customFormat="1" ht="22.5">
      <c r="A90" s="18">
        <v>53</v>
      </c>
      <c r="B90" s="54" t="s">
        <v>109</v>
      </c>
      <c r="C90" s="52" t="s">
        <v>31</v>
      </c>
      <c r="D90" s="63">
        <v>36.96</v>
      </c>
      <c r="E90" s="54">
        <v>0</v>
      </c>
      <c r="F90" s="54">
        <v>0</v>
      </c>
      <c r="G90" s="53">
        <f t="shared" si="22"/>
        <v>36.96</v>
      </c>
      <c r="H90" s="54">
        <v>0</v>
      </c>
      <c r="I90" s="55">
        <f>1.05*57</f>
        <v>59.85</v>
      </c>
      <c r="J90" s="2">
        <f t="shared" si="24"/>
        <v>22.89</v>
      </c>
      <c r="K90" s="53">
        <f t="shared" si="26"/>
        <v>22.89</v>
      </c>
      <c r="L90" s="17" t="s">
        <v>201</v>
      </c>
      <c r="M90" s="16"/>
      <c r="N90" s="12">
        <v>53</v>
      </c>
      <c r="O90" s="25" t="s">
        <v>109</v>
      </c>
      <c r="P90" s="28" t="s">
        <v>31</v>
      </c>
      <c r="Q90" s="64">
        <f>6.452+1.193+3.232+0.955+3.396+0.523+0.492+1.623+0.715+0.019+1.0633+0.3451-1.4687+0.1032+0.1989+1.0763+1.1015+0.877</f>
        <v>21.8966</v>
      </c>
      <c r="R90" s="46">
        <f t="shared" si="21"/>
        <v>58.8566</v>
      </c>
      <c r="S90" s="25">
        <v>0</v>
      </c>
      <c r="T90" s="25">
        <v>0</v>
      </c>
      <c r="U90" s="26">
        <f t="shared" si="23"/>
        <v>58.8566</v>
      </c>
      <c r="V90" s="25">
        <v>0</v>
      </c>
      <c r="W90" s="24">
        <f>1.05*57</f>
        <v>59.85</v>
      </c>
      <c r="X90" s="6">
        <f t="shared" si="25"/>
        <v>0.9934000000000012</v>
      </c>
      <c r="Y90" s="26">
        <f t="shared" si="27"/>
        <v>0.9934000000000012</v>
      </c>
      <c r="Z90" s="12" t="s">
        <v>201</v>
      </c>
    </row>
    <row r="91" spans="1:26" s="1" customFormat="1" ht="27.75" customHeight="1">
      <c r="A91" s="18">
        <v>54</v>
      </c>
      <c r="B91" s="25" t="s">
        <v>110</v>
      </c>
      <c r="C91" s="52" t="s">
        <v>30</v>
      </c>
      <c r="D91" s="47">
        <v>46.85</v>
      </c>
      <c r="E91" s="25">
        <v>0</v>
      </c>
      <c r="F91" s="25">
        <v>0</v>
      </c>
      <c r="G91" s="26">
        <f t="shared" si="22"/>
        <v>46.85</v>
      </c>
      <c r="H91" s="25">
        <v>0</v>
      </c>
      <c r="I91" s="24">
        <f>1.05*71.5</f>
        <v>75.075</v>
      </c>
      <c r="J91" s="6">
        <f t="shared" si="24"/>
        <v>28.225</v>
      </c>
      <c r="K91" s="26">
        <f t="shared" si="26"/>
        <v>28.225</v>
      </c>
      <c r="L91" s="17" t="s">
        <v>201</v>
      </c>
      <c r="M91" s="16"/>
      <c r="N91" s="12">
        <v>54</v>
      </c>
      <c r="O91" s="25" t="s">
        <v>110</v>
      </c>
      <c r="P91" s="28" t="s">
        <v>30</v>
      </c>
      <c r="Q91" s="64">
        <f>0.178+0.2688</f>
        <v>0.4468</v>
      </c>
      <c r="R91" s="46">
        <f t="shared" si="21"/>
        <v>47.296800000000005</v>
      </c>
      <c r="S91" s="25">
        <v>0</v>
      </c>
      <c r="T91" s="25">
        <v>0</v>
      </c>
      <c r="U91" s="26">
        <f t="shared" si="23"/>
        <v>47.296800000000005</v>
      </c>
      <c r="V91" s="25">
        <v>0</v>
      </c>
      <c r="W91" s="24">
        <f>1.05*71.5</f>
        <v>75.075</v>
      </c>
      <c r="X91" s="6">
        <f t="shared" si="25"/>
        <v>27.7782</v>
      </c>
      <c r="Y91" s="26">
        <f t="shared" si="27"/>
        <v>27.7782</v>
      </c>
      <c r="Z91" s="12" t="s">
        <v>201</v>
      </c>
    </row>
    <row r="92" spans="1:26" s="1" customFormat="1" ht="22.5">
      <c r="A92" s="18">
        <v>55</v>
      </c>
      <c r="B92" s="25" t="s">
        <v>111</v>
      </c>
      <c r="C92" s="52" t="s">
        <v>0</v>
      </c>
      <c r="D92" s="47">
        <v>4.9</v>
      </c>
      <c r="E92" s="25">
        <v>0</v>
      </c>
      <c r="F92" s="25">
        <v>0</v>
      </c>
      <c r="G92" s="26">
        <f t="shared" si="22"/>
        <v>4.9</v>
      </c>
      <c r="H92" s="25">
        <v>0</v>
      </c>
      <c r="I92" s="24">
        <f>1.05*10</f>
        <v>10.5</v>
      </c>
      <c r="J92" s="6">
        <f t="shared" si="24"/>
        <v>5.6</v>
      </c>
      <c r="K92" s="26">
        <f t="shared" si="26"/>
        <v>5.6</v>
      </c>
      <c r="L92" s="17" t="s">
        <v>201</v>
      </c>
      <c r="M92" s="16"/>
      <c r="N92" s="12">
        <v>55</v>
      </c>
      <c r="O92" s="25" t="s">
        <v>111</v>
      </c>
      <c r="P92" s="28" t="s">
        <v>0</v>
      </c>
      <c r="Q92" s="64">
        <f>0.149+0.005+0.014+0.001+0.021+0.015+0.005+0.123+0.022+0.053+0.005+0.129+0.0296+0.0183-0.0887+0.0441+0.0054+0.0591+0.0285+0.022+0.014</f>
        <v>0.6743</v>
      </c>
      <c r="R92" s="46">
        <f t="shared" si="21"/>
        <v>5.5743</v>
      </c>
      <c r="S92" s="25">
        <v>0</v>
      </c>
      <c r="T92" s="25">
        <v>0</v>
      </c>
      <c r="U92" s="26">
        <f t="shared" si="23"/>
        <v>5.5743</v>
      </c>
      <c r="V92" s="25">
        <v>0</v>
      </c>
      <c r="W92" s="24">
        <f>1.05*10</f>
        <v>10.5</v>
      </c>
      <c r="X92" s="6">
        <f t="shared" si="25"/>
        <v>4.9257</v>
      </c>
      <c r="Y92" s="26">
        <f t="shared" si="27"/>
        <v>4.9257</v>
      </c>
      <c r="Z92" s="12" t="s">
        <v>201</v>
      </c>
    </row>
    <row r="93" spans="1:26" s="1" customFormat="1" ht="22.5" customHeight="1">
      <c r="A93" s="18">
        <v>56</v>
      </c>
      <c r="B93" s="25" t="s">
        <v>112</v>
      </c>
      <c r="C93" s="52" t="s">
        <v>9</v>
      </c>
      <c r="D93" s="47">
        <v>14.38</v>
      </c>
      <c r="E93" s="25">
        <v>0</v>
      </c>
      <c r="F93" s="25">
        <v>0</v>
      </c>
      <c r="G93" s="26">
        <f t="shared" si="22"/>
        <v>14.38</v>
      </c>
      <c r="H93" s="25">
        <v>0</v>
      </c>
      <c r="I93" s="24">
        <f>1.05*20</f>
        <v>21</v>
      </c>
      <c r="J93" s="6">
        <f t="shared" si="24"/>
        <v>6.619999999999999</v>
      </c>
      <c r="K93" s="26">
        <f t="shared" si="26"/>
        <v>6.619999999999999</v>
      </c>
      <c r="L93" s="17" t="s">
        <v>201</v>
      </c>
      <c r="M93" s="16"/>
      <c r="N93" s="12">
        <v>56</v>
      </c>
      <c r="O93" s="25" t="s">
        <v>112</v>
      </c>
      <c r="P93" s="28" t="s">
        <v>9</v>
      </c>
      <c r="Q93" s="64">
        <f>0.1742</f>
        <v>0.1742</v>
      </c>
      <c r="R93" s="46">
        <f t="shared" si="21"/>
        <v>14.554200000000002</v>
      </c>
      <c r="S93" s="25">
        <v>0</v>
      </c>
      <c r="T93" s="25">
        <v>0</v>
      </c>
      <c r="U93" s="26">
        <f t="shared" si="23"/>
        <v>14.554200000000002</v>
      </c>
      <c r="V93" s="25">
        <v>0</v>
      </c>
      <c r="W93" s="24">
        <f>1.05*20</f>
        <v>21</v>
      </c>
      <c r="X93" s="6">
        <f t="shared" si="25"/>
        <v>6.445799999999998</v>
      </c>
      <c r="Y93" s="26">
        <f t="shared" si="27"/>
        <v>6.445799999999998</v>
      </c>
      <c r="Z93" s="12" t="s">
        <v>201</v>
      </c>
    </row>
    <row r="94" spans="1:26" s="1" customFormat="1" ht="21.75" customHeight="1">
      <c r="A94" s="85">
        <v>57</v>
      </c>
      <c r="B94" s="25" t="s">
        <v>113</v>
      </c>
      <c r="C94" s="70" t="s">
        <v>4</v>
      </c>
      <c r="D94" s="49">
        <f>D95+D96</f>
        <v>10.488000000000001</v>
      </c>
      <c r="E94" s="25">
        <f>E95+E96</f>
        <v>4.8</v>
      </c>
      <c r="F94" s="25" t="s">
        <v>29</v>
      </c>
      <c r="G94" s="26">
        <f t="shared" si="22"/>
        <v>5.6880000000000015</v>
      </c>
      <c r="H94" s="25">
        <v>0</v>
      </c>
      <c r="I94" s="24">
        <f>1.05*16</f>
        <v>16.8</v>
      </c>
      <c r="J94" s="5">
        <f t="shared" si="24"/>
        <v>11.111999999999998</v>
      </c>
      <c r="K94" s="84">
        <f>MIN(J94:J96)</f>
        <v>10.032</v>
      </c>
      <c r="L94" s="81" t="s">
        <v>201</v>
      </c>
      <c r="M94" s="16"/>
      <c r="N94" s="81">
        <v>57</v>
      </c>
      <c r="O94" s="25" t="s">
        <v>113</v>
      </c>
      <c r="P94" s="28" t="s">
        <v>4</v>
      </c>
      <c r="Q94" s="64">
        <f>Q95+Q96</f>
        <v>0.18170000000000003</v>
      </c>
      <c r="R94" s="46">
        <f>R95+R96</f>
        <v>10.6697</v>
      </c>
      <c r="S94" s="25">
        <f>S95+S96</f>
        <v>4.8</v>
      </c>
      <c r="T94" s="25" t="s">
        <v>29</v>
      </c>
      <c r="U94" s="26">
        <f t="shared" si="23"/>
        <v>5.869700000000001</v>
      </c>
      <c r="V94" s="25">
        <v>0</v>
      </c>
      <c r="W94" s="24">
        <f>1.05*16</f>
        <v>16.8</v>
      </c>
      <c r="X94" s="5">
        <f t="shared" si="25"/>
        <v>10.930299999999999</v>
      </c>
      <c r="Y94" s="84">
        <f>MIN(X94:X96)</f>
        <v>9.8503</v>
      </c>
      <c r="Z94" s="81" t="s">
        <v>201</v>
      </c>
    </row>
    <row r="95" spans="1:26" s="1" customFormat="1" ht="20.25" customHeight="1">
      <c r="A95" s="86"/>
      <c r="B95" s="33" t="s">
        <v>50</v>
      </c>
      <c r="C95" s="52" t="s">
        <v>4</v>
      </c>
      <c r="D95" s="47">
        <f>1.399+2.321</f>
        <v>3.72</v>
      </c>
      <c r="E95" s="25">
        <v>4.8</v>
      </c>
      <c r="F95" s="25" t="s">
        <v>29</v>
      </c>
      <c r="G95" s="26">
        <f t="shared" si="22"/>
        <v>-1.0799999999999996</v>
      </c>
      <c r="H95" s="25">
        <v>0</v>
      </c>
      <c r="I95" s="24">
        <f>1.05*16</f>
        <v>16.8</v>
      </c>
      <c r="J95" s="5">
        <f>I95-D95</f>
        <v>13.08</v>
      </c>
      <c r="K95" s="82"/>
      <c r="L95" s="106"/>
      <c r="M95" s="16"/>
      <c r="N95" s="106"/>
      <c r="O95" s="27" t="s">
        <v>50</v>
      </c>
      <c r="P95" s="28" t="s">
        <v>4</v>
      </c>
      <c r="Q95" s="64"/>
      <c r="R95" s="46">
        <f t="shared" si="21"/>
        <v>3.72</v>
      </c>
      <c r="S95" s="25">
        <v>4.8</v>
      </c>
      <c r="T95" s="25" t="s">
        <v>29</v>
      </c>
      <c r="U95" s="26">
        <f t="shared" si="23"/>
        <v>-1.0799999999999996</v>
      </c>
      <c r="V95" s="25">
        <v>0</v>
      </c>
      <c r="W95" s="24">
        <f>1.05*16</f>
        <v>16.8</v>
      </c>
      <c r="X95" s="5">
        <f>W95-R95</f>
        <v>13.08</v>
      </c>
      <c r="Y95" s="121"/>
      <c r="Z95" s="106"/>
    </row>
    <row r="96" spans="1:26" s="1" customFormat="1" ht="20.25" customHeight="1">
      <c r="A96" s="87"/>
      <c r="B96" s="27" t="s">
        <v>51</v>
      </c>
      <c r="C96" s="52" t="s">
        <v>4</v>
      </c>
      <c r="D96" s="47">
        <f>3.422+3.346</f>
        <v>6.768000000000001</v>
      </c>
      <c r="E96" s="25">
        <v>0</v>
      </c>
      <c r="F96" s="25">
        <v>0</v>
      </c>
      <c r="G96" s="26">
        <f t="shared" si="22"/>
        <v>6.768000000000001</v>
      </c>
      <c r="H96" s="25">
        <v>0</v>
      </c>
      <c r="I96" s="24">
        <f>1.05*16</f>
        <v>16.8</v>
      </c>
      <c r="J96" s="5">
        <f aca="true" t="shared" si="28" ref="J96:J101">I96-G96-H96</f>
        <v>10.032</v>
      </c>
      <c r="K96" s="83"/>
      <c r="L96" s="107"/>
      <c r="M96" s="16"/>
      <c r="N96" s="107"/>
      <c r="O96" s="27" t="s">
        <v>51</v>
      </c>
      <c r="P96" s="28" t="s">
        <v>4</v>
      </c>
      <c r="Q96" s="64">
        <f>0.16+0.006+0.005+0.009+0.0223-0.0296+0.009</f>
        <v>0.18170000000000003</v>
      </c>
      <c r="R96" s="46">
        <f t="shared" si="21"/>
        <v>6.949700000000001</v>
      </c>
      <c r="S96" s="25">
        <v>0</v>
      </c>
      <c r="T96" s="25">
        <v>0</v>
      </c>
      <c r="U96" s="26">
        <f t="shared" si="23"/>
        <v>6.949700000000001</v>
      </c>
      <c r="V96" s="25">
        <v>0</v>
      </c>
      <c r="W96" s="24">
        <f>1.05*16</f>
        <v>16.8</v>
      </c>
      <c r="X96" s="5">
        <f aca="true" t="shared" si="29" ref="X96:X101">W96-U96-V96</f>
        <v>9.8503</v>
      </c>
      <c r="Y96" s="122"/>
      <c r="Z96" s="107"/>
    </row>
    <row r="97" spans="1:26" s="1" customFormat="1" ht="22.5">
      <c r="A97" s="22">
        <v>58</v>
      </c>
      <c r="B97" s="31" t="s">
        <v>114</v>
      </c>
      <c r="C97" s="32" t="s">
        <v>21</v>
      </c>
      <c r="D97" s="48">
        <v>19.43</v>
      </c>
      <c r="E97" s="31">
        <v>0</v>
      </c>
      <c r="F97" s="31">
        <v>0</v>
      </c>
      <c r="G97" s="29">
        <f t="shared" si="22"/>
        <v>19.43</v>
      </c>
      <c r="H97" s="31">
        <v>0</v>
      </c>
      <c r="I97" s="30">
        <f>1.05*16</f>
        <v>16.8</v>
      </c>
      <c r="J97" s="4">
        <f t="shared" si="28"/>
        <v>-2.629999999999999</v>
      </c>
      <c r="K97" s="48">
        <f>J97</f>
        <v>-2.629999999999999</v>
      </c>
      <c r="L97" s="19" t="s">
        <v>202</v>
      </c>
      <c r="M97" s="16"/>
      <c r="N97" s="22">
        <v>58</v>
      </c>
      <c r="O97" s="31" t="s">
        <v>114</v>
      </c>
      <c r="P97" s="32" t="s">
        <v>21</v>
      </c>
      <c r="Q97" s="66">
        <v>0.238</v>
      </c>
      <c r="R97" s="50">
        <f t="shared" si="21"/>
        <v>19.668</v>
      </c>
      <c r="S97" s="31">
        <v>0</v>
      </c>
      <c r="T97" s="31">
        <v>0</v>
      </c>
      <c r="U97" s="29">
        <f t="shared" si="23"/>
        <v>19.668</v>
      </c>
      <c r="V97" s="31">
        <v>0</v>
      </c>
      <c r="W97" s="30">
        <f>1.05*16</f>
        <v>16.8</v>
      </c>
      <c r="X97" s="4">
        <f t="shared" si="29"/>
        <v>-2.8679999999999986</v>
      </c>
      <c r="Y97" s="79">
        <f>X97</f>
        <v>-2.8679999999999986</v>
      </c>
      <c r="Z97" s="22" t="s">
        <v>202</v>
      </c>
    </row>
    <row r="98" spans="1:26" s="1" customFormat="1" ht="22.5">
      <c r="A98" s="18">
        <v>59</v>
      </c>
      <c r="B98" s="18" t="s">
        <v>115</v>
      </c>
      <c r="C98" s="56" t="s">
        <v>22</v>
      </c>
      <c r="D98" s="46">
        <v>1.497</v>
      </c>
      <c r="E98" s="25">
        <v>0</v>
      </c>
      <c r="F98" s="25">
        <v>0</v>
      </c>
      <c r="G98" s="26">
        <f t="shared" si="22"/>
        <v>1.497</v>
      </c>
      <c r="H98" s="25">
        <v>0</v>
      </c>
      <c r="I98" s="24">
        <f>1.05*2.5</f>
        <v>2.625</v>
      </c>
      <c r="J98" s="6">
        <f t="shared" si="28"/>
        <v>1.128</v>
      </c>
      <c r="K98" s="26">
        <f>J98</f>
        <v>1.128</v>
      </c>
      <c r="L98" s="17" t="s">
        <v>201</v>
      </c>
      <c r="M98" s="16"/>
      <c r="N98" s="12">
        <v>59</v>
      </c>
      <c r="O98" s="12" t="s">
        <v>115</v>
      </c>
      <c r="P98" s="15" t="s">
        <v>22</v>
      </c>
      <c r="Q98" s="65">
        <f>0.022+0.0226+0.0054-0.0328+0.0054+0.0032+0.016</f>
        <v>0.041800000000000004</v>
      </c>
      <c r="R98" s="46">
        <f t="shared" si="21"/>
        <v>1.5388000000000002</v>
      </c>
      <c r="S98" s="25">
        <v>0</v>
      </c>
      <c r="T98" s="25">
        <v>0</v>
      </c>
      <c r="U98" s="26">
        <f t="shared" si="23"/>
        <v>1.5388000000000002</v>
      </c>
      <c r="V98" s="25">
        <v>0</v>
      </c>
      <c r="W98" s="24">
        <f>1.05*2.5</f>
        <v>2.625</v>
      </c>
      <c r="X98" s="6">
        <f t="shared" si="29"/>
        <v>1.0861999999999998</v>
      </c>
      <c r="Y98" s="26">
        <f>X98</f>
        <v>1.0861999999999998</v>
      </c>
      <c r="Z98" s="12" t="s">
        <v>201</v>
      </c>
    </row>
    <row r="99" spans="1:26" s="1" customFormat="1" ht="22.5">
      <c r="A99" s="18">
        <v>60</v>
      </c>
      <c r="B99" s="12" t="s">
        <v>116</v>
      </c>
      <c r="C99" s="56" t="s">
        <v>21</v>
      </c>
      <c r="D99" s="46">
        <v>4.469</v>
      </c>
      <c r="E99" s="25">
        <v>0</v>
      </c>
      <c r="F99" s="25">
        <v>0</v>
      </c>
      <c r="G99" s="26">
        <f t="shared" si="22"/>
        <v>4.469</v>
      </c>
      <c r="H99" s="25">
        <v>0</v>
      </c>
      <c r="I99" s="24">
        <f>1.05*16</f>
        <v>16.8</v>
      </c>
      <c r="J99" s="6">
        <f t="shared" si="28"/>
        <v>12.331</v>
      </c>
      <c r="K99" s="26">
        <f>J99</f>
        <v>12.331</v>
      </c>
      <c r="L99" s="17" t="s">
        <v>201</v>
      </c>
      <c r="M99" s="16"/>
      <c r="N99" s="12">
        <v>60</v>
      </c>
      <c r="O99" s="12" t="s">
        <v>116</v>
      </c>
      <c r="P99" s="15" t="s">
        <v>21</v>
      </c>
      <c r="Q99" s="65">
        <v>0</v>
      </c>
      <c r="R99" s="46">
        <f t="shared" si="21"/>
        <v>4.469</v>
      </c>
      <c r="S99" s="25">
        <v>0</v>
      </c>
      <c r="T99" s="25">
        <v>0</v>
      </c>
      <c r="U99" s="26">
        <f t="shared" si="23"/>
        <v>4.469</v>
      </c>
      <c r="V99" s="25">
        <v>0</v>
      </c>
      <c r="W99" s="24">
        <f>1.05*16</f>
        <v>16.8</v>
      </c>
      <c r="X99" s="6">
        <f t="shared" si="29"/>
        <v>12.331</v>
      </c>
      <c r="Y99" s="26">
        <f>X99</f>
        <v>12.331</v>
      </c>
      <c r="Z99" s="12" t="s">
        <v>201</v>
      </c>
    </row>
    <row r="100" spans="1:26" s="1" customFormat="1" ht="22.5">
      <c r="A100" s="18">
        <v>61</v>
      </c>
      <c r="B100" s="18" t="s">
        <v>117</v>
      </c>
      <c r="C100" s="56" t="s">
        <v>15</v>
      </c>
      <c r="D100" s="46">
        <v>1.239</v>
      </c>
      <c r="E100" s="25">
        <v>0</v>
      </c>
      <c r="F100" s="25">
        <v>0</v>
      </c>
      <c r="G100" s="26">
        <f t="shared" si="22"/>
        <v>1.239</v>
      </c>
      <c r="H100" s="25">
        <v>0</v>
      </c>
      <c r="I100" s="24">
        <f>1.05*4</f>
        <v>4.2</v>
      </c>
      <c r="J100" s="6">
        <f t="shared" si="28"/>
        <v>2.9610000000000003</v>
      </c>
      <c r="K100" s="26">
        <f>J100</f>
        <v>2.9610000000000003</v>
      </c>
      <c r="L100" s="17" t="s">
        <v>201</v>
      </c>
      <c r="M100" s="16"/>
      <c r="N100" s="12">
        <v>61</v>
      </c>
      <c r="O100" s="12" t="s">
        <v>117</v>
      </c>
      <c r="P100" s="15" t="s">
        <v>15</v>
      </c>
      <c r="Q100" s="65">
        <f>0.092+0.015+0.018+0.002+0.004+0.0161-0.0548+0.0054+0.0032+0.0054+0.0172+0.172+0.2398</f>
        <v>0.5353</v>
      </c>
      <c r="R100" s="46">
        <f t="shared" si="21"/>
        <v>1.7743000000000002</v>
      </c>
      <c r="S100" s="25">
        <v>0</v>
      </c>
      <c r="T100" s="25">
        <v>0</v>
      </c>
      <c r="U100" s="26">
        <f t="shared" si="23"/>
        <v>1.7743000000000002</v>
      </c>
      <c r="V100" s="25">
        <v>0</v>
      </c>
      <c r="W100" s="24">
        <f>1.05*4</f>
        <v>4.2</v>
      </c>
      <c r="X100" s="6">
        <f t="shared" si="29"/>
        <v>2.4257</v>
      </c>
      <c r="Y100" s="26">
        <f>X100</f>
        <v>2.4257</v>
      </c>
      <c r="Z100" s="12" t="s">
        <v>201</v>
      </c>
    </row>
    <row r="101" spans="1:26" s="1" customFormat="1" ht="22.5">
      <c r="A101" s="85">
        <v>62</v>
      </c>
      <c r="B101" s="18" t="s">
        <v>118</v>
      </c>
      <c r="C101" s="56" t="s">
        <v>18</v>
      </c>
      <c r="D101" s="46">
        <f>D102+D103</f>
        <v>1.873</v>
      </c>
      <c r="E101" s="25">
        <f>E102+E103</f>
        <v>0.54</v>
      </c>
      <c r="F101" s="25" t="str">
        <f>F102</f>
        <v>3 час</v>
      </c>
      <c r="G101" s="26">
        <f t="shared" si="22"/>
        <v>1.333</v>
      </c>
      <c r="H101" s="25">
        <v>0</v>
      </c>
      <c r="I101" s="24">
        <f>1.05*6.3</f>
        <v>6.615</v>
      </c>
      <c r="J101" s="5">
        <f t="shared" si="28"/>
        <v>5.282</v>
      </c>
      <c r="K101" s="84">
        <f>MIN(J101:J103)</f>
        <v>4.984</v>
      </c>
      <c r="L101" s="81" t="s">
        <v>201</v>
      </c>
      <c r="M101" s="16"/>
      <c r="N101" s="81">
        <v>62</v>
      </c>
      <c r="O101" s="12" t="s">
        <v>118</v>
      </c>
      <c r="P101" s="15" t="s">
        <v>18</v>
      </c>
      <c r="Q101" s="65">
        <f>Q102+Q103</f>
        <v>0.0161</v>
      </c>
      <c r="R101" s="46">
        <f>R102+R103</f>
        <v>1.8891</v>
      </c>
      <c r="S101" s="25">
        <f>S102+S103</f>
        <v>0.54</v>
      </c>
      <c r="T101" s="25" t="str">
        <f>T102</f>
        <v>3 час</v>
      </c>
      <c r="U101" s="26">
        <f t="shared" si="23"/>
        <v>1.3491</v>
      </c>
      <c r="V101" s="25">
        <v>0</v>
      </c>
      <c r="W101" s="24">
        <f>1.05*6.3</f>
        <v>6.615</v>
      </c>
      <c r="X101" s="5">
        <f t="shared" si="29"/>
        <v>5.2659</v>
      </c>
      <c r="Y101" s="84">
        <f>MIN(X101:X103)</f>
        <v>4.9679</v>
      </c>
      <c r="Z101" s="81" t="s">
        <v>201</v>
      </c>
    </row>
    <row r="102" spans="1:26" s="1" customFormat="1" ht="24.75" customHeight="1">
      <c r="A102" s="86"/>
      <c r="B102" s="27" t="s">
        <v>50</v>
      </c>
      <c r="C102" s="56" t="s">
        <v>18</v>
      </c>
      <c r="D102" s="47">
        <f>0.242</f>
        <v>0.242</v>
      </c>
      <c r="E102" s="25">
        <v>0.54</v>
      </c>
      <c r="F102" s="25" t="s">
        <v>28</v>
      </c>
      <c r="G102" s="26">
        <v>0</v>
      </c>
      <c r="H102" s="25">
        <v>0</v>
      </c>
      <c r="I102" s="24">
        <f>1.05*6.3</f>
        <v>6.615</v>
      </c>
      <c r="J102" s="5">
        <f>I102-D102</f>
        <v>6.373</v>
      </c>
      <c r="K102" s="82"/>
      <c r="L102" s="82"/>
      <c r="M102" s="16"/>
      <c r="N102" s="106"/>
      <c r="O102" s="27" t="s">
        <v>50</v>
      </c>
      <c r="P102" s="15" t="s">
        <v>18</v>
      </c>
      <c r="Q102" s="65"/>
      <c r="R102" s="46">
        <f t="shared" si="21"/>
        <v>0.242</v>
      </c>
      <c r="S102" s="25">
        <v>0.54</v>
      </c>
      <c r="T102" s="25" t="s">
        <v>28</v>
      </c>
      <c r="U102" s="26">
        <v>0</v>
      </c>
      <c r="V102" s="25">
        <v>0</v>
      </c>
      <c r="W102" s="24">
        <f>1.05*6.3</f>
        <v>6.615</v>
      </c>
      <c r="X102" s="5">
        <f>W102-R102</f>
        <v>6.373</v>
      </c>
      <c r="Y102" s="121"/>
      <c r="Z102" s="82"/>
    </row>
    <row r="103" spans="1:26" s="1" customFormat="1" ht="25.5" customHeight="1">
      <c r="A103" s="87"/>
      <c r="B103" s="27" t="s">
        <v>51</v>
      </c>
      <c r="C103" s="56" t="s">
        <v>18</v>
      </c>
      <c r="D103" s="47">
        <f>1.442+0.189</f>
        <v>1.631</v>
      </c>
      <c r="E103" s="25">
        <v>0</v>
      </c>
      <c r="F103" s="25">
        <v>0</v>
      </c>
      <c r="G103" s="26">
        <f t="shared" si="22"/>
        <v>1.631</v>
      </c>
      <c r="H103" s="25">
        <v>0</v>
      </c>
      <c r="I103" s="24">
        <f>1.05*6.3</f>
        <v>6.615</v>
      </c>
      <c r="J103" s="5">
        <f>I103-G103-H103</f>
        <v>4.984</v>
      </c>
      <c r="K103" s="83"/>
      <c r="L103" s="83"/>
      <c r="M103" s="16"/>
      <c r="N103" s="107"/>
      <c r="O103" s="27" t="s">
        <v>51</v>
      </c>
      <c r="P103" s="15" t="s">
        <v>18</v>
      </c>
      <c r="Q103" s="65">
        <v>0.0161</v>
      </c>
      <c r="R103" s="46">
        <f t="shared" si="21"/>
        <v>1.6471</v>
      </c>
      <c r="S103" s="25">
        <v>0</v>
      </c>
      <c r="T103" s="25">
        <v>0</v>
      </c>
      <c r="U103" s="26">
        <f t="shared" si="23"/>
        <v>1.6471</v>
      </c>
      <c r="V103" s="25">
        <v>0</v>
      </c>
      <c r="W103" s="24">
        <f>1.05*6.3</f>
        <v>6.615</v>
      </c>
      <c r="X103" s="5">
        <f>W103-U103-V103</f>
        <v>4.9679</v>
      </c>
      <c r="Y103" s="122"/>
      <c r="Z103" s="83"/>
    </row>
    <row r="104" spans="1:26" s="1" customFormat="1" ht="22.5">
      <c r="A104" s="18">
        <v>63</v>
      </c>
      <c r="B104" s="12" t="s">
        <v>119</v>
      </c>
      <c r="C104" s="56" t="s">
        <v>11</v>
      </c>
      <c r="D104" s="46">
        <v>31.467</v>
      </c>
      <c r="E104" s="25">
        <v>0</v>
      </c>
      <c r="F104" s="25">
        <v>0</v>
      </c>
      <c r="G104" s="26">
        <f t="shared" si="22"/>
        <v>31.467</v>
      </c>
      <c r="H104" s="25">
        <v>0</v>
      </c>
      <c r="I104" s="24">
        <f>1.05*40</f>
        <v>42</v>
      </c>
      <c r="J104" s="6">
        <f>I104-G104-H104</f>
        <v>10.533000000000001</v>
      </c>
      <c r="K104" s="26">
        <f>J104</f>
        <v>10.533000000000001</v>
      </c>
      <c r="L104" s="17" t="s">
        <v>201</v>
      </c>
      <c r="M104" s="16"/>
      <c r="N104" s="12">
        <v>63</v>
      </c>
      <c r="O104" s="12" t="s">
        <v>119</v>
      </c>
      <c r="P104" s="15" t="s">
        <v>11</v>
      </c>
      <c r="Q104" s="65">
        <f>0.029+0.003+0.004+0.055-0.0234+0.0032</f>
        <v>0.07079999999999999</v>
      </c>
      <c r="R104" s="46">
        <f t="shared" si="21"/>
        <v>31.537799999999997</v>
      </c>
      <c r="S104" s="25">
        <v>0</v>
      </c>
      <c r="T104" s="25">
        <v>0</v>
      </c>
      <c r="U104" s="26">
        <f t="shared" si="23"/>
        <v>31.537799999999997</v>
      </c>
      <c r="V104" s="25">
        <v>0</v>
      </c>
      <c r="W104" s="24">
        <f>1.05*40</f>
        <v>42</v>
      </c>
      <c r="X104" s="6">
        <f>W104-U104-V104</f>
        <v>10.462200000000003</v>
      </c>
      <c r="Y104" s="26">
        <f>X104</f>
        <v>10.462200000000003</v>
      </c>
      <c r="Z104" s="12" t="s">
        <v>201</v>
      </c>
    </row>
    <row r="105" spans="1:26" s="1" customFormat="1" ht="22.5">
      <c r="A105" s="18">
        <v>64</v>
      </c>
      <c r="B105" s="18" t="s">
        <v>120</v>
      </c>
      <c r="C105" s="56" t="s">
        <v>18</v>
      </c>
      <c r="D105" s="46">
        <v>2.493</v>
      </c>
      <c r="E105" s="25">
        <v>0</v>
      </c>
      <c r="F105" s="25">
        <v>0</v>
      </c>
      <c r="G105" s="26">
        <f aca="true" t="shared" si="30" ref="G105:G132">D105-E105</f>
        <v>2.493</v>
      </c>
      <c r="H105" s="25">
        <v>0</v>
      </c>
      <c r="I105" s="24">
        <f>1.05*6.3</f>
        <v>6.615</v>
      </c>
      <c r="J105" s="6">
        <f>I105-G105-H105</f>
        <v>4.122</v>
      </c>
      <c r="K105" s="26">
        <f>J105</f>
        <v>4.122</v>
      </c>
      <c r="L105" s="17" t="s">
        <v>201</v>
      </c>
      <c r="M105" s="16"/>
      <c r="N105" s="12">
        <v>64</v>
      </c>
      <c r="O105" s="12" t="s">
        <v>120</v>
      </c>
      <c r="P105" s="15" t="s">
        <v>18</v>
      </c>
      <c r="Q105" s="65">
        <f>0.131+0.012+0.009+0.011+0.003+0.005+0.015+0.002+0.0323+0.0661+0.0075+0.0054+0.0065+0.019+0.0151</f>
        <v>0.3399000000000001</v>
      </c>
      <c r="R105" s="46">
        <f t="shared" si="21"/>
        <v>2.8329</v>
      </c>
      <c r="S105" s="25">
        <v>0</v>
      </c>
      <c r="T105" s="25">
        <v>0</v>
      </c>
      <c r="U105" s="26">
        <f aca="true" t="shared" si="31" ref="U105:U132">R105-S105</f>
        <v>2.8329</v>
      </c>
      <c r="V105" s="25">
        <v>0</v>
      </c>
      <c r="W105" s="24">
        <f>1.05*6.3</f>
        <v>6.615</v>
      </c>
      <c r="X105" s="6">
        <f>W105-U105-V105</f>
        <v>3.7821000000000002</v>
      </c>
      <c r="Y105" s="26">
        <f>X105</f>
        <v>3.7821000000000002</v>
      </c>
      <c r="Z105" s="12" t="s">
        <v>201</v>
      </c>
    </row>
    <row r="106" spans="1:26" s="75" customFormat="1" ht="22.5">
      <c r="A106" s="31">
        <v>65</v>
      </c>
      <c r="B106" s="31" t="s">
        <v>121</v>
      </c>
      <c r="C106" s="32" t="s">
        <v>0</v>
      </c>
      <c r="D106" s="48">
        <v>10.5</v>
      </c>
      <c r="E106" s="31">
        <v>0</v>
      </c>
      <c r="F106" s="31">
        <v>0</v>
      </c>
      <c r="G106" s="29">
        <f t="shared" si="30"/>
        <v>10.5</v>
      </c>
      <c r="H106" s="31">
        <v>0</v>
      </c>
      <c r="I106" s="30">
        <f>1.05*10</f>
        <v>10.5</v>
      </c>
      <c r="J106" s="44">
        <f>I106-G106-H106</f>
        <v>0</v>
      </c>
      <c r="K106" s="48">
        <f>J106</f>
        <v>0</v>
      </c>
      <c r="L106" s="31" t="s">
        <v>202</v>
      </c>
      <c r="M106" s="73"/>
      <c r="N106" s="31">
        <v>65</v>
      </c>
      <c r="O106" s="31" t="s">
        <v>121</v>
      </c>
      <c r="P106" s="32" t="s">
        <v>0</v>
      </c>
      <c r="Q106" s="66">
        <f>0.016+0+0.011+0.011+0.005+0.011+0.004+0.0054-0.0048+0.0161+0.0108+0.5559+0.0065</f>
        <v>0.6478999999999999</v>
      </c>
      <c r="R106" s="48">
        <f t="shared" si="21"/>
        <v>11.1479</v>
      </c>
      <c r="S106" s="31">
        <v>0</v>
      </c>
      <c r="T106" s="31">
        <v>0</v>
      </c>
      <c r="U106" s="29">
        <f t="shared" si="31"/>
        <v>11.1479</v>
      </c>
      <c r="V106" s="31">
        <v>0</v>
      </c>
      <c r="W106" s="30">
        <f>1.05*10</f>
        <v>10.5</v>
      </c>
      <c r="X106" s="44">
        <f>W106-U106-V106</f>
        <v>-0.6478999999999999</v>
      </c>
      <c r="Y106" s="79">
        <f>X106</f>
        <v>-0.6478999999999999</v>
      </c>
      <c r="Z106" s="31" t="s">
        <v>202</v>
      </c>
    </row>
    <row r="107" spans="1:26" s="1" customFormat="1" ht="22.5">
      <c r="A107" s="85">
        <v>66</v>
      </c>
      <c r="B107" s="12" t="s">
        <v>122</v>
      </c>
      <c r="C107" s="56" t="s">
        <v>4</v>
      </c>
      <c r="D107" s="46">
        <f>D108+D109</f>
        <v>10.535</v>
      </c>
      <c r="E107" s="25">
        <f>E108+E109</f>
        <v>1.64</v>
      </c>
      <c r="F107" s="25" t="str">
        <f>F108</f>
        <v>6 час</v>
      </c>
      <c r="G107" s="26">
        <f t="shared" si="30"/>
        <v>8.895</v>
      </c>
      <c r="H107" s="25">
        <v>0</v>
      </c>
      <c r="I107" s="24">
        <f>1.05*16</f>
        <v>16.8</v>
      </c>
      <c r="J107" s="5">
        <f>I107-G107-H107</f>
        <v>7.905000000000001</v>
      </c>
      <c r="K107" s="84">
        <f>MIN(J107:J109)</f>
        <v>7.905000000000001</v>
      </c>
      <c r="L107" s="81" t="s">
        <v>201</v>
      </c>
      <c r="M107" s="16"/>
      <c r="N107" s="81">
        <v>66</v>
      </c>
      <c r="O107" s="12" t="s">
        <v>122</v>
      </c>
      <c r="P107" s="15" t="s">
        <v>4</v>
      </c>
      <c r="Q107" s="65">
        <f>Q108+Q109</f>
        <v>0.2167</v>
      </c>
      <c r="R107" s="46">
        <f>R108+R109</f>
        <v>10.7517</v>
      </c>
      <c r="S107" s="25">
        <f>S108+S109</f>
        <v>1.64</v>
      </c>
      <c r="T107" s="25" t="str">
        <f>T108</f>
        <v>6 час</v>
      </c>
      <c r="U107" s="26">
        <f t="shared" si="31"/>
        <v>9.111699999999999</v>
      </c>
      <c r="V107" s="25">
        <v>0</v>
      </c>
      <c r="W107" s="24">
        <f>1.05*16</f>
        <v>16.8</v>
      </c>
      <c r="X107" s="5">
        <f>W107-U107-V107</f>
        <v>7.688300000000002</v>
      </c>
      <c r="Y107" s="84">
        <f>MIN(X107:X109)</f>
        <v>7.688300000000002</v>
      </c>
      <c r="Z107" s="81" t="s">
        <v>201</v>
      </c>
    </row>
    <row r="108" spans="1:26" s="1" customFormat="1" ht="11.25" customHeight="1">
      <c r="A108" s="86"/>
      <c r="B108" s="27" t="s">
        <v>50</v>
      </c>
      <c r="C108" s="56" t="s">
        <v>4</v>
      </c>
      <c r="D108" s="47">
        <f>1.197+2.104</f>
        <v>3.301</v>
      </c>
      <c r="E108" s="25">
        <v>1.64</v>
      </c>
      <c r="F108" s="25" t="s">
        <v>29</v>
      </c>
      <c r="G108" s="26">
        <f t="shared" si="30"/>
        <v>1.6610000000000003</v>
      </c>
      <c r="H108" s="25">
        <v>0</v>
      </c>
      <c r="I108" s="24">
        <f>1.05*16</f>
        <v>16.8</v>
      </c>
      <c r="J108" s="5">
        <f>I108-D108</f>
        <v>13.499</v>
      </c>
      <c r="K108" s="82"/>
      <c r="L108" s="82"/>
      <c r="M108" s="16"/>
      <c r="N108" s="106"/>
      <c r="O108" s="27" t="s">
        <v>50</v>
      </c>
      <c r="P108" s="15" t="s">
        <v>4</v>
      </c>
      <c r="Q108" s="65"/>
      <c r="R108" s="46">
        <f t="shared" si="21"/>
        <v>3.301</v>
      </c>
      <c r="S108" s="25">
        <v>1.64</v>
      </c>
      <c r="T108" s="25" t="s">
        <v>29</v>
      </c>
      <c r="U108" s="26">
        <f t="shared" si="31"/>
        <v>1.6610000000000003</v>
      </c>
      <c r="V108" s="25">
        <v>0</v>
      </c>
      <c r="W108" s="24">
        <f>1.05*16</f>
        <v>16.8</v>
      </c>
      <c r="X108" s="5">
        <f>W108-R108</f>
        <v>13.499</v>
      </c>
      <c r="Y108" s="121"/>
      <c r="Z108" s="82"/>
    </row>
    <row r="109" spans="1:26" s="1" customFormat="1" ht="11.25" customHeight="1">
      <c r="A109" s="87"/>
      <c r="B109" s="27" t="s">
        <v>51</v>
      </c>
      <c r="C109" s="56" t="s">
        <v>4</v>
      </c>
      <c r="D109" s="47">
        <f>4.332+2.902</f>
        <v>7.234</v>
      </c>
      <c r="E109" s="25">
        <v>0</v>
      </c>
      <c r="F109" s="25">
        <v>0</v>
      </c>
      <c r="G109" s="26">
        <f t="shared" si="30"/>
        <v>7.234</v>
      </c>
      <c r="H109" s="25">
        <v>0</v>
      </c>
      <c r="I109" s="24">
        <f>1.05*16</f>
        <v>16.8</v>
      </c>
      <c r="J109" s="5">
        <f>I109-G109-H109</f>
        <v>9.566</v>
      </c>
      <c r="K109" s="83"/>
      <c r="L109" s="83"/>
      <c r="M109" s="16"/>
      <c r="N109" s="107"/>
      <c r="O109" s="27" t="s">
        <v>51</v>
      </c>
      <c r="P109" s="15" t="s">
        <v>4</v>
      </c>
      <c r="Q109" s="65">
        <f>0.056+0.097+0.005+0.003+0.032+0.003+0.0022-0.0414+0.0387+0.0054+0.005+0.0108</f>
        <v>0.2167</v>
      </c>
      <c r="R109" s="46">
        <f t="shared" si="21"/>
        <v>7.4507</v>
      </c>
      <c r="S109" s="25">
        <v>0</v>
      </c>
      <c r="T109" s="25">
        <v>0</v>
      </c>
      <c r="U109" s="26">
        <f t="shared" si="31"/>
        <v>7.4507</v>
      </c>
      <c r="V109" s="25">
        <v>0</v>
      </c>
      <c r="W109" s="24">
        <f>1.05*16</f>
        <v>16.8</v>
      </c>
      <c r="X109" s="5">
        <f>W109-U109-V109</f>
        <v>9.3493</v>
      </c>
      <c r="Y109" s="122"/>
      <c r="Z109" s="83"/>
    </row>
    <row r="110" spans="1:26" s="1" customFormat="1" ht="22.5">
      <c r="A110" s="85">
        <v>67</v>
      </c>
      <c r="B110" s="12" t="s">
        <v>123</v>
      </c>
      <c r="C110" s="56" t="s">
        <v>0</v>
      </c>
      <c r="D110" s="46">
        <f>D111+D112</f>
        <v>3.521</v>
      </c>
      <c r="E110" s="25">
        <f>E111+E112</f>
        <v>3.12</v>
      </c>
      <c r="F110" s="25" t="str">
        <f>F111</f>
        <v>6 час</v>
      </c>
      <c r="G110" s="26">
        <f t="shared" si="30"/>
        <v>0.4009999999999998</v>
      </c>
      <c r="H110" s="25">
        <v>0</v>
      </c>
      <c r="I110" s="24">
        <f>1.05*10</f>
        <v>10.5</v>
      </c>
      <c r="J110" s="5">
        <f>I110-G110-H110</f>
        <v>10.099</v>
      </c>
      <c r="K110" s="84">
        <f>MIN(J110:J112)</f>
        <v>7.795</v>
      </c>
      <c r="L110" s="81" t="s">
        <v>201</v>
      </c>
      <c r="M110" s="16"/>
      <c r="N110" s="81">
        <v>67</v>
      </c>
      <c r="O110" s="12" t="s">
        <v>123</v>
      </c>
      <c r="P110" s="15" t="s">
        <v>0</v>
      </c>
      <c r="Q110" s="65">
        <f>Q111+Q112</f>
        <v>0.019</v>
      </c>
      <c r="R110" s="46">
        <f>R111+R112</f>
        <v>3.54</v>
      </c>
      <c r="S110" s="25">
        <f>S111+S112</f>
        <v>3.12</v>
      </c>
      <c r="T110" s="25" t="str">
        <f>T111</f>
        <v>6 час</v>
      </c>
      <c r="U110" s="26">
        <f t="shared" si="31"/>
        <v>0.41999999999999993</v>
      </c>
      <c r="V110" s="25">
        <v>0</v>
      </c>
      <c r="W110" s="24">
        <f>1.05*10</f>
        <v>10.5</v>
      </c>
      <c r="X110" s="5">
        <f>W110-U110-V110</f>
        <v>10.08</v>
      </c>
      <c r="Y110" s="84">
        <f>MIN(X110:X112)</f>
        <v>7.795</v>
      </c>
      <c r="Z110" s="81" t="s">
        <v>201</v>
      </c>
    </row>
    <row r="111" spans="1:26" s="1" customFormat="1" ht="20.25" customHeight="1">
      <c r="A111" s="86"/>
      <c r="B111" s="27" t="s">
        <v>50</v>
      </c>
      <c r="C111" s="56" t="s">
        <v>0</v>
      </c>
      <c r="D111" s="47">
        <v>2.705</v>
      </c>
      <c r="E111" s="25">
        <v>3.12</v>
      </c>
      <c r="F111" s="25" t="s">
        <v>29</v>
      </c>
      <c r="G111" s="26">
        <f t="shared" si="30"/>
        <v>-0.41500000000000004</v>
      </c>
      <c r="H111" s="25">
        <v>0</v>
      </c>
      <c r="I111" s="24">
        <f>1.05*10</f>
        <v>10.5</v>
      </c>
      <c r="J111" s="5">
        <f>I111-D111</f>
        <v>7.795</v>
      </c>
      <c r="K111" s="82"/>
      <c r="L111" s="82"/>
      <c r="M111" s="16"/>
      <c r="N111" s="106"/>
      <c r="O111" s="27" t="s">
        <v>50</v>
      </c>
      <c r="P111" s="15" t="s">
        <v>0</v>
      </c>
      <c r="Q111" s="65"/>
      <c r="R111" s="46">
        <f t="shared" si="21"/>
        <v>2.705</v>
      </c>
      <c r="S111" s="25">
        <v>3.12</v>
      </c>
      <c r="T111" s="25" t="s">
        <v>29</v>
      </c>
      <c r="U111" s="26">
        <f t="shared" si="31"/>
        <v>-0.41500000000000004</v>
      </c>
      <c r="V111" s="25">
        <v>0</v>
      </c>
      <c r="W111" s="24">
        <f>1.05*10</f>
        <v>10.5</v>
      </c>
      <c r="X111" s="5">
        <f>W111-R111</f>
        <v>7.795</v>
      </c>
      <c r="Y111" s="121"/>
      <c r="Z111" s="82"/>
    </row>
    <row r="112" spans="1:26" s="1" customFormat="1" ht="22.5" customHeight="1">
      <c r="A112" s="87"/>
      <c r="B112" s="27" t="s">
        <v>51</v>
      </c>
      <c r="C112" s="56" t="s">
        <v>0</v>
      </c>
      <c r="D112" s="47">
        <v>0.816</v>
      </c>
      <c r="E112" s="25">
        <v>0</v>
      </c>
      <c r="F112" s="25">
        <v>0</v>
      </c>
      <c r="G112" s="26">
        <f t="shared" si="30"/>
        <v>0.816</v>
      </c>
      <c r="H112" s="25">
        <v>0</v>
      </c>
      <c r="I112" s="24">
        <f>1.05*10</f>
        <v>10.5</v>
      </c>
      <c r="J112" s="5">
        <f>I112-G112-H112</f>
        <v>9.684</v>
      </c>
      <c r="K112" s="83"/>
      <c r="L112" s="83"/>
      <c r="M112" s="16"/>
      <c r="N112" s="107"/>
      <c r="O112" s="27" t="s">
        <v>51</v>
      </c>
      <c r="P112" s="15" t="s">
        <v>0</v>
      </c>
      <c r="Q112" s="65">
        <f>0.009+0.004+0.0065-0.0005</f>
        <v>0.019</v>
      </c>
      <c r="R112" s="46">
        <f t="shared" si="21"/>
        <v>0.835</v>
      </c>
      <c r="S112" s="25">
        <v>0</v>
      </c>
      <c r="T112" s="25">
        <v>0</v>
      </c>
      <c r="U112" s="26">
        <f t="shared" si="31"/>
        <v>0.835</v>
      </c>
      <c r="V112" s="25">
        <v>0</v>
      </c>
      <c r="W112" s="24">
        <f>1.05*10</f>
        <v>10.5</v>
      </c>
      <c r="X112" s="5">
        <f>W112-U112-V112</f>
        <v>9.665</v>
      </c>
      <c r="Y112" s="122"/>
      <c r="Z112" s="83"/>
    </row>
    <row r="113" spans="1:26" s="1" customFormat="1" ht="22.5">
      <c r="A113" s="18">
        <v>68</v>
      </c>
      <c r="B113" s="12" t="s">
        <v>124</v>
      </c>
      <c r="C113" s="56" t="s">
        <v>1</v>
      </c>
      <c r="D113" s="46">
        <v>0.668</v>
      </c>
      <c r="E113" s="25">
        <v>0</v>
      </c>
      <c r="F113" s="25">
        <v>0</v>
      </c>
      <c r="G113" s="26">
        <f t="shared" si="30"/>
        <v>0.668</v>
      </c>
      <c r="H113" s="25">
        <v>0</v>
      </c>
      <c r="I113" s="24">
        <f>1.05*2.5</f>
        <v>2.625</v>
      </c>
      <c r="J113" s="6">
        <f>I113-G113-H113</f>
        <v>1.9569999999999999</v>
      </c>
      <c r="K113" s="26">
        <f>J113</f>
        <v>1.9569999999999999</v>
      </c>
      <c r="L113" s="17" t="s">
        <v>201</v>
      </c>
      <c r="M113" s="16"/>
      <c r="N113" s="12">
        <v>68</v>
      </c>
      <c r="O113" s="12" t="s">
        <v>124</v>
      </c>
      <c r="P113" s="15" t="s">
        <v>1</v>
      </c>
      <c r="Q113" s="65">
        <f>0.084+0.011+0.014+0.015+0.015+0.011+0.001+0.0108-0.0607+0.0056+0.0108+0.0538+0.0118</f>
        <v>0.1831</v>
      </c>
      <c r="R113" s="46">
        <f t="shared" si="21"/>
        <v>0.8511000000000001</v>
      </c>
      <c r="S113" s="25">
        <v>0</v>
      </c>
      <c r="T113" s="25">
        <v>0</v>
      </c>
      <c r="U113" s="26">
        <f t="shared" si="31"/>
        <v>0.8511000000000001</v>
      </c>
      <c r="V113" s="25">
        <v>0</v>
      </c>
      <c r="W113" s="24">
        <f>1.05*2.5</f>
        <v>2.625</v>
      </c>
      <c r="X113" s="6">
        <f>W113-U113-V113</f>
        <v>1.7738999999999998</v>
      </c>
      <c r="Y113" s="26">
        <f>X113</f>
        <v>1.7738999999999998</v>
      </c>
      <c r="Z113" s="12" t="s">
        <v>201</v>
      </c>
    </row>
    <row r="114" spans="1:26" s="1" customFormat="1" ht="22.5">
      <c r="A114" s="85">
        <v>69</v>
      </c>
      <c r="B114" s="12" t="s">
        <v>125</v>
      </c>
      <c r="C114" s="56" t="s">
        <v>25</v>
      </c>
      <c r="D114" s="46">
        <f>D115+D116</f>
        <v>9.411</v>
      </c>
      <c r="E114" s="25">
        <f>E115+E116</f>
        <v>1.8</v>
      </c>
      <c r="F114" s="25" t="str">
        <f>F115</f>
        <v>6 час</v>
      </c>
      <c r="G114" s="26">
        <f t="shared" si="30"/>
        <v>7.611</v>
      </c>
      <c r="H114" s="25">
        <v>0</v>
      </c>
      <c r="I114" s="24">
        <f>1.05*32</f>
        <v>33.6</v>
      </c>
      <c r="J114" s="5">
        <f>I114-G114-H114</f>
        <v>25.989</v>
      </c>
      <c r="K114" s="84">
        <f>MIN(J114:J116)</f>
        <v>25.989</v>
      </c>
      <c r="L114" s="81" t="s">
        <v>201</v>
      </c>
      <c r="M114" s="16"/>
      <c r="N114" s="81">
        <v>69</v>
      </c>
      <c r="O114" s="12" t="s">
        <v>125</v>
      </c>
      <c r="P114" s="15" t="s">
        <v>25</v>
      </c>
      <c r="Q114" s="65">
        <f>Q115+Q116</f>
        <v>1.7507000000000001</v>
      </c>
      <c r="R114" s="46">
        <f>R115+R116</f>
        <v>11.1617</v>
      </c>
      <c r="S114" s="25">
        <f>S115+S116</f>
        <v>1.8</v>
      </c>
      <c r="T114" s="25" t="str">
        <f>T115</f>
        <v>6 час</v>
      </c>
      <c r="U114" s="26">
        <f t="shared" si="31"/>
        <v>9.361699999999999</v>
      </c>
      <c r="V114" s="25">
        <v>0</v>
      </c>
      <c r="W114" s="24">
        <f>1.05*32</f>
        <v>33.6</v>
      </c>
      <c r="X114" s="5">
        <f>W114-U114-V114</f>
        <v>24.238300000000002</v>
      </c>
      <c r="Y114" s="84">
        <f>MIN(X114:X116)</f>
        <v>24.238300000000002</v>
      </c>
      <c r="Z114" s="81" t="s">
        <v>201</v>
      </c>
    </row>
    <row r="115" spans="1:26" s="1" customFormat="1" ht="11.25" customHeight="1">
      <c r="A115" s="86"/>
      <c r="B115" s="27" t="s">
        <v>50</v>
      </c>
      <c r="C115" s="52" t="s">
        <v>4</v>
      </c>
      <c r="D115" s="47">
        <v>1.952</v>
      </c>
      <c r="E115" s="25">
        <v>1.8</v>
      </c>
      <c r="F115" s="25" t="s">
        <v>29</v>
      </c>
      <c r="G115" s="26">
        <f t="shared" si="30"/>
        <v>0.1519999999999999</v>
      </c>
      <c r="H115" s="25">
        <v>0</v>
      </c>
      <c r="I115" s="24">
        <f>1.05*32</f>
        <v>33.6</v>
      </c>
      <c r="J115" s="5">
        <f>I115-D115</f>
        <v>31.648000000000003</v>
      </c>
      <c r="K115" s="82"/>
      <c r="L115" s="82"/>
      <c r="M115" s="16"/>
      <c r="N115" s="106"/>
      <c r="O115" s="27" t="s">
        <v>50</v>
      </c>
      <c r="P115" s="28" t="s">
        <v>4</v>
      </c>
      <c r="Q115" s="64"/>
      <c r="R115" s="46">
        <f t="shared" si="21"/>
        <v>1.952</v>
      </c>
      <c r="S115" s="25">
        <v>1.8</v>
      </c>
      <c r="T115" s="25" t="s">
        <v>29</v>
      </c>
      <c r="U115" s="26">
        <f t="shared" si="31"/>
        <v>0.1519999999999999</v>
      </c>
      <c r="V115" s="25">
        <v>0</v>
      </c>
      <c r="W115" s="24">
        <f>1.05*32</f>
        <v>33.6</v>
      </c>
      <c r="X115" s="5">
        <f>W115-R115</f>
        <v>31.648000000000003</v>
      </c>
      <c r="Y115" s="121"/>
      <c r="Z115" s="82"/>
    </row>
    <row r="116" spans="1:26" s="1" customFormat="1" ht="11.25" customHeight="1">
      <c r="A116" s="87"/>
      <c r="B116" s="27" t="s">
        <v>51</v>
      </c>
      <c r="C116" s="52" t="s">
        <v>4</v>
      </c>
      <c r="D116" s="47">
        <f>7.459</f>
        <v>7.459</v>
      </c>
      <c r="E116" s="25">
        <v>0</v>
      </c>
      <c r="F116" s="25">
        <v>0</v>
      </c>
      <c r="G116" s="26">
        <f t="shared" si="30"/>
        <v>7.459</v>
      </c>
      <c r="H116" s="25">
        <v>0</v>
      </c>
      <c r="I116" s="24">
        <f>1.05*32</f>
        <v>33.6</v>
      </c>
      <c r="J116" s="5">
        <f>I116-G116-H116</f>
        <v>26.141000000000002</v>
      </c>
      <c r="K116" s="83"/>
      <c r="L116" s="83"/>
      <c r="M116" s="16"/>
      <c r="N116" s="107"/>
      <c r="O116" s="27" t="s">
        <v>51</v>
      </c>
      <c r="P116" s="28" t="s">
        <v>4</v>
      </c>
      <c r="Q116" s="64">
        <f>0.034+0.108+0.016+0.614+0.016+0.022+0.005+0.4623+0.0237-0.0726+0.0108+0.0216+0.0161+0.0108+0.022+0.441</f>
        <v>1.7507000000000001</v>
      </c>
      <c r="R116" s="46">
        <f t="shared" si="21"/>
        <v>9.2097</v>
      </c>
      <c r="S116" s="25">
        <v>0</v>
      </c>
      <c r="T116" s="25">
        <v>0</v>
      </c>
      <c r="U116" s="26">
        <f t="shared" si="31"/>
        <v>9.2097</v>
      </c>
      <c r="V116" s="25">
        <v>0</v>
      </c>
      <c r="W116" s="24">
        <f>1.05*32</f>
        <v>33.6</v>
      </c>
      <c r="X116" s="5">
        <f>W116-U116-V116</f>
        <v>24.390300000000003</v>
      </c>
      <c r="Y116" s="122"/>
      <c r="Z116" s="83"/>
    </row>
    <row r="117" spans="1:26" s="1" customFormat="1" ht="33.75">
      <c r="A117" s="85">
        <v>70</v>
      </c>
      <c r="B117" s="12" t="s">
        <v>126</v>
      </c>
      <c r="C117" s="56" t="s">
        <v>5</v>
      </c>
      <c r="D117" s="46">
        <f>D118+D119</f>
        <v>11.182</v>
      </c>
      <c r="E117" s="25">
        <f>E118+E119</f>
        <v>2.21</v>
      </c>
      <c r="F117" s="25" t="str">
        <f>F118</f>
        <v>3 час</v>
      </c>
      <c r="G117" s="26">
        <f t="shared" si="30"/>
        <v>8.972000000000001</v>
      </c>
      <c r="H117" s="25">
        <v>0</v>
      </c>
      <c r="I117" s="24">
        <f>1.05*25</f>
        <v>26.25</v>
      </c>
      <c r="J117" s="5">
        <f>I117-G117-H117</f>
        <v>17.278</v>
      </c>
      <c r="K117" s="84">
        <f>MIN(J117:J119)</f>
        <v>16.497</v>
      </c>
      <c r="L117" s="81" t="s">
        <v>201</v>
      </c>
      <c r="M117" s="16"/>
      <c r="N117" s="81">
        <v>70</v>
      </c>
      <c r="O117" s="12" t="s">
        <v>126</v>
      </c>
      <c r="P117" s="15" t="s">
        <v>5</v>
      </c>
      <c r="Q117" s="65">
        <f>Q118+Q119</f>
        <v>3.7033999999999994</v>
      </c>
      <c r="R117" s="46">
        <f>R118+R119</f>
        <v>14.885399999999999</v>
      </c>
      <c r="S117" s="25">
        <f>S118+S119</f>
        <v>2.21</v>
      </c>
      <c r="T117" s="25" t="str">
        <f>T118</f>
        <v>3 час</v>
      </c>
      <c r="U117" s="26">
        <f t="shared" si="31"/>
        <v>12.6754</v>
      </c>
      <c r="V117" s="25">
        <v>0</v>
      </c>
      <c r="W117" s="24">
        <f>1.05*25</f>
        <v>26.25</v>
      </c>
      <c r="X117" s="5">
        <f>W117-U117-V117</f>
        <v>13.5746</v>
      </c>
      <c r="Y117" s="84">
        <f>MIN(X117:X119)</f>
        <v>12.793600000000001</v>
      </c>
      <c r="Z117" s="81" t="s">
        <v>201</v>
      </c>
    </row>
    <row r="118" spans="1:26" s="1" customFormat="1" ht="11.25" customHeight="1">
      <c r="A118" s="86"/>
      <c r="B118" s="27" t="s">
        <v>50</v>
      </c>
      <c r="C118" s="56" t="s">
        <v>5</v>
      </c>
      <c r="D118" s="47">
        <f>1.105+0.324</f>
        <v>1.429</v>
      </c>
      <c r="E118" s="25">
        <v>2.21</v>
      </c>
      <c r="F118" s="25" t="s">
        <v>28</v>
      </c>
      <c r="G118" s="26">
        <f t="shared" si="30"/>
        <v>-0.7809999999999999</v>
      </c>
      <c r="H118" s="25">
        <v>0</v>
      </c>
      <c r="I118" s="24">
        <f>1.05*25</f>
        <v>26.25</v>
      </c>
      <c r="J118" s="5">
        <f>I118-D118</f>
        <v>24.821</v>
      </c>
      <c r="K118" s="82"/>
      <c r="L118" s="82"/>
      <c r="M118" s="16"/>
      <c r="N118" s="106"/>
      <c r="O118" s="27" t="s">
        <v>50</v>
      </c>
      <c r="P118" s="15" t="s">
        <v>5</v>
      </c>
      <c r="Q118" s="65"/>
      <c r="R118" s="46">
        <f t="shared" si="21"/>
        <v>1.429</v>
      </c>
      <c r="S118" s="25">
        <v>2.21</v>
      </c>
      <c r="T118" s="25" t="s">
        <v>28</v>
      </c>
      <c r="U118" s="26">
        <f t="shared" si="31"/>
        <v>-0.7809999999999999</v>
      </c>
      <c r="V118" s="25">
        <v>0</v>
      </c>
      <c r="W118" s="24">
        <f>1.05*25</f>
        <v>26.25</v>
      </c>
      <c r="X118" s="5">
        <f>W118-R118</f>
        <v>24.821</v>
      </c>
      <c r="Y118" s="121"/>
      <c r="Z118" s="82"/>
    </row>
    <row r="119" spans="1:26" s="1" customFormat="1" ht="11.25" customHeight="1">
      <c r="A119" s="87"/>
      <c r="B119" s="27" t="s">
        <v>51</v>
      </c>
      <c r="C119" s="56" t="s">
        <v>5</v>
      </c>
      <c r="D119" s="47">
        <f>5.658+4.095</f>
        <v>9.753</v>
      </c>
      <c r="E119" s="25">
        <v>0</v>
      </c>
      <c r="F119" s="25">
        <v>0</v>
      </c>
      <c r="G119" s="26">
        <f t="shared" si="30"/>
        <v>9.753</v>
      </c>
      <c r="H119" s="25">
        <v>0</v>
      </c>
      <c r="I119" s="24">
        <f>1.05*25</f>
        <v>26.25</v>
      </c>
      <c r="J119" s="5">
        <f>I119-G119-H119</f>
        <v>16.497</v>
      </c>
      <c r="K119" s="83"/>
      <c r="L119" s="83"/>
      <c r="M119" s="16"/>
      <c r="N119" s="107"/>
      <c r="O119" s="27" t="s">
        <v>51</v>
      </c>
      <c r="P119" s="15" t="s">
        <v>5</v>
      </c>
      <c r="Q119" s="65">
        <f>1.731+0.001+0.11+0.005+0.004+0.101+0.005+0.005+0.017+1.2044+0.0065+0.0484+0.0038+0.0212+0.0054+0.038+0.3967</f>
        <v>3.7033999999999994</v>
      </c>
      <c r="R119" s="46">
        <f t="shared" si="21"/>
        <v>13.456399999999999</v>
      </c>
      <c r="S119" s="25">
        <v>0</v>
      </c>
      <c r="T119" s="25">
        <v>0</v>
      </c>
      <c r="U119" s="26">
        <f t="shared" si="31"/>
        <v>13.456399999999999</v>
      </c>
      <c r="V119" s="25">
        <v>0</v>
      </c>
      <c r="W119" s="24">
        <f>1.05*25</f>
        <v>26.25</v>
      </c>
      <c r="X119" s="5">
        <f>W119-U119-V119</f>
        <v>12.793600000000001</v>
      </c>
      <c r="Y119" s="122"/>
      <c r="Z119" s="83"/>
    </row>
    <row r="120" spans="1:26" s="1" customFormat="1" ht="22.5">
      <c r="A120" s="18">
        <v>71</v>
      </c>
      <c r="B120" s="12" t="s">
        <v>127</v>
      </c>
      <c r="C120" s="56" t="s">
        <v>1</v>
      </c>
      <c r="D120" s="46">
        <v>0.279</v>
      </c>
      <c r="E120" s="25">
        <v>0</v>
      </c>
      <c r="F120" s="25">
        <v>0</v>
      </c>
      <c r="G120" s="26">
        <f t="shared" si="30"/>
        <v>0.279</v>
      </c>
      <c r="H120" s="25">
        <v>0</v>
      </c>
      <c r="I120" s="24">
        <f>1.05*2.5</f>
        <v>2.625</v>
      </c>
      <c r="J120" s="6">
        <f>I120-G120-H120</f>
        <v>2.346</v>
      </c>
      <c r="K120" s="26">
        <f>J120</f>
        <v>2.346</v>
      </c>
      <c r="L120" s="17" t="s">
        <v>201</v>
      </c>
      <c r="M120" s="16"/>
      <c r="N120" s="12">
        <v>71</v>
      </c>
      <c r="O120" s="12" t="s">
        <v>127</v>
      </c>
      <c r="P120" s="15" t="s">
        <v>1</v>
      </c>
      <c r="Q120" s="65">
        <f>0.006+0.215</f>
        <v>0.221</v>
      </c>
      <c r="R120" s="46">
        <f t="shared" si="21"/>
        <v>0.5</v>
      </c>
      <c r="S120" s="25">
        <v>0</v>
      </c>
      <c r="T120" s="25">
        <v>0</v>
      </c>
      <c r="U120" s="26">
        <f t="shared" si="31"/>
        <v>0.5</v>
      </c>
      <c r="V120" s="25">
        <v>0</v>
      </c>
      <c r="W120" s="24">
        <f>1.05*2.5</f>
        <v>2.625</v>
      </c>
      <c r="X120" s="6">
        <f>W120-U120-V120</f>
        <v>2.125</v>
      </c>
      <c r="Y120" s="26">
        <f>X120</f>
        <v>2.125</v>
      </c>
      <c r="Z120" s="12" t="s">
        <v>201</v>
      </c>
    </row>
    <row r="121" spans="1:26" s="1" customFormat="1" ht="22.5">
      <c r="A121" s="85">
        <v>72</v>
      </c>
      <c r="B121" s="12" t="s">
        <v>128</v>
      </c>
      <c r="C121" s="56" t="s">
        <v>4</v>
      </c>
      <c r="D121" s="46">
        <f>D122+D123</f>
        <v>12.564</v>
      </c>
      <c r="E121" s="25">
        <f>E122+E123</f>
        <v>7.34</v>
      </c>
      <c r="F121" s="25" t="str">
        <f>F122</f>
        <v>6 час</v>
      </c>
      <c r="G121" s="26">
        <f t="shared" si="30"/>
        <v>5.224</v>
      </c>
      <c r="H121" s="25">
        <v>0</v>
      </c>
      <c r="I121" s="24">
        <f>1.05*16</f>
        <v>16.8</v>
      </c>
      <c r="J121" s="5">
        <f>I121-G121-H121</f>
        <v>11.576</v>
      </c>
      <c r="K121" s="84">
        <f>MIN(J121:J123)</f>
        <v>9.465</v>
      </c>
      <c r="L121" s="81" t="s">
        <v>201</v>
      </c>
      <c r="M121" s="16"/>
      <c r="N121" s="81">
        <v>72</v>
      </c>
      <c r="O121" s="12" t="s">
        <v>128</v>
      </c>
      <c r="P121" s="15" t="s">
        <v>4</v>
      </c>
      <c r="Q121" s="65">
        <f>Q122+Q123</f>
        <v>0.06580000000000001</v>
      </c>
      <c r="R121" s="46">
        <f>R122+R123</f>
        <v>12.6298</v>
      </c>
      <c r="S121" s="25">
        <f>S122+S123</f>
        <v>7.34</v>
      </c>
      <c r="T121" s="25" t="str">
        <f>T122</f>
        <v>6 час</v>
      </c>
      <c r="U121" s="26">
        <f t="shared" si="31"/>
        <v>5.2898</v>
      </c>
      <c r="V121" s="25">
        <v>0</v>
      </c>
      <c r="W121" s="24">
        <f>1.05*16</f>
        <v>16.8</v>
      </c>
      <c r="X121" s="5">
        <f>W121-U121-V121</f>
        <v>11.510200000000001</v>
      </c>
      <c r="Y121" s="84">
        <f>MIN(X121:X123)</f>
        <v>9.465</v>
      </c>
      <c r="Z121" s="81" t="s">
        <v>201</v>
      </c>
    </row>
    <row r="122" spans="1:26" s="1" customFormat="1" ht="22.5">
      <c r="A122" s="86"/>
      <c r="B122" s="27" t="s">
        <v>50</v>
      </c>
      <c r="C122" s="56" t="s">
        <v>4</v>
      </c>
      <c r="D122" s="47">
        <v>7.335</v>
      </c>
      <c r="E122" s="25">
        <v>7.34</v>
      </c>
      <c r="F122" s="25" t="s">
        <v>29</v>
      </c>
      <c r="G122" s="26">
        <f t="shared" si="30"/>
        <v>-0.004999999999999893</v>
      </c>
      <c r="H122" s="25">
        <v>0</v>
      </c>
      <c r="I122" s="24">
        <f>1.05*16</f>
        <v>16.8</v>
      </c>
      <c r="J122" s="5">
        <f>I122-D122</f>
        <v>9.465</v>
      </c>
      <c r="K122" s="82"/>
      <c r="L122" s="82"/>
      <c r="M122" s="16"/>
      <c r="N122" s="106"/>
      <c r="O122" s="27" t="s">
        <v>50</v>
      </c>
      <c r="P122" s="15" t="s">
        <v>4</v>
      </c>
      <c r="Q122" s="65"/>
      <c r="R122" s="46">
        <f t="shared" si="21"/>
        <v>7.335</v>
      </c>
      <c r="S122" s="25">
        <v>7.34</v>
      </c>
      <c r="T122" s="25" t="s">
        <v>29</v>
      </c>
      <c r="U122" s="26">
        <f t="shared" si="31"/>
        <v>-0.004999999999999893</v>
      </c>
      <c r="V122" s="25">
        <v>0</v>
      </c>
      <c r="W122" s="24">
        <f>1.05*16</f>
        <v>16.8</v>
      </c>
      <c r="X122" s="5">
        <f>W122-R122</f>
        <v>9.465</v>
      </c>
      <c r="Y122" s="121"/>
      <c r="Z122" s="82"/>
    </row>
    <row r="123" spans="1:26" s="1" customFormat="1" ht="22.5">
      <c r="A123" s="87"/>
      <c r="B123" s="27" t="s">
        <v>51</v>
      </c>
      <c r="C123" s="56" t="s">
        <v>4</v>
      </c>
      <c r="D123" s="47">
        <v>5.229</v>
      </c>
      <c r="E123" s="25">
        <v>0</v>
      </c>
      <c r="F123" s="25">
        <v>0</v>
      </c>
      <c r="G123" s="26">
        <f t="shared" si="30"/>
        <v>5.229</v>
      </c>
      <c r="H123" s="25">
        <v>0</v>
      </c>
      <c r="I123" s="24">
        <f>1.05*16</f>
        <v>16.8</v>
      </c>
      <c r="J123" s="5">
        <f>I123-G123-H123</f>
        <v>11.571000000000002</v>
      </c>
      <c r="K123" s="83"/>
      <c r="L123" s="83"/>
      <c r="M123" s="16"/>
      <c r="N123" s="107"/>
      <c r="O123" s="27" t="s">
        <v>51</v>
      </c>
      <c r="P123" s="15" t="s">
        <v>4</v>
      </c>
      <c r="Q123" s="65">
        <f>0.017+0.004+0.004+0.0048-0.0091+0.0043+0.0155+0.0091+0.0108+0.0054</f>
        <v>0.06580000000000001</v>
      </c>
      <c r="R123" s="46">
        <f t="shared" si="21"/>
        <v>5.2948</v>
      </c>
      <c r="S123" s="25">
        <v>0</v>
      </c>
      <c r="T123" s="25">
        <v>0</v>
      </c>
      <c r="U123" s="26">
        <f t="shared" si="31"/>
        <v>5.2948</v>
      </c>
      <c r="V123" s="25">
        <v>0</v>
      </c>
      <c r="W123" s="24">
        <f>1.05*16</f>
        <v>16.8</v>
      </c>
      <c r="X123" s="5">
        <f>W123-U123-V123</f>
        <v>11.5052</v>
      </c>
      <c r="Y123" s="122"/>
      <c r="Z123" s="83"/>
    </row>
    <row r="124" spans="1:26" s="1" customFormat="1" ht="22.5">
      <c r="A124" s="18">
        <v>73</v>
      </c>
      <c r="B124" s="18" t="s">
        <v>129</v>
      </c>
      <c r="C124" s="56" t="s">
        <v>3</v>
      </c>
      <c r="D124" s="46">
        <v>1.116</v>
      </c>
      <c r="E124" s="25">
        <v>0</v>
      </c>
      <c r="F124" s="25">
        <v>0</v>
      </c>
      <c r="G124" s="26">
        <f t="shared" si="30"/>
        <v>1.116</v>
      </c>
      <c r="H124" s="25">
        <v>0</v>
      </c>
      <c r="I124" s="24">
        <f>1.05*6.3</f>
        <v>6.615</v>
      </c>
      <c r="J124" s="6">
        <f>I124-G124-H124</f>
        <v>5.4990000000000006</v>
      </c>
      <c r="K124" s="26">
        <f>J124</f>
        <v>5.4990000000000006</v>
      </c>
      <c r="L124" s="17" t="s">
        <v>201</v>
      </c>
      <c r="M124" s="16"/>
      <c r="N124" s="12">
        <v>73</v>
      </c>
      <c r="O124" s="12" t="s">
        <v>129</v>
      </c>
      <c r="P124" s="15" t="s">
        <v>3</v>
      </c>
      <c r="Q124" s="65">
        <f>0.01+0.005+0.03+0.06+0.009+0.006-0.0656+0.0753+0.0075</f>
        <v>0.1372</v>
      </c>
      <c r="R124" s="46">
        <f t="shared" si="21"/>
        <v>1.2532</v>
      </c>
      <c r="S124" s="25">
        <v>0</v>
      </c>
      <c r="T124" s="25">
        <v>0</v>
      </c>
      <c r="U124" s="26">
        <f t="shared" si="31"/>
        <v>1.2532</v>
      </c>
      <c r="V124" s="25">
        <v>0</v>
      </c>
      <c r="W124" s="24">
        <f>1.05*6.3</f>
        <v>6.615</v>
      </c>
      <c r="X124" s="6">
        <f>W124-U124-V124</f>
        <v>5.361800000000001</v>
      </c>
      <c r="Y124" s="26">
        <f>X124</f>
        <v>5.361800000000001</v>
      </c>
      <c r="Z124" s="12" t="s">
        <v>201</v>
      </c>
    </row>
    <row r="125" spans="1:26" s="1" customFormat="1" ht="22.5">
      <c r="A125" s="85">
        <v>74</v>
      </c>
      <c r="B125" s="12" t="s">
        <v>130</v>
      </c>
      <c r="C125" s="56" t="s">
        <v>4</v>
      </c>
      <c r="D125" s="46">
        <f>D126+D127</f>
        <v>19.433000000000003</v>
      </c>
      <c r="E125" s="25">
        <f>E126+E127</f>
        <v>3.04</v>
      </c>
      <c r="F125" s="25" t="str">
        <f>F126</f>
        <v>6 час</v>
      </c>
      <c r="G125" s="26">
        <f t="shared" si="30"/>
        <v>16.393000000000004</v>
      </c>
      <c r="H125" s="25">
        <v>0</v>
      </c>
      <c r="I125" s="24">
        <f>1.05*16</f>
        <v>16.8</v>
      </c>
      <c r="J125" s="5">
        <f>I125-G125-H125</f>
        <v>0.4069999999999965</v>
      </c>
      <c r="K125" s="84">
        <f>MIN(J125:J127)</f>
        <v>0.18499999999999872</v>
      </c>
      <c r="L125" s="81" t="s">
        <v>201</v>
      </c>
      <c r="M125" s="16"/>
      <c r="N125" s="81">
        <v>74</v>
      </c>
      <c r="O125" s="12" t="s">
        <v>130</v>
      </c>
      <c r="P125" s="15" t="s">
        <v>4</v>
      </c>
      <c r="Q125" s="65">
        <f>Q126+Q127</f>
        <v>0</v>
      </c>
      <c r="R125" s="46">
        <f>R126+R127</f>
        <v>19.433000000000003</v>
      </c>
      <c r="S125" s="25">
        <f>S126+S127</f>
        <v>3.04</v>
      </c>
      <c r="T125" s="25" t="str">
        <f>T126</f>
        <v>6 час</v>
      </c>
      <c r="U125" s="26">
        <f t="shared" si="31"/>
        <v>16.393000000000004</v>
      </c>
      <c r="V125" s="25">
        <v>0</v>
      </c>
      <c r="W125" s="24">
        <f>1.05*16</f>
        <v>16.8</v>
      </c>
      <c r="X125" s="5">
        <f>W125-U125-V125</f>
        <v>0.4069999999999965</v>
      </c>
      <c r="Y125" s="84">
        <f>MIN(X125:X127)</f>
        <v>0.18499999999999872</v>
      </c>
      <c r="Z125" s="81" t="s">
        <v>201</v>
      </c>
    </row>
    <row r="126" spans="1:26" s="1" customFormat="1" ht="22.5">
      <c r="A126" s="86"/>
      <c r="B126" s="27" t="s">
        <v>50</v>
      </c>
      <c r="C126" s="56" t="s">
        <v>4</v>
      </c>
      <c r="D126" s="47">
        <f>0.17+2.648</f>
        <v>2.818</v>
      </c>
      <c r="E126" s="25">
        <v>3.04</v>
      </c>
      <c r="F126" s="25" t="s">
        <v>29</v>
      </c>
      <c r="G126" s="26">
        <f t="shared" si="30"/>
        <v>-0.22199999999999998</v>
      </c>
      <c r="H126" s="25">
        <v>0</v>
      </c>
      <c r="I126" s="24">
        <f>1.05*16</f>
        <v>16.8</v>
      </c>
      <c r="J126" s="5">
        <f>I126-D126</f>
        <v>13.982000000000001</v>
      </c>
      <c r="K126" s="82"/>
      <c r="L126" s="82"/>
      <c r="M126" s="16"/>
      <c r="N126" s="106"/>
      <c r="O126" s="27" t="s">
        <v>50</v>
      </c>
      <c r="P126" s="15" t="s">
        <v>4</v>
      </c>
      <c r="Q126" s="65"/>
      <c r="R126" s="46">
        <f t="shared" si="21"/>
        <v>2.818</v>
      </c>
      <c r="S126" s="25">
        <v>3.04</v>
      </c>
      <c r="T126" s="25" t="s">
        <v>29</v>
      </c>
      <c r="U126" s="26">
        <f t="shared" si="31"/>
        <v>-0.22199999999999998</v>
      </c>
      <c r="V126" s="25">
        <v>0</v>
      </c>
      <c r="W126" s="24">
        <f>1.05*16</f>
        <v>16.8</v>
      </c>
      <c r="X126" s="5">
        <f>W126-R126</f>
        <v>13.982000000000001</v>
      </c>
      <c r="Y126" s="121"/>
      <c r="Z126" s="82"/>
    </row>
    <row r="127" spans="1:26" s="1" customFormat="1" ht="22.5">
      <c r="A127" s="87"/>
      <c r="B127" s="27" t="s">
        <v>51</v>
      </c>
      <c r="C127" s="56" t="s">
        <v>4</v>
      </c>
      <c r="D127" s="47">
        <f>7.953+8.662</f>
        <v>16.615000000000002</v>
      </c>
      <c r="E127" s="25">
        <v>0</v>
      </c>
      <c r="F127" s="25">
        <v>0</v>
      </c>
      <c r="G127" s="26">
        <f t="shared" si="30"/>
        <v>16.615000000000002</v>
      </c>
      <c r="H127" s="25">
        <v>0</v>
      </c>
      <c r="I127" s="24">
        <f>1.05*16</f>
        <v>16.8</v>
      </c>
      <c r="J127" s="5">
        <f>I127-G127-H127</f>
        <v>0.18499999999999872</v>
      </c>
      <c r="K127" s="83"/>
      <c r="L127" s="83"/>
      <c r="M127" s="16"/>
      <c r="N127" s="107"/>
      <c r="O127" s="27" t="s">
        <v>51</v>
      </c>
      <c r="P127" s="15" t="s">
        <v>4</v>
      </c>
      <c r="Q127" s="65"/>
      <c r="R127" s="46">
        <f t="shared" si="21"/>
        <v>16.615000000000002</v>
      </c>
      <c r="S127" s="25">
        <v>0</v>
      </c>
      <c r="T127" s="25">
        <v>0</v>
      </c>
      <c r="U127" s="26">
        <f t="shared" si="31"/>
        <v>16.615000000000002</v>
      </c>
      <c r="V127" s="25">
        <v>0</v>
      </c>
      <c r="W127" s="24">
        <f>1.05*16</f>
        <v>16.8</v>
      </c>
      <c r="X127" s="5">
        <f>W127-U127-V127</f>
        <v>0.18499999999999872</v>
      </c>
      <c r="Y127" s="122"/>
      <c r="Z127" s="83"/>
    </row>
    <row r="128" spans="1:26" s="1" customFormat="1" ht="22.5">
      <c r="A128" s="18">
        <v>75</v>
      </c>
      <c r="B128" s="12" t="s">
        <v>131</v>
      </c>
      <c r="C128" s="56" t="s">
        <v>14</v>
      </c>
      <c r="D128" s="46">
        <v>7.977</v>
      </c>
      <c r="E128" s="25">
        <v>0</v>
      </c>
      <c r="F128" s="25">
        <v>0</v>
      </c>
      <c r="G128" s="26">
        <f t="shared" si="30"/>
        <v>7.977</v>
      </c>
      <c r="H128" s="25">
        <v>0</v>
      </c>
      <c r="I128" s="24">
        <f>1.05*10</f>
        <v>10.5</v>
      </c>
      <c r="J128" s="6">
        <f>I128-G128-H128</f>
        <v>2.5229999999999997</v>
      </c>
      <c r="K128" s="26">
        <f>J128</f>
        <v>2.5229999999999997</v>
      </c>
      <c r="L128" s="17" t="s">
        <v>201</v>
      </c>
      <c r="M128" s="16"/>
      <c r="N128" s="12">
        <v>75</v>
      </c>
      <c r="O128" s="12" t="s">
        <v>131</v>
      </c>
      <c r="P128" s="15" t="s">
        <v>14</v>
      </c>
      <c r="Q128" s="65">
        <f>0.311+0.029+0.024+0.01+0.304+0.145+0.005+0.009+0.011+0.0108+0.0223-0.1704+0.0048+0.0048</f>
        <v>0.7203000000000002</v>
      </c>
      <c r="R128" s="46">
        <f t="shared" si="21"/>
        <v>8.6973</v>
      </c>
      <c r="S128" s="25">
        <v>0</v>
      </c>
      <c r="T128" s="25">
        <v>0</v>
      </c>
      <c r="U128" s="26">
        <f t="shared" si="31"/>
        <v>8.6973</v>
      </c>
      <c r="V128" s="25">
        <v>0</v>
      </c>
      <c r="W128" s="24">
        <f>1.05*10</f>
        <v>10.5</v>
      </c>
      <c r="X128" s="6">
        <f>W128-U128-V128</f>
        <v>1.8026999999999997</v>
      </c>
      <c r="Y128" s="26">
        <f>X128</f>
        <v>1.8026999999999997</v>
      </c>
      <c r="Z128" s="12" t="s">
        <v>201</v>
      </c>
    </row>
    <row r="129" spans="1:26" s="1" customFormat="1" ht="22.5">
      <c r="A129" s="18">
        <v>76</v>
      </c>
      <c r="B129" s="18" t="s">
        <v>132</v>
      </c>
      <c r="C129" s="56" t="s">
        <v>3</v>
      </c>
      <c r="D129" s="46">
        <v>0.819</v>
      </c>
      <c r="E129" s="25">
        <v>0</v>
      </c>
      <c r="F129" s="25">
        <v>0</v>
      </c>
      <c r="G129" s="26">
        <f t="shared" si="30"/>
        <v>0.819</v>
      </c>
      <c r="H129" s="25">
        <v>0</v>
      </c>
      <c r="I129" s="24">
        <f>1.05*6.3</f>
        <v>6.615</v>
      </c>
      <c r="J129" s="6">
        <f>I129-G129-H129</f>
        <v>5.796</v>
      </c>
      <c r="K129" s="26">
        <f>J129</f>
        <v>5.796</v>
      </c>
      <c r="L129" s="17" t="s">
        <v>201</v>
      </c>
      <c r="M129" s="16"/>
      <c r="N129" s="12">
        <v>76</v>
      </c>
      <c r="O129" s="12" t="s">
        <v>132</v>
      </c>
      <c r="P129" s="15" t="s">
        <v>3</v>
      </c>
      <c r="Q129" s="65">
        <f>0.011+0.005+0.0086-0.0163+0.0065+0.0081+0.0007</f>
        <v>0.0236</v>
      </c>
      <c r="R129" s="46">
        <f t="shared" si="21"/>
        <v>0.8425999999999999</v>
      </c>
      <c r="S129" s="25">
        <v>0</v>
      </c>
      <c r="T129" s="25">
        <v>0</v>
      </c>
      <c r="U129" s="26">
        <f t="shared" si="31"/>
        <v>0.8425999999999999</v>
      </c>
      <c r="V129" s="25">
        <v>0</v>
      </c>
      <c r="W129" s="24">
        <f>1.05*6.3</f>
        <v>6.615</v>
      </c>
      <c r="X129" s="6">
        <f>W129-U129-V129</f>
        <v>5.7724</v>
      </c>
      <c r="Y129" s="26">
        <f>X129</f>
        <v>5.7724</v>
      </c>
      <c r="Z129" s="12" t="s">
        <v>201</v>
      </c>
    </row>
    <row r="130" spans="1:26" s="1" customFormat="1" ht="22.5">
      <c r="A130" s="85">
        <v>77</v>
      </c>
      <c r="B130" s="12" t="s">
        <v>133</v>
      </c>
      <c r="C130" s="56" t="s">
        <v>4</v>
      </c>
      <c r="D130" s="46">
        <f>D131+D132</f>
        <v>13.228</v>
      </c>
      <c r="E130" s="25">
        <f>E131+E132</f>
        <v>6.45</v>
      </c>
      <c r="F130" s="25" t="str">
        <f>F131</f>
        <v>3 час</v>
      </c>
      <c r="G130" s="26">
        <f t="shared" si="30"/>
        <v>6.778</v>
      </c>
      <c r="H130" s="25">
        <v>0</v>
      </c>
      <c r="I130" s="24">
        <f>1.05*16</f>
        <v>16.8</v>
      </c>
      <c r="J130" s="5">
        <f>I130-G130-H130</f>
        <v>10.022000000000002</v>
      </c>
      <c r="K130" s="84">
        <f>MIN(J130:J132)</f>
        <v>9.905000000000001</v>
      </c>
      <c r="L130" s="81" t="s">
        <v>201</v>
      </c>
      <c r="M130" s="16"/>
      <c r="N130" s="81">
        <v>77</v>
      </c>
      <c r="O130" s="12" t="s">
        <v>133</v>
      </c>
      <c r="P130" s="15" t="s">
        <v>4</v>
      </c>
      <c r="Q130" s="65">
        <f>Q131+Q132</f>
        <v>1.9362</v>
      </c>
      <c r="R130" s="46">
        <f>R131+R132</f>
        <v>15.1642</v>
      </c>
      <c r="S130" s="25">
        <f>S131+S132</f>
        <v>6.45</v>
      </c>
      <c r="T130" s="25" t="str">
        <f>T131</f>
        <v>3 час</v>
      </c>
      <c r="U130" s="26">
        <f t="shared" si="31"/>
        <v>8.714199999999998</v>
      </c>
      <c r="V130" s="25">
        <v>0</v>
      </c>
      <c r="W130" s="24">
        <f>1.05*16</f>
        <v>16.8</v>
      </c>
      <c r="X130" s="5">
        <f>W130-U130-V130</f>
        <v>8.085800000000003</v>
      </c>
      <c r="Y130" s="84">
        <f>MIN(X130:X132)</f>
        <v>7.968800000000002</v>
      </c>
      <c r="Z130" s="81" t="s">
        <v>201</v>
      </c>
    </row>
    <row r="131" spans="1:26" s="1" customFormat="1" ht="22.5">
      <c r="A131" s="86"/>
      <c r="B131" s="27" t="s">
        <v>50</v>
      </c>
      <c r="C131" s="56" t="s">
        <v>4</v>
      </c>
      <c r="D131" s="47">
        <v>6.333</v>
      </c>
      <c r="E131" s="25">
        <v>6.45</v>
      </c>
      <c r="F131" s="25" t="s">
        <v>28</v>
      </c>
      <c r="G131" s="26">
        <v>0</v>
      </c>
      <c r="H131" s="25">
        <v>0</v>
      </c>
      <c r="I131" s="24">
        <f>1.05*16</f>
        <v>16.8</v>
      </c>
      <c r="J131" s="5">
        <f>I131-D131</f>
        <v>10.467</v>
      </c>
      <c r="K131" s="82"/>
      <c r="L131" s="82"/>
      <c r="M131" s="16"/>
      <c r="N131" s="106"/>
      <c r="O131" s="27" t="s">
        <v>50</v>
      </c>
      <c r="P131" s="15" t="s">
        <v>4</v>
      </c>
      <c r="Q131" s="65"/>
      <c r="R131" s="46">
        <f t="shared" si="21"/>
        <v>6.333</v>
      </c>
      <c r="S131" s="25">
        <v>6.45</v>
      </c>
      <c r="T131" s="25" t="s">
        <v>28</v>
      </c>
      <c r="U131" s="26">
        <v>0</v>
      </c>
      <c r="V131" s="25">
        <v>0</v>
      </c>
      <c r="W131" s="24">
        <f>1.05*16</f>
        <v>16.8</v>
      </c>
      <c r="X131" s="5">
        <f>W131-R131</f>
        <v>10.467</v>
      </c>
      <c r="Y131" s="121"/>
      <c r="Z131" s="82"/>
    </row>
    <row r="132" spans="1:26" s="1" customFormat="1" ht="22.5">
      <c r="A132" s="87"/>
      <c r="B132" s="27" t="s">
        <v>51</v>
      </c>
      <c r="C132" s="56" t="s">
        <v>4</v>
      </c>
      <c r="D132" s="47">
        <f>3.675+3.22</f>
        <v>6.895</v>
      </c>
      <c r="E132" s="25">
        <v>0</v>
      </c>
      <c r="F132" s="25">
        <v>0</v>
      </c>
      <c r="G132" s="26">
        <f t="shared" si="30"/>
        <v>6.895</v>
      </c>
      <c r="H132" s="25">
        <v>0</v>
      </c>
      <c r="I132" s="24">
        <f>1.05*16</f>
        <v>16.8</v>
      </c>
      <c r="J132" s="5">
        <f>I132-G132-H132</f>
        <v>9.905000000000001</v>
      </c>
      <c r="K132" s="83"/>
      <c r="L132" s="83"/>
      <c r="M132" s="16"/>
      <c r="N132" s="107"/>
      <c r="O132" s="27" t="s">
        <v>51</v>
      </c>
      <c r="P132" s="15" t="s">
        <v>4</v>
      </c>
      <c r="Q132" s="65">
        <f>0.303+0.012+2.692+0.516+0.01+0.016+0.0306-1.702+0.0048+0.0468+0.007</f>
        <v>1.9362</v>
      </c>
      <c r="R132" s="46">
        <f t="shared" si="21"/>
        <v>8.831199999999999</v>
      </c>
      <c r="S132" s="25">
        <v>0</v>
      </c>
      <c r="T132" s="25">
        <v>0</v>
      </c>
      <c r="U132" s="26">
        <f t="shared" si="31"/>
        <v>8.831199999999999</v>
      </c>
      <c r="V132" s="25">
        <v>0</v>
      </c>
      <c r="W132" s="24">
        <f>1.05*16</f>
        <v>16.8</v>
      </c>
      <c r="X132" s="5">
        <f>W132-U132-V132</f>
        <v>7.968800000000002</v>
      </c>
      <c r="Y132" s="122"/>
      <c r="Z132" s="83"/>
    </row>
    <row r="133" spans="1:26" s="1" customFormat="1" ht="33.75">
      <c r="A133" s="18">
        <v>78</v>
      </c>
      <c r="B133" s="12" t="s">
        <v>134</v>
      </c>
      <c r="C133" s="56" t="s">
        <v>3</v>
      </c>
      <c r="D133" s="46">
        <v>3.334</v>
      </c>
      <c r="E133" s="12">
        <v>0</v>
      </c>
      <c r="F133" s="12">
        <v>0</v>
      </c>
      <c r="G133" s="13">
        <f>D133</f>
        <v>3.334</v>
      </c>
      <c r="H133" s="12">
        <v>0</v>
      </c>
      <c r="I133" s="14">
        <f>1.05*6.3</f>
        <v>6.615</v>
      </c>
      <c r="J133" s="13">
        <f aca="true" t="shared" si="32" ref="J133:J164">I133-H133-G133</f>
        <v>3.281</v>
      </c>
      <c r="K133" s="13">
        <f aca="true" t="shared" si="33" ref="K133:K164">J133</f>
        <v>3.281</v>
      </c>
      <c r="L133" s="17" t="s">
        <v>201</v>
      </c>
      <c r="M133" s="16"/>
      <c r="N133" s="12">
        <v>78</v>
      </c>
      <c r="O133" s="12" t="s">
        <v>134</v>
      </c>
      <c r="P133" s="15" t="s">
        <v>3</v>
      </c>
      <c r="Q133" s="65">
        <f>0.043</f>
        <v>0.043</v>
      </c>
      <c r="R133" s="46">
        <f t="shared" si="21"/>
        <v>3.3770000000000002</v>
      </c>
      <c r="S133" s="12">
        <v>0</v>
      </c>
      <c r="T133" s="12">
        <v>0</v>
      </c>
      <c r="U133" s="13">
        <f>R133</f>
        <v>3.3770000000000002</v>
      </c>
      <c r="V133" s="12">
        <v>0</v>
      </c>
      <c r="W133" s="14">
        <f>1.05*6.3</f>
        <v>6.615</v>
      </c>
      <c r="X133" s="13">
        <f aca="true" t="shared" si="34" ref="X133:X164">W133-V133-U133</f>
        <v>3.238</v>
      </c>
      <c r="Y133" s="13">
        <f aca="true" t="shared" si="35" ref="Y133:Y170">X133</f>
        <v>3.238</v>
      </c>
      <c r="Z133" s="12" t="s">
        <v>201</v>
      </c>
    </row>
    <row r="134" spans="1:26" s="1" customFormat="1" ht="22.5">
      <c r="A134" s="18">
        <v>79</v>
      </c>
      <c r="B134" s="12" t="s">
        <v>135</v>
      </c>
      <c r="C134" s="56" t="s">
        <v>3</v>
      </c>
      <c r="D134" s="46">
        <v>3.119</v>
      </c>
      <c r="E134" s="12">
        <v>0</v>
      </c>
      <c r="F134" s="12">
        <v>0</v>
      </c>
      <c r="G134" s="12">
        <f aca="true" t="shared" si="36" ref="G134:G165">D134-E134</f>
        <v>3.119</v>
      </c>
      <c r="H134" s="12">
        <v>0</v>
      </c>
      <c r="I134" s="14">
        <f>1.05*6.3</f>
        <v>6.615</v>
      </c>
      <c r="J134" s="13">
        <f t="shared" si="32"/>
        <v>3.496</v>
      </c>
      <c r="K134" s="13">
        <f t="shared" si="33"/>
        <v>3.496</v>
      </c>
      <c r="L134" s="17" t="s">
        <v>201</v>
      </c>
      <c r="M134" s="16"/>
      <c r="N134" s="12">
        <v>79</v>
      </c>
      <c r="O134" s="12" t="s">
        <v>135</v>
      </c>
      <c r="P134" s="15" t="s">
        <v>3</v>
      </c>
      <c r="Q134" s="65">
        <f>0.003+0.005+0.0161-0.0113+0.0059</f>
        <v>0.0187</v>
      </c>
      <c r="R134" s="46">
        <f t="shared" si="21"/>
        <v>3.1377</v>
      </c>
      <c r="S134" s="12">
        <v>0</v>
      </c>
      <c r="T134" s="12">
        <v>0</v>
      </c>
      <c r="U134" s="12">
        <f aca="true" t="shared" si="37" ref="U134:U165">R134-S134</f>
        <v>3.1377</v>
      </c>
      <c r="V134" s="12">
        <v>0</v>
      </c>
      <c r="W134" s="14">
        <f>1.05*6.3</f>
        <v>6.615</v>
      </c>
      <c r="X134" s="13">
        <f t="shared" si="34"/>
        <v>3.4773</v>
      </c>
      <c r="Y134" s="13">
        <f t="shared" si="35"/>
        <v>3.4773</v>
      </c>
      <c r="Z134" s="12" t="s">
        <v>201</v>
      </c>
    </row>
    <row r="135" spans="1:26" s="1" customFormat="1" ht="22.5">
      <c r="A135" s="18">
        <v>80</v>
      </c>
      <c r="B135" s="12" t="s">
        <v>136</v>
      </c>
      <c r="C135" s="56" t="s">
        <v>2</v>
      </c>
      <c r="D135" s="46">
        <v>0.708</v>
      </c>
      <c r="E135" s="12">
        <v>0</v>
      </c>
      <c r="F135" s="12">
        <v>0</v>
      </c>
      <c r="G135" s="12">
        <f t="shared" si="36"/>
        <v>0.708</v>
      </c>
      <c r="H135" s="12">
        <v>0</v>
      </c>
      <c r="I135" s="14">
        <f>1.05*1.6</f>
        <v>1.6800000000000002</v>
      </c>
      <c r="J135" s="13">
        <f t="shared" si="32"/>
        <v>0.9720000000000002</v>
      </c>
      <c r="K135" s="13">
        <f t="shared" si="33"/>
        <v>0.9720000000000002</v>
      </c>
      <c r="L135" s="17" t="s">
        <v>201</v>
      </c>
      <c r="M135" s="16"/>
      <c r="N135" s="12">
        <v>80</v>
      </c>
      <c r="O135" s="12" t="s">
        <v>136</v>
      </c>
      <c r="P135" s="15" t="s">
        <v>2</v>
      </c>
      <c r="Q135" s="65">
        <f>0.011-0.0032+0.1075</f>
        <v>0.1153</v>
      </c>
      <c r="R135" s="46">
        <f t="shared" si="21"/>
        <v>0.8232999999999999</v>
      </c>
      <c r="S135" s="12">
        <v>0</v>
      </c>
      <c r="T135" s="12">
        <v>0</v>
      </c>
      <c r="U135" s="12">
        <f t="shared" si="37"/>
        <v>0.8232999999999999</v>
      </c>
      <c r="V135" s="12">
        <v>0</v>
      </c>
      <c r="W135" s="14">
        <f>1.05*1.6</f>
        <v>1.6800000000000002</v>
      </c>
      <c r="X135" s="13">
        <f t="shared" si="34"/>
        <v>0.8567000000000002</v>
      </c>
      <c r="Y135" s="13">
        <f t="shared" si="35"/>
        <v>0.8567000000000002</v>
      </c>
      <c r="Z135" s="12" t="s">
        <v>201</v>
      </c>
    </row>
    <row r="136" spans="1:26" s="1" customFormat="1" ht="22.5">
      <c r="A136" s="18">
        <v>81</v>
      </c>
      <c r="B136" s="12" t="s">
        <v>137</v>
      </c>
      <c r="C136" s="56" t="s">
        <v>27</v>
      </c>
      <c r="D136" s="46">
        <v>2.533</v>
      </c>
      <c r="E136" s="12">
        <v>0</v>
      </c>
      <c r="F136" s="12">
        <v>0</v>
      </c>
      <c r="G136" s="14">
        <f t="shared" si="36"/>
        <v>2.533</v>
      </c>
      <c r="H136" s="12">
        <v>0</v>
      </c>
      <c r="I136" s="14">
        <f>1.05*3.2</f>
        <v>3.3600000000000003</v>
      </c>
      <c r="J136" s="14">
        <f t="shared" si="32"/>
        <v>0.8270000000000004</v>
      </c>
      <c r="K136" s="14">
        <f t="shared" si="33"/>
        <v>0.8270000000000004</v>
      </c>
      <c r="L136" s="17" t="s">
        <v>201</v>
      </c>
      <c r="M136" s="16"/>
      <c r="N136" s="12">
        <v>81</v>
      </c>
      <c r="O136" s="12" t="s">
        <v>137</v>
      </c>
      <c r="P136" s="15" t="s">
        <v>27</v>
      </c>
      <c r="Q136" s="65">
        <v>0.0022</v>
      </c>
      <c r="R136" s="46">
        <f aca="true" t="shared" si="38" ref="R136:R195">Q136+D136</f>
        <v>2.5352</v>
      </c>
      <c r="S136" s="12">
        <v>0</v>
      </c>
      <c r="T136" s="12">
        <v>0</v>
      </c>
      <c r="U136" s="12">
        <f t="shared" si="37"/>
        <v>2.5352</v>
      </c>
      <c r="V136" s="12">
        <v>0</v>
      </c>
      <c r="W136" s="14">
        <f>1.05*3.2</f>
        <v>3.3600000000000003</v>
      </c>
      <c r="X136" s="13">
        <f t="shared" si="34"/>
        <v>0.8248000000000002</v>
      </c>
      <c r="Y136" s="13">
        <f t="shared" si="35"/>
        <v>0.8248000000000002</v>
      </c>
      <c r="Z136" s="12" t="s">
        <v>201</v>
      </c>
    </row>
    <row r="137" spans="1:26" s="1" customFormat="1" ht="33.75">
      <c r="A137" s="18">
        <v>82</v>
      </c>
      <c r="B137" s="12" t="s">
        <v>138</v>
      </c>
      <c r="C137" s="56" t="s">
        <v>8</v>
      </c>
      <c r="D137" s="46">
        <v>1.217</v>
      </c>
      <c r="E137" s="12">
        <v>0</v>
      </c>
      <c r="F137" s="12">
        <v>0</v>
      </c>
      <c r="G137" s="12">
        <f t="shared" si="36"/>
        <v>1.217</v>
      </c>
      <c r="H137" s="12">
        <v>0</v>
      </c>
      <c r="I137" s="14">
        <f>1.05*4</f>
        <v>4.2</v>
      </c>
      <c r="J137" s="13">
        <f t="shared" si="32"/>
        <v>2.983</v>
      </c>
      <c r="K137" s="13">
        <f t="shared" si="33"/>
        <v>2.983</v>
      </c>
      <c r="L137" s="17" t="s">
        <v>201</v>
      </c>
      <c r="M137" s="16"/>
      <c r="N137" s="12">
        <v>82</v>
      </c>
      <c r="O137" s="12" t="s">
        <v>138</v>
      </c>
      <c r="P137" s="15" t="s">
        <v>8</v>
      </c>
      <c r="Q137" s="65">
        <f>0.007+0.004+0.003+0.021+0.004+0.002+0.0151+0.0054-0.0102+0.029+0.0161+0.0161+0.086+0.0086</f>
        <v>0.2071</v>
      </c>
      <c r="R137" s="46">
        <f t="shared" si="38"/>
        <v>1.4241000000000001</v>
      </c>
      <c r="S137" s="12">
        <v>0</v>
      </c>
      <c r="T137" s="12">
        <v>0</v>
      </c>
      <c r="U137" s="12">
        <f t="shared" si="37"/>
        <v>1.4241000000000001</v>
      </c>
      <c r="V137" s="12">
        <v>0</v>
      </c>
      <c r="W137" s="14">
        <f>1.05*4</f>
        <v>4.2</v>
      </c>
      <c r="X137" s="13">
        <f t="shared" si="34"/>
        <v>2.7759</v>
      </c>
      <c r="Y137" s="13">
        <f t="shared" si="35"/>
        <v>2.7759</v>
      </c>
      <c r="Z137" s="12" t="s">
        <v>201</v>
      </c>
    </row>
    <row r="138" spans="1:26" s="1" customFormat="1" ht="22.5">
      <c r="A138" s="18">
        <v>83</v>
      </c>
      <c r="B138" s="12" t="s">
        <v>139</v>
      </c>
      <c r="C138" s="56" t="s">
        <v>1</v>
      </c>
      <c r="D138" s="46">
        <v>0.425</v>
      </c>
      <c r="E138" s="12">
        <v>0</v>
      </c>
      <c r="F138" s="12">
        <v>0</v>
      </c>
      <c r="G138" s="12">
        <f t="shared" si="36"/>
        <v>0.425</v>
      </c>
      <c r="H138" s="12">
        <v>0</v>
      </c>
      <c r="I138" s="14">
        <f>1.05*2.5</f>
        <v>2.625</v>
      </c>
      <c r="J138" s="14">
        <f t="shared" si="32"/>
        <v>2.2</v>
      </c>
      <c r="K138" s="14">
        <f t="shared" si="33"/>
        <v>2.2</v>
      </c>
      <c r="L138" s="17" t="s">
        <v>201</v>
      </c>
      <c r="M138" s="16"/>
      <c r="N138" s="12">
        <v>83</v>
      </c>
      <c r="O138" s="12" t="s">
        <v>139</v>
      </c>
      <c r="P138" s="15" t="s">
        <v>1</v>
      </c>
      <c r="Q138" s="65">
        <f>0.016+0.0155+0.0108</f>
        <v>0.042300000000000004</v>
      </c>
      <c r="R138" s="46">
        <f t="shared" si="38"/>
        <v>0.4673</v>
      </c>
      <c r="S138" s="12">
        <v>0</v>
      </c>
      <c r="T138" s="12">
        <v>0</v>
      </c>
      <c r="U138" s="12">
        <f t="shared" si="37"/>
        <v>0.4673</v>
      </c>
      <c r="V138" s="12">
        <v>0</v>
      </c>
      <c r="W138" s="14">
        <f>1.05*2.5</f>
        <v>2.625</v>
      </c>
      <c r="X138" s="13">
        <f t="shared" si="34"/>
        <v>2.1577</v>
      </c>
      <c r="Y138" s="13">
        <f t="shared" si="35"/>
        <v>2.1577</v>
      </c>
      <c r="Z138" s="12" t="s">
        <v>201</v>
      </c>
    </row>
    <row r="139" spans="1:26" s="75" customFormat="1" ht="22.5">
      <c r="A139" s="31">
        <v>84</v>
      </c>
      <c r="B139" s="31" t="s">
        <v>140</v>
      </c>
      <c r="C139" s="32" t="s">
        <v>18</v>
      </c>
      <c r="D139" s="48">
        <v>11.35</v>
      </c>
      <c r="E139" s="31">
        <v>0</v>
      </c>
      <c r="F139" s="31">
        <v>0</v>
      </c>
      <c r="G139" s="31">
        <f t="shared" si="36"/>
        <v>11.35</v>
      </c>
      <c r="H139" s="31">
        <v>0</v>
      </c>
      <c r="I139" s="30">
        <f>1.05*6.3</f>
        <v>6.615</v>
      </c>
      <c r="J139" s="29">
        <f t="shared" si="32"/>
        <v>-4.734999999999999</v>
      </c>
      <c r="K139" s="48">
        <f t="shared" si="33"/>
        <v>-4.734999999999999</v>
      </c>
      <c r="L139" s="76" t="s">
        <v>202</v>
      </c>
      <c r="M139" s="73"/>
      <c r="N139" s="31">
        <v>84</v>
      </c>
      <c r="O139" s="31" t="s">
        <v>140</v>
      </c>
      <c r="P139" s="32" t="s">
        <v>18</v>
      </c>
      <c r="Q139" s="66">
        <v>0</v>
      </c>
      <c r="R139" s="48">
        <f t="shared" si="38"/>
        <v>11.35</v>
      </c>
      <c r="S139" s="31">
        <v>0</v>
      </c>
      <c r="T139" s="31">
        <v>0</v>
      </c>
      <c r="U139" s="31">
        <f t="shared" si="37"/>
        <v>11.35</v>
      </c>
      <c r="V139" s="31">
        <v>0</v>
      </c>
      <c r="W139" s="30">
        <f>1.05*6.3</f>
        <v>6.615</v>
      </c>
      <c r="X139" s="29">
        <f t="shared" si="34"/>
        <v>-4.734999999999999</v>
      </c>
      <c r="Y139" s="48">
        <f>X139</f>
        <v>-4.734999999999999</v>
      </c>
      <c r="Z139" s="31" t="s">
        <v>202</v>
      </c>
    </row>
    <row r="140" spans="1:26" s="1" customFormat="1" ht="22.5">
      <c r="A140" s="18">
        <v>85</v>
      </c>
      <c r="B140" s="12" t="s">
        <v>141</v>
      </c>
      <c r="C140" s="56" t="s">
        <v>10</v>
      </c>
      <c r="D140" s="46">
        <v>1.099</v>
      </c>
      <c r="E140" s="12">
        <v>0</v>
      </c>
      <c r="F140" s="12">
        <v>0</v>
      </c>
      <c r="G140" s="12">
        <f t="shared" si="36"/>
        <v>1.099</v>
      </c>
      <c r="H140" s="12">
        <v>0</v>
      </c>
      <c r="I140" s="14">
        <f>1.05*2.5</f>
        <v>2.625</v>
      </c>
      <c r="J140" s="13">
        <f t="shared" si="32"/>
        <v>1.526</v>
      </c>
      <c r="K140" s="13">
        <f t="shared" si="33"/>
        <v>1.526</v>
      </c>
      <c r="L140" s="17" t="s">
        <v>201</v>
      </c>
      <c r="M140" s="16"/>
      <c r="N140" s="12">
        <v>85</v>
      </c>
      <c r="O140" s="12" t="s">
        <v>141</v>
      </c>
      <c r="P140" s="15" t="s">
        <v>10</v>
      </c>
      <c r="Q140" s="65">
        <f>0.013+0.007+0.007+0.0145+0.0161-0.0134+0.0077+0.0075</f>
        <v>0.059399999999999994</v>
      </c>
      <c r="R140" s="46">
        <f t="shared" si="38"/>
        <v>1.1583999999999999</v>
      </c>
      <c r="S140" s="12">
        <v>0</v>
      </c>
      <c r="T140" s="12">
        <v>0</v>
      </c>
      <c r="U140" s="12">
        <f t="shared" si="37"/>
        <v>1.1583999999999999</v>
      </c>
      <c r="V140" s="12">
        <v>0</v>
      </c>
      <c r="W140" s="14">
        <f>1.05*2.5</f>
        <v>2.625</v>
      </c>
      <c r="X140" s="13">
        <f t="shared" si="34"/>
        <v>1.4666000000000001</v>
      </c>
      <c r="Y140" s="13">
        <f t="shared" si="35"/>
        <v>1.4666000000000001</v>
      </c>
      <c r="Z140" s="12" t="s">
        <v>201</v>
      </c>
    </row>
    <row r="141" spans="1:26" s="1" customFormat="1" ht="22.5">
      <c r="A141" s="22">
        <v>86</v>
      </c>
      <c r="B141" s="22" t="s">
        <v>142</v>
      </c>
      <c r="C141" s="23" t="s">
        <v>0</v>
      </c>
      <c r="D141" s="50">
        <v>12.37</v>
      </c>
      <c r="E141" s="22">
        <v>0</v>
      </c>
      <c r="F141" s="22">
        <v>0</v>
      </c>
      <c r="G141" s="22">
        <f t="shared" si="36"/>
        <v>12.37</v>
      </c>
      <c r="H141" s="22">
        <v>0</v>
      </c>
      <c r="I141" s="21">
        <f>1.05*10</f>
        <v>10.5</v>
      </c>
      <c r="J141" s="20">
        <f t="shared" si="32"/>
        <v>-1.8699999999999992</v>
      </c>
      <c r="K141" s="50">
        <f t="shared" si="33"/>
        <v>-1.8699999999999992</v>
      </c>
      <c r="L141" s="19" t="s">
        <v>202</v>
      </c>
      <c r="M141" s="16"/>
      <c r="N141" s="22">
        <v>86</v>
      </c>
      <c r="O141" s="22" t="s">
        <v>142</v>
      </c>
      <c r="P141" s="23" t="s">
        <v>0</v>
      </c>
      <c r="Q141" s="67">
        <v>0</v>
      </c>
      <c r="R141" s="50">
        <f t="shared" si="38"/>
        <v>12.37</v>
      </c>
      <c r="S141" s="22">
        <v>0</v>
      </c>
      <c r="T141" s="22">
        <v>0</v>
      </c>
      <c r="U141" s="22">
        <f t="shared" si="37"/>
        <v>12.37</v>
      </c>
      <c r="V141" s="22">
        <v>0</v>
      </c>
      <c r="W141" s="21">
        <f>1.05*10</f>
        <v>10.5</v>
      </c>
      <c r="X141" s="20">
        <f t="shared" si="34"/>
        <v>-1.8699999999999992</v>
      </c>
      <c r="Y141" s="50">
        <f t="shared" si="35"/>
        <v>-1.8699999999999992</v>
      </c>
      <c r="Z141" s="22" t="s">
        <v>202</v>
      </c>
    </row>
    <row r="142" spans="1:26" s="1" customFormat="1" ht="33.75">
      <c r="A142" s="18">
        <v>87</v>
      </c>
      <c r="B142" s="12" t="s">
        <v>143</v>
      </c>
      <c r="C142" s="56" t="s">
        <v>8</v>
      </c>
      <c r="D142" s="46">
        <v>0.833</v>
      </c>
      <c r="E142" s="12">
        <v>0</v>
      </c>
      <c r="F142" s="12">
        <v>0</v>
      </c>
      <c r="G142" s="12">
        <f t="shared" si="36"/>
        <v>0.833</v>
      </c>
      <c r="H142" s="12">
        <v>0</v>
      </c>
      <c r="I142" s="14">
        <f>1.05*4</f>
        <v>4.2</v>
      </c>
      <c r="J142" s="13">
        <f t="shared" si="32"/>
        <v>3.367</v>
      </c>
      <c r="K142" s="13">
        <f t="shared" si="33"/>
        <v>3.367</v>
      </c>
      <c r="L142" s="17" t="s">
        <v>201</v>
      </c>
      <c r="M142" s="16"/>
      <c r="N142" s="12">
        <v>87</v>
      </c>
      <c r="O142" s="12" t="s">
        <v>143</v>
      </c>
      <c r="P142" s="15" t="s">
        <v>8</v>
      </c>
      <c r="Q142" s="65">
        <f>0.006+0.011+0.005+0.014+0.007+0.016-0.0108+0.0054+0.0161</f>
        <v>0.06970000000000001</v>
      </c>
      <c r="R142" s="46">
        <f t="shared" si="38"/>
        <v>0.9027</v>
      </c>
      <c r="S142" s="12">
        <v>0</v>
      </c>
      <c r="T142" s="12">
        <v>0</v>
      </c>
      <c r="U142" s="12">
        <f t="shared" si="37"/>
        <v>0.9027</v>
      </c>
      <c r="V142" s="12">
        <v>0</v>
      </c>
      <c r="W142" s="14">
        <f>1.05*4</f>
        <v>4.2</v>
      </c>
      <c r="X142" s="13">
        <f t="shared" si="34"/>
        <v>3.2973000000000003</v>
      </c>
      <c r="Y142" s="13">
        <f t="shared" si="35"/>
        <v>3.2973000000000003</v>
      </c>
      <c r="Z142" s="12" t="s">
        <v>201</v>
      </c>
    </row>
    <row r="143" spans="1:26" s="1" customFormat="1" ht="22.5">
      <c r="A143" s="18">
        <v>88</v>
      </c>
      <c r="B143" s="12" t="s">
        <v>144</v>
      </c>
      <c r="C143" s="56" t="s">
        <v>2</v>
      </c>
      <c r="D143" s="46">
        <v>0.253</v>
      </c>
      <c r="E143" s="12">
        <v>0</v>
      </c>
      <c r="F143" s="12">
        <v>0</v>
      </c>
      <c r="G143" s="12">
        <f t="shared" si="36"/>
        <v>0.253</v>
      </c>
      <c r="H143" s="12">
        <v>0</v>
      </c>
      <c r="I143" s="14">
        <f>1.05*1.6</f>
        <v>1.6800000000000002</v>
      </c>
      <c r="J143" s="13">
        <f t="shared" si="32"/>
        <v>1.427</v>
      </c>
      <c r="K143" s="13">
        <f t="shared" si="33"/>
        <v>1.427</v>
      </c>
      <c r="L143" s="17" t="s">
        <v>201</v>
      </c>
      <c r="M143" s="16"/>
      <c r="N143" s="12">
        <v>88</v>
      </c>
      <c r="O143" s="12" t="s">
        <v>144</v>
      </c>
      <c r="P143" s="15" t="s">
        <v>2</v>
      </c>
      <c r="Q143" s="65">
        <v>0</v>
      </c>
      <c r="R143" s="46">
        <f t="shared" si="38"/>
        <v>0.253</v>
      </c>
      <c r="S143" s="12">
        <v>0</v>
      </c>
      <c r="T143" s="12">
        <v>0</v>
      </c>
      <c r="U143" s="12">
        <f t="shared" si="37"/>
        <v>0.253</v>
      </c>
      <c r="V143" s="12">
        <v>0</v>
      </c>
      <c r="W143" s="14">
        <f>1.05*1.6</f>
        <v>1.6800000000000002</v>
      </c>
      <c r="X143" s="13">
        <f t="shared" si="34"/>
        <v>1.427</v>
      </c>
      <c r="Y143" s="13">
        <f t="shared" si="35"/>
        <v>1.427</v>
      </c>
      <c r="Z143" s="12" t="s">
        <v>201</v>
      </c>
    </row>
    <row r="144" spans="1:26" s="1" customFormat="1" ht="22.5">
      <c r="A144" s="18">
        <v>89</v>
      </c>
      <c r="B144" s="12" t="s">
        <v>145</v>
      </c>
      <c r="C144" s="56" t="s">
        <v>8</v>
      </c>
      <c r="D144" s="46">
        <v>1.101</v>
      </c>
      <c r="E144" s="12">
        <v>0</v>
      </c>
      <c r="F144" s="12">
        <v>0</v>
      </c>
      <c r="G144" s="12">
        <f t="shared" si="36"/>
        <v>1.101</v>
      </c>
      <c r="H144" s="12">
        <v>0</v>
      </c>
      <c r="I144" s="14">
        <f>1.05*4</f>
        <v>4.2</v>
      </c>
      <c r="J144" s="13">
        <f t="shared" si="32"/>
        <v>3.099</v>
      </c>
      <c r="K144" s="13">
        <f t="shared" si="33"/>
        <v>3.099</v>
      </c>
      <c r="L144" s="17" t="s">
        <v>201</v>
      </c>
      <c r="M144" s="16"/>
      <c r="N144" s="12">
        <v>89</v>
      </c>
      <c r="O144" s="12" t="s">
        <v>145</v>
      </c>
      <c r="P144" s="15" t="s">
        <v>8</v>
      </c>
      <c r="Q144" s="65">
        <f>0.029+0.008+0.012+0.005+0.008+0.015+0.0054+0.285</f>
        <v>0.36739999999999995</v>
      </c>
      <c r="R144" s="46">
        <f t="shared" si="38"/>
        <v>1.4684</v>
      </c>
      <c r="S144" s="12">
        <v>0</v>
      </c>
      <c r="T144" s="12">
        <v>0</v>
      </c>
      <c r="U144" s="12">
        <f t="shared" si="37"/>
        <v>1.4684</v>
      </c>
      <c r="V144" s="12">
        <v>0</v>
      </c>
      <c r="W144" s="14">
        <f>1.05*4</f>
        <v>4.2</v>
      </c>
      <c r="X144" s="13">
        <f t="shared" si="34"/>
        <v>2.7316000000000003</v>
      </c>
      <c r="Y144" s="13">
        <f t="shared" si="35"/>
        <v>2.7316000000000003</v>
      </c>
      <c r="Z144" s="12" t="s">
        <v>201</v>
      </c>
    </row>
    <row r="145" spans="1:26" s="1" customFormat="1" ht="22.5">
      <c r="A145" s="18">
        <v>90</v>
      </c>
      <c r="B145" s="12" t="s">
        <v>146</v>
      </c>
      <c r="C145" s="56" t="s">
        <v>15</v>
      </c>
      <c r="D145" s="46">
        <v>1.379</v>
      </c>
      <c r="E145" s="12">
        <v>0</v>
      </c>
      <c r="F145" s="12">
        <v>0</v>
      </c>
      <c r="G145" s="12">
        <f t="shared" si="36"/>
        <v>1.379</v>
      </c>
      <c r="H145" s="12">
        <v>0</v>
      </c>
      <c r="I145" s="14">
        <f>1.05*4</f>
        <v>4.2</v>
      </c>
      <c r="J145" s="13">
        <f t="shared" si="32"/>
        <v>2.821</v>
      </c>
      <c r="K145" s="13">
        <f t="shared" si="33"/>
        <v>2.821</v>
      </c>
      <c r="L145" s="17" t="s">
        <v>201</v>
      </c>
      <c r="M145" s="16"/>
      <c r="N145" s="12">
        <v>90</v>
      </c>
      <c r="O145" s="12" t="s">
        <v>146</v>
      </c>
      <c r="P145" s="15" t="s">
        <v>15</v>
      </c>
      <c r="Q145" s="65">
        <f>0.023+0.003+0.028+0.038+0.005+0.016+0.016-0.028</f>
        <v>0.101</v>
      </c>
      <c r="R145" s="46">
        <f t="shared" si="38"/>
        <v>1.48</v>
      </c>
      <c r="S145" s="12">
        <v>0</v>
      </c>
      <c r="T145" s="12">
        <v>0</v>
      </c>
      <c r="U145" s="12">
        <f t="shared" si="37"/>
        <v>1.48</v>
      </c>
      <c r="V145" s="12">
        <v>0</v>
      </c>
      <c r="W145" s="14">
        <f>1.05*4</f>
        <v>4.2</v>
      </c>
      <c r="X145" s="13">
        <f t="shared" si="34"/>
        <v>2.72</v>
      </c>
      <c r="Y145" s="13">
        <f t="shared" si="35"/>
        <v>2.72</v>
      </c>
      <c r="Z145" s="12" t="s">
        <v>201</v>
      </c>
    </row>
    <row r="146" spans="1:26" s="1" customFormat="1" ht="22.5">
      <c r="A146" s="18">
        <v>91</v>
      </c>
      <c r="B146" s="12" t="s">
        <v>147</v>
      </c>
      <c r="C146" s="56" t="s">
        <v>26</v>
      </c>
      <c r="D146" s="46">
        <v>0.168</v>
      </c>
      <c r="E146" s="12">
        <v>0</v>
      </c>
      <c r="F146" s="12">
        <v>0</v>
      </c>
      <c r="G146" s="12">
        <f t="shared" si="36"/>
        <v>0.168</v>
      </c>
      <c r="H146" s="12">
        <v>0</v>
      </c>
      <c r="I146" s="14">
        <f>1.05*1</f>
        <v>1.05</v>
      </c>
      <c r="J146" s="13">
        <f t="shared" si="32"/>
        <v>0.882</v>
      </c>
      <c r="K146" s="13">
        <f t="shared" si="33"/>
        <v>0.882</v>
      </c>
      <c r="L146" s="17" t="s">
        <v>201</v>
      </c>
      <c r="M146" s="16"/>
      <c r="N146" s="12">
        <v>91</v>
      </c>
      <c r="O146" s="12" t="s">
        <v>147</v>
      </c>
      <c r="P146" s="15" t="s">
        <v>26</v>
      </c>
      <c r="Q146" s="65">
        <f>0.008+0.005+0.008-0.0054+0.0032+0.0032+0.016</f>
        <v>0.038000000000000006</v>
      </c>
      <c r="R146" s="46">
        <f t="shared" si="38"/>
        <v>0.20600000000000002</v>
      </c>
      <c r="S146" s="12">
        <v>0</v>
      </c>
      <c r="T146" s="12">
        <v>0</v>
      </c>
      <c r="U146" s="12">
        <f t="shared" si="37"/>
        <v>0.20600000000000002</v>
      </c>
      <c r="V146" s="12">
        <v>0</v>
      </c>
      <c r="W146" s="14">
        <f>1.05*1</f>
        <v>1.05</v>
      </c>
      <c r="X146" s="13">
        <f t="shared" si="34"/>
        <v>0.8440000000000001</v>
      </c>
      <c r="Y146" s="13">
        <f t="shared" si="35"/>
        <v>0.8440000000000001</v>
      </c>
      <c r="Z146" s="12" t="s">
        <v>201</v>
      </c>
    </row>
    <row r="147" spans="1:26" s="1" customFormat="1" ht="22.5">
      <c r="A147" s="18">
        <v>92</v>
      </c>
      <c r="B147" s="12" t="s">
        <v>148</v>
      </c>
      <c r="C147" s="56" t="s">
        <v>1</v>
      </c>
      <c r="D147" s="46">
        <v>0.258</v>
      </c>
      <c r="E147" s="12">
        <v>0</v>
      </c>
      <c r="F147" s="12">
        <v>0</v>
      </c>
      <c r="G147" s="12">
        <f t="shared" si="36"/>
        <v>0.258</v>
      </c>
      <c r="H147" s="12">
        <v>0</v>
      </c>
      <c r="I147" s="14">
        <f>1.05*2.5</f>
        <v>2.625</v>
      </c>
      <c r="J147" s="13">
        <f t="shared" si="32"/>
        <v>2.367</v>
      </c>
      <c r="K147" s="13">
        <f t="shared" si="33"/>
        <v>2.367</v>
      </c>
      <c r="L147" s="17" t="s">
        <v>201</v>
      </c>
      <c r="M147" s="16"/>
      <c r="N147" s="12">
        <v>92</v>
      </c>
      <c r="O147" s="12" t="s">
        <v>148</v>
      </c>
      <c r="P147" s="15" t="s">
        <v>1</v>
      </c>
      <c r="Q147" s="65">
        <f>0.005+0.005+0.0054+0.0108</f>
        <v>0.0262</v>
      </c>
      <c r="R147" s="46">
        <f t="shared" si="38"/>
        <v>0.2842</v>
      </c>
      <c r="S147" s="12">
        <v>0</v>
      </c>
      <c r="T147" s="12">
        <v>0</v>
      </c>
      <c r="U147" s="12">
        <f t="shared" si="37"/>
        <v>0.2842</v>
      </c>
      <c r="V147" s="12">
        <v>0</v>
      </c>
      <c r="W147" s="14">
        <f>1.05*2.5</f>
        <v>2.625</v>
      </c>
      <c r="X147" s="13">
        <f t="shared" si="34"/>
        <v>2.3407999999999998</v>
      </c>
      <c r="Y147" s="13">
        <f t="shared" si="35"/>
        <v>2.3407999999999998</v>
      </c>
      <c r="Z147" s="12" t="s">
        <v>201</v>
      </c>
    </row>
    <row r="148" spans="1:26" s="1" customFormat="1" ht="22.5">
      <c r="A148" s="18">
        <v>93</v>
      </c>
      <c r="B148" s="12" t="s">
        <v>149</v>
      </c>
      <c r="C148" s="56" t="s">
        <v>1</v>
      </c>
      <c r="D148" s="46">
        <v>0.805</v>
      </c>
      <c r="E148" s="12">
        <v>0</v>
      </c>
      <c r="F148" s="12">
        <v>0</v>
      </c>
      <c r="G148" s="12">
        <f t="shared" si="36"/>
        <v>0.805</v>
      </c>
      <c r="H148" s="12">
        <v>0</v>
      </c>
      <c r="I148" s="14">
        <f>1.05*2.5</f>
        <v>2.625</v>
      </c>
      <c r="J148" s="13">
        <f t="shared" si="32"/>
        <v>1.8199999999999998</v>
      </c>
      <c r="K148" s="13">
        <f t="shared" si="33"/>
        <v>1.8199999999999998</v>
      </c>
      <c r="L148" s="17" t="s">
        <v>201</v>
      </c>
      <c r="M148" s="16"/>
      <c r="N148" s="12">
        <v>93</v>
      </c>
      <c r="O148" s="12" t="s">
        <v>149</v>
      </c>
      <c r="P148" s="15" t="s">
        <v>1</v>
      </c>
      <c r="Q148" s="65">
        <f>0.004+0.011+0.177+0.01-0.0145+0.5376+0.001+0.0172</f>
        <v>0.7433</v>
      </c>
      <c r="R148" s="46">
        <f t="shared" si="38"/>
        <v>1.5483</v>
      </c>
      <c r="S148" s="12">
        <v>0</v>
      </c>
      <c r="T148" s="12">
        <v>0</v>
      </c>
      <c r="U148" s="12">
        <f t="shared" si="37"/>
        <v>1.5483</v>
      </c>
      <c r="V148" s="12">
        <v>0</v>
      </c>
      <c r="W148" s="14">
        <f>1.05*2.5</f>
        <v>2.625</v>
      </c>
      <c r="X148" s="13">
        <f t="shared" si="34"/>
        <v>1.0767</v>
      </c>
      <c r="Y148" s="13">
        <f t="shared" si="35"/>
        <v>1.0767</v>
      </c>
      <c r="Z148" s="12" t="s">
        <v>201</v>
      </c>
    </row>
    <row r="149" spans="1:26" s="1" customFormat="1" ht="22.5">
      <c r="A149" s="18">
        <v>94</v>
      </c>
      <c r="B149" s="12" t="s">
        <v>150</v>
      </c>
      <c r="C149" s="56" t="s">
        <v>2</v>
      </c>
      <c r="D149" s="46">
        <v>0.638</v>
      </c>
      <c r="E149" s="12">
        <v>0</v>
      </c>
      <c r="F149" s="12">
        <v>0</v>
      </c>
      <c r="G149" s="12">
        <f t="shared" si="36"/>
        <v>0.638</v>
      </c>
      <c r="H149" s="12">
        <v>0</v>
      </c>
      <c r="I149" s="14">
        <f>1.05*1.6</f>
        <v>1.6800000000000002</v>
      </c>
      <c r="J149" s="13">
        <f t="shared" si="32"/>
        <v>1.0420000000000003</v>
      </c>
      <c r="K149" s="13">
        <f t="shared" si="33"/>
        <v>1.0420000000000003</v>
      </c>
      <c r="L149" s="17" t="s">
        <v>201</v>
      </c>
      <c r="M149" s="16"/>
      <c r="N149" s="12">
        <v>94</v>
      </c>
      <c r="O149" s="12" t="s">
        <v>150</v>
      </c>
      <c r="P149" s="15" t="s">
        <v>2</v>
      </c>
      <c r="Q149" s="65">
        <v>0</v>
      </c>
      <c r="R149" s="46">
        <f t="shared" si="38"/>
        <v>0.638</v>
      </c>
      <c r="S149" s="12">
        <v>0</v>
      </c>
      <c r="T149" s="12">
        <v>0</v>
      </c>
      <c r="U149" s="12">
        <f t="shared" si="37"/>
        <v>0.638</v>
      </c>
      <c r="V149" s="12">
        <v>0</v>
      </c>
      <c r="W149" s="14">
        <f>1.05*1.6</f>
        <v>1.6800000000000002</v>
      </c>
      <c r="X149" s="13">
        <f t="shared" si="34"/>
        <v>1.0420000000000003</v>
      </c>
      <c r="Y149" s="13">
        <f t="shared" si="35"/>
        <v>1.0420000000000003</v>
      </c>
      <c r="Z149" s="12" t="s">
        <v>201</v>
      </c>
    </row>
    <row r="150" spans="1:26" s="1" customFormat="1" ht="22.5">
      <c r="A150" s="18">
        <v>95</v>
      </c>
      <c r="B150" s="12" t="s">
        <v>151</v>
      </c>
      <c r="C150" s="56" t="s">
        <v>3</v>
      </c>
      <c r="D150" s="46">
        <v>5.144</v>
      </c>
      <c r="E150" s="12">
        <v>0</v>
      </c>
      <c r="F150" s="12">
        <v>0</v>
      </c>
      <c r="G150" s="12">
        <f t="shared" si="36"/>
        <v>5.144</v>
      </c>
      <c r="H150" s="12">
        <v>0</v>
      </c>
      <c r="I150" s="14">
        <f>1.05*6.3</f>
        <v>6.615</v>
      </c>
      <c r="J150" s="14">
        <f t="shared" si="32"/>
        <v>1.471</v>
      </c>
      <c r="K150" s="14">
        <f t="shared" si="33"/>
        <v>1.471</v>
      </c>
      <c r="L150" s="17" t="s">
        <v>201</v>
      </c>
      <c r="M150" s="16"/>
      <c r="N150" s="12">
        <v>95</v>
      </c>
      <c r="O150" s="12" t="s">
        <v>151</v>
      </c>
      <c r="P150" s="15" t="s">
        <v>3</v>
      </c>
      <c r="Q150" s="65">
        <f>0.01+0.002+0.016+0.0086-0.0081</f>
        <v>0.0285</v>
      </c>
      <c r="R150" s="46">
        <f t="shared" si="38"/>
        <v>5.1725</v>
      </c>
      <c r="S150" s="12">
        <v>0</v>
      </c>
      <c r="T150" s="12">
        <v>0</v>
      </c>
      <c r="U150" s="12">
        <f t="shared" si="37"/>
        <v>5.1725</v>
      </c>
      <c r="V150" s="12">
        <v>0</v>
      </c>
      <c r="W150" s="14">
        <f>1.05*6.3</f>
        <v>6.615</v>
      </c>
      <c r="X150" s="13">
        <f t="shared" si="34"/>
        <v>1.4425</v>
      </c>
      <c r="Y150" s="13">
        <f t="shared" si="35"/>
        <v>1.4425</v>
      </c>
      <c r="Z150" s="12" t="s">
        <v>201</v>
      </c>
    </row>
    <row r="151" spans="1:26" s="1" customFormat="1" ht="22.5">
      <c r="A151" s="18">
        <v>96</v>
      </c>
      <c r="B151" s="12" t="s">
        <v>152</v>
      </c>
      <c r="C151" s="56" t="s">
        <v>2</v>
      </c>
      <c r="D151" s="46">
        <v>0.86</v>
      </c>
      <c r="E151" s="12">
        <v>0</v>
      </c>
      <c r="F151" s="12">
        <v>0</v>
      </c>
      <c r="G151" s="12">
        <f t="shared" si="36"/>
        <v>0.86</v>
      </c>
      <c r="H151" s="12">
        <v>0</v>
      </c>
      <c r="I151" s="14">
        <f>1.05*1.6</f>
        <v>1.6800000000000002</v>
      </c>
      <c r="J151" s="13">
        <f t="shared" si="32"/>
        <v>0.8200000000000002</v>
      </c>
      <c r="K151" s="13">
        <f t="shared" si="33"/>
        <v>0.8200000000000002</v>
      </c>
      <c r="L151" s="17" t="s">
        <v>201</v>
      </c>
      <c r="M151" s="16"/>
      <c r="N151" s="12">
        <v>96</v>
      </c>
      <c r="O151" s="12" t="s">
        <v>152</v>
      </c>
      <c r="P151" s="15" t="s">
        <v>2</v>
      </c>
      <c r="Q151" s="65">
        <f>0.021+0.003+0.003+0.038+0.022+0.016+0.005-0.0306+0.0161+0.0108+0.0237</f>
        <v>0.128</v>
      </c>
      <c r="R151" s="46">
        <f t="shared" si="38"/>
        <v>0.988</v>
      </c>
      <c r="S151" s="12">
        <v>0</v>
      </c>
      <c r="T151" s="12">
        <v>0</v>
      </c>
      <c r="U151" s="12">
        <f t="shared" si="37"/>
        <v>0.988</v>
      </c>
      <c r="V151" s="12">
        <v>0</v>
      </c>
      <c r="W151" s="14">
        <f>1.05*1.6</f>
        <v>1.6800000000000002</v>
      </c>
      <c r="X151" s="13">
        <f t="shared" si="34"/>
        <v>0.6920000000000002</v>
      </c>
      <c r="Y151" s="13">
        <f t="shared" si="35"/>
        <v>0.6920000000000002</v>
      </c>
      <c r="Z151" s="12" t="s">
        <v>201</v>
      </c>
    </row>
    <row r="152" spans="1:26" s="1" customFormat="1" ht="22.5">
      <c r="A152" s="18">
        <v>97</v>
      </c>
      <c r="B152" s="12" t="s">
        <v>153</v>
      </c>
      <c r="C152" s="56" t="s">
        <v>2</v>
      </c>
      <c r="D152" s="46">
        <v>0.155</v>
      </c>
      <c r="E152" s="12">
        <v>0</v>
      </c>
      <c r="F152" s="12">
        <v>0</v>
      </c>
      <c r="G152" s="12">
        <f t="shared" si="36"/>
        <v>0.155</v>
      </c>
      <c r="H152" s="12">
        <v>0</v>
      </c>
      <c r="I152" s="14">
        <f>1.05*1.6</f>
        <v>1.6800000000000002</v>
      </c>
      <c r="J152" s="13">
        <f t="shared" si="32"/>
        <v>1.5250000000000001</v>
      </c>
      <c r="K152" s="13">
        <f t="shared" si="33"/>
        <v>1.5250000000000001</v>
      </c>
      <c r="L152" s="17" t="s">
        <v>201</v>
      </c>
      <c r="M152" s="16"/>
      <c r="N152" s="12">
        <v>97</v>
      </c>
      <c r="O152" s="12" t="s">
        <v>153</v>
      </c>
      <c r="P152" s="15" t="s">
        <v>2</v>
      </c>
      <c r="Q152" s="65">
        <f>0.005+0.005-0.0048+0.007</f>
        <v>0.0122</v>
      </c>
      <c r="R152" s="46">
        <f t="shared" si="38"/>
        <v>0.1672</v>
      </c>
      <c r="S152" s="12">
        <v>0</v>
      </c>
      <c r="T152" s="12">
        <v>0</v>
      </c>
      <c r="U152" s="12">
        <f t="shared" si="37"/>
        <v>0.1672</v>
      </c>
      <c r="V152" s="12">
        <v>0</v>
      </c>
      <c r="W152" s="14">
        <f>1.05*1.6</f>
        <v>1.6800000000000002</v>
      </c>
      <c r="X152" s="13">
        <f t="shared" si="34"/>
        <v>1.5128000000000001</v>
      </c>
      <c r="Y152" s="13">
        <f t="shared" si="35"/>
        <v>1.5128000000000001</v>
      </c>
      <c r="Z152" s="12" t="s">
        <v>201</v>
      </c>
    </row>
    <row r="153" spans="1:26" s="1" customFormat="1" ht="22.5">
      <c r="A153" s="18">
        <v>98</v>
      </c>
      <c r="B153" s="12" t="s">
        <v>154</v>
      </c>
      <c r="C153" s="56" t="s">
        <v>8</v>
      </c>
      <c r="D153" s="46">
        <v>0.512</v>
      </c>
      <c r="E153" s="12">
        <v>0</v>
      </c>
      <c r="F153" s="12">
        <v>0</v>
      </c>
      <c r="G153" s="12">
        <f t="shared" si="36"/>
        <v>0.512</v>
      </c>
      <c r="H153" s="12">
        <v>0</v>
      </c>
      <c r="I153" s="14">
        <f>1.05*4</f>
        <v>4.2</v>
      </c>
      <c r="J153" s="13">
        <f t="shared" si="32"/>
        <v>3.688</v>
      </c>
      <c r="K153" s="13">
        <f t="shared" si="33"/>
        <v>3.688</v>
      </c>
      <c r="L153" s="17" t="s">
        <v>201</v>
      </c>
      <c r="M153" s="16"/>
      <c r="N153" s="12">
        <v>98</v>
      </c>
      <c r="O153" s="12" t="s">
        <v>154</v>
      </c>
      <c r="P153" s="15" t="s">
        <v>8</v>
      </c>
      <c r="Q153" s="65">
        <f>0.02-0.0034+0.0538+0.004</f>
        <v>0.07440000000000001</v>
      </c>
      <c r="R153" s="46">
        <f t="shared" si="38"/>
        <v>0.5864</v>
      </c>
      <c r="S153" s="12">
        <v>0</v>
      </c>
      <c r="T153" s="12">
        <v>0</v>
      </c>
      <c r="U153" s="12">
        <f t="shared" si="37"/>
        <v>0.5864</v>
      </c>
      <c r="V153" s="12">
        <v>0</v>
      </c>
      <c r="W153" s="14">
        <f>1.05*4</f>
        <v>4.2</v>
      </c>
      <c r="X153" s="13">
        <f t="shared" si="34"/>
        <v>3.6136</v>
      </c>
      <c r="Y153" s="13">
        <f t="shared" si="35"/>
        <v>3.6136</v>
      </c>
      <c r="Z153" s="12" t="s">
        <v>201</v>
      </c>
    </row>
    <row r="154" spans="1:26" s="1" customFormat="1" ht="22.5">
      <c r="A154" s="18">
        <v>99</v>
      </c>
      <c r="B154" s="12" t="s">
        <v>155</v>
      </c>
      <c r="C154" s="56" t="s">
        <v>10</v>
      </c>
      <c r="D154" s="46">
        <v>0.468</v>
      </c>
      <c r="E154" s="12">
        <v>0</v>
      </c>
      <c r="F154" s="12">
        <v>0</v>
      </c>
      <c r="G154" s="12">
        <f t="shared" si="36"/>
        <v>0.468</v>
      </c>
      <c r="H154" s="12">
        <v>0</v>
      </c>
      <c r="I154" s="14">
        <f>1.05*2.5</f>
        <v>2.625</v>
      </c>
      <c r="J154" s="13">
        <f t="shared" si="32"/>
        <v>2.157</v>
      </c>
      <c r="K154" s="13">
        <f t="shared" si="33"/>
        <v>2.157</v>
      </c>
      <c r="L154" s="17" t="s">
        <v>201</v>
      </c>
      <c r="M154" s="16"/>
      <c r="N154" s="12">
        <v>99</v>
      </c>
      <c r="O154" s="12" t="s">
        <v>155</v>
      </c>
      <c r="P154" s="15" t="s">
        <v>10</v>
      </c>
      <c r="Q154" s="65">
        <f>0.005+0.002+0.011+0.0151</f>
        <v>0.0331</v>
      </c>
      <c r="R154" s="46">
        <f t="shared" si="38"/>
        <v>0.5011</v>
      </c>
      <c r="S154" s="12">
        <v>0</v>
      </c>
      <c r="T154" s="12">
        <v>0</v>
      </c>
      <c r="U154" s="12">
        <f t="shared" si="37"/>
        <v>0.5011</v>
      </c>
      <c r="V154" s="12">
        <v>0</v>
      </c>
      <c r="W154" s="14">
        <f>1.05*2.5</f>
        <v>2.625</v>
      </c>
      <c r="X154" s="13">
        <f t="shared" si="34"/>
        <v>2.1239</v>
      </c>
      <c r="Y154" s="13">
        <f t="shared" si="35"/>
        <v>2.1239</v>
      </c>
      <c r="Z154" s="12" t="s">
        <v>201</v>
      </c>
    </row>
    <row r="155" spans="1:26" s="1" customFormat="1" ht="22.5">
      <c r="A155" s="18">
        <v>100</v>
      </c>
      <c r="B155" s="12" t="s">
        <v>156</v>
      </c>
      <c r="C155" s="56" t="s">
        <v>8</v>
      </c>
      <c r="D155" s="46">
        <v>2.399</v>
      </c>
      <c r="E155" s="12">
        <v>0</v>
      </c>
      <c r="F155" s="12">
        <v>0</v>
      </c>
      <c r="G155" s="12">
        <f t="shared" si="36"/>
        <v>2.399</v>
      </c>
      <c r="H155" s="12">
        <v>0</v>
      </c>
      <c r="I155" s="14">
        <f>1.05*4</f>
        <v>4.2</v>
      </c>
      <c r="J155" s="13">
        <f t="shared" si="32"/>
        <v>1.8010000000000002</v>
      </c>
      <c r="K155" s="13">
        <f t="shared" si="33"/>
        <v>1.8010000000000002</v>
      </c>
      <c r="L155" s="17" t="s">
        <v>201</v>
      </c>
      <c r="M155" s="16"/>
      <c r="N155" s="12">
        <v>100</v>
      </c>
      <c r="O155" s="12" t="s">
        <v>156</v>
      </c>
      <c r="P155" s="15" t="s">
        <v>8</v>
      </c>
      <c r="Q155" s="65">
        <f>0.43+0.005+0.0161-0.4355+0.0054+0.0054+0.0022+0.005</f>
        <v>0.033600000000000005</v>
      </c>
      <c r="R155" s="46">
        <f t="shared" si="38"/>
        <v>2.4326</v>
      </c>
      <c r="S155" s="12">
        <v>0</v>
      </c>
      <c r="T155" s="12">
        <v>0</v>
      </c>
      <c r="U155" s="12">
        <f t="shared" si="37"/>
        <v>2.4326</v>
      </c>
      <c r="V155" s="12">
        <v>0</v>
      </c>
      <c r="W155" s="14">
        <f>1.05*4</f>
        <v>4.2</v>
      </c>
      <c r="X155" s="13">
        <f t="shared" si="34"/>
        <v>1.7674000000000003</v>
      </c>
      <c r="Y155" s="13">
        <f t="shared" si="35"/>
        <v>1.7674000000000003</v>
      </c>
      <c r="Z155" s="12" t="s">
        <v>201</v>
      </c>
    </row>
    <row r="156" spans="1:26" s="1" customFormat="1" ht="22.5">
      <c r="A156" s="18">
        <v>101</v>
      </c>
      <c r="B156" s="12" t="s">
        <v>157</v>
      </c>
      <c r="C156" s="56" t="s">
        <v>8</v>
      </c>
      <c r="D156" s="46">
        <v>0.915</v>
      </c>
      <c r="E156" s="12">
        <v>0</v>
      </c>
      <c r="F156" s="12">
        <v>0</v>
      </c>
      <c r="G156" s="12">
        <f t="shared" si="36"/>
        <v>0.915</v>
      </c>
      <c r="H156" s="12">
        <v>0</v>
      </c>
      <c r="I156" s="14">
        <f>1.05*4</f>
        <v>4.2</v>
      </c>
      <c r="J156" s="13">
        <f t="shared" si="32"/>
        <v>3.285</v>
      </c>
      <c r="K156" s="13">
        <f t="shared" si="33"/>
        <v>3.285</v>
      </c>
      <c r="L156" s="17" t="s">
        <v>201</v>
      </c>
      <c r="M156" s="16"/>
      <c r="N156" s="12">
        <v>101</v>
      </c>
      <c r="O156" s="12" t="s">
        <v>157</v>
      </c>
      <c r="P156" s="15" t="s">
        <v>8</v>
      </c>
      <c r="Q156" s="65">
        <f>0.01+0.047</f>
        <v>0.057</v>
      </c>
      <c r="R156" s="46">
        <f t="shared" si="38"/>
        <v>0.9720000000000001</v>
      </c>
      <c r="S156" s="12">
        <v>0</v>
      </c>
      <c r="T156" s="12">
        <v>0</v>
      </c>
      <c r="U156" s="12">
        <f t="shared" si="37"/>
        <v>0.9720000000000001</v>
      </c>
      <c r="V156" s="12">
        <v>0</v>
      </c>
      <c r="W156" s="14">
        <f>1.05*4</f>
        <v>4.2</v>
      </c>
      <c r="X156" s="13">
        <f t="shared" si="34"/>
        <v>3.228</v>
      </c>
      <c r="Y156" s="13">
        <f t="shared" si="35"/>
        <v>3.228</v>
      </c>
      <c r="Z156" s="12" t="s">
        <v>201</v>
      </c>
    </row>
    <row r="157" spans="1:26" s="1" customFormat="1" ht="22.5">
      <c r="A157" s="18">
        <v>102</v>
      </c>
      <c r="B157" s="12" t="s">
        <v>158</v>
      </c>
      <c r="C157" s="56" t="s">
        <v>7</v>
      </c>
      <c r="D157" s="46">
        <v>1.329</v>
      </c>
      <c r="E157" s="12">
        <v>0</v>
      </c>
      <c r="F157" s="12">
        <v>0</v>
      </c>
      <c r="G157" s="12">
        <f t="shared" si="36"/>
        <v>1.329</v>
      </c>
      <c r="H157" s="12">
        <v>0</v>
      </c>
      <c r="I157" s="14">
        <f>1.05*1.6</f>
        <v>1.6800000000000002</v>
      </c>
      <c r="J157" s="13">
        <f t="shared" si="32"/>
        <v>0.3510000000000002</v>
      </c>
      <c r="K157" s="13">
        <f t="shared" si="33"/>
        <v>0.3510000000000002</v>
      </c>
      <c r="L157" s="17" t="s">
        <v>201</v>
      </c>
      <c r="M157" s="16"/>
      <c r="N157" s="12">
        <v>102</v>
      </c>
      <c r="O157" s="12" t="s">
        <v>158</v>
      </c>
      <c r="P157" s="15" t="s">
        <v>7</v>
      </c>
      <c r="Q157" s="65">
        <f>0.052+0.019+0.022+0.017+0.149+0.051+0.043+0.019+0.019+0.0108-0.122+0.028+0.039</f>
        <v>0.3468</v>
      </c>
      <c r="R157" s="46">
        <f t="shared" si="38"/>
        <v>1.6758</v>
      </c>
      <c r="S157" s="12">
        <v>0</v>
      </c>
      <c r="T157" s="12">
        <v>0</v>
      </c>
      <c r="U157" s="12">
        <f t="shared" si="37"/>
        <v>1.6758</v>
      </c>
      <c r="V157" s="12">
        <v>0</v>
      </c>
      <c r="W157" s="14">
        <f>1.05*1.6</f>
        <v>1.6800000000000002</v>
      </c>
      <c r="X157" s="13">
        <f t="shared" si="34"/>
        <v>0.004200000000000204</v>
      </c>
      <c r="Y157" s="13">
        <f t="shared" si="35"/>
        <v>0.004200000000000204</v>
      </c>
      <c r="Z157" s="12" t="s">
        <v>201</v>
      </c>
    </row>
    <row r="158" spans="1:26" s="1" customFormat="1" ht="22.5">
      <c r="A158" s="18">
        <v>103</v>
      </c>
      <c r="B158" s="12" t="s">
        <v>159</v>
      </c>
      <c r="C158" s="56" t="s">
        <v>1</v>
      </c>
      <c r="D158" s="46">
        <v>0.711</v>
      </c>
      <c r="E158" s="12">
        <v>0</v>
      </c>
      <c r="F158" s="12">
        <v>0</v>
      </c>
      <c r="G158" s="12">
        <f t="shared" si="36"/>
        <v>0.711</v>
      </c>
      <c r="H158" s="12">
        <v>0</v>
      </c>
      <c r="I158" s="14">
        <f>1.05*2.5</f>
        <v>2.625</v>
      </c>
      <c r="J158" s="13">
        <f t="shared" si="32"/>
        <v>1.9140000000000001</v>
      </c>
      <c r="K158" s="13">
        <f t="shared" si="33"/>
        <v>1.9140000000000001</v>
      </c>
      <c r="L158" s="17" t="s">
        <v>201</v>
      </c>
      <c r="M158" s="16"/>
      <c r="N158" s="12">
        <v>103</v>
      </c>
      <c r="O158" s="12" t="s">
        <v>159</v>
      </c>
      <c r="P158" s="15" t="s">
        <v>1</v>
      </c>
      <c r="Q158" s="65">
        <v>0</v>
      </c>
      <c r="R158" s="46">
        <f t="shared" si="38"/>
        <v>0.711</v>
      </c>
      <c r="S158" s="12">
        <v>0</v>
      </c>
      <c r="T158" s="12">
        <v>0</v>
      </c>
      <c r="U158" s="12">
        <f t="shared" si="37"/>
        <v>0.711</v>
      </c>
      <c r="V158" s="12">
        <v>0</v>
      </c>
      <c r="W158" s="14">
        <f>1.05*2.5</f>
        <v>2.625</v>
      </c>
      <c r="X158" s="13">
        <f t="shared" si="34"/>
        <v>1.9140000000000001</v>
      </c>
      <c r="Y158" s="13">
        <f t="shared" si="35"/>
        <v>1.9140000000000001</v>
      </c>
      <c r="Z158" s="12" t="s">
        <v>201</v>
      </c>
    </row>
    <row r="159" spans="1:26" s="1" customFormat="1" ht="22.5">
      <c r="A159" s="18">
        <v>104</v>
      </c>
      <c r="B159" s="12" t="s">
        <v>160</v>
      </c>
      <c r="C159" s="56" t="s">
        <v>15</v>
      </c>
      <c r="D159" s="46">
        <v>1.511</v>
      </c>
      <c r="E159" s="12">
        <v>0</v>
      </c>
      <c r="F159" s="12">
        <v>0</v>
      </c>
      <c r="G159" s="12">
        <f t="shared" si="36"/>
        <v>1.511</v>
      </c>
      <c r="H159" s="12">
        <v>0</v>
      </c>
      <c r="I159" s="14">
        <f>1.05*4</f>
        <v>4.2</v>
      </c>
      <c r="J159" s="13">
        <f t="shared" si="32"/>
        <v>2.689</v>
      </c>
      <c r="K159" s="13">
        <f t="shared" si="33"/>
        <v>2.689</v>
      </c>
      <c r="L159" s="17" t="s">
        <v>201</v>
      </c>
      <c r="M159" s="16"/>
      <c r="N159" s="12">
        <v>104</v>
      </c>
      <c r="O159" s="12" t="s">
        <v>160</v>
      </c>
      <c r="P159" s="15" t="s">
        <v>15</v>
      </c>
      <c r="Q159" s="65">
        <f>0.02+0.005-0.0151+0.0054+0.016+0.0161</f>
        <v>0.0474</v>
      </c>
      <c r="R159" s="46">
        <f t="shared" si="38"/>
        <v>1.5583999999999998</v>
      </c>
      <c r="S159" s="12">
        <v>0</v>
      </c>
      <c r="T159" s="12">
        <v>0</v>
      </c>
      <c r="U159" s="12">
        <f t="shared" si="37"/>
        <v>1.5583999999999998</v>
      </c>
      <c r="V159" s="12">
        <v>0</v>
      </c>
      <c r="W159" s="14">
        <f>1.05*4</f>
        <v>4.2</v>
      </c>
      <c r="X159" s="13">
        <f t="shared" si="34"/>
        <v>2.6416000000000004</v>
      </c>
      <c r="Y159" s="13">
        <f t="shared" si="35"/>
        <v>2.6416000000000004</v>
      </c>
      <c r="Z159" s="12" t="s">
        <v>201</v>
      </c>
    </row>
    <row r="160" spans="1:26" s="1" customFormat="1" ht="22.5">
      <c r="A160" s="18">
        <v>105</v>
      </c>
      <c r="B160" s="12" t="s">
        <v>161</v>
      </c>
      <c r="C160" s="56" t="s">
        <v>8</v>
      </c>
      <c r="D160" s="46">
        <v>0.835</v>
      </c>
      <c r="E160" s="12">
        <v>0</v>
      </c>
      <c r="F160" s="12">
        <v>0</v>
      </c>
      <c r="G160" s="12">
        <f t="shared" si="36"/>
        <v>0.835</v>
      </c>
      <c r="H160" s="12">
        <v>0</v>
      </c>
      <c r="I160" s="14">
        <f>1.05*4</f>
        <v>4.2</v>
      </c>
      <c r="J160" s="13">
        <f t="shared" si="32"/>
        <v>3.365</v>
      </c>
      <c r="K160" s="13">
        <f t="shared" si="33"/>
        <v>3.365</v>
      </c>
      <c r="L160" s="17" t="s">
        <v>201</v>
      </c>
      <c r="M160" s="16"/>
      <c r="N160" s="12">
        <v>105</v>
      </c>
      <c r="O160" s="12" t="s">
        <v>161</v>
      </c>
      <c r="P160" s="15" t="s">
        <v>8</v>
      </c>
      <c r="Q160" s="65">
        <f>0.01+0.01+0.009</f>
        <v>0.028999999999999998</v>
      </c>
      <c r="R160" s="46">
        <f t="shared" si="38"/>
        <v>0.864</v>
      </c>
      <c r="S160" s="12">
        <v>0</v>
      </c>
      <c r="T160" s="12">
        <v>0</v>
      </c>
      <c r="U160" s="12">
        <f t="shared" si="37"/>
        <v>0.864</v>
      </c>
      <c r="V160" s="12">
        <v>0</v>
      </c>
      <c r="W160" s="14">
        <f>1.05*4</f>
        <v>4.2</v>
      </c>
      <c r="X160" s="13">
        <f t="shared" si="34"/>
        <v>3.3360000000000003</v>
      </c>
      <c r="Y160" s="13">
        <f t="shared" si="35"/>
        <v>3.3360000000000003</v>
      </c>
      <c r="Z160" s="12" t="s">
        <v>201</v>
      </c>
    </row>
    <row r="161" spans="1:26" s="1" customFormat="1" ht="22.5">
      <c r="A161" s="18">
        <v>106</v>
      </c>
      <c r="B161" s="12" t="s">
        <v>162</v>
      </c>
      <c r="C161" s="56" t="s">
        <v>3</v>
      </c>
      <c r="D161" s="46">
        <v>3.607</v>
      </c>
      <c r="E161" s="12">
        <v>0</v>
      </c>
      <c r="F161" s="12">
        <v>0</v>
      </c>
      <c r="G161" s="12">
        <f t="shared" si="36"/>
        <v>3.607</v>
      </c>
      <c r="H161" s="12">
        <v>0</v>
      </c>
      <c r="I161" s="14">
        <f>1.05*6.3</f>
        <v>6.615</v>
      </c>
      <c r="J161" s="13">
        <f t="shared" si="32"/>
        <v>3.008</v>
      </c>
      <c r="K161" s="13">
        <f t="shared" si="33"/>
        <v>3.008</v>
      </c>
      <c r="L161" s="17" t="s">
        <v>201</v>
      </c>
      <c r="M161" s="16"/>
      <c r="N161" s="12">
        <v>106</v>
      </c>
      <c r="O161" s="12" t="s">
        <v>162</v>
      </c>
      <c r="P161" s="15" t="s">
        <v>3</v>
      </c>
      <c r="Q161" s="65">
        <f>0.215+0.016+0.013+0.029-0.0161+0.554</f>
        <v>0.8109000000000001</v>
      </c>
      <c r="R161" s="46">
        <f t="shared" si="38"/>
        <v>4.4179</v>
      </c>
      <c r="S161" s="12">
        <v>0</v>
      </c>
      <c r="T161" s="12">
        <v>0</v>
      </c>
      <c r="U161" s="12">
        <f t="shared" si="37"/>
        <v>4.4179</v>
      </c>
      <c r="V161" s="12">
        <v>0</v>
      </c>
      <c r="W161" s="14">
        <f>1.05*6.3</f>
        <v>6.615</v>
      </c>
      <c r="X161" s="13">
        <f t="shared" si="34"/>
        <v>2.1971</v>
      </c>
      <c r="Y161" s="13">
        <f t="shared" si="35"/>
        <v>2.1971</v>
      </c>
      <c r="Z161" s="12" t="s">
        <v>201</v>
      </c>
    </row>
    <row r="162" spans="1:26" s="1" customFormat="1" ht="22.5">
      <c r="A162" s="22">
        <v>107</v>
      </c>
      <c r="B162" s="22" t="s">
        <v>163</v>
      </c>
      <c r="C162" s="23" t="s">
        <v>19</v>
      </c>
      <c r="D162" s="50">
        <v>2.1</v>
      </c>
      <c r="E162" s="22">
        <v>0</v>
      </c>
      <c r="F162" s="22">
        <v>0</v>
      </c>
      <c r="G162" s="22">
        <f t="shared" si="36"/>
        <v>2.1</v>
      </c>
      <c r="H162" s="22">
        <v>0</v>
      </c>
      <c r="I162" s="21">
        <f>1.05*1.6</f>
        <v>1.6800000000000002</v>
      </c>
      <c r="J162" s="20">
        <f t="shared" si="32"/>
        <v>-0.41999999999999993</v>
      </c>
      <c r="K162" s="50">
        <f t="shared" si="33"/>
        <v>-0.41999999999999993</v>
      </c>
      <c r="L162" s="22" t="s">
        <v>202</v>
      </c>
      <c r="M162" s="16"/>
      <c r="N162" s="22">
        <v>107</v>
      </c>
      <c r="O162" s="22" t="s">
        <v>163</v>
      </c>
      <c r="P162" s="23" t="s">
        <v>19</v>
      </c>
      <c r="Q162" s="67">
        <f>0.037+0.005+0.011+0.005+0.007+0.011+0.0043-0.0443+0.0194+0.0215+0.0043+0.0161+0.419+0.0065</f>
        <v>0.5227999999999999</v>
      </c>
      <c r="R162" s="50">
        <f t="shared" si="38"/>
        <v>2.6228</v>
      </c>
      <c r="S162" s="22">
        <v>0</v>
      </c>
      <c r="T162" s="22">
        <v>0</v>
      </c>
      <c r="U162" s="22">
        <f t="shared" si="37"/>
        <v>2.6228</v>
      </c>
      <c r="V162" s="22">
        <v>0</v>
      </c>
      <c r="W162" s="21">
        <f>1.05*1.6</f>
        <v>1.6800000000000002</v>
      </c>
      <c r="X162" s="20">
        <f t="shared" si="34"/>
        <v>-0.9427999999999996</v>
      </c>
      <c r="Y162" s="78">
        <f>X162</f>
        <v>-0.9427999999999996</v>
      </c>
      <c r="Z162" s="22" t="s">
        <v>202</v>
      </c>
    </row>
    <row r="163" spans="1:26" s="1" customFormat="1" ht="11.25">
      <c r="A163" s="18">
        <v>108</v>
      </c>
      <c r="B163" s="12" t="s">
        <v>164</v>
      </c>
      <c r="C163" s="56" t="s">
        <v>0</v>
      </c>
      <c r="D163" s="46">
        <v>2.806</v>
      </c>
      <c r="E163" s="12">
        <v>0</v>
      </c>
      <c r="F163" s="12">
        <v>0</v>
      </c>
      <c r="G163" s="12">
        <f t="shared" si="36"/>
        <v>2.806</v>
      </c>
      <c r="H163" s="12">
        <v>0</v>
      </c>
      <c r="I163" s="14">
        <f>1.05*10</f>
        <v>10.5</v>
      </c>
      <c r="J163" s="14">
        <f t="shared" si="32"/>
        <v>7.694</v>
      </c>
      <c r="K163" s="14">
        <f t="shared" si="33"/>
        <v>7.694</v>
      </c>
      <c r="L163" s="17" t="s">
        <v>201</v>
      </c>
      <c r="M163" s="16"/>
      <c r="N163" s="12">
        <v>108</v>
      </c>
      <c r="O163" s="12" t="s">
        <v>164</v>
      </c>
      <c r="P163" s="15" t="s">
        <v>0</v>
      </c>
      <c r="Q163" s="65">
        <v>0</v>
      </c>
      <c r="R163" s="46">
        <f t="shared" si="38"/>
        <v>2.806</v>
      </c>
      <c r="S163" s="12">
        <v>0</v>
      </c>
      <c r="T163" s="12">
        <v>0</v>
      </c>
      <c r="U163" s="12">
        <f t="shared" si="37"/>
        <v>2.806</v>
      </c>
      <c r="V163" s="12">
        <v>0</v>
      </c>
      <c r="W163" s="14">
        <f>1.05*10</f>
        <v>10.5</v>
      </c>
      <c r="X163" s="13">
        <f t="shared" si="34"/>
        <v>7.694</v>
      </c>
      <c r="Y163" s="13">
        <f t="shared" si="35"/>
        <v>7.694</v>
      </c>
      <c r="Z163" s="12" t="s">
        <v>201</v>
      </c>
    </row>
    <row r="164" spans="1:26" s="1" customFormat="1" ht="22.5">
      <c r="A164" s="18">
        <v>109</v>
      </c>
      <c r="B164" s="12" t="s">
        <v>165</v>
      </c>
      <c r="C164" s="56" t="s">
        <v>1</v>
      </c>
      <c r="D164" s="46">
        <v>0.578</v>
      </c>
      <c r="E164" s="12">
        <v>0</v>
      </c>
      <c r="F164" s="12">
        <v>0</v>
      </c>
      <c r="G164" s="12">
        <f t="shared" si="36"/>
        <v>0.578</v>
      </c>
      <c r="H164" s="12">
        <v>0</v>
      </c>
      <c r="I164" s="14">
        <f>1.05*2.5</f>
        <v>2.625</v>
      </c>
      <c r="J164" s="13">
        <f t="shared" si="32"/>
        <v>2.047</v>
      </c>
      <c r="K164" s="13">
        <f t="shared" si="33"/>
        <v>2.047</v>
      </c>
      <c r="L164" s="17" t="s">
        <v>201</v>
      </c>
      <c r="M164" s="16"/>
      <c r="N164" s="12">
        <v>109</v>
      </c>
      <c r="O164" s="12" t="s">
        <v>165</v>
      </c>
      <c r="P164" s="15" t="s">
        <v>1</v>
      </c>
      <c r="Q164" s="65">
        <f>0.051+0.003+0.142+0.142+0.016+0.0038-0.1456+0.2419+0.0161+0.0161+0.0161+0.0161</f>
        <v>0.5185</v>
      </c>
      <c r="R164" s="46">
        <f t="shared" si="38"/>
        <v>1.0964999999999998</v>
      </c>
      <c r="S164" s="12">
        <v>0</v>
      </c>
      <c r="T164" s="12">
        <v>0</v>
      </c>
      <c r="U164" s="12">
        <f t="shared" si="37"/>
        <v>1.0964999999999998</v>
      </c>
      <c r="V164" s="12">
        <v>0</v>
      </c>
      <c r="W164" s="14">
        <f>1.05*2.5</f>
        <v>2.625</v>
      </c>
      <c r="X164" s="13">
        <f t="shared" si="34"/>
        <v>1.5285000000000002</v>
      </c>
      <c r="Y164" s="13">
        <f t="shared" si="35"/>
        <v>1.5285000000000002</v>
      </c>
      <c r="Z164" s="12" t="s">
        <v>201</v>
      </c>
    </row>
    <row r="165" spans="1:26" s="1" customFormat="1" ht="22.5">
      <c r="A165" s="18">
        <v>110</v>
      </c>
      <c r="B165" s="12" t="s">
        <v>166</v>
      </c>
      <c r="C165" s="56" t="s">
        <v>6</v>
      </c>
      <c r="D165" s="46">
        <v>0.493</v>
      </c>
      <c r="E165" s="12">
        <v>0</v>
      </c>
      <c r="F165" s="12">
        <v>0</v>
      </c>
      <c r="G165" s="12">
        <f t="shared" si="36"/>
        <v>0.493</v>
      </c>
      <c r="H165" s="12">
        <v>0</v>
      </c>
      <c r="I165" s="14">
        <f>1.05*1.6</f>
        <v>1.6800000000000002</v>
      </c>
      <c r="J165" s="13">
        <f aca="true" t="shared" si="39" ref="J165:J195">I165-H165-G165</f>
        <v>1.1870000000000003</v>
      </c>
      <c r="K165" s="13">
        <f aca="true" t="shared" si="40" ref="K165:K195">J165</f>
        <v>1.1870000000000003</v>
      </c>
      <c r="L165" s="17" t="s">
        <v>201</v>
      </c>
      <c r="M165" s="16"/>
      <c r="N165" s="12">
        <v>110</v>
      </c>
      <c r="O165" s="12" t="s">
        <v>166</v>
      </c>
      <c r="P165" s="15" t="s">
        <v>6</v>
      </c>
      <c r="Q165" s="65">
        <f>0.02+0.019+0.016+0.005+0.015-0.0656+0.0244+0.0032+0.0097</f>
        <v>0.0467</v>
      </c>
      <c r="R165" s="46">
        <f t="shared" si="38"/>
        <v>0.5397</v>
      </c>
      <c r="S165" s="12">
        <v>0</v>
      </c>
      <c r="T165" s="12">
        <v>0</v>
      </c>
      <c r="U165" s="12">
        <f t="shared" si="37"/>
        <v>0.5397</v>
      </c>
      <c r="V165" s="12">
        <v>0</v>
      </c>
      <c r="W165" s="14">
        <f>1.05*1.6</f>
        <v>1.6800000000000002</v>
      </c>
      <c r="X165" s="13">
        <f aca="true" t="shared" si="41" ref="X165:X195">W165-V165-U165</f>
        <v>1.1403000000000003</v>
      </c>
      <c r="Y165" s="13">
        <f t="shared" si="35"/>
        <v>1.1403000000000003</v>
      </c>
      <c r="Z165" s="12" t="s">
        <v>201</v>
      </c>
    </row>
    <row r="166" spans="1:26" s="1" customFormat="1" ht="22.5">
      <c r="A166" s="18">
        <v>111</v>
      </c>
      <c r="B166" s="18" t="s">
        <v>167</v>
      </c>
      <c r="C166" s="56" t="s">
        <v>25</v>
      </c>
      <c r="D166" s="60">
        <v>19.71</v>
      </c>
      <c r="E166" s="18">
        <v>0</v>
      </c>
      <c r="F166" s="18">
        <v>0</v>
      </c>
      <c r="G166" s="18">
        <f aca="true" t="shared" si="42" ref="G166:G195">D166-E166</f>
        <v>19.71</v>
      </c>
      <c r="H166" s="18">
        <v>0</v>
      </c>
      <c r="I166" s="57">
        <f>1.05*32</f>
        <v>33.6</v>
      </c>
      <c r="J166" s="58">
        <f t="shared" si="39"/>
        <v>13.89</v>
      </c>
      <c r="K166" s="58">
        <f t="shared" si="40"/>
        <v>13.89</v>
      </c>
      <c r="L166" s="17" t="s">
        <v>201</v>
      </c>
      <c r="M166" s="16"/>
      <c r="N166" s="12">
        <v>111</v>
      </c>
      <c r="O166" s="12" t="s">
        <v>167</v>
      </c>
      <c r="P166" s="15" t="s">
        <v>25</v>
      </c>
      <c r="Q166" s="65">
        <f>1.226+0.8053+0.64+1.4934</f>
        <v>4.1647</v>
      </c>
      <c r="R166" s="46">
        <f t="shared" si="38"/>
        <v>23.8747</v>
      </c>
      <c r="S166" s="12">
        <v>0</v>
      </c>
      <c r="T166" s="12">
        <v>0</v>
      </c>
      <c r="U166" s="12">
        <f aca="true" t="shared" si="43" ref="U166:U195">R166-S166</f>
        <v>23.8747</v>
      </c>
      <c r="V166" s="12">
        <v>0</v>
      </c>
      <c r="W166" s="14">
        <f>1.05*32</f>
        <v>33.6</v>
      </c>
      <c r="X166" s="13">
        <f t="shared" si="41"/>
        <v>9.7253</v>
      </c>
      <c r="Y166" s="13">
        <f t="shared" si="35"/>
        <v>9.7253</v>
      </c>
      <c r="Z166" s="18" t="s">
        <v>201</v>
      </c>
    </row>
    <row r="167" spans="1:26" s="1" customFormat="1" ht="22.5">
      <c r="A167" s="18">
        <v>112</v>
      </c>
      <c r="B167" s="12" t="s">
        <v>168</v>
      </c>
      <c r="C167" s="56" t="s">
        <v>24</v>
      </c>
      <c r="D167" s="46">
        <v>8.3</v>
      </c>
      <c r="E167" s="12">
        <v>0</v>
      </c>
      <c r="F167" s="12">
        <v>0</v>
      </c>
      <c r="G167" s="12">
        <f t="shared" si="42"/>
        <v>8.3</v>
      </c>
      <c r="H167" s="12">
        <v>0</v>
      </c>
      <c r="I167" s="14">
        <f>1.05*11.9</f>
        <v>12.495000000000001</v>
      </c>
      <c r="J167" s="13">
        <f t="shared" si="39"/>
        <v>4.195</v>
      </c>
      <c r="K167" s="13">
        <f t="shared" si="40"/>
        <v>4.195</v>
      </c>
      <c r="L167" s="17" t="s">
        <v>201</v>
      </c>
      <c r="M167" s="16"/>
      <c r="N167" s="12">
        <v>112</v>
      </c>
      <c r="O167" s="12" t="s">
        <v>168</v>
      </c>
      <c r="P167" s="15" t="s">
        <v>24</v>
      </c>
      <c r="Q167" s="65">
        <f>3.785+0.0158</f>
        <v>3.8008</v>
      </c>
      <c r="R167" s="46">
        <f t="shared" si="38"/>
        <v>12.100800000000001</v>
      </c>
      <c r="S167" s="12">
        <v>0</v>
      </c>
      <c r="T167" s="12">
        <v>0</v>
      </c>
      <c r="U167" s="12">
        <f t="shared" si="43"/>
        <v>12.100800000000001</v>
      </c>
      <c r="V167" s="12">
        <v>0</v>
      </c>
      <c r="W167" s="14">
        <f>1.05*11.9</f>
        <v>12.495000000000001</v>
      </c>
      <c r="X167" s="13">
        <f t="shared" si="41"/>
        <v>0.39419999999999966</v>
      </c>
      <c r="Y167" s="13">
        <f t="shared" si="35"/>
        <v>0.39419999999999966</v>
      </c>
      <c r="Z167" s="12" t="s">
        <v>201</v>
      </c>
    </row>
    <row r="168" spans="1:26" s="1" customFormat="1" ht="33.75">
      <c r="A168" s="18">
        <v>113</v>
      </c>
      <c r="B168" s="12" t="s">
        <v>169</v>
      </c>
      <c r="C168" s="56" t="s">
        <v>1</v>
      </c>
      <c r="D168" s="46">
        <v>1.288</v>
      </c>
      <c r="E168" s="12">
        <v>0</v>
      </c>
      <c r="F168" s="12">
        <v>0</v>
      </c>
      <c r="G168" s="12">
        <f t="shared" si="42"/>
        <v>1.288</v>
      </c>
      <c r="H168" s="12">
        <v>0</v>
      </c>
      <c r="I168" s="14">
        <f>1.05*2.5</f>
        <v>2.625</v>
      </c>
      <c r="J168" s="13">
        <f t="shared" si="39"/>
        <v>1.337</v>
      </c>
      <c r="K168" s="13">
        <f t="shared" si="40"/>
        <v>1.337</v>
      </c>
      <c r="L168" s="17" t="s">
        <v>201</v>
      </c>
      <c r="M168" s="16"/>
      <c r="N168" s="12">
        <v>113</v>
      </c>
      <c r="O168" s="12" t="s">
        <v>169</v>
      </c>
      <c r="P168" s="15" t="s">
        <v>1</v>
      </c>
      <c r="Q168" s="65">
        <f>0.052+0.01+0.083+0.0108+0.007+0.0045+0.007</f>
        <v>0.17430000000000004</v>
      </c>
      <c r="R168" s="46">
        <f t="shared" si="38"/>
        <v>1.4623000000000002</v>
      </c>
      <c r="S168" s="12">
        <v>0</v>
      </c>
      <c r="T168" s="12">
        <v>0</v>
      </c>
      <c r="U168" s="12">
        <f t="shared" si="43"/>
        <v>1.4623000000000002</v>
      </c>
      <c r="V168" s="12">
        <v>0</v>
      </c>
      <c r="W168" s="14">
        <f>1.05*2.5</f>
        <v>2.625</v>
      </c>
      <c r="X168" s="13">
        <f t="shared" si="41"/>
        <v>1.1626999999999998</v>
      </c>
      <c r="Y168" s="13">
        <f t="shared" si="35"/>
        <v>1.1626999999999998</v>
      </c>
      <c r="Z168" s="12" t="s">
        <v>201</v>
      </c>
    </row>
    <row r="169" spans="1:26" s="1" customFormat="1" ht="22.5">
      <c r="A169" s="18">
        <v>114</v>
      </c>
      <c r="B169" s="12" t="s">
        <v>170</v>
      </c>
      <c r="C169" s="56" t="s">
        <v>8</v>
      </c>
      <c r="D169" s="46">
        <v>0.643</v>
      </c>
      <c r="E169" s="12">
        <v>0</v>
      </c>
      <c r="F169" s="12">
        <v>0</v>
      </c>
      <c r="G169" s="12">
        <f t="shared" si="42"/>
        <v>0.643</v>
      </c>
      <c r="H169" s="12">
        <v>0</v>
      </c>
      <c r="I169" s="14">
        <f>1.05*4</f>
        <v>4.2</v>
      </c>
      <c r="J169" s="13">
        <f t="shared" si="39"/>
        <v>3.5570000000000004</v>
      </c>
      <c r="K169" s="13">
        <f t="shared" si="40"/>
        <v>3.5570000000000004</v>
      </c>
      <c r="L169" s="17" t="s">
        <v>201</v>
      </c>
      <c r="M169" s="16"/>
      <c r="N169" s="12">
        <v>114</v>
      </c>
      <c r="O169" s="12" t="s">
        <v>170</v>
      </c>
      <c r="P169" s="15" t="s">
        <v>8</v>
      </c>
      <c r="Q169" s="65">
        <f>0.09+0.005-0.0037+0.0097</f>
        <v>0.101</v>
      </c>
      <c r="R169" s="46">
        <f t="shared" si="38"/>
        <v>0.744</v>
      </c>
      <c r="S169" s="12">
        <v>0</v>
      </c>
      <c r="T169" s="12">
        <v>0</v>
      </c>
      <c r="U169" s="12">
        <f t="shared" si="43"/>
        <v>0.744</v>
      </c>
      <c r="V169" s="12">
        <v>0</v>
      </c>
      <c r="W169" s="14">
        <f>1.05*4</f>
        <v>4.2</v>
      </c>
      <c r="X169" s="13">
        <f t="shared" si="41"/>
        <v>3.4560000000000004</v>
      </c>
      <c r="Y169" s="13">
        <f t="shared" si="35"/>
        <v>3.4560000000000004</v>
      </c>
      <c r="Z169" s="12" t="s">
        <v>201</v>
      </c>
    </row>
    <row r="170" spans="1:26" s="1" customFormat="1" ht="22.5">
      <c r="A170" s="18">
        <v>115</v>
      </c>
      <c r="B170" s="12" t="s">
        <v>171</v>
      </c>
      <c r="C170" s="56" t="s">
        <v>1</v>
      </c>
      <c r="D170" s="46">
        <v>1.023</v>
      </c>
      <c r="E170" s="12">
        <v>0</v>
      </c>
      <c r="F170" s="12">
        <v>0</v>
      </c>
      <c r="G170" s="12">
        <f t="shared" si="42"/>
        <v>1.023</v>
      </c>
      <c r="H170" s="12">
        <v>0</v>
      </c>
      <c r="I170" s="14">
        <f>1.05*2.5</f>
        <v>2.625</v>
      </c>
      <c r="J170" s="13">
        <f t="shared" si="39"/>
        <v>1.602</v>
      </c>
      <c r="K170" s="13">
        <f t="shared" si="40"/>
        <v>1.602</v>
      </c>
      <c r="L170" s="17" t="s">
        <v>201</v>
      </c>
      <c r="M170" s="16"/>
      <c r="N170" s="12">
        <v>115</v>
      </c>
      <c r="O170" s="12" t="s">
        <v>171</v>
      </c>
      <c r="P170" s="15" t="s">
        <v>1</v>
      </c>
      <c r="Q170" s="65">
        <f>0.006+0.002+0.0054-0.0032+0.0693+0.0077</f>
        <v>0.0872</v>
      </c>
      <c r="R170" s="46">
        <f t="shared" si="38"/>
        <v>1.1101999999999999</v>
      </c>
      <c r="S170" s="12">
        <v>0</v>
      </c>
      <c r="T170" s="12">
        <v>0</v>
      </c>
      <c r="U170" s="12">
        <f t="shared" si="43"/>
        <v>1.1101999999999999</v>
      </c>
      <c r="V170" s="12">
        <v>0</v>
      </c>
      <c r="W170" s="14">
        <f>1.05*2.5</f>
        <v>2.625</v>
      </c>
      <c r="X170" s="13">
        <f t="shared" si="41"/>
        <v>1.5148000000000001</v>
      </c>
      <c r="Y170" s="13">
        <f t="shared" si="35"/>
        <v>1.5148000000000001</v>
      </c>
      <c r="Z170" s="12" t="s">
        <v>201</v>
      </c>
    </row>
    <row r="171" spans="1:26" s="1" customFormat="1" ht="22.5">
      <c r="A171" s="18">
        <v>116</v>
      </c>
      <c r="B171" s="12" t="s">
        <v>172</v>
      </c>
      <c r="C171" s="56" t="s">
        <v>2</v>
      </c>
      <c r="D171" s="46">
        <v>0.933</v>
      </c>
      <c r="E171" s="12">
        <v>0</v>
      </c>
      <c r="F171" s="12">
        <v>0</v>
      </c>
      <c r="G171" s="12">
        <f t="shared" si="42"/>
        <v>0.933</v>
      </c>
      <c r="H171" s="12">
        <v>0</v>
      </c>
      <c r="I171" s="14">
        <f>1.05*1.6</f>
        <v>1.6800000000000002</v>
      </c>
      <c r="J171" s="13">
        <f t="shared" si="39"/>
        <v>0.7470000000000001</v>
      </c>
      <c r="K171" s="13">
        <f t="shared" si="40"/>
        <v>0.7470000000000001</v>
      </c>
      <c r="L171" s="17" t="s">
        <v>201</v>
      </c>
      <c r="M171" s="16"/>
      <c r="N171" s="12">
        <v>116</v>
      </c>
      <c r="O171" s="12" t="s">
        <v>172</v>
      </c>
      <c r="P171" s="15" t="s">
        <v>2</v>
      </c>
      <c r="Q171" s="65">
        <f>0.037+0.004+0.002+0.003</f>
        <v>0.046</v>
      </c>
      <c r="R171" s="46">
        <f t="shared" si="38"/>
        <v>0.9790000000000001</v>
      </c>
      <c r="S171" s="12">
        <v>0</v>
      </c>
      <c r="T171" s="12">
        <v>0</v>
      </c>
      <c r="U171" s="12">
        <f t="shared" si="43"/>
        <v>0.9790000000000001</v>
      </c>
      <c r="V171" s="12">
        <v>0</v>
      </c>
      <c r="W171" s="14">
        <f>1.05*1.6</f>
        <v>1.6800000000000002</v>
      </c>
      <c r="X171" s="13">
        <f t="shared" si="41"/>
        <v>0.7010000000000001</v>
      </c>
      <c r="Y171" s="13">
        <f>AA1781</f>
        <v>0</v>
      </c>
      <c r="Z171" s="12" t="s">
        <v>201</v>
      </c>
    </row>
    <row r="172" spans="1:26" s="1" customFormat="1" ht="22.5">
      <c r="A172" s="18">
        <v>117</v>
      </c>
      <c r="B172" s="12" t="s">
        <v>173</v>
      </c>
      <c r="C172" s="56" t="s">
        <v>7</v>
      </c>
      <c r="D172" s="46">
        <v>0.537</v>
      </c>
      <c r="E172" s="12">
        <v>0</v>
      </c>
      <c r="F172" s="12">
        <v>0</v>
      </c>
      <c r="G172" s="12">
        <f t="shared" si="42"/>
        <v>0.537</v>
      </c>
      <c r="H172" s="12">
        <v>0</v>
      </c>
      <c r="I172" s="14">
        <f>1.05*1.6</f>
        <v>1.6800000000000002</v>
      </c>
      <c r="J172" s="13">
        <f t="shared" si="39"/>
        <v>1.1430000000000002</v>
      </c>
      <c r="K172" s="13">
        <f t="shared" si="40"/>
        <v>1.1430000000000002</v>
      </c>
      <c r="L172" s="17" t="s">
        <v>201</v>
      </c>
      <c r="M172" s="16"/>
      <c r="N172" s="12">
        <v>117</v>
      </c>
      <c r="O172" s="12" t="s">
        <v>173</v>
      </c>
      <c r="P172" s="15" t="s">
        <v>7</v>
      </c>
      <c r="Q172" s="65">
        <f>0.022+0.026-0.0177+0.004</f>
        <v>0.0343</v>
      </c>
      <c r="R172" s="46">
        <f t="shared" si="38"/>
        <v>0.5713</v>
      </c>
      <c r="S172" s="12">
        <v>0</v>
      </c>
      <c r="T172" s="12">
        <v>0</v>
      </c>
      <c r="U172" s="12">
        <f t="shared" si="43"/>
        <v>0.5713</v>
      </c>
      <c r="V172" s="12">
        <v>0</v>
      </c>
      <c r="W172" s="14">
        <f>1.05*1.6</f>
        <v>1.6800000000000002</v>
      </c>
      <c r="X172" s="13">
        <f t="shared" si="41"/>
        <v>1.1087000000000002</v>
      </c>
      <c r="Y172" s="13">
        <f aca="true" t="shared" si="44" ref="Y172:Y195">X172</f>
        <v>1.1087000000000002</v>
      </c>
      <c r="Z172" s="12" t="s">
        <v>201</v>
      </c>
    </row>
    <row r="173" spans="1:26" s="1" customFormat="1" ht="22.5">
      <c r="A173" s="18">
        <v>118</v>
      </c>
      <c r="B173" s="12" t="s">
        <v>174</v>
      </c>
      <c r="C173" s="56" t="s">
        <v>1</v>
      </c>
      <c r="D173" s="46">
        <v>0.242</v>
      </c>
      <c r="E173" s="12">
        <v>0</v>
      </c>
      <c r="F173" s="12">
        <v>0</v>
      </c>
      <c r="G173" s="12">
        <f t="shared" si="42"/>
        <v>0.242</v>
      </c>
      <c r="H173" s="12">
        <v>0</v>
      </c>
      <c r="I173" s="14">
        <f>1.05*2.5</f>
        <v>2.625</v>
      </c>
      <c r="J173" s="13">
        <f t="shared" si="39"/>
        <v>2.383</v>
      </c>
      <c r="K173" s="13">
        <f t="shared" si="40"/>
        <v>2.383</v>
      </c>
      <c r="L173" s="17" t="s">
        <v>201</v>
      </c>
      <c r="M173" s="16"/>
      <c r="N173" s="12">
        <v>118</v>
      </c>
      <c r="O173" s="12" t="s">
        <v>174</v>
      </c>
      <c r="P173" s="15" t="s">
        <v>1</v>
      </c>
      <c r="Q173" s="65">
        <v>0</v>
      </c>
      <c r="R173" s="46">
        <f t="shared" si="38"/>
        <v>0.242</v>
      </c>
      <c r="S173" s="12">
        <v>0</v>
      </c>
      <c r="T173" s="12">
        <v>0</v>
      </c>
      <c r="U173" s="12">
        <f t="shared" si="43"/>
        <v>0.242</v>
      </c>
      <c r="V173" s="12">
        <v>0</v>
      </c>
      <c r="W173" s="14">
        <f>1.05*2.5</f>
        <v>2.625</v>
      </c>
      <c r="X173" s="13">
        <f t="shared" si="41"/>
        <v>2.383</v>
      </c>
      <c r="Y173" s="13">
        <f t="shared" si="44"/>
        <v>2.383</v>
      </c>
      <c r="Z173" s="12" t="s">
        <v>201</v>
      </c>
    </row>
    <row r="174" spans="1:26" s="1" customFormat="1" ht="22.5">
      <c r="A174" s="18">
        <v>119</v>
      </c>
      <c r="B174" s="12" t="s">
        <v>175</v>
      </c>
      <c r="C174" s="56" t="s">
        <v>16</v>
      </c>
      <c r="D174" s="46">
        <v>1.517</v>
      </c>
      <c r="E174" s="12">
        <v>0</v>
      </c>
      <c r="F174" s="12">
        <v>0</v>
      </c>
      <c r="G174" s="12">
        <f t="shared" si="42"/>
        <v>1.517</v>
      </c>
      <c r="H174" s="12">
        <v>0</v>
      </c>
      <c r="I174" s="14">
        <f>1.05*2.5</f>
        <v>2.625</v>
      </c>
      <c r="J174" s="13">
        <f t="shared" si="39"/>
        <v>1.108</v>
      </c>
      <c r="K174" s="13">
        <f t="shared" si="40"/>
        <v>1.108</v>
      </c>
      <c r="L174" s="17" t="s">
        <v>201</v>
      </c>
      <c r="M174" s="16"/>
      <c r="N174" s="12">
        <v>119</v>
      </c>
      <c r="O174" s="12" t="s">
        <v>175</v>
      </c>
      <c r="P174" s="15" t="s">
        <v>16</v>
      </c>
      <c r="Q174" s="65">
        <f>0.023+0.01+0.003+0.008+0.0054-0.0089+0.0032</f>
        <v>0.04370000000000001</v>
      </c>
      <c r="R174" s="46">
        <f t="shared" si="38"/>
        <v>1.5607</v>
      </c>
      <c r="S174" s="12">
        <v>0</v>
      </c>
      <c r="T174" s="12">
        <v>0</v>
      </c>
      <c r="U174" s="12">
        <f t="shared" si="43"/>
        <v>1.5607</v>
      </c>
      <c r="V174" s="12">
        <v>0</v>
      </c>
      <c r="W174" s="14">
        <f>1.05*2.5</f>
        <v>2.625</v>
      </c>
      <c r="X174" s="13">
        <f t="shared" si="41"/>
        <v>1.0643</v>
      </c>
      <c r="Y174" s="13">
        <f t="shared" si="44"/>
        <v>1.0643</v>
      </c>
      <c r="Z174" s="12" t="s">
        <v>201</v>
      </c>
    </row>
    <row r="175" spans="1:26" s="1" customFormat="1" ht="22.5">
      <c r="A175" s="18">
        <v>120</v>
      </c>
      <c r="B175" s="12" t="s">
        <v>176</v>
      </c>
      <c r="C175" s="56" t="s">
        <v>8</v>
      </c>
      <c r="D175" s="46">
        <v>2.201</v>
      </c>
      <c r="E175" s="12">
        <v>0</v>
      </c>
      <c r="F175" s="12">
        <v>0</v>
      </c>
      <c r="G175" s="12">
        <f t="shared" si="42"/>
        <v>2.201</v>
      </c>
      <c r="H175" s="12">
        <v>0</v>
      </c>
      <c r="I175" s="14">
        <f>1.05*4</f>
        <v>4.2</v>
      </c>
      <c r="J175" s="13">
        <f t="shared" si="39"/>
        <v>1.999</v>
      </c>
      <c r="K175" s="13">
        <f t="shared" si="40"/>
        <v>1.999</v>
      </c>
      <c r="L175" s="17" t="s">
        <v>201</v>
      </c>
      <c r="M175" s="16"/>
      <c r="N175" s="12">
        <v>120</v>
      </c>
      <c r="O175" s="12" t="s">
        <v>176</v>
      </c>
      <c r="P175" s="15" t="s">
        <v>8</v>
      </c>
      <c r="Q175" s="65">
        <f>0.042+0.013+0.011+0.002+0.021+0.016+0.0032-0.0323+0.028+0.0161+0.0032+0.0054+0.006+0.0065</f>
        <v>0.1411</v>
      </c>
      <c r="R175" s="46">
        <f t="shared" si="38"/>
        <v>2.3421000000000003</v>
      </c>
      <c r="S175" s="12">
        <v>0</v>
      </c>
      <c r="T175" s="12">
        <v>0</v>
      </c>
      <c r="U175" s="12">
        <f t="shared" si="43"/>
        <v>2.3421000000000003</v>
      </c>
      <c r="V175" s="12">
        <v>0</v>
      </c>
      <c r="W175" s="14">
        <f>1.05*4</f>
        <v>4.2</v>
      </c>
      <c r="X175" s="13">
        <f t="shared" si="41"/>
        <v>1.8578999999999999</v>
      </c>
      <c r="Y175" s="13">
        <f t="shared" si="44"/>
        <v>1.8578999999999999</v>
      </c>
      <c r="Z175" s="12" t="s">
        <v>201</v>
      </c>
    </row>
    <row r="176" spans="1:26" s="1" customFormat="1" ht="22.5">
      <c r="A176" s="18">
        <v>121</v>
      </c>
      <c r="B176" s="12" t="s">
        <v>177</v>
      </c>
      <c r="C176" s="56" t="s">
        <v>16</v>
      </c>
      <c r="D176" s="46">
        <v>1.167</v>
      </c>
      <c r="E176" s="12">
        <v>0</v>
      </c>
      <c r="F176" s="12">
        <v>0</v>
      </c>
      <c r="G176" s="12">
        <f t="shared" si="42"/>
        <v>1.167</v>
      </c>
      <c r="H176" s="12">
        <v>0</v>
      </c>
      <c r="I176" s="14">
        <f>1.05*2.5</f>
        <v>2.625</v>
      </c>
      <c r="J176" s="13">
        <f t="shared" si="39"/>
        <v>1.458</v>
      </c>
      <c r="K176" s="13">
        <f t="shared" si="40"/>
        <v>1.458</v>
      </c>
      <c r="L176" s="17" t="s">
        <v>201</v>
      </c>
      <c r="M176" s="16"/>
      <c r="N176" s="12">
        <v>121</v>
      </c>
      <c r="O176" s="12" t="s">
        <v>177</v>
      </c>
      <c r="P176" s="15" t="s">
        <v>16</v>
      </c>
      <c r="Q176" s="65">
        <f>0.108+0.005+0.003+0.0032-0.0048+0.0032</f>
        <v>0.1176</v>
      </c>
      <c r="R176" s="46">
        <f t="shared" si="38"/>
        <v>1.2846</v>
      </c>
      <c r="S176" s="12">
        <v>0</v>
      </c>
      <c r="T176" s="12">
        <v>0</v>
      </c>
      <c r="U176" s="12">
        <f t="shared" si="43"/>
        <v>1.2846</v>
      </c>
      <c r="V176" s="12">
        <v>0</v>
      </c>
      <c r="W176" s="14">
        <f>1.05*2.5</f>
        <v>2.625</v>
      </c>
      <c r="X176" s="13">
        <f t="shared" si="41"/>
        <v>1.3404</v>
      </c>
      <c r="Y176" s="13">
        <f t="shared" si="44"/>
        <v>1.3404</v>
      </c>
      <c r="Z176" s="12" t="s">
        <v>201</v>
      </c>
    </row>
    <row r="177" spans="1:26" s="1" customFormat="1" ht="22.5">
      <c r="A177" s="18">
        <v>122</v>
      </c>
      <c r="B177" s="12" t="s">
        <v>178</v>
      </c>
      <c r="C177" s="56" t="s">
        <v>10</v>
      </c>
      <c r="D177" s="46">
        <v>1.428</v>
      </c>
      <c r="E177" s="12">
        <v>0</v>
      </c>
      <c r="F177" s="12">
        <v>0</v>
      </c>
      <c r="G177" s="12">
        <f t="shared" si="42"/>
        <v>1.428</v>
      </c>
      <c r="H177" s="12">
        <v>0</v>
      </c>
      <c r="I177" s="14">
        <f>1.05*2.5</f>
        <v>2.625</v>
      </c>
      <c r="J177" s="13">
        <f t="shared" si="39"/>
        <v>1.197</v>
      </c>
      <c r="K177" s="13">
        <f t="shared" si="40"/>
        <v>1.197</v>
      </c>
      <c r="L177" s="17" t="s">
        <v>201</v>
      </c>
      <c r="M177" s="16"/>
      <c r="N177" s="12">
        <v>122</v>
      </c>
      <c r="O177" s="12" t="s">
        <v>178</v>
      </c>
      <c r="P177" s="15" t="s">
        <v>10</v>
      </c>
      <c r="Q177" s="65">
        <f>0.005+0.003-0.0032+0.0292</f>
        <v>0.034</v>
      </c>
      <c r="R177" s="46">
        <f t="shared" si="38"/>
        <v>1.462</v>
      </c>
      <c r="S177" s="12">
        <v>0</v>
      </c>
      <c r="T177" s="12">
        <v>0</v>
      </c>
      <c r="U177" s="12">
        <f t="shared" si="43"/>
        <v>1.462</v>
      </c>
      <c r="V177" s="12">
        <v>0</v>
      </c>
      <c r="W177" s="14">
        <f>1.05*2.5</f>
        <v>2.625</v>
      </c>
      <c r="X177" s="13">
        <f t="shared" si="41"/>
        <v>1.163</v>
      </c>
      <c r="Y177" s="13">
        <f t="shared" si="44"/>
        <v>1.163</v>
      </c>
      <c r="Z177" s="12" t="s">
        <v>201</v>
      </c>
    </row>
    <row r="178" spans="1:26" s="1" customFormat="1" ht="22.5">
      <c r="A178" s="18">
        <v>123</v>
      </c>
      <c r="B178" s="12" t="s">
        <v>179</v>
      </c>
      <c r="C178" s="56" t="s">
        <v>2</v>
      </c>
      <c r="D178" s="46">
        <v>1.251</v>
      </c>
      <c r="E178" s="12">
        <v>0</v>
      </c>
      <c r="F178" s="12">
        <v>0</v>
      </c>
      <c r="G178" s="12">
        <f t="shared" si="42"/>
        <v>1.251</v>
      </c>
      <c r="H178" s="12">
        <v>0</v>
      </c>
      <c r="I178" s="14">
        <f>1.05*1.6</f>
        <v>1.6800000000000002</v>
      </c>
      <c r="J178" s="13">
        <f t="shared" si="39"/>
        <v>0.42900000000000027</v>
      </c>
      <c r="K178" s="13">
        <f t="shared" si="40"/>
        <v>0.42900000000000027</v>
      </c>
      <c r="L178" s="17" t="s">
        <v>201</v>
      </c>
      <c r="M178" s="16"/>
      <c r="N178" s="12">
        <v>123</v>
      </c>
      <c r="O178" s="12" t="s">
        <v>179</v>
      </c>
      <c r="P178" s="15" t="s">
        <v>2</v>
      </c>
      <c r="Q178" s="65">
        <f>0.005+0.005+0.005+0.006-0.0161+0.0161+0.0054</f>
        <v>0.0264</v>
      </c>
      <c r="R178" s="46">
        <f t="shared" si="38"/>
        <v>1.2773999999999999</v>
      </c>
      <c r="S178" s="12">
        <v>0</v>
      </c>
      <c r="T178" s="12">
        <v>0</v>
      </c>
      <c r="U178" s="12">
        <f t="shared" si="43"/>
        <v>1.2773999999999999</v>
      </c>
      <c r="V178" s="12">
        <v>0</v>
      </c>
      <c r="W178" s="14">
        <f>1.05*1.6</f>
        <v>1.6800000000000002</v>
      </c>
      <c r="X178" s="13">
        <f t="shared" si="41"/>
        <v>0.4026000000000003</v>
      </c>
      <c r="Y178" s="13">
        <f t="shared" si="44"/>
        <v>0.4026000000000003</v>
      </c>
      <c r="Z178" s="12" t="s">
        <v>201</v>
      </c>
    </row>
    <row r="179" spans="1:26" s="1" customFormat="1" ht="22.5">
      <c r="A179" s="18">
        <v>124</v>
      </c>
      <c r="B179" s="12" t="s">
        <v>180</v>
      </c>
      <c r="C179" s="56" t="s">
        <v>2</v>
      </c>
      <c r="D179" s="46">
        <v>1.017</v>
      </c>
      <c r="E179" s="12">
        <v>0</v>
      </c>
      <c r="F179" s="12">
        <v>0</v>
      </c>
      <c r="G179" s="12">
        <f t="shared" si="42"/>
        <v>1.017</v>
      </c>
      <c r="H179" s="12">
        <v>0</v>
      </c>
      <c r="I179" s="14">
        <f>1.05*1.6</f>
        <v>1.6800000000000002</v>
      </c>
      <c r="J179" s="13">
        <f t="shared" si="39"/>
        <v>0.6630000000000003</v>
      </c>
      <c r="K179" s="13">
        <f t="shared" si="40"/>
        <v>0.6630000000000003</v>
      </c>
      <c r="L179" s="17" t="s">
        <v>201</v>
      </c>
      <c r="M179" s="16"/>
      <c r="N179" s="12">
        <v>124</v>
      </c>
      <c r="O179" s="12" t="s">
        <v>180</v>
      </c>
      <c r="P179" s="15" t="s">
        <v>2</v>
      </c>
      <c r="Q179" s="65">
        <f>0.024+0.005-0.0083+0.0054</f>
        <v>0.026100000000000005</v>
      </c>
      <c r="R179" s="46">
        <f t="shared" si="38"/>
        <v>1.0431</v>
      </c>
      <c r="S179" s="12">
        <v>0</v>
      </c>
      <c r="T179" s="12">
        <v>0</v>
      </c>
      <c r="U179" s="12">
        <f t="shared" si="43"/>
        <v>1.0431</v>
      </c>
      <c r="V179" s="12">
        <v>0</v>
      </c>
      <c r="W179" s="14">
        <f>1.05*1.6</f>
        <v>1.6800000000000002</v>
      </c>
      <c r="X179" s="13">
        <f t="shared" si="41"/>
        <v>0.6369000000000002</v>
      </c>
      <c r="Y179" s="13">
        <f t="shared" si="44"/>
        <v>0.6369000000000002</v>
      </c>
      <c r="Z179" s="12" t="s">
        <v>201</v>
      </c>
    </row>
    <row r="180" spans="1:26" s="1" customFormat="1" ht="22.5">
      <c r="A180" s="18">
        <v>125</v>
      </c>
      <c r="B180" s="12" t="s">
        <v>181</v>
      </c>
      <c r="C180" s="56" t="s">
        <v>1</v>
      </c>
      <c r="D180" s="46">
        <v>1.33</v>
      </c>
      <c r="E180" s="12">
        <v>0</v>
      </c>
      <c r="F180" s="12">
        <v>0</v>
      </c>
      <c r="G180" s="12">
        <f t="shared" si="42"/>
        <v>1.33</v>
      </c>
      <c r="H180" s="12">
        <v>0</v>
      </c>
      <c r="I180" s="14">
        <f>1.05*2.5</f>
        <v>2.625</v>
      </c>
      <c r="J180" s="13">
        <f t="shared" si="39"/>
        <v>1.295</v>
      </c>
      <c r="K180" s="13">
        <f t="shared" si="40"/>
        <v>1.295</v>
      </c>
      <c r="L180" s="17" t="s">
        <v>201</v>
      </c>
      <c r="M180" s="16"/>
      <c r="N180" s="12">
        <v>125</v>
      </c>
      <c r="O180" s="12" t="s">
        <v>181</v>
      </c>
      <c r="P180" s="15" t="s">
        <v>1</v>
      </c>
      <c r="Q180" s="65">
        <f>0.015+0.01+0.005+0.008+0.012+0.009+0.005+0.003+0.022+0.0118-0.0374+0.0048+0.0019+0.0047</f>
        <v>0.07479999999999999</v>
      </c>
      <c r="R180" s="46">
        <f t="shared" si="38"/>
        <v>1.4048</v>
      </c>
      <c r="S180" s="12">
        <v>0</v>
      </c>
      <c r="T180" s="12">
        <v>0</v>
      </c>
      <c r="U180" s="12">
        <f t="shared" si="43"/>
        <v>1.4048</v>
      </c>
      <c r="V180" s="12">
        <v>0</v>
      </c>
      <c r="W180" s="14">
        <f>1.05*2.5</f>
        <v>2.625</v>
      </c>
      <c r="X180" s="13">
        <f t="shared" si="41"/>
        <v>1.2202</v>
      </c>
      <c r="Y180" s="13">
        <f t="shared" si="44"/>
        <v>1.2202</v>
      </c>
      <c r="Z180" s="12" t="s">
        <v>201</v>
      </c>
    </row>
    <row r="181" spans="1:26" s="1" customFormat="1" ht="22.5">
      <c r="A181" s="18">
        <v>126</v>
      </c>
      <c r="B181" s="12" t="s">
        <v>182</v>
      </c>
      <c r="C181" s="56" t="s">
        <v>7</v>
      </c>
      <c r="D181" s="46">
        <v>0.806</v>
      </c>
      <c r="E181" s="12">
        <v>0</v>
      </c>
      <c r="F181" s="12">
        <v>0</v>
      </c>
      <c r="G181" s="12">
        <f t="shared" si="42"/>
        <v>0.806</v>
      </c>
      <c r="H181" s="12">
        <v>0</v>
      </c>
      <c r="I181" s="14">
        <f>1.05*1.6</f>
        <v>1.6800000000000002</v>
      </c>
      <c r="J181" s="13">
        <f t="shared" si="39"/>
        <v>0.8740000000000001</v>
      </c>
      <c r="K181" s="13">
        <f t="shared" si="40"/>
        <v>0.8740000000000001</v>
      </c>
      <c r="L181" s="17" t="s">
        <v>201</v>
      </c>
      <c r="M181" s="16"/>
      <c r="N181" s="12">
        <v>126</v>
      </c>
      <c r="O181" s="12" t="s">
        <v>182</v>
      </c>
      <c r="P181" s="15" t="s">
        <v>7</v>
      </c>
      <c r="Q181" s="65">
        <f>0.016+0.019+0.006+0.011+0.0054-0.0535+0.0054</f>
        <v>0.009300000000000008</v>
      </c>
      <c r="R181" s="46">
        <f t="shared" si="38"/>
        <v>0.8153</v>
      </c>
      <c r="S181" s="12">
        <v>0</v>
      </c>
      <c r="T181" s="12">
        <v>0</v>
      </c>
      <c r="U181" s="12">
        <f t="shared" si="43"/>
        <v>0.8153</v>
      </c>
      <c r="V181" s="12">
        <v>0</v>
      </c>
      <c r="W181" s="14">
        <f>1.05*1.6</f>
        <v>1.6800000000000002</v>
      </c>
      <c r="X181" s="13">
        <f t="shared" si="41"/>
        <v>0.8647000000000001</v>
      </c>
      <c r="Y181" s="13">
        <f t="shared" si="44"/>
        <v>0.8647000000000001</v>
      </c>
      <c r="Z181" s="12" t="s">
        <v>201</v>
      </c>
    </row>
    <row r="182" spans="1:26" s="1" customFormat="1" ht="22.5">
      <c r="A182" s="18">
        <v>127</v>
      </c>
      <c r="B182" s="12" t="s">
        <v>183</v>
      </c>
      <c r="C182" s="56" t="s">
        <v>7</v>
      </c>
      <c r="D182" s="46">
        <v>0.939</v>
      </c>
      <c r="E182" s="12">
        <v>0</v>
      </c>
      <c r="F182" s="12">
        <v>0</v>
      </c>
      <c r="G182" s="12">
        <f t="shared" si="42"/>
        <v>0.939</v>
      </c>
      <c r="H182" s="12">
        <v>0</v>
      </c>
      <c r="I182" s="14">
        <f>1.05*1.6</f>
        <v>1.6800000000000002</v>
      </c>
      <c r="J182" s="13">
        <f t="shared" si="39"/>
        <v>0.7410000000000002</v>
      </c>
      <c r="K182" s="13">
        <f t="shared" si="40"/>
        <v>0.7410000000000002</v>
      </c>
      <c r="L182" s="17" t="s">
        <v>201</v>
      </c>
      <c r="M182" s="16"/>
      <c r="N182" s="12">
        <v>127</v>
      </c>
      <c r="O182" s="12" t="s">
        <v>183</v>
      </c>
      <c r="P182" s="15" t="s">
        <v>7</v>
      </c>
      <c r="Q182" s="65">
        <f>0.016+0.002-0.0073</f>
        <v>0.010700000000000001</v>
      </c>
      <c r="R182" s="46">
        <f t="shared" si="38"/>
        <v>0.9497</v>
      </c>
      <c r="S182" s="12">
        <v>0</v>
      </c>
      <c r="T182" s="12">
        <v>0</v>
      </c>
      <c r="U182" s="12">
        <f t="shared" si="43"/>
        <v>0.9497</v>
      </c>
      <c r="V182" s="12">
        <v>0</v>
      </c>
      <c r="W182" s="14">
        <f>1.05*1.6</f>
        <v>1.6800000000000002</v>
      </c>
      <c r="X182" s="13">
        <f t="shared" si="41"/>
        <v>0.7303000000000002</v>
      </c>
      <c r="Y182" s="13">
        <f t="shared" si="44"/>
        <v>0.7303000000000002</v>
      </c>
      <c r="Z182" s="12" t="s">
        <v>201</v>
      </c>
    </row>
    <row r="183" spans="1:26" s="1" customFormat="1" ht="22.5">
      <c r="A183" s="18">
        <v>128</v>
      </c>
      <c r="B183" s="12" t="s">
        <v>184</v>
      </c>
      <c r="C183" s="56" t="s">
        <v>1</v>
      </c>
      <c r="D183" s="46">
        <v>0.268</v>
      </c>
      <c r="E183" s="12">
        <v>0</v>
      </c>
      <c r="F183" s="12">
        <v>0</v>
      </c>
      <c r="G183" s="12">
        <f t="shared" si="42"/>
        <v>0.268</v>
      </c>
      <c r="H183" s="12">
        <v>0</v>
      </c>
      <c r="I183" s="14">
        <f>1.05*2.5</f>
        <v>2.625</v>
      </c>
      <c r="J183" s="13">
        <f t="shared" si="39"/>
        <v>2.357</v>
      </c>
      <c r="K183" s="13">
        <f t="shared" si="40"/>
        <v>2.357</v>
      </c>
      <c r="L183" s="17" t="s">
        <v>201</v>
      </c>
      <c r="M183" s="16"/>
      <c r="N183" s="12">
        <v>128</v>
      </c>
      <c r="O183" s="12" t="s">
        <v>184</v>
      </c>
      <c r="P183" s="15" t="s">
        <v>1</v>
      </c>
      <c r="Q183" s="65">
        <f>0.013+0.005+0.007+0.0032</f>
        <v>0.0282</v>
      </c>
      <c r="R183" s="46">
        <f t="shared" si="38"/>
        <v>0.2962</v>
      </c>
      <c r="S183" s="12">
        <v>0</v>
      </c>
      <c r="T183" s="12">
        <v>0</v>
      </c>
      <c r="U183" s="12">
        <f t="shared" si="43"/>
        <v>0.2962</v>
      </c>
      <c r="V183" s="12">
        <v>0</v>
      </c>
      <c r="W183" s="14">
        <f>1.05*2.5</f>
        <v>2.625</v>
      </c>
      <c r="X183" s="13">
        <f t="shared" si="41"/>
        <v>2.3288</v>
      </c>
      <c r="Y183" s="13">
        <f t="shared" si="44"/>
        <v>2.3288</v>
      </c>
      <c r="Z183" s="12" t="s">
        <v>201</v>
      </c>
    </row>
    <row r="184" spans="1:26" s="1" customFormat="1" ht="22.5">
      <c r="A184" s="18">
        <v>129</v>
      </c>
      <c r="B184" s="12" t="s">
        <v>185</v>
      </c>
      <c r="C184" s="56" t="s">
        <v>8</v>
      </c>
      <c r="D184" s="46">
        <v>3.559</v>
      </c>
      <c r="E184" s="12">
        <v>0</v>
      </c>
      <c r="F184" s="12">
        <v>0</v>
      </c>
      <c r="G184" s="12">
        <f t="shared" si="42"/>
        <v>3.559</v>
      </c>
      <c r="H184" s="12">
        <v>0</v>
      </c>
      <c r="I184" s="14">
        <f>1.05*4</f>
        <v>4.2</v>
      </c>
      <c r="J184" s="13">
        <f t="shared" si="39"/>
        <v>0.641</v>
      </c>
      <c r="K184" s="13">
        <f t="shared" si="40"/>
        <v>0.641</v>
      </c>
      <c r="L184" s="17" t="s">
        <v>201</v>
      </c>
      <c r="M184" s="16"/>
      <c r="N184" s="12">
        <v>129</v>
      </c>
      <c r="O184" s="12" t="s">
        <v>185</v>
      </c>
      <c r="P184" s="15" t="s">
        <v>8</v>
      </c>
      <c r="Q184" s="65">
        <f>0.025+0.001+0.011+0.013+0.011+0.011-0.053+0.0024+0.0105</f>
        <v>0.0319</v>
      </c>
      <c r="R184" s="46">
        <f t="shared" si="38"/>
        <v>3.5909</v>
      </c>
      <c r="S184" s="12">
        <v>0</v>
      </c>
      <c r="T184" s="12">
        <v>0</v>
      </c>
      <c r="U184" s="12">
        <f t="shared" si="43"/>
        <v>3.5909</v>
      </c>
      <c r="V184" s="12">
        <v>0</v>
      </c>
      <c r="W184" s="14">
        <f>1.05*4</f>
        <v>4.2</v>
      </c>
      <c r="X184" s="13">
        <f t="shared" si="41"/>
        <v>0.6091000000000002</v>
      </c>
      <c r="Y184" s="13">
        <f t="shared" si="44"/>
        <v>0.6091000000000002</v>
      </c>
      <c r="Z184" s="12" t="s">
        <v>201</v>
      </c>
    </row>
    <row r="185" spans="1:26" s="1" customFormat="1" ht="22.5">
      <c r="A185" s="18">
        <v>130</v>
      </c>
      <c r="B185" s="12" t="s">
        <v>186</v>
      </c>
      <c r="C185" s="56" t="s">
        <v>7</v>
      </c>
      <c r="D185" s="46">
        <v>0.531</v>
      </c>
      <c r="E185" s="12">
        <v>0</v>
      </c>
      <c r="F185" s="12">
        <v>0</v>
      </c>
      <c r="G185" s="12">
        <f t="shared" si="42"/>
        <v>0.531</v>
      </c>
      <c r="H185" s="12">
        <v>0</v>
      </c>
      <c r="I185" s="14">
        <f>1.05*1.6</f>
        <v>1.6800000000000002</v>
      </c>
      <c r="J185" s="13">
        <f t="shared" si="39"/>
        <v>1.149</v>
      </c>
      <c r="K185" s="13">
        <f t="shared" si="40"/>
        <v>1.149</v>
      </c>
      <c r="L185" s="17" t="s">
        <v>201</v>
      </c>
      <c r="M185" s="16"/>
      <c r="N185" s="12">
        <v>130</v>
      </c>
      <c r="O185" s="12" t="s">
        <v>186</v>
      </c>
      <c r="P185" s="15" t="s">
        <v>7</v>
      </c>
      <c r="Q185" s="65">
        <f>0.021+0.005-0.0013</f>
        <v>0.024700000000000003</v>
      </c>
      <c r="R185" s="46">
        <f t="shared" si="38"/>
        <v>0.5557000000000001</v>
      </c>
      <c r="S185" s="12">
        <v>0</v>
      </c>
      <c r="T185" s="12">
        <v>0</v>
      </c>
      <c r="U185" s="12">
        <f t="shared" si="43"/>
        <v>0.5557000000000001</v>
      </c>
      <c r="V185" s="12">
        <v>0</v>
      </c>
      <c r="W185" s="14">
        <f>1.05*1.6</f>
        <v>1.6800000000000002</v>
      </c>
      <c r="X185" s="13">
        <f t="shared" si="41"/>
        <v>1.1243</v>
      </c>
      <c r="Y185" s="13">
        <f t="shared" si="44"/>
        <v>1.1243</v>
      </c>
      <c r="Z185" s="12" t="s">
        <v>201</v>
      </c>
    </row>
    <row r="186" spans="1:26" s="1" customFormat="1" ht="22.5">
      <c r="A186" s="18">
        <v>131</v>
      </c>
      <c r="B186" s="12" t="s">
        <v>187</v>
      </c>
      <c r="C186" s="56" t="s">
        <v>1</v>
      </c>
      <c r="D186" s="46">
        <v>0.563</v>
      </c>
      <c r="E186" s="12">
        <v>0</v>
      </c>
      <c r="F186" s="12">
        <v>0</v>
      </c>
      <c r="G186" s="12">
        <f t="shared" si="42"/>
        <v>0.563</v>
      </c>
      <c r="H186" s="12">
        <v>0</v>
      </c>
      <c r="I186" s="14">
        <f>1.05*2.5</f>
        <v>2.625</v>
      </c>
      <c r="J186" s="13">
        <f t="shared" si="39"/>
        <v>2.0620000000000003</v>
      </c>
      <c r="K186" s="13">
        <f t="shared" si="40"/>
        <v>2.0620000000000003</v>
      </c>
      <c r="L186" s="17" t="s">
        <v>201</v>
      </c>
      <c r="M186" s="16"/>
      <c r="N186" s="12">
        <v>131</v>
      </c>
      <c r="O186" s="12" t="s">
        <v>187</v>
      </c>
      <c r="P186" s="15" t="s">
        <v>1</v>
      </c>
      <c r="Q186" s="65">
        <f>0.001+0.016+0.005-0.014</f>
        <v>0.008000000000000002</v>
      </c>
      <c r="R186" s="46">
        <f t="shared" si="38"/>
        <v>0.571</v>
      </c>
      <c r="S186" s="12">
        <v>0</v>
      </c>
      <c r="T186" s="12">
        <v>0</v>
      </c>
      <c r="U186" s="12">
        <f t="shared" si="43"/>
        <v>0.571</v>
      </c>
      <c r="V186" s="12">
        <v>0</v>
      </c>
      <c r="W186" s="14">
        <f>1.05*2.5</f>
        <v>2.625</v>
      </c>
      <c r="X186" s="13">
        <f t="shared" si="41"/>
        <v>2.0540000000000003</v>
      </c>
      <c r="Y186" s="13">
        <f t="shared" si="44"/>
        <v>2.0540000000000003</v>
      </c>
      <c r="Z186" s="12" t="s">
        <v>201</v>
      </c>
    </row>
    <row r="187" spans="1:26" s="1" customFormat="1" ht="22.5">
      <c r="A187" s="18">
        <v>132</v>
      </c>
      <c r="B187" s="12" t="s">
        <v>188</v>
      </c>
      <c r="C187" s="56" t="s">
        <v>3</v>
      </c>
      <c r="D187" s="46">
        <v>5.093</v>
      </c>
      <c r="E187" s="12">
        <v>0</v>
      </c>
      <c r="F187" s="12">
        <v>0</v>
      </c>
      <c r="G187" s="12">
        <f t="shared" si="42"/>
        <v>5.093</v>
      </c>
      <c r="H187" s="12">
        <v>0</v>
      </c>
      <c r="I187" s="14">
        <f>1.05*6.3</f>
        <v>6.615</v>
      </c>
      <c r="J187" s="13">
        <f t="shared" si="39"/>
        <v>1.5220000000000002</v>
      </c>
      <c r="K187" s="13">
        <f t="shared" si="40"/>
        <v>1.5220000000000002</v>
      </c>
      <c r="L187" s="17" t="s">
        <v>201</v>
      </c>
      <c r="M187" s="16"/>
      <c r="N187" s="12">
        <v>132</v>
      </c>
      <c r="O187" s="12" t="s">
        <v>188</v>
      </c>
      <c r="P187" s="15" t="s">
        <v>3</v>
      </c>
      <c r="Q187" s="65">
        <f>0.044+0.016+0.005+0.015+0.0151-0.0231</f>
        <v>0.07200000000000001</v>
      </c>
      <c r="R187" s="46">
        <f t="shared" si="38"/>
        <v>5.165</v>
      </c>
      <c r="S187" s="12">
        <v>0</v>
      </c>
      <c r="T187" s="12">
        <v>0</v>
      </c>
      <c r="U187" s="12">
        <f t="shared" si="43"/>
        <v>5.165</v>
      </c>
      <c r="V187" s="12">
        <v>0</v>
      </c>
      <c r="W187" s="14">
        <f>1.05*6.3</f>
        <v>6.615</v>
      </c>
      <c r="X187" s="13">
        <f t="shared" si="41"/>
        <v>1.4500000000000002</v>
      </c>
      <c r="Y187" s="13">
        <f t="shared" si="44"/>
        <v>1.4500000000000002</v>
      </c>
      <c r="Z187" s="12" t="s">
        <v>201</v>
      </c>
    </row>
    <row r="188" spans="1:26" s="1" customFormat="1" ht="33.75">
      <c r="A188" s="18">
        <v>133</v>
      </c>
      <c r="B188" s="12" t="s">
        <v>189</v>
      </c>
      <c r="C188" s="56" t="s">
        <v>1</v>
      </c>
      <c r="D188" s="46">
        <v>0.797</v>
      </c>
      <c r="E188" s="12">
        <v>0</v>
      </c>
      <c r="F188" s="12">
        <v>0</v>
      </c>
      <c r="G188" s="12">
        <f t="shared" si="42"/>
        <v>0.797</v>
      </c>
      <c r="H188" s="12">
        <v>0</v>
      </c>
      <c r="I188" s="14">
        <f>1.05*2.5</f>
        <v>2.625</v>
      </c>
      <c r="J188" s="13">
        <f t="shared" si="39"/>
        <v>1.8279999999999998</v>
      </c>
      <c r="K188" s="13">
        <f t="shared" si="40"/>
        <v>1.8279999999999998</v>
      </c>
      <c r="L188" s="17" t="s">
        <v>201</v>
      </c>
      <c r="M188" s="16"/>
      <c r="N188" s="12">
        <v>133</v>
      </c>
      <c r="O188" s="12" t="s">
        <v>189</v>
      </c>
      <c r="P188" s="15" t="s">
        <v>1</v>
      </c>
      <c r="Q188" s="65">
        <f>0.007+0.003+0.06+0.03+0.016+0.005+0.003-0.0382+0.0161+0.0086</f>
        <v>0.1105</v>
      </c>
      <c r="R188" s="46">
        <f t="shared" si="38"/>
        <v>0.9075000000000001</v>
      </c>
      <c r="S188" s="12">
        <v>0</v>
      </c>
      <c r="T188" s="12">
        <v>0</v>
      </c>
      <c r="U188" s="12">
        <f t="shared" si="43"/>
        <v>0.9075000000000001</v>
      </c>
      <c r="V188" s="12">
        <v>0</v>
      </c>
      <c r="W188" s="14">
        <f>1.05*2.5</f>
        <v>2.625</v>
      </c>
      <c r="X188" s="13">
        <f t="shared" si="41"/>
        <v>1.7174999999999998</v>
      </c>
      <c r="Y188" s="13">
        <f t="shared" si="44"/>
        <v>1.7174999999999998</v>
      </c>
      <c r="Z188" s="12" t="s">
        <v>201</v>
      </c>
    </row>
    <row r="189" spans="1:26" s="1" customFormat="1" ht="22.5">
      <c r="A189" s="18">
        <v>134</v>
      </c>
      <c r="B189" s="12" t="s">
        <v>190</v>
      </c>
      <c r="C189" s="56" t="s">
        <v>7</v>
      </c>
      <c r="D189" s="46">
        <v>1.271</v>
      </c>
      <c r="E189" s="12">
        <v>0</v>
      </c>
      <c r="F189" s="12">
        <v>0</v>
      </c>
      <c r="G189" s="12">
        <f t="shared" si="42"/>
        <v>1.271</v>
      </c>
      <c r="H189" s="12">
        <v>0</v>
      </c>
      <c r="I189" s="14">
        <f>1.05*1.6</f>
        <v>1.6800000000000002</v>
      </c>
      <c r="J189" s="13">
        <f t="shared" si="39"/>
        <v>0.40900000000000025</v>
      </c>
      <c r="K189" s="13">
        <f t="shared" si="40"/>
        <v>0.40900000000000025</v>
      </c>
      <c r="L189" s="17" t="s">
        <v>201</v>
      </c>
      <c r="M189" s="16"/>
      <c r="N189" s="12">
        <v>134</v>
      </c>
      <c r="O189" s="12" t="s">
        <v>190</v>
      </c>
      <c r="P189" s="15" t="s">
        <v>7</v>
      </c>
      <c r="Q189" s="65">
        <f>0.019+0.004+0.011+0.029+0.029+0.014-0.0516+0.0108+0.0065+0.0151+0.02+0.0065</f>
        <v>0.11330000000000001</v>
      </c>
      <c r="R189" s="46">
        <f t="shared" si="38"/>
        <v>1.3842999999999999</v>
      </c>
      <c r="S189" s="12">
        <v>0</v>
      </c>
      <c r="T189" s="12">
        <v>0</v>
      </c>
      <c r="U189" s="12">
        <f t="shared" si="43"/>
        <v>1.3842999999999999</v>
      </c>
      <c r="V189" s="12">
        <v>0</v>
      </c>
      <c r="W189" s="14">
        <f>1.05*1.6</f>
        <v>1.6800000000000002</v>
      </c>
      <c r="X189" s="13">
        <f t="shared" si="41"/>
        <v>0.2957000000000003</v>
      </c>
      <c r="Y189" s="13">
        <f t="shared" si="44"/>
        <v>0.2957000000000003</v>
      </c>
      <c r="Z189" s="12" t="s">
        <v>201</v>
      </c>
    </row>
    <row r="190" spans="1:26" s="1" customFormat="1" ht="22.5">
      <c r="A190" s="18">
        <v>135</v>
      </c>
      <c r="B190" s="12" t="s">
        <v>191</v>
      </c>
      <c r="C190" s="56" t="s">
        <v>3</v>
      </c>
      <c r="D190" s="46">
        <v>2.692</v>
      </c>
      <c r="E190" s="12">
        <v>0</v>
      </c>
      <c r="F190" s="12">
        <v>0</v>
      </c>
      <c r="G190" s="12">
        <f t="shared" si="42"/>
        <v>2.692</v>
      </c>
      <c r="H190" s="12">
        <v>0</v>
      </c>
      <c r="I190" s="14">
        <f>1.05*6.3</f>
        <v>6.615</v>
      </c>
      <c r="J190" s="13">
        <f t="shared" si="39"/>
        <v>3.923</v>
      </c>
      <c r="K190" s="13">
        <f t="shared" si="40"/>
        <v>3.923</v>
      </c>
      <c r="L190" s="17" t="s">
        <v>201</v>
      </c>
      <c r="M190" s="16"/>
      <c r="N190" s="12">
        <v>135</v>
      </c>
      <c r="O190" s="12" t="s">
        <v>191</v>
      </c>
      <c r="P190" s="15" t="s">
        <v>3</v>
      </c>
      <c r="Q190" s="65">
        <f>0.08+0.005+0.001+0.017+0.011+0.023+0.143+0.0247+0.0054-0.078+0.0199+0.0237+0.0054+0.0032</f>
        <v>0.2843</v>
      </c>
      <c r="R190" s="46">
        <f t="shared" si="38"/>
        <v>2.9763</v>
      </c>
      <c r="S190" s="12">
        <v>0</v>
      </c>
      <c r="T190" s="12">
        <v>0</v>
      </c>
      <c r="U190" s="12">
        <f t="shared" si="43"/>
        <v>2.9763</v>
      </c>
      <c r="V190" s="12">
        <v>0</v>
      </c>
      <c r="W190" s="14">
        <f>1.05*6.3</f>
        <v>6.615</v>
      </c>
      <c r="X190" s="13">
        <f t="shared" si="41"/>
        <v>3.6387</v>
      </c>
      <c r="Y190" s="13">
        <f t="shared" si="44"/>
        <v>3.6387</v>
      </c>
      <c r="Z190" s="12" t="s">
        <v>201</v>
      </c>
    </row>
    <row r="191" spans="1:26" s="1" customFormat="1" ht="22.5">
      <c r="A191" s="18">
        <v>136</v>
      </c>
      <c r="B191" s="12" t="s">
        <v>192</v>
      </c>
      <c r="C191" s="56" t="s">
        <v>2</v>
      </c>
      <c r="D191" s="46">
        <v>0.387</v>
      </c>
      <c r="E191" s="12">
        <v>0</v>
      </c>
      <c r="F191" s="12">
        <v>0</v>
      </c>
      <c r="G191" s="12">
        <f t="shared" si="42"/>
        <v>0.387</v>
      </c>
      <c r="H191" s="12">
        <v>0</v>
      </c>
      <c r="I191" s="14">
        <f>1.05*1.6</f>
        <v>1.6800000000000002</v>
      </c>
      <c r="J191" s="13">
        <f t="shared" si="39"/>
        <v>1.2930000000000001</v>
      </c>
      <c r="K191" s="13">
        <f t="shared" si="40"/>
        <v>1.2930000000000001</v>
      </c>
      <c r="L191" s="17" t="s">
        <v>201</v>
      </c>
      <c r="M191" s="16"/>
      <c r="N191" s="12">
        <v>136</v>
      </c>
      <c r="O191" s="12" t="s">
        <v>192</v>
      </c>
      <c r="P191" s="15" t="s">
        <v>2</v>
      </c>
      <c r="Q191" s="65">
        <f>0.003+0.002+0.0054+0.0054</f>
        <v>0.0158</v>
      </c>
      <c r="R191" s="46">
        <f t="shared" si="38"/>
        <v>0.4028</v>
      </c>
      <c r="S191" s="12">
        <v>0</v>
      </c>
      <c r="T191" s="12">
        <v>0</v>
      </c>
      <c r="U191" s="12">
        <f t="shared" si="43"/>
        <v>0.4028</v>
      </c>
      <c r="V191" s="12">
        <v>0</v>
      </c>
      <c r="W191" s="14">
        <f>1.05*1.6</f>
        <v>1.6800000000000002</v>
      </c>
      <c r="X191" s="13">
        <f t="shared" si="41"/>
        <v>1.2772000000000001</v>
      </c>
      <c r="Y191" s="13">
        <f t="shared" si="44"/>
        <v>1.2772000000000001</v>
      </c>
      <c r="Z191" s="12" t="s">
        <v>201</v>
      </c>
    </row>
    <row r="192" spans="1:26" s="1" customFormat="1" ht="22.5">
      <c r="A192" s="18">
        <v>137</v>
      </c>
      <c r="B192" s="12" t="s">
        <v>193</v>
      </c>
      <c r="C192" s="56" t="s">
        <v>1</v>
      </c>
      <c r="D192" s="46">
        <v>0.4</v>
      </c>
      <c r="E192" s="12">
        <v>0</v>
      </c>
      <c r="F192" s="12">
        <v>0</v>
      </c>
      <c r="G192" s="12">
        <f t="shared" si="42"/>
        <v>0.4</v>
      </c>
      <c r="H192" s="12">
        <v>0</v>
      </c>
      <c r="I192" s="14">
        <f>1.05*2.5</f>
        <v>2.625</v>
      </c>
      <c r="J192" s="13">
        <f t="shared" si="39"/>
        <v>2.225</v>
      </c>
      <c r="K192" s="13">
        <f t="shared" si="40"/>
        <v>2.225</v>
      </c>
      <c r="L192" s="17" t="s">
        <v>201</v>
      </c>
      <c r="M192" s="16"/>
      <c r="N192" s="12">
        <v>137</v>
      </c>
      <c r="O192" s="12" t="s">
        <v>193</v>
      </c>
      <c r="P192" s="15" t="s">
        <v>1</v>
      </c>
      <c r="Q192" s="65">
        <f>0.015+0.008+0.376+0.0039-0.3892+0.016</f>
        <v>0.029700000000000046</v>
      </c>
      <c r="R192" s="46">
        <f t="shared" si="38"/>
        <v>0.4297000000000001</v>
      </c>
      <c r="S192" s="12">
        <v>0</v>
      </c>
      <c r="T192" s="12">
        <v>0</v>
      </c>
      <c r="U192" s="12">
        <f t="shared" si="43"/>
        <v>0.4297000000000001</v>
      </c>
      <c r="V192" s="12">
        <v>0</v>
      </c>
      <c r="W192" s="14">
        <f>1.05*2.5</f>
        <v>2.625</v>
      </c>
      <c r="X192" s="13">
        <f t="shared" si="41"/>
        <v>2.1953</v>
      </c>
      <c r="Y192" s="13">
        <f t="shared" si="44"/>
        <v>2.1953</v>
      </c>
      <c r="Z192" s="12" t="s">
        <v>201</v>
      </c>
    </row>
    <row r="193" spans="1:26" s="1" customFormat="1" ht="22.5">
      <c r="A193" s="18">
        <v>138</v>
      </c>
      <c r="B193" s="12" t="s">
        <v>194</v>
      </c>
      <c r="C193" s="56" t="s">
        <v>23</v>
      </c>
      <c r="D193" s="46">
        <v>6.43</v>
      </c>
      <c r="E193" s="12">
        <v>0</v>
      </c>
      <c r="F193" s="12">
        <v>0</v>
      </c>
      <c r="G193" s="12">
        <f t="shared" si="42"/>
        <v>6.43</v>
      </c>
      <c r="H193" s="12">
        <v>0</v>
      </c>
      <c r="I193" s="14">
        <f>1.05*7.2</f>
        <v>7.5600000000000005</v>
      </c>
      <c r="J193" s="13">
        <f t="shared" si="39"/>
        <v>1.1300000000000008</v>
      </c>
      <c r="K193" s="13">
        <f t="shared" si="40"/>
        <v>1.1300000000000008</v>
      </c>
      <c r="L193" s="17" t="s">
        <v>201</v>
      </c>
      <c r="M193" s="16"/>
      <c r="N193" s="12">
        <v>138</v>
      </c>
      <c r="O193" s="12" t="s">
        <v>194</v>
      </c>
      <c r="P193" s="15" t="s">
        <v>23</v>
      </c>
      <c r="Q193" s="65">
        <f>0.039+0.031+0.005+0.005+0.01+0.005+0.0048+0.0048+0.0048+0.007+0.0145</f>
        <v>0.13090000000000002</v>
      </c>
      <c r="R193" s="46">
        <f t="shared" si="38"/>
        <v>6.5609</v>
      </c>
      <c r="S193" s="12">
        <v>0</v>
      </c>
      <c r="T193" s="12">
        <v>0</v>
      </c>
      <c r="U193" s="12">
        <f t="shared" si="43"/>
        <v>6.5609</v>
      </c>
      <c r="V193" s="12">
        <v>0</v>
      </c>
      <c r="W193" s="14">
        <f>1.05*7.2</f>
        <v>7.5600000000000005</v>
      </c>
      <c r="X193" s="13">
        <f t="shared" si="41"/>
        <v>0.9991000000000003</v>
      </c>
      <c r="Y193" s="13">
        <f t="shared" si="44"/>
        <v>0.9991000000000003</v>
      </c>
      <c r="Z193" s="12" t="s">
        <v>201</v>
      </c>
    </row>
    <row r="194" spans="1:26" s="1" customFormat="1" ht="22.5">
      <c r="A194" s="18">
        <v>139</v>
      </c>
      <c r="B194" s="12" t="s">
        <v>195</v>
      </c>
      <c r="C194" s="56" t="s">
        <v>13</v>
      </c>
      <c r="D194" s="46">
        <v>0.726</v>
      </c>
      <c r="E194" s="12">
        <v>0</v>
      </c>
      <c r="F194" s="12">
        <v>0</v>
      </c>
      <c r="G194" s="12">
        <f t="shared" si="42"/>
        <v>0.726</v>
      </c>
      <c r="H194" s="12">
        <v>0</v>
      </c>
      <c r="I194" s="14">
        <f>1.05*2.5</f>
        <v>2.625</v>
      </c>
      <c r="J194" s="13">
        <f t="shared" si="39"/>
        <v>1.899</v>
      </c>
      <c r="K194" s="13">
        <f t="shared" si="40"/>
        <v>1.899</v>
      </c>
      <c r="L194" s="17" t="s">
        <v>201</v>
      </c>
      <c r="M194" s="16"/>
      <c r="N194" s="12">
        <v>139</v>
      </c>
      <c r="O194" s="12" t="s">
        <v>195</v>
      </c>
      <c r="P194" s="15" t="s">
        <v>13</v>
      </c>
      <c r="Q194" s="65">
        <f>0.026+0.01+0.002+0.003+0.019+0.0161-0.0081+0.0065+0.0077</f>
        <v>0.08220000000000001</v>
      </c>
      <c r="R194" s="46">
        <f t="shared" si="38"/>
        <v>0.8082</v>
      </c>
      <c r="S194" s="12">
        <v>0</v>
      </c>
      <c r="T194" s="12">
        <v>0</v>
      </c>
      <c r="U194" s="12">
        <f t="shared" si="43"/>
        <v>0.8082</v>
      </c>
      <c r="V194" s="12">
        <v>0</v>
      </c>
      <c r="W194" s="14">
        <f>1.05*2.5</f>
        <v>2.625</v>
      </c>
      <c r="X194" s="13">
        <f t="shared" si="41"/>
        <v>1.8168</v>
      </c>
      <c r="Y194" s="13">
        <f t="shared" si="44"/>
        <v>1.8168</v>
      </c>
      <c r="Z194" s="12" t="s">
        <v>201</v>
      </c>
    </row>
    <row r="195" spans="1:26" s="1" customFormat="1" ht="22.5">
      <c r="A195" s="18">
        <v>140</v>
      </c>
      <c r="B195" s="12" t="s">
        <v>196</v>
      </c>
      <c r="C195" s="56" t="s">
        <v>1</v>
      </c>
      <c r="D195" s="46">
        <v>0.999</v>
      </c>
      <c r="E195" s="12">
        <v>0</v>
      </c>
      <c r="F195" s="12">
        <v>0</v>
      </c>
      <c r="G195" s="12">
        <f t="shared" si="42"/>
        <v>0.999</v>
      </c>
      <c r="H195" s="12">
        <v>0</v>
      </c>
      <c r="I195" s="14">
        <f>1.05*2.5</f>
        <v>2.625</v>
      </c>
      <c r="J195" s="13">
        <f t="shared" si="39"/>
        <v>1.626</v>
      </c>
      <c r="K195" s="13">
        <f t="shared" si="40"/>
        <v>1.626</v>
      </c>
      <c r="L195" s="17" t="s">
        <v>201</v>
      </c>
      <c r="M195" s="16"/>
      <c r="N195" s="12">
        <v>140</v>
      </c>
      <c r="O195" s="12" t="s">
        <v>196</v>
      </c>
      <c r="P195" s="15" t="s">
        <v>1</v>
      </c>
      <c r="Q195" s="65">
        <f>0.033+0.008+0.015+0.014+0.004+0.0054+0.0161-0.0296+0.0032+0.0054</f>
        <v>0.07450000000000001</v>
      </c>
      <c r="R195" s="46">
        <f t="shared" si="38"/>
        <v>1.0735000000000001</v>
      </c>
      <c r="S195" s="12">
        <v>0</v>
      </c>
      <c r="T195" s="12">
        <v>0</v>
      </c>
      <c r="U195" s="12">
        <f t="shared" si="43"/>
        <v>1.0735000000000001</v>
      </c>
      <c r="V195" s="12">
        <v>0</v>
      </c>
      <c r="W195" s="14">
        <f>1.05*2.5</f>
        <v>2.625</v>
      </c>
      <c r="X195" s="13">
        <f t="shared" si="41"/>
        <v>1.5514999999999999</v>
      </c>
      <c r="Y195" s="13">
        <f t="shared" si="44"/>
        <v>1.5514999999999999</v>
      </c>
      <c r="Z195" s="12" t="s">
        <v>201</v>
      </c>
    </row>
    <row r="196" spans="1:26" s="1" customFormat="1" ht="11.25">
      <c r="A196" s="99"/>
      <c r="B196" s="8" t="s">
        <v>197</v>
      </c>
      <c r="C196" s="71">
        <v>2302.5</v>
      </c>
      <c r="D196" s="43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756.7539999999998</v>
      </c>
      <c r="E196" s="9"/>
      <c r="F196" s="9"/>
      <c r="G196" s="9"/>
      <c r="H196" s="9"/>
      <c r="I196" s="9"/>
      <c r="J196" s="9"/>
      <c r="K196" s="9"/>
      <c r="L196" s="11"/>
      <c r="M196" s="10"/>
      <c r="N196" s="123"/>
      <c r="O196" s="8" t="s">
        <v>197</v>
      </c>
      <c r="P196" s="9">
        <v>2302.5</v>
      </c>
      <c r="Q196" s="68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90.9349</v>
      </c>
      <c r="R196" s="43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847.6889000000001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100"/>
      <c r="B197" s="8" t="s">
        <v>198</v>
      </c>
      <c r="C197" s="71"/>
      <c r="D197" s="9"/>
      <c r="E197" s="9"/>
      <c r="F197" s="9"/>
      <c r="G197" s="9"/>
      <c r="H197" s="9"/>
      <c r="I197" s="9"/>
      <c r="J197" s="9"/>
      <c r="K197" s="68">
        <f>K53+K55+K63+K75+K106+K97+K139+K141+K162+K56+K57</f>
        <v>-38.50299999999999</v>
      </c>
      <c r="L197" s="11"/>
      <c r="M197" s="10"/>
      <c r="N197" s="124"/>
      <c r="O197" s="8" t="s">
        <v>198</v>
      </c>
      <c r="P197" s="9"/>
      <c r="Q197" s="9"/>
      <c r="R197" s="9"/>
      <c r="S197" s="9"/>
      <c r="T197" s="9"/>
      <c r="U197" s="9"/>
      <c r="V197" s="9"/>
      <c r="W197" s="9"/>
      <c r="X197" s="9"/>
      <c r="Y197" s="68">
        <f>Y53+Y55+Y63+Y75+Y106+Y97+Y139+Y141+Y162+Y57+Y56</f>
        <v>-60.4801</v>
      </c>
      <c r="Z197" s="8"/>
    </row>
    <row r="198" spans="1:26" s="1" customFormat="1" ht="11.25">
      <c r="A198" s="101"/>
      <c r="B198" s="8" t="s">
        <v>199</v>
      </c>
      <c r="C198" s="71"/>
      <c r="D198" s="9"/>
      <c r="E198" s="9"/>
      <c r="F198" s="9"/>
      <c r="G198" s="9"/>
      <c r="H198" s="9"/>
      <c r="I198" s="9"/>
      <c r="J198" s="9"/>
      <c r="K198" s="68">
        <f>K49+K52+K54+K60+K66+K69+K70+K74+K76+K79+K82+K84+K87+K88+K89+K91+K92+K93+K94+K98+K99+K100+K101+K104+K105+K107+K110+K113+K114+K117+K120+K121+K124+K125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</f>
        <v>416.533</v>
      </c>
      <c r="L198" s="11"/>
      <c r="M198" s="10"/>
      <c r="N198" s="125"/>
      <c r="O198" s="8" t="s">
        <v>199</v>
      </c>
      <c r="P198" s="9"/>
      <c r="Q198" s="9"/>
      <c r="R198" s="9"/>
      <c r="S198" s="9"/>
      <c r="T198" s="9"/>
      <c r="U198" s="9"/>
      <c r="V198" s="9"/>
      <c r="W198" s="9"/>
      <c r="X198" s="9"/>
      <c r="Y198" s="68">
        <f>Y49+Y52+Y54+Y60+Y66+Y69+Y70+Y74+Y76+Y79+Y82+Y84+Y87+Y88+Y89+Y91+Y92+Y93+Y94+Y98+Y99+Y100+Y101+Y104+Y105+Y107+Y110+Y113+Y114+Y117+Y120+Y121+Y124+Y125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90+Y166+Y73</f>
        <v>392.6151</v>
      </c>
      <c r="Z198" s="8"/>
    </row>
    <row r="199" spans="1:17" s="1" customFormat="1" ht="11.25">
      <c r="A199" s="59"/>
      <c r="C199" s="59"/>
      <c r="Q199" s="45"/>
    </row>
    <row r="200" spans="1:17" s="1" customFormat="1" ht="11.25">
      <c r="A200" s="59"/>
      <c r="C200" s="59"/>
      <c r="K200" s="77"/>
      <c r="Q200" s="45"/>
    </row>
    <row r="201" spans="1:25" s="1" customFormat="1" ht="15">
      <c r="A201" s="59"/>
      <c r="C201" s="59"/>
      <c r="E201" s="77"/>
      <c r="F201" s="45"/>
      <c r="K201" s="77"/>
      <c r="Q201" s="45"/>
      <c r="R201" s="45"/>
      <c r="Y201" s="7"/>
    </row>
    <row r="202" spans="1:3" s="1" customFormat="1" ht="11.25">
      <c r="A202" s="59"/>
      <c r="C202" s="59"/>
    </row>
    <row r="203" spans="1:3" s="1" customFormat="1" ht="11.25">
      <c r="A203" s="59"/>
      <c r="C203" s="59"/>
    </row>
    <row r="204" spans="1:3" s="1" customFormat="1" ht="11.25">
      <c r="A204" s="59"/>
      <c r="C204" s="59"/>
    </row>
    <row r="205" spans="1:3" s="1" customFormat="1" ht="11.25">
      <c r="A205" s="59"/>
      <c r="C205" s="59"/>
    </row>
    <row r="206" spans="1:3" s="1" customFormat="1" ht="11.25">
      <c r="A206" s="59"/>
      <c r="C206" s="59"/>
    </row>
    <row r="207" spans="1:3" s="1" customFormat="1" ht="11.25">
      <c r="A207" s="59"/>
      <c r="C207" s="59"/>
    </row>
    <row r="208" spans="1:3" s="1" customFormat="1" ht="11.25">
      <c r="A208" s="59"/>
      <c r="C208" s="59"/>
    </row>
    <row r="209" spans="1:3" s="1" customFormat="1" ht="11.25">
      <c r="A209" s="59"/>
      <c r="C209" s="59"/>
    </row>
    <row r="210" spans="1:3" s="1" customFormat="1" ht="11.25">
      <c r="A210" s="59"/>
      <c r="C210" s="59"/>
    </row>
    <row r="211" spans="1:3" s="1" customFormat="1" ht="11.25">
      <c r="A211" s="59"/>
      <c r="C211" s="59"/>
    </row>
    <row r="212" spans="1:3" s="1" customFormat="1" ht="11.25">
      <c r="A212" s="59"/>
      <c r="C212" s="59"/>
    </row>
    <row r="213" spans="1:3" s="1" customFormat="1" ht="11.25">
      <c r="A213" s="59"/>
      <c r="C213" s="59"/>
    </row>
    <row r="214" spans="1:3" s="1" customFormat="1" ht="11.25">
      <c r="A214" s="59"/>
      <c r="C214" s="59"/>
    </row>
    <row r="215" spans="1:3" s="1" customFormat="1" ht="11.25">
      <c r="A215" s="59"/>
      <c r="C215" s="59"/>
    </row>
    <row r="216" spans="1:3" s="1" customFormat="1" ht="11.25">
      <c r="A216" s="59"/>
      <c r="C216" s="59"/>
    </row>
    <row r="217" spans="1:3" s="1" customFormat="1" ht="11.25">
      <c r="A217" s="59"/>
      <c r="C217" s="59"/>
    </row>
    <row r="218" spans="1:3" s="1" customFormat="1" ht="11.25">
      <c r="A218" s="59"/>
      <c r="C218" s="59"/>
    </row>
    <row r="219" spans="1:3" s="1" customFormat="1" ht="11.25">
      <c r="A219" s="59"/>
      <c r="C219" s="59"/>
    </row>
    <row r="220" spans="1:3" s="1" customFormat="1" ht="11.25">
      <c r="A220" s="59"/>
      <c r="C220" s="59"/>
    </row>
    <row r="221" spans="1:3" s="1" customFormat="1" ht="11.25">
      <c r="A221" s="59"/>
      <c r="C221" s="59"/>
    </row>
    <row r="222" spans="1:3" s="1" customFormat="1" ht="11.25">
      <c r="A222" s="59"/>
      <c r="C222" s="59"/>
    </row>
    <row r="223" spans="1:3" s="1" customFormat="1" ht="11.25">
      <c r="A223" s="59"/>
      <c r="C223" s="59"/>
    </row>
    <row r="224" spans="1:3" s="1" customFormat="1" ht="11.25">
      <c r="A224" s="59"/>
      <c r="C224" s="59"/>
    </row>
    <row r="225" spans="1:3" s="1" customFormat="1" ht="11.25">
      <c r="A225" s="59"/>
      <c r="C225" s="59"/>
    </row>
    <row r="226" spans="1:3" s="1" customFormat="1" ht="11.25">
      <c r="A226" s="59"/>
      <c r="C226" s="59"/>
    </row>
    <row r="227" spans="1:3" s="1" customFormat="1" ht="11.25">
      <c r="A227" s="59"/>
      <c r="C227" s="59"/>
    </row>
    <row r="228" spans="1:3" s="1" customFormat="1" ht="11.25">
      <c r="A228" s="59"/>
      <c r="C228" s="59"/>
    </row>
    <row r="229" spans="1:3" s="1" customFormat="1" ht="11.25">
      <c r="A229" s="59"/>
      <c r="C229" s="59"/>
    </row>
    <row r="230" spans="1:3" s="1" customFormat="1" ht="11.25">
      <c r="A230" s="59"/>
      <c r="C230" s="59"/>
    </row>
    <row r="231" spans="1:3" s="1" customFormat="1" ht="11.25">
      <c r="A231" s="59"/>
      <c r="C231" s="59"/>
    </row>
    <row r="232" spans="1:3" s="1" customFormat="1" ht="11.25">
      <c r="A232" s="59"/>
      <c r="C232" s="59"/>
    </row>
    <row r="233" spans="1:3" s="1" customFormat="1" ht="11.25">
      <c r="A233" s="59"/>
      <c r="C233" s="59"/>
    </row>
    <row r="234" spans="1:3" s="1" customFormat="1" ht="11.25">
      <c r="A234" s="59"/>
      <c r="C234" s="59"/>
    </row>
    <row r="235" spans="1:3" s="1" customFormat="1" ht="11.25">
      <c r="A235" s="59"/>
      <c r="C235" s="59"/>
    </row>
  </sheetData>
  <sheetProtection/>
  <autoFilter ref="A6:Z6"/>
  <mergeCells count="161">
    <mergeCell ref="Y130:Y132"/>
    <mergeCell ref="Z130:Z132"/>
    <mergeCell ref="X1:Y1"/>
    <mergeCell ref="X2:Y2"/>
    <mergeCell ref="Z3:Z5"/>
    <mergeCell ref="N3:N5"/>
    <mergeCell ref="O3:O5"/>
    <mergeCell ref="P3:Y3"/>
    <mergeCell ref="W4:W5"/>
    <mergeCell ref="X4:Y5"/>
    <mergeCell ref="N84:N86"/>
    <mergeCell ref="Y60:Y62"/>
    <mergeCell ref="Z60:Z62"/>
    <mergeCell ref="Y63:Y65"/>
    <mergeCell ref="Z63:Z65"/>
    <mergeCell ref="Y66:Y68"/>
    <mergeCell ref="Z66:Z68"/>
    <mergeCell ref="N76:N78"/>
    <mergeCell ref="Y84:Y86"/>
    <mergeCell ref="Z84:Z86"/>
    <mergeCell ref="Z110:Z112"/>
    <mergeCell ref="Y114:Y116"/>
    <mergeCell ref="Z70:Z72"/>
    <mergeCell ref="Y76:Y78"/>
    <mergeCell ref="N196:N198"/>
    <mergeCell ref="J1:K1"/>
    <mergeCell ref="J2:K2"/>
    <mergeCell ref="J4:K5"/>
    <mergeCell ref="Y117:Y119"/>
    <mergeCell ref="Z117:Z119"/>
    <mergeCell ref="Y121:Y123"/>
    <mergeCell ref="Y94:Y96"/>
    <mergeCell ref="Z94:Z96"/>
    <mergeCell ref="N79:N81"/>
    <mergeCell ref="Z76:Z78"/>
    <mergeCell ref="N20:N22"/>
    <mergeCell ref="N49:N51"/>
    <mergeCell ref="Y70:Y72"/>
    <mergeCell ref="Y49:Y51"/>
    <mergeCell ref="Z8:Z10"/>
    <mergeCell ref="Z17:Z19"/>
    <mergeCell ref="Y57:Y59"/>
    <mergeCell ref="Z57:Z59"/>
    <mergeCell ref="Y20:Y22"/>
    <mergeCell ref="L3:L5"/>
    <mergeCell ref="Z114:Z116"/>
    <mergeCell ref="Y79:Y81"/>
    <mergeCell ref="Z79:Z81"/>
    <mergeCell ref="Z121:Z123"/>
    <mergeCell ref="Y101:Y103"/>
    <mergeCell ref="Z101:Z103"/>
    <mergeCell ref="Y125:Y127"/>
    <mergeCell ref="Z125:Z127"/>
    <mergeCell ref="Y107:Y109"/>
    <mergeCell ref="Z107:Z109"/>
    <mergeCell ref="Y110:Y112"/>
    <mergeCell ref="P4:P5"/>
    <mergeCell ref="Q4:Q5"/>
    <mergeCell ref="R4:R5"/>
    <mergeCell ref="S4:T4"/>
    <mergeCell ref="U4:U5"/>
    <mergeCell ref="V4:V5"/>
    <mergeCell ref="Z20:Z22"/>
    <mergeCell ref="Z23:Z25"/>
    <mergeCell ref="Z49:Z51"/>
    <mergeCell ref="Y8:Y10"/>
    <mergeCell ref="Y17:Y19"/>
    <mergeCell ref="Y23:Y25"/>
    <mergeCell ref="D4:D5"/>
    <mergeCell ref="E4:F4"/>
    <mergeCell ref="G4:G5"/>
    <mergeCell ref="H4:H5"/>
    <mergeCell ref="I4:I5"/>
    <mergeCell ref="A3:A5"/>
    <mergeCell ref="B3:B5"/>
    <mergeCell ref="C3:K3"/>
    <mergeCell ref="C4:C5"/>
    <mergeCell ref="A49:A51"/>
    <mergeCell ref="A8:A10"/>
    <mergeCell ref="L8:L10"/>
    <mergeCell ref="A17:A19"/>
    <mergeCell ref="L17:L19"/>
    <mergeCell ref="L20:L22"/>
    <mergeCell ref="L23:L25"/>
    <mergeCell ref="A20:A22"/>
    <mergeCell ref="N94:N96"/>
    <mergeCell ref="N66:N68"/>
    <mergeCell ref="N70:N72"/>
    <mergeCell ref="N23:N25"/>
    <mergeCell ref="N57:N59"/>
    <mergeCell ref="N60:N62"/>
    <mergeCell ref="N63:N65"/>
    <mergeCell ref="K8:K10"/>
    <mergeCell ref="K17:K19"/>
    <mergeCell ref="K20:K22"/>
    <mergeCell ref="K23:K25"/>
    <mergeCell ref="A23:A25"/>
    <mergeCell ref="K49:K51"/>
    <mergeCell ref="N8:N10"/>
    <mergeCell ref="N17:N19"/>
    <mergeCell ref="L49:L51"/>
    <mergeCell ref="N130:N132"/>
    <mergeCell ref="N125:N127"/>
    <mergeCell ref="N121:N123"/>
    <mergeCell ref="N117:N119"/>
    <mergeCell ref="K101:K103"/>
    <mergeCell ref="L101:L103"/>
    <mergeCell ref="L107:L109"/>
    <mergeCell ref="K110:K112"/>
    <mergeCell ref="L110:L112"/>
    <mergeCell ref="K114:K116"/>
    <mergeCell ref="L114:L116"/>
    <mergeCell ref="N107:N109"/>
    <mergeCell ref="L130:L132"/>
    <mergeCell ref="N114:N116"/>
    <mergeCell ref="N101:N103"/>
    <mergeCell ref="N110:N112"/>
    <mergeCell ref="L60:L62"/>
    <mergeCell ref="K63:K65"/>
    <mergeCell ref="L63:L65"/>
    <mergeCell ref="L125:L127"/>
    <mergeCell ref="A117:A119"/>
    <mergeCell ref="A121:A123"/>
    <mergeCell ref="L66:L68"/>
    <mergeCell ref="K84:K86"/>
    <mergeCell ref="L84:L86"/>
    <mergeCell ref="K94:K96"/>
    <mergeCell ref="L94:L96"/>
    <mergeCell ref="A196:A198"/>
    <mergeCell ref="K117:K119"/>
    <mergeCell ref="L117:L119"/>
    <mergeCell ref="K121:K123"/>
    <mergeCell ref="L121:L123"/>
    <mergeCell ref="K125:K127"/>
    <mergeCell ref="L76:L78"/>
    <mergeCell ref="K79:K81"/>
    <mergeCell ref="L79:L81"/>
    <mergeCell ref="L70:L72"/>
    <mergeCell ref="K76:K78"/>
    <mergeCell ref="A130:A132"/>
    <mergeCell ref="A60:A62"/>
    <mergeCell ref="A57:A59"/>
    <mergeCell ref="A63:A65"/>
    <mergeCell ref="A66:A68"/>
    <mergeCell ref="A70:A72"/>
    <mergeCell ref="A76:A78"/>
    <mergeCell ref="A79:A81"/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  <mergeCell ref="L57:L59"/>
    <mergeCell ref="K66:K68"/>
    <mergeCell ref="K57:K59"/>
    <mergeCell ref="K60:K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2011-10-18T09:06:36Z</dcterms:modified>
  <cp:category/>
  <cp:version/>
  <cp:contentType/>
  <cp:contentStatus/>
</cp:coreProperties>
</file>