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400" windowHeight="14595"/>
  </bookViews>
  <sheets>
    <sheet name="Смоленскэнерго" sheetId="1" r:id="rId1"/>
    <sheet name="Свод. тек. дефицит март 2012" sheetId="2" r:id="rId2"/>
    <sheet name="Свод. ожид. деф.март 2012" sheetId="3" r:id="rId3"/>
    <sheet name="Лист1" sheetId="4" state="hidden" r:id="rId4"/>
  </sheets>
  <externalReferences>
    <externalReference r:id="rId5"/>
  </externalReferences>
  <definedNames>
    <definedName name="_xlnm._FilterDatabase" localSheetId="0" hidden="1">Смоленскэнерго!$A$3:$AE$379</definedName>
  </definedNames>
  <calcPr calcId="125725"/>
</workbook>
</file>

<file path=xl/calcChain.xml><?xml version="1.0" encoding="utf-8"?>
<calcChain xmlns="http://schemas.openxmlformats.org/spreadsheetml/2006/main">
  <c r="T310" i="1"/>
  <c r="T247"/>
  <c r="F50" i="3"/>
  <c r="D50"/>
  <c r="S165" i="1"/>
  <c r="S163"/>
  <c r="U165"/>
  <c r="S81"/>
  <c r="U81"/>
  <c r="X81"/>
  <c r="AA81"/>
  <c r="S79"/>
  <c r="F23" i="3"/>
  <c r="D23"/>
  <c r="F13"/>
  <c r="D13"/>
  <c r="F7"/>
  <c r="T88" i="1"/>
  <c r="T90"/>
  <c r="S9"/>
  <c r="F49" i="3"/>
  <c r="F46"/>
  <c r="F45"/>
  <c r="F44"/>
  <c r="F41"/>
  <c r="F40"/>
  <c r="F39"/>
  <c r="F38"/>
  <c r="F35"/>
  <c r="F34"/>
  <c r="F31"/>
  <c r="F28"/>
  <c r="F27"/>
  <c r="F26"/>
  <c r="F22"/>
  <c r="F21"/>
  <c r="F18"/>
  <c r="F17"/>
  <c r="F16"/>
  <c r="F12"/>
  <c r="F11"/>
  <c r="F10"/>
  <c r="F9"/>
  <c r="F8"/>
  <c r="F6"/>
  <c r="F6" i="2"/>
  <c r="S376" i="1"/>
  <c r="S374"/>
  <c r="S375"/>
  <c r="S373"/>
  <c r="S372"/>
  <c r="S370"/>
  <c r="S371" s="1"/>
  <c r="U371" s="1"/>
  <c r="V371" s="1"/>
  <c r="S366"/>
  <c r="S367"/>
  <c r="S368"/>
  <c r="S369"/>
  <c r="S365"/>
  <c r="S364"/>
  <c r="S362"/>
  <c r="S363"/>
  <c r="S361"/>
  <c r="S360"/>
  <c r="S359"/>
  <c r="S357"/>
  <c r="S358"/>
  <c r="S356"/>
  <c r="S355"/>
  <c r="S354"/>
  <c r="S352"/>
  <c r="S353"/>
  <c r="U353"/>
  <c r="S351"/>
  <c r="S350"/>
  <c r="S348"/>
  <c r="S349"/>
  <c r="S346"/>
  <c r="S347"/>
  <c r="S345"/>
  <c r="S344"/>
  <c r="S342"/>
  <c r="S343"/>
  <c r="S335"/>
  <c r="S336"/>
  <c r="S337"/>
  <c r="S338"/>
  <c r="S339"/>
  <c r="S340"/>
  <c r="S341"/>
  <c r="S334"/>
  <c r="S333"/>
  <c r="S331"/>
  <c r="S332" s="1"/>
  <c r="U332" s="1"/>
  <c r="X332" s="1"/>
  <c r="AA332" s="1"/>
  <c r="S330"/>
  <c r="S329"/>
  <c r="S328"/>
  <c r="S326"/>
  <c r="S327"/>
  <c r="S325"/>
  <c r="S323"/>
  <c r="S320"/>
  <c r="S321"/>
  <c r="S322"/>
  <c r="S314"/>
  <c r="S315"/>
  <c r="S316"/>
  <c r="S317"/>
  <c r="S318"/>
  <c r="S319"/>
  <c r="S313"/>
  <c r="S309"/>
  <c r="S312"/>
  <c r="S310"/>
  <c r="S311"/>
  <c r="U311" s="1"/>
  <c r="X311" s="1"/>
  <c r="AA311" s="1"/>
  <c r="S308"/>
  <c r="S306"/>
  <c r="S307"/>
  <c r="S305"/>
  <c r="S303"/>
  <c r="S304"/>
  <c r="S300"/>
  <c r="S301"/>
  <c r="S302"/>
  <c r="S299"/>
  <c r="S293"/>
  <c r="S294"/>
  <c r="S295"/>
  <c r="S298"/>
  <c r="S296"/>
  <c r="S292"/>
  <c r="S291"/>
  <c r="S289"/>
  <c r="S290"/>
  <c r="S288"/>
  <c r="S287"/>
  <c r="S286"/>
  <c r="S284"/>
  <c r="S285"/>
  <c r="U285"/>
  <c r="S283"/>
  <c r="S282"/>
  <c r="S281"/>
  <c r="S279"/>
  <c r="S280"/>
  <c r="S277"/>
  <c r="S278"/>
  <c r="S276"/>
  <c r="S275"/>
  <c r="S273"/>
  <c r="S272"/>
  <c r="S271"/>
  <c r="S269"/>
  <c r="S270"/>
  <c r="S268"/>
  <c r="S267"/>
  <c r="S265"/>
  <c r="S266"/>
  <c r="S264"/>
  <c r="S263"/>
  <c r="S261"/>
  <c r="S262"/>
  <c r="S258"/>
  <c r="S259"/>
  <c r="S260"/>
  <c r="S257"/>
  <c r="S256"/>
  <c r="S254"/>
  <c r="S255"/>
  <c r="U255"/>
  <c r="X255"/>
  <c r="AA255"/>
  <c r="S250"/>
  <c r="S251"/>
  <c r="S252"/>
  <c r="S253"/>
  <c r="S249"/>
  <c r="S248"/>
  <c r="S246"/>
  <c r="S247" s="1"/>
  <c r="U247" s="1"/>
  <c r="X247" s="1"/>
  <c r="AA247" s="1"/>
  <c r="AB246" s="1"/>
  <c r="AC246" s="1"/>
  <c r="S244"/>
  <c r="S245"/>
  <c r="S243"/>
  <c r="S242"/>
  <c r="S240"/>
  <c r="S241"/>
  <c r="S238"/>
  <c r="S239"/>
  <c r="S237"/>
  <c r="S236"/>
  <c r="S234"/>
  <c r="S233"/>
  <c r="S232"/>
  <c r="S230"/>
  <c r="S231"/>
  <c r="S227"/>
  <c r="S228"/>
  <c r="S229"/>
  <c r="S226"/>
  <c r="S225"/>
  <c r="S223"/>
  <c r="S224"/>
  <c r="U224"/>
  <c r="S219"/>
  <c r="S220"/>
  <c r="S221"/>
  <c r="S222"/>
  <c r="S218"/>
  <c r="S217"/>
  <c r="S215"/>
  <c r="S216"/>
  <c r="U216"/>
  <c r="S214"/>
  <c r="S213"/>
  <c r="S212"/>
  <c r="S210"/>
  <c r="S211"/>
  <c r="S208"/>
  <c r="S209"/>
  <c r="S207"/>
  <c r="S206"/>
  <c r="S204"/>
  <c r="S205"/>
  <c r="S203"/>
  <c r="S202"/>
  <c r="S201"/>
  <c r="S199"/>
  <c r="S200"/>
  <c r="S198"/>
  <c r="S197"/>
  <c r="S196"/>
  <c r="S194"/>
  <c r="S195"/>
  <c r="S192"/>
  <c r="S193"/>
  <c r="S191"/>
  <c r="S190"/>
  <c r="S188"/>
  <c r="S183"/>
  <c r="S184"/>
  <c r="S185"/>
  <c r="S186"/>
  <c r="S187"/>
  <c r="S182"/>
  <c r="S181"/>
  <c r="S179"/>
  <c r="S178"/>
  <c r="S177"/>
  <c r="S176"/>
  <c r="S174"/>
  <c r="S175"/>
  <c r="S173"/>
  <c r="S172"/>
  <c r="S170"/>
  <c r="S161"/>
  <c r="S162"/>
  <c r="S166"/>
  <c r="S167"/>
  <c r="S168"/>
  <c r="S169"/>
  <c r="S160"/>
  <c r="S159"/>
  <c r="S157"/>
  <c r="S158"/>
  <c r="U158"/>
  <c r="S156"/>
  <c r="S154"/>
  <c r="S152"/>
  <c r="S153"/>
  <c r="S151"/>
  <c r="S150"/>
  <c r="S148"/>
  <c r="S149"/>
  <c r="S147"/>
  <c r="S146"/>
  <c r="S144"/>
  <c r="S142"/>
  <c r="S143"/>
  <c r="S141"/>
  <c r="S140"/>
  <c r="S138"/>
  <c r="S139"/>
  <c r="S137"/>
  <c r="S136"/>
  <c r="S134"/>
  <c r="S133"/>
  <c r="S132"/>
  <c r="S131"/>
  <c r="S129"/>
  <c r="S128"/>
  <c r="S126"/>
  <c r="S124"/>
  <c r="S125"/>
  <c r="S127"/>
  <c r="S123"/>
  <c r="S121"/>
  <c r="S120"/>
  <c r="S118"/>
  <c r="S117"/>
  <c r="S115"/>
  <c r="S113"/>
  <c r="S114"/>
  <c r="S112"/>
  <c r="S110"/>
  <c r="S109"/>
  <c r="S108"/>
  <c r="S107"/>
  <c r="S105"/>
  <c r="S106"/>
  <c r="S103"/>
  <c r="S104"/>
  <c r="S102"/>
  <c r="S101"/>
  <c r="S99"/>
  <c r="S100"/>
  <c r="S98"/>
  <c r="S97"/>
  <c r="S96"/>
  <c r="S94"/>
  <c r="S95"/>
  <c r="S92"/>
  <c r="S93"/>
  <c r="S91"/>
  <c r="S90"/>
  <c r="S88"/>
  <c r="S83"/>
  <c r="S84"/>
  <c r="S85"/>
  <c r="S86"/>
  <c r="S87"/>
  <c r="S82"/>
  <c r="S66"/>
  <c r="S67"/>
  <c r="S68"/>
  <c r="S69"/>
  <c r="S70"/>
  <c r="S71"/>
  <c r="S72"/>
  <c r="S73"/>
  <c r="S74"/>
  <c r="S75"/>
  <c r="S76"/>
  <c r="S77"/>
  <c r="S65"/>
  <c r="S64"/>
  <c r="S62"/>
  <c r="S63"/>
  <c r="U63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15"/>
  <c r="S14"/>
  <c r="S12"/>
  <c r="S10"/>
  <c r="S11"/>
  <c r="L13"/>
  <c r="L14"/>
  <c r="U83"/>
  <c r="U84"/>
  <c r="G214"/>
  <c r="E311"/>
  <c r="U88"/>
  <c r="U209"/>
  <c r="U60"/>
  <c r="S13"/>
  <c r="G354"/>
  <c r="D270"/>
  <c r="U270"/>
  <c r="D285"/>
  <c r="D280"/>
  <c r="E280"/>
  <c r="D307"/>
  <c r="D297"/>
  <c r="D304"/>
  <c r="D290"/>
  <c r="E290"/>
  <c r="E289"/>
  <c r="G289"/>
  <c r="J289"/>
  <c r="D266"/>
  <c r="D262"/>
  <c r="U262"/>
  <c r="D274"/>
  <c r="D255"/>
  <c r="D247"/>
  <c r="D375"/>
  <c r="E375"/>
  <c r="D371"/>
  <c r="D363"/>
  <c r="D358"/>
  <c r="D353"/>
  <c r="D349"/>
  <c r="D343"/>
  <c r="E343"/>
  <c r="E342"/>
  <c r="G342"/>
  <c r="J342"/>
  <c r="D332"/>
  <c r="D327"/>
  <c r="D324"/>
  <c r="D311"/>
  <c r="D235"/>
  <c r="D241"/>
  <c r="D231"/>
  <c r="D224"/>
  <c r="D216"/>
  <c r="D211"/>
  <c r="D205"/>
  <c r="D200"/>
  <c r="U200"/>
  <c r="D195"/>
  <c r="D189"/>
  <c r="D180"/>
  <c r="D122"/>
  <c r="E122"/>
  <c r="D119"/>
  <c r="D116"/>
  <c r="D80"/>
  <c r="E80"/>
  <c r="D111"/>
  <c r="D164"/>
  <c r="D106"/>
  <c r="D175"/>
  <c r="D155"/>
  <c r="D13"/>
  <c r="D135"/>
  <c r="D139"/>
  <c r="D100"/>
  <c r="D95"/>
  <c r="D130"/>
  <c r="E130"/>
  <c r="D125"/>
  <c r="D158"/>
  <c r="E158"/>
  <c r="D89"/>
  <c r="D149"/>
  <c r="E149"/>
  <c r="D171"/>
  <c r="D145"/>
  <c r="U343"/>
  <c r="U142"/>
  <c r="U120"/>
  <c r="U108"/>
  <c r="U101"/>
  <c r="U99"/>
  <c r="P144"/>
  <c r="Z104"/>
  <c r="V104"/>
  <c r="U104"/>
  <c r="I104"/>
  <c r="G104"/>
  <c r="J104"/>
  <c r="K104"/>
  <c r="D10" i="2"/>
  <c r="P12" i="1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5"/>
  <c r="P66"/>
  <c r="P67"/>
  <c r="P68"/>
  <c r="P69"/>
  <c r="P70"/>
  <c r="P71"/>
  <c r="P72"/>
  <c r="P73"/>
  <c r="P74"/>
  <c r="P75"/>
  <c r="P76"/>
  <c r="P77"/>
  <c r="A144"/>
  <c r="V355"/>
  <c r="U355"/>
  <c r="G355"/>
  <c r="J355"/>
  <c r="K355"/>
  <c r="V137"/>
  <c r="U137"/>
  <c r="G137"/>
  <c r="J137"/>
  <c r="K137"/>
  <c r="V361"/>
  <c r="U361"/>
  <c r="G361"/>
  <c r="J361"/>
  <c r="K361"/>
  <c r="V53"/>
  <c r="Z53"/>
  <c r="U53"/>
  <c r="G53"/>
  <c r="I53"/>
  <c r="J53"/>
  <c r="K53"/>
  <c r="U82"/>
  <c r="U85"/>
  <c r="U86"/>
  <c r="U87"/>
  <c r="U90"/>
  <c r="U91"/>
  <c r="U92"/>
  <c r="U93"/>
  <c r="U94"/>
  <c r="U96"/>
  <c r="U97"/>
  <c r="U98"/>
  <c r="U102"/>
  <c r="U103"/>
  <c r="U105"/>
  <c r="U107"/>
  <c r="U109"/>
  <c r="U110"/>
  <c r="U112"/>
  <c r="U113"/>
  <c r="U114"/>
  <c r="U115"/>
  <c r="U117"/>
  <c r="U118"/>
  <c r="U121"/>
  <c r="U123"/>
  <c r="U124"/>
  <c r="U126"/>
  <c r="U127"/>
  <c r="U128"/>
  <c r="U129"/>
  <c r="U131"/>
  <c r="U132"/>
  <c r="U133"/>
  <c r="U134"/>
  <c r="U136"/>
  <c r="U138"/>
  <c r="U140"/>
  <c r="U141"/>
  <c r="U143"/>
  <c r="U144"/>
  <c r="U146"/>
  <c r="U147"/>
  <c r="U148"/>
  <c r="U150"/>
  <c r="U151"/>
  <c r="U152"/>
  <c r="U153"/>
  <c r="U154"/>
  <c r="U156"/>
  <c r="U157"/>
  <c r="U159"/>
  <c r="U160"/>
  <c r="U161"/>
  <c r="U162"/>
  <c r="U166"/>
  <c r="U167"/>
  <c r="U168"/>
  <c r="U169"/>
  <c r="U170"/>
  <c r="U172"/>
  <c r="U173"/>
  <c r="U174"/>
  <c r="U176"/>
  <c r="U177"/>
  <c r="U178"/>
  <c r="U179"/>
  <c r="U181"/>
  <c r="U182"/>
  <c r="U183"/>
  <c r="U184"/>
  <c r="U185"/>
  <c r="U186"/>
  <c r="U187"/>
  <c r="U188"/>
  <c r="U190"/>
  <c r="U191"/>
  <c r="U192"/>
  <c r="U193"/>
  <c r="U194"/>
  <c r="U196"/>
  <c r="U197"/>
  <c r="U198"/>
  <c r="U199"/>
  <c r="U201"/>
  <c r="U202"/>
  <c r="U203"/>
  <c r="U204"/>
  <c r="U206"/>
  <c r="U207"/>
  <c r="U208"/>
  <c r="U210"/>
  <c r="U212"/>
  <c r="U213"/>
  <c r="U214"/>
  <c r="U215"/>
  <c r="U217"/>
  <c r="U218"/>
  <c r="U219"/>
  <c r="U220"/>
  <c r="U221"/>
  <c r="U222"/>
  <c r="U223"/>
  <c r="U225"/>
  <c r="U226"/>
  <c r="U227"/>
  <c r="U228"/>
  <c r="U229"/>
  <c r="U230"/>
  <c r="U232"/>
  <c r="U233"/>
  <c r="U234"/>
  <c r="U236"/>
  <c r="U237"/>
  <c r="U238"/>
  <c r="U239"/>
  <c r="U240"/>
  <c r="U242"/>
  <c r="U243"/>
  <c r="U244"/>
  <c r="U245"/>
  <c r="U246"/>
  <c r="U248"/>
  <c r="U249"/>
  <c r="U250"/>
  <c r="U251"/>
  <c r="U252"/>
  <c r="U253"/>
  <c r="U254"/>
  <c r="U256"/>
  <c r="U257"/>
  <c r="U258"/>
  <c r="U259"/>
  <c r="U260"/>
  <c r="U261"/>
  <c r="U263"/>
  <c r="U264"/>
  <c r="U265"/>
  <c r="U267"/>
  <c r="U268"/>
  <c r="U269"/>
  <c r="U271"/>
  <c r="U272"/>
  <c r="U273"/>
  <c r="U275"/>
  <c r="U276"/>
  <c r="U277"/>
  <c r="U278"/>
  <c r="U279"/>
  <c r="U281"/>
  <c r="U282"/>
  <c r="U283"/>
  <c r="U284"/>
  <c r="U286"/>
  <c r="U287"/>
  <c r="U288"/>
  <c r="U289"/>
  <c r="U291"/>
  <c r="U292"/>
  <c r="U293"/>
  <c r="U294"/>
  <c r="U295"/>
  <c r="U296"/>
  <c r="U298"/>
  <c r="U299"/>
  <c r="U300"/>
  <c r="U301"/>
  <c r="U302"/>
  <c r="U303"/>
  <c r="U305"/>
  <c r="U306"/>
  <c r="U308"/>
  <c r="U309"/>
  <c r="U310"/>
  <c r="U312"/>
  <c r="U313"/>
  <c r="U314"/>
  <c r="U315"/>
  <c r="U316"/>
  <c r="U317"/>
  <c r="U318"/>
  <c r="U319"/>
  <c r="U320"/>
  <c r="U321"/>
  <c r="U322"/>
  <c r="U323"/>
  <c r="U325"/>
  <c r="U326"/>
  <c r="U328"/>
  <c r="U329"/>
  <c r="U330"/>
  <c r="U331"/>
  <c r="U333"/>
  <c r="U334"/>
  <c r="U335"/>
  <c r="U336"/>
  <c r="U337"/>
  <c r="U338"/>
  <c r="U339"/>
  <c r="U340"/>
  <c r="U341"/>
  <c r="U342"/>
  <c r="U344"/>
  <c r="U345"/>
  <c r="U346"/>
  <c r="U347"/>
  <c r="U348"/>
  <c r="U350"/>
  <c r="U351"/>
  <c r="U352"/>
  <c r="U354"/>
  <c r="U356"/>
  <c r="U357"/>
  <c r="U359"/>
  <c r="U360"/>
  <c r="U362"/>
  <c r="U364"/>
  <c r="U365"/>
  <c r="U366"/>
  <c r="U367"/>
  <c r="U368"/>
  <c r="U369"/>
  <c r="U370"/>
  <c r="U372"/>
  <c r="U373"/>
  <c r="U374"/>
  <c r="U375"/>
  <c r="V375"/>
  <c r="U376"/>
  <c r="U66"/>
  <c r="U67"/>
  <c r="U68"/>
  <c r="U69"/>
  <c r="U70"/>
  <c r="U71"/>
  <c r="U72"/>
  <c r="U73"/>
  <c r="U74"/>
  <c r="U75"/>
  <c r="U76"/>
  <c r="U77"/>
  <c r="U62"/>
  <c r="U64"/>
  <c r="U6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4"/>
  <c r="U55"/>
  <c r="U56"/>
  <c r="U57"/>
  <c r="U58"/>
  <c r="U59"/>
  <c r="U61"/>
  <c r="U15"/>
  <c r="U13"/>
  <c r="V13"/>
  <c r="U14"/>
  <c r="U12"/>
  <c r="V12"/>
  <c r="U11"/>
  <c r="U10"/>
  <c r="U9"/>
  <c r="V373"/>
  <c r="X373"/>
  <c r="AA373"/>
  <c r="AB373"/>
  <c r="AC373"/>
  <c r="V366"/>
  <c r="X366"/>
  <c r="AA366"/>
  <c r="AB366"/>
  <c r="AC366"/>
  <c r="V367"/>
  <c r="X367"/>
  <c r="AA367"/>
  <c r="AB367"/>
  <c r="AC367"/>
  <c r="V368"/>
  <c r="X368"/>
  <c r="AA368"/>
  <c r="AB368"/>
  <c r="AC368"/>
  <c r="V369"/>
  <c r="X369"/>
  <c r="AA369"/>
  <c r="AB369"/>
  <c r="AC369"/>
  <c r="V365"/>
  <c r="X365"/>
  <c r="V360"/>
  <c r="V356"/>
  <c r="X356"/>
  <c r="AA356"/>
  <c r="AB356"/>
  <c r="AC356"/>
  <c r="V351"/>
  <c r="V346"/>
  <c r="V347"/>
  <c r="V345"/>
  <c r="V335"/>
  <c r="V336"/>
  <c r="V337"/>
  <c r="V338"/>
  <c r="V339"/>
  <c r="V340"/>
  <c r="V341"/>
  <c r="V334"/>
  <c r="V330"/>
  <c r="V329"/>
  <c r="X329"/>
  <c r="AA329"/>
  <c r="AB329"/>
  <c r="AC329"/>
  <c r="V314"/>
  <c r="V315"/>
  <c r="X315"/>
  <c r="AA315"/>
  <c r="AB315"/>
  <c r="AC315"/>
  <c r="V316"/>
  <c r="V317"/>
  <c r="X317"/>
  <c r="AA317"/>
  <c r="AB317"/>
  <c r="AC317"/>
  <c r="V318"/>
  <c r="V319"/>
  <c r="V320"/>
  <c r="V321"/>
  <c r="V322"/>
  <c r="V313"/>
  <c r="X313"/>
  <c r="AA313" s="1"/>
  <c r="AB313" s="1"/>
  <c r="AC313" s="1"/>
  <c r="V309"/>
  <c r="V300"/>
  <c r="V301"/>
  <c r="V302"/>
  <c r="V299"/>
  <c r="V293"/>
  <c r="V294"/>
  <c r="V295"/>
  <c r="V292"/>
  <c r="V288"/>
  <c r="V287"/>
  <c r="X287"/>
  <c r="AA287"/>
  <c r="AB287"/>
  <c r="AC287"/>
  <c r="V283"/>
  <c r="V282"/>
  <c r="V277"/>
  <c r="V278"/>
  <c r="V276"/>
  <c r="V272"/>
  <c r="X272"/>
  <c r="AA272"/>
  <c r="AB272"/>
  <c r="AC272"/>
  <c r="V268"/>
  <c r="V264"/>
  <c r="X264"/>
  <c r="AA264"/>
  <c r="AB264"/>
  <c r="AC264"/>
  <c r="V258"/>
  <c r="V259"/>
  <c r="V260"/>
  <c r="V257"/>
  <c r="V250"/>
  <c r="V251"/>
  <c r="V252"/>
  <c r="V253"/>
  <c r="V249"/>
  <c r="V244"/>
  <c r="V245"/>
  <c r="V243"/>
  <c r="V238"/>
  <c r="V239"/>
  <c r="V237"/>
  <c r="V233"/>
  <c r="V227"/>
  <c r="V228"/>
  <c r="V229"/>
  <c r="V226"/>
  <c r="V219"/>
  <c r="V220"/>
  <c r="V221"/>
  <c r="V222"/>
  <c r="V218"/>
  <c r="V214"/>
  <c r="V213"/>
  <c r="V208"/>
  <c r="V209"/>
  <c r="V207"/>
  <c r="V203"/>
  <c r="X203"/>
  <c r="AA203"/>
  <c r="AB203"/>
  <c r="AC203"/>
  <c r="V202"/>
  <c r="V198"/>
  <c r="V197"/>
  <c r="V192"/>
  <c r="V193"/>
  <c r="V191"/>
  <c r="W191"/>
  <c r="V183"/>
  <c r="V184"/>
  <c r="X184"/>
  <c r="AA184" s="1"/>
  <c r="AB184" s="1"/>
  <c r="AC184" s="1"/>
  <c r="V185"/>
  <c r="V186"/>
  <c r="X186"/>
  <c r="AA186"/>
  <c r="AB186"/>
  <c r="AC186"/>
  <c r="V187"/>
  <c r="V182"/>
  <c r="X182"/>
  <c r="AA182"/>
  <c r="AB182"/>
  <c r="AC182"/>
  <c r="V178"/>
  <c r="V177"/>
  <c r="V173"/>
  <c r="V167"/>
  <c r="V168"/>
  <c r="V169"/>
  <c r="X169"/>
  <c r="AA169"/>
  <c r="AB169"/>
  <c r="AC169"/>
  <c r="V166"/>
  <c r="V161"/>
  <c r="V162"/>
  <c r="V160"/>
  <c r="X160"/>
  <c r="AA160"/>
  <c r="AB160"/>
  <c r="AC160"/>
  <c r="V152"/>
  <c r="V153"/>
  <c r="V151"/>
  <c r="V147"/>
  <c r="V142"/>
  <c r="V143"/>
  <c r="V141"/>
  <c r="V133"/>
  <c r="V132"/>
  <c r="V128"/>
  <c r="V127"/>
  <c r="V114"/>
  <c r="X114"/>
  <c r="AA114"/>
  <c r="AB114"/>
  <c r="V113"/>
  <c r="V109"/>
  <c r="V108"/>
  <c r="V103"/>
  <c r="V102"/>
  <c r="E371"/>
  <c r="E370"/>
  <c r="G370"/>
  <c r="J370"/>
  <c r="E358"/>
  <c r="E353"/>
  <c r="E349"/>
  <c r="E324"/>
  <c r="E323"/>
  <c r="G323"/>
  <c r="J323"/>
  <c r="E274"/>
  <c r="E273"/>
  <c r="G273"/>
  <c r="J273"/>
  <c r="E231"/>
  <c r="E230"/>
  <c r="G230"/>
  <c r="J230"/>
  <c r="E235"/>
  <c r="E216"/>
  <c r="E215"/>
  <c r="G215"/>
  <c r="J215"/>
  <c r="K215"/>
  <c r="L215"/>
  <c r="E200"/>
  <c r="E199"/>
  <c r="G199"/>
  <c r="J199"/>
  <c r="E195"/>
  <c r="E189"/>
  <c r="G189"/>
  <c r="J189"/>
  <c r="E180"/>
  <c r="E175"/>
  <c r="G175"/>
  <c r="J175"/>
  <c r="E171"/>
  <c r="E164"/>
  <c r="G164"/>
  <c r="J164"/>
  <c r="E155"/>
  <c r="E154"/>
  <c r="G154"/>
  <c r="J154"/>
  <c r="E145"/>
  <c r="E144"/>
  <c r="G144"/>
  <c r="J144"/>
  <c r="E139"/>
  <c r="E135"/>
  <c r="G135"/>
  <c r="J135"/>
  <c r="E125"/>
  <c r="G125"/>
  <c r="J125"/>
  <c r="E111"/>
  <c r="E110"/>
  <c r="G110"/>
  <c r="J110"/>
  <c r="K110"/>
  <c r="L110"/>
  <c r="E100"/>
  <c r="G100"/>
  <c r="J100"/>
  <c r="V98"/>
  <c r="V97"/>
  <c r="E95"/>
  <c r="V92"/>
  <c r="V93"/>
  <c r="V91"/>
  <c r="X91"/>
  <c r="AA91"/>
  <c r="AB91" s="1"/>
  <c r="V90"/>
  <c r="V83"/>
  <c r="V84"/>
  <c r="V85"/>
  <c r="V86"/>
  <c r="V87"/>
  <c r="X87"/>
  <c r="AA87"/>
  <c r="AB87"/>
  <c r="V82"/>
  <c r="V74"/>
  <c r="X74"/>
  <c r="V75"/>
  <c r="V76"/>
  <c r="X76"/>
  <c r="V77"/>
  <c r="V67"/>
  <c r="V68"/>
  <c r="V69"/>
  <c r="V70"/>
  <c r="X70"/>
  <c r="V71"/>
  <c r="Z71"/>
  <c r="AA71"/>
  <c r="AB71"/>
  <c r="AC71"/>
  <c r="V72"/>
  <c r="V73"/>
  <c r="V66"/>
  <c r="V65"/>
  <c r="V16"/>
  <c r="V17"/>
  <c r="V18"/>
  <c r="V19"/>
  <c r="V20"/>
  <c r="V21"/>
  <c r="V22"/>
  <c r="V23"/>
  <c r="V24"/>
  <c r="V25"/>
  <c r="V26"/>
  <c r="V27"/>
  <c r="V28"/>
  <c r="V29"/>
  <c r="Z29"/>
  <c r="AA29"/>
  <c r="AB29"/>
  <c r="AC29"/>
  <c r="V30"/>
  <c r="V31"/>
  <c r="Z31"/>
  <c r="AA31"/>
  <c r="AB31"/>
  <c r="AC31"/>
  <c r="V32"/>
  <c r="V33"/>
  <c r="Z33"/>
  <c r="AA33"/>
  <c r="AB33"/>
  <c r="AC33"/>
  <c r="V34"/>
  <c r="V35"/>
  <c r="X35"/>
  <c r="V36"/>
  <c r="V37"/>
  <c r="V38"/>
  <c r="V39"/>
  <c r="Z39"/>
  <c r="AA39"/>
  <c r="AB39"/>
  <c r="AC39"/>
  <c r="V40"/>
  <c r="V41"/>
  <c r="X41"/>
  <c r="V42"/>
  <c r="Z42"/>
  <c r="AA42"/>
  <c r="AB42"/>
  <c r="AC42"/>
  <c r="V43"/>
  <c r="Z43"/>
  <c r="AA43"/>
  <c r="AB43"/>
  <c r="V44"/>
  <c r="X44"/>
  <c r="V45"/>
  <c r="V46"/>
  <c r="X46"/>
  <c r="V47"/>
  <c r="X47"/>
  <c r="V48"/>
  <c r="Z48"/>
  <c r="AA48"/>
  <c r="AB48"/>
  <c r="AC48"/>
  <c r="V49"/>
  <c r="V50"/>
  <c r="X50"/>
  <c r="V51"/>
  <c r="Z51"/>
  <c r="AA51"/>
  <c r="AB51"/>
  <c r="AC51"/>
  <c r="V52"/>
  <c r="X52"/>
  <c r="V54"/>
  <c r="V55"/>
  <c r="X55"/>
  <c r="V56"/>
  <c r="V57"/>
  <c r="Z57"/>
  <c r="AA57"/>
  <c r="AB57"/>
  <c r="AC57"/>
  <c r="V58"/>
  <c r="V59"/>
  <c r="X59"/>
  <c r="V60"/>
  <c r="Z60"/>
  <c r="AA60"/>
  <c r="AB60"/>
  <c r="AC60"/>
  <c r="V61"/>
  <c r="V15"/>
  <c r="Z15"/>
  <c r="AA15"/>
  <c r="AB15"/>
  <c r="AC15"/>
  <c r="V10"/>
  <c r="Z10"/>
  <c r="AA10"/>
  <c r="AB10"/>
  <c r="AC10"/>
  <c r="V11"/>
  <c r="Z11"/>
  <c r="AA11"/>
  <c r="AB11"/>
  <c r="AC11"/>
  <c r="V9"/>
  <c r="Z9"/>
  <c r="AA9"/>
  <c r="AB9"/>
  <c r="AC9"/>
  <c r="V81"/>
  <c r="U79"/>
  <c r="E64"/>
  <c r="G64"/>
  <c r="I64"/>
  <c r="J64"/>
  <c r="E63"/>
  <c r="E62"/>
  <c r="G62"/>
  <c r="I62"/>
  <c r="J62"/>
  <c r="E12"/>
  <c r="E13"/>
  <c r="E14"/>
  <c r="V248"/>
  <c r="V256"/>
  <c r="V254"/>
  <c r="X254"/>
  <c r="AA254"/>
  <c r="AB254"/>
  <c r="AC254"/>
  <c r="V263"/>
  <c r="V267"/>
  <c r="V271"/>
  <c r="V275"/>
  <c r="V281"/>
  <c r="V286"/>
  <c r="V291"/>
  <c r="V298"/>
  <c r="V305"/>
  <c r="V308"/>
  <c r="V312"/>
  <c r="V325"/>
  <c r="V328"/>
  <c r="V333"/>
  <c r="V331"/>
  <c r="X331"/>
  <c r="AA331" s="1"/>
  <c r="V344"/>
  <c r="V350"/>
  <c r="V354"/>
  <c r="V359"/>
  <c r="V364"/>
  <c r="V362"/>
  <c r="X362"/>
  <c r="AA362"/>
  <c r="V372"/>
  <c r="V376"/>
  <c r="V242"/>
  <c r="V236"/>
  <c r="V232"/>
  <c r="V225"/>
  <c r="V217"/>
  <c r="V212"/>
  <c r="V206"/>
  <c r="V204"/>
  <c r="X204"/>
  <c r="AA204"/>
  <c r="V201"/>
  <c r="V196"/>
  <c r="V190"/>
  <c r="V181"/>
  <c r="V176"/>
  <c r="V172"/>
  <c r="V165"/>
  <c r="V159"/>
  <c r="V156"/>
  <c r="V150"/>
  <c r="V146"/>
  <c r="V140"/>
  <c r="V136"/>
  <c r="V131"/>
  <c r="V126"/>
  <c r="V123"/>
  <c r="V120"/>
  <c r="V112"/>
  <c r="V107"/>
  <c r="V101"/>
  <c r="X101"/>
  <c r="AA101"/>
  <c r="V96"/>
  <c r="V64"/>
  <c r="V62"/>
  <c r="Z62"/>
  <c r="AA62"/>
  <c r="X56"/>
  <c r="X72"/>
  <c r="V14"/>
  <c r="X376"/>
  <c r="AA376"/>
  <c r="X372"/>
  <c r="AA372" s="1"/>
  <c r="Z365"/>
  <c r="X364"/>
  <c r="AA364"/>
  <c r="X360"/>
  <c r="AA360"/>
  <c r="AB360"/>
  <c r="AC360"/>
  <c r="X359"/>
  <c r="AA359"/>
  <c r="X354"/>
  <c r="AA354"/>
  <c r="X351"/>
  <c r="AA351"/>
  <c r="AB351"/>
  <c r="AC351"/>
  <c r="X350"/>
  <c r="AA350"/>
  <c r="X346"/>
  <c r="AA346"/>
  <c r="AB346"/>
  <c r="AC346"/>
  <c r="X344"/>
  <c r="AA344"/>
  <c r="X341"/>
  <c r="AA341"/>
  <c r="AB341"/>
  <c r="AC341"/>
  <c r="X340"/>
  <c r="AA340"/>
  <c r="AB340"/>
  <c r="AC340"/>
  <c r="X339"/>
  <c r="AA339"/>
  <c r="AB339"/>
  <c r="AC339"/>
  <c r="X338"/>
  <c r="AA338"/>
  <c r="AB338"/>
  <c r="AC338"/>
  <c r="X335"/>
  <c r="AA335"/>
  <c r="AB335"/>
  <c r="AC335"/>
  <c r="X333"/>
  <c r="AA333" s="1"/>
  <c r="X330"/>
  <c r="AA330"/>
  <c r="AB330"/>
  <c r="AC330"/>
  <c r="X328"/>
  <c r="AA328"/>
  <c r="X325"/>
  <c r="AA325"/>
  <c r="X321"/>
  <c r="AA321"/>
  <c r="AB321"/>
  <c r="AC321"/>
  <c r="X319"/>
  <c r="AA319"/>
  <c r="AB319"/>
  <c r="AC319"/>
  <c r="Z318"/>
  <c r="X318"/>
  <c r="X316"/>
  <c r="AA316"/>
  <c r="AB316"/>
  <c r="AC316"/>
  <c r="X314"/>
  <c r="AA314"/>
  <c r="AB314"/>
  <c r="AC314"/>
  <c r="X312"/>
  <c r="AA312"/>
  <c r="X309"/>
  <c r="AA309"/>
  <c r="AB309"/>
  <c r="AC309"/>
  <c r="X308"/>
  <c r="AA308"/>
  <c r="X305"/>
  <c r="AA305"/>
  <c r="X301"/>
  <c r="AA301"/>
  <c r="AB301"/>
  <c r="AC301"/>
  <c r="X299"/>
  <c r="AA299"/>
  <c r="AB299"/>
  <c r="AC299"/>
  <c r="X295"/>
  <c r="AA295"/>
  <c r="AB295"/>
  <c r="AC295"/>
  <c r="Z293"/>
  <c r="X293"/>
  <c r="AA293"/>
  <c r="AB293"/>
  <c r="AC293"/>
  <c r="X292"/>
  <c r="AA292"/>
  <c r="AB292"/>
  <c r="AC292"/>
  <c r="X291"/>
  <c r="AA291"/>
  <c r="X288"/>
  <c r="AA288" s="1"/>
  <c r="AB288" s="1"/>
  <c r="AC288" s="1"/>
  <c r="X286"/>
  <c r="AA286"/>
  <c r="X283"/>
  <c r="AA283"/>
  <c r="AB283"/>
  <c r="AC283"/>
  <c r="X282"/>
  <c r="AA282"/>
  <c r="AB282"/>
  <c r="AC282"/>
  <c r="X281"/>
  <c r="AA281"/>
  <c r="X278"/>
  <c r="AA278"/>
  <c r="AB278"/>
  <c r="AC278"/>
  <c r="X277"/>
  <c r="AA277"/>
  <c r="AB277"/>
  <c r="AC277"/>
  <c r="X276"/>
  <c r="AA276"/>
  <c r="AB276"/>
  <c r="AC276"/>
  <c r="X271"/>
  <c r="AA271"/>
  <c r="X268"/>
  <c r="AA268"/>
  <c r="AB268"/>
  <c r="AC268"/>
  <c r="X267"/>
  <c r="AA267"/>
  <c r="Z263"/>
  <c r="Z262"/>
  <c r="X260"/>
  <c r="AA260"/>
  <c r="AB260"/>
  <c r="AC260"/>
  <c r="X259"/>
  <c r="AA259"/>
  <c r="AB259"/>
  <c r="AC259"/>
  <c r="X258"/>
  <c r="AA258"/>
  <c r="AB258"/>
  <c r="AC258"/>
  <c r="X257"/>
  <c r="AA257"/>
  <c r="AB257"/>
  <c r="AC257"/>
  <c r="X256"/>
  <c r="AA256"/>
  <c r="X253"/>
  <c r="AA253"/>
  <c r="AB253"/>
  <c r="AC253"/>
  <c r="X252"/>
  <c r="AA252"/>
  <c r="AB252"/>
  <c r="AC252"/>
  <c r="X251"/>
  <c r="AA251"/>
  <c r="AB251"/>
  <c r="AC251"/>
  <c r="X250"/>
  <c r="AA250"/>
  <c r="AB250"/>
  <c r="AC250"/>
  <c r="X249"/>
  <c r="AA249"/>
  <c r="AB249"/>
  <c r="AC249"/>
  <c r="X248"/>
  <c r="AA248" s="1"/>
  <c r="X245"/>
  <c r="AA245"/>
  <c r="AB245"/>
  <c r="AC245"/>
  <c r="X243"/>
  <c r="AA243"/>
  <c r="AB243"/>
  <c r="AC243"/>
  <c r="X239"/>
  <c r="AA239"/>
  <c r="AB239"/>
  <c r="X237"/>
  <c r="AA237"/>
  <c r="AB237"/>
  <c r="AC237"/>
  <c r="X229"/>
  <c r="AA229"/>
  <c r="AB229"/>
  <c r="AC229"/>
  <c r="X227"/>
  <c r="AA227"/>
  <c r="AB227"/>
  <c r="AC227"/>
  <c r="X225"/>
  <c r="AA225"/>
  <c r="X221"/>
  <c r="AA221"/>
  <c r="AB221"/>
  <c r="AC221"/>
  <c r="X219"/>
  <c r="AA219"/>
  <c r="AB219"/>
  <c r="AC219"/>
  <c r="X217"/>
  <c r="AA217"/>
  <c r="X213"/>
  <c r="AA213"/>
  <c r="AB213"/>
  <c r="AC213"/>
  <c r="X209"/>
  <c r="AA209"/>
  <c r="AB209"/>
  <c r="AC209"/>
  <c r="X207"/>
  <c r="AA207"/>
  <c r="AB207"/>
  <c r="AC207"/>
  <c r="X202"/>
  <c r="AA202"/>
  <c r="AB202"/>
  <c r="AC202"/>
  <c r="X201"/>
  <c r="AA201"/>
  <c r="X198"/>
  <c r="AA198"/>
  <c r="AB198"/>
  <c r="AC198"/>
  <c r="Z196"/>
  <c r="X196"/>
  <c r="Z195"/>
  <c r="Z194"/>
  <c r="Z193"/>
  <c r="X192"/>
  <c r="AA192"/>
  <c r="AB192"/>
  <c r="AC192"/>
  <c r="Z190"/>
  <c r="X190"/>
  <c r="AA190"/>
  <c r="Z189"/>
  <c r="Z188"/>
  <c r="X187"/>
  <c r="AA187"/>
  <c r="AB187"/>
  <c r="AC187"/>
  <c r="X185"/>
  <c r="AA185"/>
  <c r="AB185"/>
  <c r="AC185"/>
  <c r="X183"/>
  <c r="AA183"/>
  <c r="AB183"/>
  <c r="AC183"/>
  <c r="X181"/>
  <c r="AA181"/>
  <c r="Z178"/>
  <c r="X177"/>
  <c r="AA177"/>
  <c r="AB177"/>
  <c r="AC177"/>
  <c r="X173"/>
  <c r="AA173"/>
  <c r="AB173"/>
  <c r="X168"/>
  <c r="AA168"/>
  <c r="AB168"/>
  <c r="AC168"/>
  <c r="Z167"/>
  <c r="X167"/>
  <c r="AA167"/>
  <c r="AB167"/>
  <c r="AC167"/>
  <c r="X165"/>
  <c r="AA165"/>
  <c r="X162"/>
  <c r="AA162"/>
  <c r="AB162"/>
  <c r="AC162"/>
  <c r="X161"/>
  <c r="AA161"/>
  <c r="AB161"/>
  <c r="AC161"/>
  <c r="X156"/>
  <c r="AA156"/>
  <c r="X153"/>
  <c r="AA153"/>
  <c r="AB153"/>
  <c r="AC153"/>
  <c r="X151"/>
  <c r="AA151"/>
  <c r="AB151"/>
  <c r="AC151"/>
  <c r="X146"/>
  <c r="AA146"/>
  <c r="X140"/>
  <c r="AA140"/>
  <c r="X136"/>
  <c r="AA136"/>
  <c r="X132"/>
  <c r="AA132"/>
  <c r="AB132"/>
  <c r="AC132"/>
  <c r="X127"/>
  <c r="AA127"/>
  <c r="AB127"/>
  <c r="AC127"/>
  <c r="Z126"/>
  <c r="X126"/>
  <c r="AA126"/>
  <c r="Z125"/>
  <c r="Z124"/>
  <c r="X123"/>
  <c r="AA123"/>
  <c r="V118"/>
  <c r="X118"/>
  <c r="AA118"/>
  <c r="V115"/>
  <c r="X113"/>
  <c r="AA113"/>
  <c r="AB113" s="1"/>
  <c r="X112"/>
  <c r="AA112"/>
  <c r="X109"/>
  <c r="AA109"/>
  <c r="AB109"/>
  <c r="X108"/>
  <c r="AA108"/>
  <c r="AB108"/>
  <c r="AC108"/>
  <c r="X107"/>
  <c r="AA107"/>
  <c r="Z102"/>
  <c r="X98"/>
  <c r="AA98"/>
  <c r="AB98"/>
  <c r="AC98"/>
  <c r="X96"/>
  <c r="AA96"/>
  <c r="Z93"/>
  <c r="X93"/>
  <c r="AA93"/>
  <c r="AB93"/>
  <c r="Z92"/>
  <c r="X92"/>
  <c r="Z90"/>
  <c r="Z89"/>
  <c r="Z88"/>
  <c r="Z87"/>
  <c r="Z86"/>
  <c r="Z85"/>
  <c r="Z84"/>
  <c r="X84"/>
  <c r="AA84"/>
  <c r="AB84"/>
  <c r="Z83"/>
  <c r="X83"/>
  <c r="AA83"/>
  <c r="AB83"/>
  <c r="AC83"/>
  <c r="Z82"/>
  <c r="X82"/>
  <c r="Z81"/>
  <c r="Z80"/>
  <c r="Z79"/>
  <c r="Z77"/>
  <c r="X77"/>
  <c r="Z75"/>
  <c r="AA75"/>
  <c r="AB75"/>
  <c r="AC75"/>
  <c r="Z74"/>
  <c r="Z73"/>
  <c r="AA73"/>
  <c r="AB73"/>
  <c r="AC73"/>
  <c r="Z72"/>
  <c r="AA72"/>
  <c r="AB72"/>
  <c r="AC72"/>
  <c r="X71"/>
  <c r="Z70"/>
  <c r="AA70"/>
  <c r="AB70"/>
  <c r="AC70"/>
  <c r="Z69"/>
  <c r="Z68"/>
  <c r="AA68"/>
  <c r="AB68"/>
  <c r="AC68"/>
  <c r="X68"/>
  <c r="Z67"/>
  <c r="Z66"/>
  <c r="AA66"/>
  <c r="AB66"/>
  <c r="AC66"/>
  <c r="X66"/>
  <c r="Z65"/>
  <c r="AA65"/>
  <c r="AB65"/>
  <c r="AC65"/>
  <c r="Z61"/>
  <c r="AA61"/>
  <c r="AB61"/>
  <c r="AC61"/>
  <c r="X60"/>
  <c r="Z59"/>
  <c r="Z58"/>
  <c r="AA58"/>
  <c r="AB58"/>
  <c r="X57"/>
  <c r="Z56"/>
  <c r="AA56"/>
  <c r="AB56"/>
  <c r="AC56"/>
  <c r="Z55"/>
  <c r="Z54"/>
  <c r="Z52"/>
  <c r="X51"/>
  <c r="Z50"/>
  <c r="Z49"/>
  <c r="AA49"/>
  <c r="AB49"/>
  <c r="AC49"/>
  <c r="X48"/>
  <c r="Z47"/>
  <c r="AA47"/>
  <c r="AB47"/>
  <c r="AC47"/>
  <c r="Z46"/>
  <c r="Z45"/>
  <c r="AA45"/>
  <c r="AB45"/>
  <c r="AC45"/>
  <c r="Z44"/>
  <c r="AA44"/>
  <c r="AB44"/>
  <c r="AC44"/>
  <c r="X43"/>
  <c r="X42"/>
  <c r="Z41"/>
  <c r="AA41"/>
  <c r="AB41"/>
  <c r="AC41"/>
  <c r="Z40"/>
  <c r="X40"/>
  <c r="Z38"/>
  <c r="AA38"/>
  <c r="AB38"/>
  <c r="AC38"/>
  <c r="X38"/>
  <c r="Z37"/>
  <c r="Z36"/>
  <c r="AA36"/>
  <c r="AB36"/>
  <c r="AC36"/>
  <c r="X36"/>
  <c r="Z35"/>
  <c r="AA35"/>
  <c r="AB35"/>
  <c r="AC35"/>
  <c r="Z34"/>
  <c r="AA34"/>
  <c r="AB34"/>
  <c r="AC34"/>
  <c r="X34"/>
  <c r="X33"/>
  <c r="Z32"/>
  <c r="AA32"/>
  <c r="AB32"/>
  <c r="AC32"/>
  <c r="X32"/>
  <c r="X31"/>
  <c r="Z30"/>
  <c r="AA30"/>
  <c r="AB30"/>
  <c r="AC30"/>
  <c r="X30"/>
  <c r="X29"/>
  <c r="Z28"/>
  <c r="AA28"/>
  <c r="AB28"/>
  <c r="AC28"/>
  <c r="Z27"/>
  <c r="AA27"/>
  <c r="AB27"/>
  <c r="AC27"/>
  <c r="Z26"/>
  <c r="AA26"/>
  <c r="AB26"/>
  <c r="AC26"/>
  <c r="X26"/>
  <c r="Z25"/>
  <c r="AA25"/>
  <c r="AB25"/>
  <c r="AC25"/>
  <c r="Z24"/>
  <c r="AA24"/>
  <c r="AB24"/>
  <c r="AC24"/>
  <c r="X24"/>
  <c r="Z23"/>
  <c r="AA23"/>
  <c r="AB23"/>
  <c r="AC23"/>
  <c r="Z22"/>
  <c r="AA22"/>
  <c r="AB22"/>
  <c r="AC22"/>
  <c r="X22"/>
  <c r="Z21"/>
  <c r="AA21"/>
  <c r="AB21"/>
  <c r="AC21"/>
  <c r="Z20"/>
  <c r="AA20"/>
  <c r="AB20"/>
  <c r="AC20"/>
  <c r="X20"/>
  <c r="Z19"/>
  <c r="AA19"/>
  <c r="AB19"/>
  <c r="AC19"/>
  <c r="Z18"/>
  <c r="AA18"/>
  <c r="AB18"/>
  <c r="AC18"/>
  <c r="X18"/>
  <c r="Z17"/>
  <c r="AA17"/>
  <c r="AB17"/>
  <c r="AC17"/>
  <c r="Z16"/>
  <c r="AA16"/>
  <c r="AB16"/>
  <c r="AC16"/>
  <c r="X16"/>
  <c r="G376"/>
  <c r="J376"/>
  <c r="G373"/>
  <c r="J373"/>
  <c r="K373"/>
  <c r="G372"/>
  <c r="J372"/>
  <c r="G371"/>
  <c r="J371"/>
  <c r="G369"/>
  <c r="J369"/>
  <c r="K369"/>
  <c r="G368"/>
  <c r="J368"/>
  <c r="K368"/>
  <c r="G367"/>
  <c r="J367"/>
  <c r="K367"/>
  <c r="G366"/>
  <c r="J366"/>
  <c r="K366"/>
  <c r="I365"/>
  <c r="G365"/>
  <c r="G364"/>
  <c r="J364"/>
  <c r="E362"/>
  <c r="G362"/>
  <c r="J362"/>
  <c r="G360"/>
  <c r="J360"/>
  <c r="K360"/>
  <c r="G359"/>
  <c r="J359"/>
  <c r="G358"/>
  <c r="J358"/>
  <c r="E357"/>
  <c r="G357"/>
  <c r="J357"/>
  <c r="G356"/>
  <c r="J356"/>
  <c r="K356"/>
  <c r="J354"/>
  <c r="E352"/>
  <c r="G352"/>
  <c r="J352"/>
  <c r="G351"/>
  <c r="J351"/>
  <c r="K351"/>
  <c r="G350"/>
  <c r="J350"/>
  <c r="G349"/>
  <c r="J349"/>
  <c r="E348"/>
  <c r="G348"/>
  <c r="J348"/>
  <c r="G347"/>
  <c r="J347"/>
  <c r="K347"/>
  <c r="G346"/>
  <c r="J346"/>
  <c r="K346"/>
  <c r="G345"/>
  <c r="J345"/>
  <c r="K345"/>
  <c r="G344"/>
  <c r="J344"/>
  <c r="G341"/>
  <c r="J341"/>
  <c r="K341"/>
  <c r="G340"/>
  <c r="J340"/>
  <c r="K340"/>
  <c r="G339"/>
  <c r="J339"/>
  <c r="K339"/>
  <c r="G338"/>
  <c r="J338"/>
  <c r="K338"/>
  <c r="G337"/>
  <c r="J337"/>
  <c r="K337"/>
  <c r="G336"/>
  <c r="J336"/>
  <c r="K336"/>
  <c r="G335"/>
  <c r="J335"/>
  <c r="K335"/>
  <c r="G334"/>
  <c r="J334"/>
  <c r="K334"/>
  <c r="G333"/>
  <c r="J333"/>
  <c r="G332"/>
  <c r="J332"/>
  <c r="E331"/>
  <c r="G331"/>
  <c r="J331"/>
  <c r="G330"/>
  <c r="J330"/>
  <c r="K330"/>
  <c r="G329"/>
  <c r="J329"/>
  <c r="K329"/>
  <c r="G328"/>
  <c r="J328"/>
  <c r="E327"/>
  <c r="G327"/>
  <c r="J327"/>
  <c r="G325"/>
  <c r="J325"/>
  <c r="G324"/>
  <c r="J324"/>
  <c r="G322"/>
  <c r="J322"/>
  <c r="K322"/>
  <c r="G321"/>
  <c r="J321"/>
  <c r="K321"/>
  <c r="G320"/>
  <c r="J320"/>
  <c r="K320"/>
  <c r="G319"/>
  <c r="J319"/>
  <c r="K319"/>
  <c r="I318"/>
  <c r="G318"/>
  <c r="G317"/>
  <c r="J317"/>
  <c r="K317"/>
  <c r="G316"/>
  <c r="J316"/>
  <c r="K316"/>
  <c r="G315"/>
  <c r="J315"/>
  <c r="K315"/>
  <c r="G314"/>
  <c r="J314"/>
  <c r="K314"/>
  <c r="G313"/>
  <c r="J313"/>
  <c r="K313"/>
  <c r="G312"/>
  <c r="J312"/>
  <c r="G311"/>
  <c r="J311"/>
  <c r="E310"/>
  <c r="G310"/>
  <c r="J310"/>
  <c r="G309"/>
  <c r="J309"/>
  <c r="K309"/>
  <c r="G308"/>
  <c r="J308"/>
  <c r="E307"/>
  <c r="E306"/>
  <c r="G306"/>
  <c r="J306"/>
  <c r="G305"/>
  <c r="J305"/>
  <c r="E304"/>
  <c r="G304"/>
  <c r="J304"/>
  <c r="G302"/>
  <c r="J302"/>
  <c r="K302"/>
  <c r="G301"/>
  <c r="J301"/>
  <c r="K301"/>
  <c r="G300"/>
  <c r="J300"/>
  <c r="K300"/>
  <c r="G299"/>
  <c r="J299"/>
  <c r="K299"/>
  <c r="G298"/>
  <c r="J298"/>
  <c r="E297"/>
  <c r="G297"/>
  <c r="J297"/>
  <c r="G295"/>
  <c r="J295"/>
  <c r="K295"/>
  <c r="G294"/>
  <c r="J294"/>
  <c r="K294"/>
  <c r="I293"/>
  <c r="G293"/>
  <c r="G292"/>
  <c r="J292"/>
  <c r="K292"/>
  <c r="G291"/>
  <c r="J291"/>
  <c r="G288"/>
  <c r="J288"/>
  <c r="K288"/>
  <c r="G287"/>
  <c r="J287"/>
  <c r="K287"/>
  <c r="G286"/>
  <c r="J286"/>
  <c r="E285"/>
  <c r="G285"/>
  <c r="J285"/>
  <c r="G284"/>
  <c r="J284"/>
  <c r="G283"/>
  <c r="J283"/>
  <c r="K283"/>
  <c r="G282"/>
  <c r="J282"/>
  <c r="K282"/>
  <c r="G281"/>
  <c r="J281"/>
  <c r="G278"/>
  <c r="J278"/>
  <c r="K278"/>
  <c r="G277"/>
  <c r="J277"/>
  <c r="K277"/>
  <c r="G276"/>
  <c r="J276"/>
  <c r="K276"/>
  <c r="G275"/>
  <c r="J275"/>
  <c r="G274"/>
  <c r="J274"/>
  <c r="G272"/>
  <c r="J272"/>
  <c r="K272"/>
  <c r="G271"/>
  <c r="J271"/>
  <c r="E270"/>
  <c r="G270"/>
  <c r="J270"/>
  <c r="G268"/>
  <c r="J268"/>
  <c r="K268"/>
  <c r="G267"/>
  <c r="J267"/>
  <c r="E266"/>
  <c r="G266"/>
  <c r="J266"/>
  <c r="G264"/>
  <c r="J264"/>
  <c r="K264"/>
  <c r="I263"/>
  <c r="G263"/>
  <c r="J263"/>
  <c r="I262"/>
  <c r="E262"/>
  <c r="G262"/>
  <c r="J262"/>
  <c r="G260"/>
  <c r="J260"/>
  <c r="K260"/>
  <c r="G259"/>
  <c r="J259"/>
  <c r="K259"/>
  <c r="G258"/>
  <c r="J258"/>
  <c r="K258"/>
  <c r="G257"/>
  <c r="J257"/>
  <c r="K257"/>
  <c r="G256"/>
  <c r="J256"/>
  <c r="E255"/>
  <c r="G255"/>
  <c r="J255"/>
  <c r="G253"/>
  <c r="J253"/>
  <c r="K253"/>
  <c r="G252"/>
  <c r="J252"/>
  <c r="K252"/>
  <c r="G251"/>
  <c r="J251"/>
  <c r="K251"/>
  <c r="G250"/>
  <c r="J250"/>
  <c r="K250"/>
  <c r="G249"/>
  <c r="J249"/>
  <c r="K249"/>
  <c r="G248"/>
  <c r="J248"/>
  <c r="G247"/>
  <c r="J247"/>
  <c r="E246"/>
  <c r="G246"/>
  <c r="J246"/>
  <c r="G245"/>
  <c r="J245"/>
  <c r="K245"/>
  <c r="G244"/>
  <c r="J244"/>
  <c r="K244"/>
  <c r="G243"/>
  <c r="J243"/>
  <c r="K243"/>
  <c r="G242"/>
  <c r="J242"/>
  <c r="G239"/>
  <c r="J239"/>
  <c r="K239"/>
  <c r="G238"/>
  <c r="J238"/>
  <c r="K238"/>
  <c r="G237"/>
  <c r="J237"/>
  <c r="K237"/>
  <c r="G236"/>
  <c r="J236"/>
  <c r="G235"/>
  <c r="J235"/>
  <c r="E234"/>
  <c r="G234"/>
  <c r="J234"/>
  <c r="G233"/>
  <c r="J233"/>
  <c r="K233"/>
  <c r="G232"/>
  <c r="J232"/>
  <c r="G231"/>
  <c r="J231"/>
  <c r="G229"/>
  <c r="J229"/>
  <c r="K229"/>
  <c r="G228"/>
  <c r="J228"/>
  <c r="K228"/>
  <c r="G227"/>
  <c r="J227"/>
  <c r="K227"/>
  <c r="G226"/>
  <c r="J226"/>
  <c r="K226"/>
  <c r="G225"/>
  <c r="J225"/>
  <c r="E224"/>
  <c r="E223"/>
  <c r="G223"/>
  <c r="J223"/>
  <c r="G222"/>
  <c r="J222"/>
  <c r="K222"/>
  <c r="G221"/>
  <c r="J221"/>
  <c r="K221"/>
  <c r="G220"/>
  <c r="J220"/>
  <c r="K220"/>
  <c r="G219"/>
  <c r="J219"/>
  <c r="K219"/>
  <c r="G218"/>
  <c r="J218"/>
  <c r="K218"/>
  <c r="G217"/>
  <c r="J217"/>
  <c r="G216"/>
  <c r="J216"/>
  <c r="J214"/>
  <c r="K214"/>
  <c r="G213"/>
  <c r="J213"/>
  <c r="K213"/>
  <c r="G212"/>
  <c r="J212"/>
  <c r="G210"/>
  <c r="J210"/>
  <c r="G209"/>
  <c r="J209"/>
  <c r="K209"/>
  <c r="G208"/>
  <c r="J208"/>
  <c r="K208"/>
  <c r="G207"/>
  <c r="J207"/>
  <c r="K207"/>
  <c r="G206"/>
  <c r="J206"/>
  <c r="G205"/>
  <c r="J205"/>
  <c r="E204"/>
  <c r="G204"/>
  <c r="J204"/>
  <c r="G203"/>
  <c r="J203"/>
  <c r="K203"/>
  <c r="G202"/>
  <c r="J202"/>
  <c r="K202"/>
  <c r="G201"/>
  <c r="J201"/>
  <c r="G200"/>
  <c r="J200"/>
  <c r="G198"/>
  <c r="J198"/>
  <c r="K198"/>
  <c r="G197"/>
  <c r="J197"/>
  <c r="K197"/>
  <c r="I196"/>
  <c r="G196"/>
  <c r="J196"/>
  <c r="K194"/>
  <c r="L194"/>
  <c r="I195"/>
  <c r="G195"/>
  <c r="J195"/>
  <c r="I194"/>
  <c r="E194"/>
  <c r="G194"/>
  <c r="J194"/>
  <c r="I193"/>
  <c r="G193"/>
  <c r="G192"/>
  <c r="J192"/>
  <c r="K192"/>
  <c r="G191"/>
  <c r="J191"/>
  <c r="K191"/>
  <c r="I190"/>
  <c r="G190"/>
  <c r="J190"/>
  <c r="I189"/>
  <c r="I188"/>
  <c r="G187"/>
  <c r="J187"/>
  <c r="K187"/>
  <c r="G186"/>
  <c r="J186"/>
  <c r="K186"/>
  <c r="G185"/>
  <c r="J185"/>
  <c r="K185"/>
  <c r="G184"/>
  <c r="J184"/>
  <c r="K184"/>
  <c r="G183"/>
  <c r="J183"/>
  <c r="K183"/>
  <c r="G182"/>
  <c r="J182"/>
  <c r="K182"/>
  <c r="G181"/>
  <c r="J181"/>
  <c r="G180"/>
  <c r="J180"/>
  <c r="E179"/>
  <c r="G179"/>
  <c r="J179"/>
  <c r="K179"/>
  <c r="I178"/>
  <c r="G178"/>
  <c r="J178"/>
  <c r="K178"/>
  <c r="G177"/>
  <c r="J177"/>
  <c r="K177"/>
  <c r="G176"/>
  <c r="J176"/>
  <c r="E174"/>
  <c r="G174"/>
  <c r="J174"/>
  <c r="G173"/>
  <c r="J173"/>
  <c r="K173"/>
  <c r="G172"/>
  <c r="J172"/>
  <c r="G171"/>
  <c r="J171"/>
  <c r="E170"/>
  <c r="G170"/>
  <c r="J170"/>
  <c r="G169"/>
  <c r="J169"/>
  <c r="K169"/>
  <c r="G168"/>
  <c r="J168"/>
  <c r="K168"/>
  <c r="I167"/>
  <c r="G167"/>
  <c r="J167"/>
  <c r="K167"/>
  <c r="G166"/>
  <c r="J166"/>
  <c r="K166"/>
  <c r="G165"/>
  <c r="J165"/>
  <c r="E163"/>
  <c r="G163"/>
  <c r="J163"/>
  <c r="K163"/>
  <c r="G162"/>
  <c r="J162"/>
  <c r="K162"/>
  <c r="G161"/>
  <c r="J161"/>
  <c r="K161"/>
  <c r="G160"/>
  <c r="J160"/>
  <c r="K160"/>
  <c r="G159"/>
  <c r="J159"/>
  <c r="G156"/>
  <c r="J156"/>
  <c r="G155"/>
  <c r="J155"/>
  <c r="G153"/>
  <c r="J153"/>
  <c r="K153"/>
  <c r="G152"/>
  <c r="J152"/>
  <c r="K152"/>
  <c r="G151"/>
  <c r="J151"/>
  <c r="K151"/>
  <c r="G150"/>
  <c r="J150"/>
  <c r="G147"/>
  <c r="J147"/>
  <c r="K147"/>
  <c r="G146"/>
  <c r="J146"/>
  <c r="G145"/>
  <c r="J145"/>
  <c r="G143"/>
  <c r="J143"/>
  <c r="K143"/>
  <c r="G142"/>
  <c r="J142"/>
  <c r="K142"/>
  <c r="G141"/>
  <c r="J141"/>
  <c r="K141"/>
  <c r="G140"/>
  <c r="J140"/>
  <c r="G139"/>
  <c r="J139"/>
  <c r="E138"/>
  <c r="G138"/>
  <c r="J138"/>
  <c r="G136"/>
  <c r="J136"/>
  <c r="E134"/>
  <c r="G134"/>
  <c r="J134"/>
  <c r="G133"/>
  <c r="J133"/>
  <c r="K133"/>
  <c r="G132"/>
  <c r="J132"/>
  <c r="K132"/>
  <c r="G131"/>
  <c r="J131"/>
  <c r="G128"/>
  <c r="J128"/>
  <c r="K128"/>
  <c r="G127"/>
  <c r="J127"/>
  <c r="K127"/>
  <c r="I126"/>
  <c r="G126"/>
  <c r="I125"/>
  <c r="I124"/>
  <c r="G123"/>
  <c r="J123"/>
  <c r="G120"/>
  <c r="J120"/>
  <c r="G119"/>
  <c r="J119"/>
  <c r="E118"/>
  <c r="G118"/>
  <c r="J118"/>
  <c r="G117"/>
  <c r="J117"/>
  <c r="G114"/>
  <c r="J114"/>
  <c r="K114"/>
  <c r="G113"/>
  <c r="J113"/>
  <c r="K113"/>
  <c r="G112"/>
  <c r="J112"/>
  <c r="G111"/>
  <c r="J111"/>
  <c r="G109"/>
  <c r="J109"/>
  <c r="K109"/>
  <c r="G108"/>
  <c r="J108"/>
  <c r="K108"/>
  <c r="G107"/>
  <c r="J107"/>
  <c r="G103"/>
  <c r="J103"/>
  <c r="K103"/>
  <c r="I102"/>
  <c r="G102"/>
  <c r="J102"/>
  <c r="K102"/>
  <c r="G101"/>
  <c r="J101"/>
  <c r="G98"/>
  <c r="J98"/>
  <c r="K98"/>
  <c r="L98"/>
  <c r="G97"/>
  <c r="J97"/>
  <c r="K97"/>
  <c r="L97"/>
  <c r="G96"/>
  <c r="J96"/>
  <c r="G95"/>
  <c r="J95"/>
  <c r="E94"/>
  <c r="G94"/>
  <c r="J94"/>
  <c r="K94"/>
  <c r="L94"/>
  <c r="I93"/>
  <c r="G93"/>
  <c r="J93"/>
  <c r="K93"/>
  <c r="L93"/>
  <c r="I92"/>
  <c r="G92"/>
  <c r="J92"/>
  <c r="K92"/>
  <c r="G91"/>
  <c r="J91"/>
  <c r="K91"/>
  <c r="I90"/>
  <c r="G90"/>
  <c r="J90"/>
  <c r="I89"/>
  <c r="I88"/>
  <c r="I87"/>
  <c r="G87"/>
  <c r="J87"/>
  <c r="K87"/>
  <c r="I86"/>
  <c r="G86"/>
  <c r="J86"/>
  <c r="K86"/>
  <c r="L86"/>
  <c r="I85"/>
  <c r="G85"/>
  <c r="J85"/>
  <c r="K85"/>
  <c r="I84"/>
  <c r="G84"/>
  <c r="J84"/>
  <c r="K84"/>
  <c r="L84"/>
  <c r="I83"/>
  <c r="G83"/>
  <c r="J83"/>
  <c r="K83"/>
  <c r="I82"/>
  <c r="G82"/>
  <c r="J82"/>
  <c r="K82"/>
  <c r="L82"/>
  <c r="I81"/>
  <c r="G81"/>
  <c r="J81"/>
  <c r="I80"/>
  <c r="I79"/>
  <c r="G77"/>
  <c r="I77"/>
  <c r="J77"/>
  <c r="K77"/>
  <c r="G76"/>
  <c r="I76"/>
  <c r="J76"/>
  <c r="K76"/>
  <c r="G75"/>
  <c r="I75"/>
  <c r="J75"/>
  <c r="K75"/>
  <c r="G74"/>
  <c r="I74"/>
  <c r="J74"/>
  <c r="K74"/>
  <c r="G73"/>
  <c r="I73"/>
  <c r="J73"/>
  <c r="K73"/>
  <c r="G72"/>
  <c r="I72"/>
  <c r="J72"/>
  <c r="K72"/>
  <c r="G71"/>
  <c r="I71"/>
  <c r="J71"/>
  <c r="K71"/>
  <c r="G70"/>
  <c r="I70"/>
  <c r="J70"/>
  <c r="K70"/>
  <c r="G69"/>
  <c r="I69"/>
  <c r="J69"/>
  <c r="K69"/>
  <c r="G68"/>
  <c r="I68"/>
  <c r="J68"/>
  <c r="K68"/>
  <c r="G67"/>
  <c r="I67"/>
  <c r="J67"/>
  <c r="K67"/>
  <c r="G66"/>
  <c r="I66"/>
  <c r="J66"/>
  <c r="K66"/>
  <c r="G65"/>
  <c r="I65"/>
  <c r="J65"/>
  <c r="K65"/>
  <c r="G63"/>
  <c r="I63"/>
  <c r="J63"/>
  <c r="K62"/>
  <c r="L62"/>
  <c r="G61"/>
  <c r="I61"/>
  <c r="J61"/>
  <c r="K61"/>
  <c r="L61"/>
  <c r="G60"/>
  <c r="I60"/>
  <c r="J60"/>
  <c r="K60"/>
  <c r="G59"/>
  <c r="I59"/>
  <c r="J59"/>
  <c r="K59"/>
  <c r="L59"/>
  <c r="G58"/>
  <c r="I58"/>
  <c r="J58"/>
  <c r="K58"/>
  <c r="G57"/>
  <c r="I57"/>
  <c r="J57"/>
  <c r="K57"/>
  <c r="L57"/>
  <c r="G56"/>
  <c r="I56"/>
  <c r="J56"/>
  <c r="K56"/>
  <c r="G55"/>
  <c r="I55"/>
  <c r="J55"/>
  <c r="K55"/>
  <c r="G54"/>
  <c r="I54"/>
  <c r="J54"/>
  <c r="K54"/>
  <c r="G52"/>
  <c r="I52"/>
  <c r="J52"/>
  <c r="K52"/>
  <c r="G51"/>
  <c r="I51"/>
  <c r="J51"/>
  <c r="K51"/>
  <c r="G50"/>
  <c r="I50"/>
  <c r="J50"/>
  <c r="K50"/>
  <c r="G49"/>
  <c r="I49"/>
  <c r="J49"/>
  <c r="K49"/>
  <c r="G48"/>
  <c r="I48"/>
  <c r="J48"/>
  <c r="K48"/>
  <c r="G47"/>
  <c r="I47"/>
  <c r="J47"/>
  <c r="K47"/>
  <c r="G46"/>
  <c r="I46"/>
  <c r="J46"/>
  <c r="K46"/>
  <c r="G45"/>
  <c r="I45"/>
  <c r="J45"/>
  <c r="K45"/>
  <c r="G44"/>
  <c r="I44"/>
  <c r="J44"/>
  <c r="K44"/>
  <c r="G43"/>
  <c r="I43"/>
  <c r="J43"/>
  <c r="K43"/>
  <c r="G42"/>
  <c r="I42"/>
  <c r="J42"/>
  <c r="K42"/>
  <c r="G41"/>
  <c r="I41"/>
  <c r="J41"/>
  <c r="K41"/>
  <c r="G40"/>
  <c r="I40"/>
  <c r="J40"/>
  <c r="K40"/>
  <c r="G39"/>
  <c r="I39"/>
  <c r="J39"/>
  <c r="K39"/>
  <c r="G38"/>
  <c r="I38"/>
  <c r="J38"/>
  <c r="K38"/>
  <c r="G37"/>
  <c r="I37"/>
  <c r="J37"/>
  <c r="K37"/>
  <c r="G36"/>
  <c r="I36"/>
  <c r="J36"/>
  <c r="K36"/>
  <c r="G35"/>
  <c r="I35"/>
  <c r="J35"/>
  <c r="K35"/>
  <c r="G34"/>
  <c r="I34"/>
  <c r="J34"/>
  <c r="K34"/>
  <c r="G33"/>
  <c r="I33"/>
  <c r="J33"/>
  <c r="K33"/>
  <c r="G32"/>
  <c r="I32"/>
  <c r="J32"/>
  <c r="K32"/>
  <c r="G31"/>
  <c r="I31"/>
  <c r="J31"/>
  <c r="K31"/>
  <c r="G30"/>
  <c r="I30"/>
  <c r="J30"/>
  <c r="K30"/>
  <c r="G29"/>
  <c r="I29"/>
  <c r="J29"/>
  <c r="K29"/>
  <c r="G28"/>
  <c r="I28"/>
  <c r="J28"/>
  <c r="K28"/>
  <c r="G27"/>
  <c r="I27"/>
  <c r="J27"/>
  <c r="K27"/>
  <c r="G26"/>
  <c r="I26"/>
  <c r="J26"/>
  <c r="K26"/>
  <c r="G25"/>
  <c r="I25"/>
  <c r="J25"/>
  <c r="K25"/>
  <c r="G24"/>
  <c r="I24"/>
  <c r="J24"/>
  <c r="K24"/>
  <c r="G23"/>
  <c r="I23"/>
  <c r="J23"/>
  <c r="K23"/>
  <c r="G22"/>
  <c r="I22"/>
  <c r="J22"/>
  <c r="K22"/>
  <c r="G21"/>
  <c r="I21"/>
  <c r="J21"/>
  <c r="K21"/>
  <c r="G20"/>
  <c r="I20"/>
  <c r="J20"/>
  <c r="K20"/>
  <c r="G19"/>
  <c r="I19"/>
  <c r="J19"/>
  <c r="K19"/>
  <c r="G18"/>
  <c r="I18"/>
  <c r="J18"/>
  <c r="K18"/>
  <c r="G17"/>
  <c r="I17"/>
  <c r="J17"/>
  <c r="K17"/>
  <c r="G16"/>
  <c r="I16"/>
  <c r="J16"/>
  <c r="K16"/>
  <c r="G15"/>
  <c r="I15"/>
  <c r="J15"/>
  <c r="K15"/>
  <c r="G14"/>
  <c r="I14"/>
  <c r="J14"/>
  <c r="G13"/>
  <c r="I13"/>
  <c r="J13"/>
  <c r="G12"/>
  <c r="I12"/>
  <c r="J12"/>
  <c r="A12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5"/>
  <c r="A66"/>
  <c r="A67"/>
  <c r="A68"/>
  <c r="A69"/>
  <c r="A70"/>
  <c r="A71"/>
  <c r="A72"/>
  <c r="A73"/>
  <c r="A74"/>
  <c r="A75"/>
  <c r="A76"/>
  <c r="A77"/>
  <c r="G11"/>
  <c r="I11"/>
  <c r="J11"/>
  <c r="K11"/>
  <c r="G10"/>
  <c r="I10"/>
  <c r="J10"/>
  <c r="K10"/>
  <c r="G9"/>
  <c r="I9"/>
  <c r="J9"/>
  <c r="K9"/>
  <c r="X103"/>
  <c r="AA103"/>
  <c r="AB103"/>
  <c r="AC103"/>
  <c r="X117"/>
  <c r="AA117"/>
  <c r="X131"/>
  <c r="AA131"/>
  <c r="X141"/>
  <c r="AA141"/>
  <c r="AB141"/>
  <c r="AC141"/>
  <c r="X142"/>
  <c r="AA142"/>
  <c r="AB142"/>
  <c r="AC142"/>
  <c r="X143"/>
  <c r="AA143"/>
  <c r="AB143"/>
  <c r="AC143"/>
  <c r="X147"/>
  <c r="AA147"/>
  <c r="AB147"/>
  <c r="AC147"/>
  <c r="X159"/>
  <c r="AA159"/>
  <c r="AA196"/>
  <c r="X232"/>
  <c r="AA232"/>
  <c r="X236"/>
  <c r="AA236"/>
  <c r="X242"/>
  <c r="AA242"/>
  <c r="J193"/>
  <c r="K193"/>
  <c r="L193"/>
  <c r="E265"/>
  <c r="G265"/>
  <c r="J265"/>
  <c r="E296"/>
  <c r="G296"/>
  <c r="J296"/>
  <c r="K296"/>
  <c r="E326"/>
  <c r="G326"/>
  <c r="J326"/>
  <c r="AA37"/>
  <c r="AB37"/>
  <c r="AC37"/>
  <c r="AA54"/>
  <c r="AB54"/>
  <c r="AC54"/>
  <c r="AA74"/>
  <c r="AB74"/>
  <c r="AC74"/>
  <c r="AA46"/>
  <c r="AB46"/>
  <c r="AC46"/>
  <c r="AA50"/>
  <c r="AB50"/>
  <c r="AC50"/>
  <c r="AA55"/>
  <c r="AB55"/>
  <c r="AC55"/>
  <c r="AA59"/>
  <c r="AB59"/>
  <c r="AC59"/>
  <c r="AA69"/>
  <c r="AB69"/>
  <c r="AA40"/>
  <c r="AB40"/>
  <c r="AC40"/>
  <c r="AA52"/>
  <c r="AB52"/>
  <c r="AC52"/>
  <c r="AA67"/>
  <c r="AB67"/>
  <c r="AC67"/>
  <c r="AA82"/>
  <c r="AB82"/>
  <c r="AA318"/>
  <c r="AB318"/>
  <c r="AC318"/>
  <c r="J126"/>
  <c r="G224"/>
  <c r="J224"/>
  <c r="K223"/>
  <c r="J318"/>
  <c r="K318"/>
  <c r="X62"/>
  <c r="AA92"/>
  <c r="AB92"/>
  <c r="X275"/>
  <c r="AA275"/>
  <c r="X178"/>
  <c r="AA178"/>
  <c r="AB178"/>
  <c r="AC178"/>
  <c r="G307"/>
  <c r="J307"/>
  <c r="X14"/>
  <c r="Z14"/>
  <c r="AA14"/>
  <c r="X64"/>
  <c r="Z64"/>
  <c r="AA64"/>
  <c r="J293"/>
  <c r="K293"/>
  <c r="L293"/>
  <c r="J365"/>
  <c r="K365"/>
  <c r="AA365"/>
  <c r="AB365"/>
  <c r="AC365"/>
  <c r="X355"/>
  <c r="AA355"/>
  <c r="AB355"/>
  <c r="AC355"/>
  <c r="X361"/>
  <c r="AA361"/>
  <c r="AB361"/>
  <c r="AC361"/>
  <c r="X53"/>
  <c r="X137"/>
  <c r="AA137"/>
  <c r="AB137"/>
  <c r="AC137"/>
  <c r="X85"/>
  <c r="AA85"/>
  <c r="AB85"/>
  <c r="AC85"/>
  <c r="X104"/>
  <c r="AA104"/>
  <c r="AB104"/>
  <c r="AC104"/>
  <c r="U349"/>
  <c r="V349"/>
  <c r="X172"/>
  <c r="AA172"/>
  <c r="X28"/>
  <c r="X10"/>
  <c r="E89"/>
  <c r="V311"/>
  <c r="V310"/>
  <c r="X310"/>
  <c r="AA310" s="1"/>
  <c r="AB310" s="1"/>
  <c r="V343"/>
  <c r="V342"/>
  <c r="X342"/>
  <c r="AA342"/>
  <c r="V374"/>
  <c r="X374"/>
  <c r="AA374"/>
  <c r="X375"/>
  <c r="AA375"/>
  <c r="K246"/>
  <c r="L246"/>
  <c r="M246"/>
  <c r="X337"/>
  <c r="AA337"/>
  <c r="AB337"/>
  <c r="X15"/>
  <c r="V247"/>
  <c r="V246"/>
  <c r="X246"/>
  <c r="AA246"/>
  <c r="X298"/>
  <c r="AA298"/>
  <c r="X150"/>
  <c r="AA150"/>
  <c r="X263"/>
  <c r="AA263"/>
  <c r="X212"/>
  <c r="AA212"/>
  <c r="X206"/>
  <c r="AA206"/>
  <c r="X176"/>
  <c r="AA176"/>
  <c r="K118"/>
  <c r="L118"/>
  <c r="K154"/>
  <c r="L154"/>
  <c r="K230"/>
  <c r="L230"/>
  <c r="K323"/>
  <c r="L323"/>
  <c r="K370"/>
  <c r="L370"/>
  <c r="X322"/>
  <c r="AA322"/>
  <c r="AB322"/>
  <c r="X320"/>
  <c r="AA320"/>
  <c r="AB320"/>
  <c r="X302"/>
  <c r="AA302"/>
  <c r="AB302"/>
  <c r="AC302"/>
  <c r="X300"/>
  <c r="AA300"/>
  <c r="AB300"/>
  <c r="AC300"/>
  <c r="X244"/>
  <c r="AA244"/>
  <c r="AB244"/>
  <c r="AC244"/>
  <c r="X152"/>
  <c r="AA152"/>
  <c r="AB152"/>
  <c r="AC152"/>
  <c r="X133"/>
  <c r="AA133"/>
  <c r="AB133"/>
  <c r="X128"/>
  <c r="AA128"/>
  <c r="AB128"/>
  <c r="AC128"/>
  <c r="U106"/>
  <c r="V106"/>
  <c r="U363"/>
  <c r="X363"/>
  <c r="AA363"/>
  <c r="AB362"/>
  <c r="AC362"/>
  <c r="U358"/>
  <c r="V358"/>
  <c r="U266"/>
  <c r="V266"/>
  <c r="U307"/>
  <c r="V307"/>
  <c r="K170"/>
  <c r="L170"/>
  <c r="X11"/>
  <c r="K199"/>
  <c r="L199"/>
  <c r="M199"/>
  <c r="X58"/>
  <c r="X54"/>
  <c r="X49"/>
  <c r="X45"/>
  <c r="X39"/>
  <c r="X37"/>
  <c r="X27"/>
  <c r="X25"/>
  <c r="X23"/>
  <c r="X21"/>
  <c r="X19"/>
  <c r="X17"/>
  <c r="X65"/>
  <c r="X75"/>
  <c r="X73"/>
  <c r="X69"/>
  <c r="X67"/>
  <c r="X347"/>
  <c r="AA347"/>
  <c r="AB347"/>
  <c r="AC347"/>
  <c r="X345"/>
  <c r="AA345"/>
  <c r="AB345"/>
  <c r="AC345"/>
  <c r="X336"/>
  <c r="AA336"/>
  <c r="AB336"/>
  <c r="AC336"/>
  <c r="X334"/>
  <c r="AA334"/>
  <c r="AB334"/>
  <c r="AC334"/>
  <c r="X294"/>
  <c r="AA294"/>
  <c r="AB294"/>
  <c r="AC294"/>
  <c r="X238"/>
  <c r="AA238"/>
  <c r="AB238"/>
  <c r="AC238"/>
  <c r="X233"/>
  <c r="AA233"/>
  <c r="AB233"/>
  <c r="AC233"/>
  <c r="X228"/>
  <c r="AA228"/>
  <c r="AB228"/>
  <c r="AC228"/>
  <c r="X226"/>
  <c r="AA226"/>
  <c r="AB226"/>
  <c r="AC226"/>
  <c r="X222"/>
  <c r="AA222"/>
  <c r="AB222"/>
  <c r="AC222"/>
  <c r="X220"/>
  <c r="AA220"/>
  <c r="AB220"/>
  <c r="AC220"/>
  <c r="X218"/>
  <c r="AA218"/>
  <c r="AB218"/>
  <c r="AC218"/>
  <c r="X214"/>
  <c r="AA214"/>
  <c r="AB214"/>
  <c r="X208"/>
  <c r="AA208"/>
  <c r="AB208"/>
  <c r="AC208"/>
  <c r="X197"/>
  <c r="AA197"/>
  <c r="AB197"/>
  <c r="AC197"/>
  <c r="X193"/>
  <c r="AA193"/>
  <c r="AB193"/>
  <c r="AC193"/>
  <c r="X191"/>
  <c r="AA191"/>
  <c r="AB191"/>
  <c r="AC191"/>
  <c r="X166"/>
  <c r="AA166"/>
  <c r="AB166"/>
  <c r="AC166"/>
  <c r="X102"/>
  <c r="AA102"/>
  <c r="AB102"/>
  <c r="X97"/>
  <c r="AA97"/>
  <c r="AB97"/>
  <c r="AC97"/>
  <c r="X90"/>
  <c r="AA90"/>
  <c r="X86"/>
  <c r="AA86"/>
  <c r="AB86"/>
  <c r="G158"/>
  <c r="J158"/>
  <c r="E157"/>
  <c r="G157"/>
  <c r="J157"/>
  <c r="E129"/>
  <c r="G129"/>
  <c r="J129"/>
  <c r="K129"/>
  <c r="G130"/>
  <c r="J130"/>
  <c r="V262"/>
  <c r="V261"/>
  <c r="X261"/>
  <c r="AA261"/>
  <c r="D9" i="3"/>
  <c r="E303" i="1"/>
  <c r="G303"/>
  <c r="J303"/>
  <c r="E269"/>
  <c r="G269"/>
  <c r="J269"/>
  <c r="K269"/>
  <c r="E261"/>
  <c r="G261"/>
  <c r="J261"/>
  <c r="K261"/>
  <c r="E99"/>
  <c r="G99"/>
  <c r="J99"/>
  <c r="E124"/>
  <c r="G124"/>
  <c r="J124"/>
  <c r="K124"/>
  <c r="E188"/>
  <c r="G188"/>
  <c r="J188"/>
  <c r="G290"/>
  <c r="J290"/>
  <c r="K289"/>
  <c r="L289"/>
  <c r="G353"/>
  <c r="J353"/>
  <c r="K352"/>
  <c r="G363"/>
  <c r="J363"/>
  <c r="K362"/>
  <c r="L362"/>
  <c r="Z76"/>
  <c r="AA76"/>
  <c r="AB76"/>
  <c r="AC76"/>
  <c r="AA77"/>
  <c r="AB77"/>
  <c r="AC77"/>
  <c r="X115"/>
  <c r="AA115"/>
  <c r="X61"/>
  <c r="E106"/>
  <c r="E116"/>
  <c r="E211"/>
  <c r="G211"/>
  <c r="J211"/>
  <c r="K210"/>
  <c r="E241"/>
  <c r="E240"/>
  <c r="G240"/>
  <c r="J240"/>
  <c r="E254"/>
  <c r="G254"/>
  <c r="J254"/>
  <c r="K254"/>
  <c r="K348"/>
  <c r="L348"/>
  <c r="X9"/>
  <c r="K138"/>
  <c r="L138"/>
  <c r="K144"/>
  <c r="L144"/>
  <c r="K204"/>
  <c r="L204"/>
  <c r="K273"/>
  <c r="L273"/>
  <c r="AA53"/>
  <c r="AB53"/>
  <c r="AC53"/>
  <c r="X343"/>
  <c r="AA343"/>
  <c r="G343"/>
  <c r="J343"/>
  <c r="K342"/>
  <c r="X120"/>
  <c r="AA120"/>
  <c r="K174"/>
  <c r="L174"/>
  <c r="K331"/>
  <c r="L331"/>
  <c r="G89"/>
  <c r="J89"/>
  <c r="E88"/>
  <c r="G88"/>
  <c r="J88"/>
  <c r="V200"/>
  <c r="V199"/>
  <c r="X199"/>
  <c r="AA199"/>
  <c r="G106"/>
  <c r="J106"/>
  <c r="E105"/>
  <c r="G105"/>
  <c r="J105"/>
  <c r="G241"/>
  <c r="J241"/>
  <c r="G116"/>
  <c r="J116"/>
  <c r="E115"/>
  <c r="G115"/>
  <c r="J115"/>
  <c r="V270"/>
  <c r="V269"/>
  <c r="X269"/>
  <c r="AA269"/>
  <c r="K357"/>
  <c r="L357"/>
  <c r="K310"/>
  <c r="L310"/>
  <c r="M166"/>
  <c r="L166"/>
  <c r="D40" i="3"/>
  <c r="AC239" i="1"/>
  <c r="D8" i="3"/>
  <c r="AC69" i="1"/>
  <c r="Z13"/>
  <c r="AA13"/>
  <c r="X13"/>
  <c r="S164"/>
  <c r="U164"/>
  <c r="U163"/>
  <c r="S80"/>
  <c r="U80"/>
  <c r="L179"/>
  <c r="M179"/>
  <c r="Z12"/>
  <c r="AA12"/>
  <c r="X12"/>
  <c r="V63"/>
  <c r="Z63"/>
  <c r="AA63"/>
  <c r="X63"/>
  <c r="V216"/>
  <c r="V215"/>
  <c r="X215"/>
  <c r="AA215"/>
  <c r="AB215"/>
  <c r="AC215"/>
  <c r="X216"/>
  <c r="AA216"/>
  <c r="V353"/>
  <c r="V352"/>
  <c r="X352"/>
  <c r="AA352"/>
  <c r="X307"/>
  <c r="AA307"/>
  <c r="V306"/>
  <c r="X306"/>
  <c r="AA306"/>
  <c r="X358"/>
  <c r="AA358"/>
  <c r="V357"/>
  <c r="X357"/>
  <c r="AA357"/>
  <c r="X106"/>
  <c r="AA106"/>
  <c r="V105"/>
  <c r="X105"/>
  <c r="AA105"/>
  <c r="X349"/>
  <c r="AA349"/>
  <c r="V348"/>
  <c r="X348"/>
  <c r="AA348"/>
  <c r="L102"/>
  <c r="M102"/>
  <c r="M162"/>
  <c r="L162"/>
  <c r="AC58"/>
  <c r="D6" i="3"/>
  <c r="AC43" i="1"/>
  <c r="D7" i="3"/>
  <c r="E148" i="1"/>
  <c r="G148"/>
  <c r="J148"/>
  <c r="K148"/>
  <c r="G149"/>
  <c r="J149"/>
  <c r="E121"/>
  <c r="G121"/>
  <c r="J121"/>
  <c r="K121"/>
  <c r="L121"/>
  <c r="G122"/>
  <c r="J122"/>
  <c r="E374"/>
  <c r="G374"/>
  <c r="J374"/>
  <c r="G375"/>
  <c r="J375"/>
  <c r="G280"/>
  <c r="J280"/>
  <c r="E279"/>
  <c r="G279"/>
  <c r="J279"/>
  <c r="X158"/>
  <c r="AA158"/>
  <c r="V158"/>
  <c r="V157"/>
  <c r="X157"/>
  <c r="AA157"/>
  <c r="X224"/>
  <c r="AA224"/>
  <c r="V224"/>
  <c r="V223"/>
  <c r="X223"/>
  <c r="AA223"/>
  <c r="V285"/>
  <c r="V284"/>
  <c r="X284"/>
  <c r="AA284"/>
  <c r="K115"/>
  <c r="K240"/>
  <c r="K157"/>
  <c r="K134"/>
  <c r="L134"/>
  <c r="K234"/>
  <c r="L234"/>
  <c r="K284"/>
  <c r="L284"/>
  <c r="K303"/>
  <c r="AB374"/>
  <c r="AC374"/>
  <c r="K306"/>
  <c r="K326"/>
  <c r="S116"/>
  <c r="U195"/>
  <c r="U211"/>
  <c r="S235"/>
  <c r="U235"/>
  <c r="U280"/>
  <c r="S297"/>
  <c r="U297"/>
  <c r="K99"/>
  <c r="K105"/>
  <c r="X262"/>
  <c r="AA262"/>
  <c r="K88"/>
  <c r="M144"/>
  <c r="M138"/>
  <c r="K188"/>
  <c r="AB342"/>
  <c r="AC342"/>
  <c r="AB62"/>
  <c r="AC62"/>
  <c r="K265"/>
  <c r="M84"/>
  <c r="M93"/>
  <c r="M97"/>
  <c r="U327"/>
  <c r="S180"/>
  <c r="U180"/>
  <c r="V180"/>
  <c r="S189"/>
  <c r="U189"/>
  <c r="U205"/>
  <c r="X205"/>
  <c r="AA205"/>
  <c r="AB204"/>
  <c r="AC204"/>
  <c r="U231"/>
  <c r="U241"/>
  <c r="S274"/>
  <c r="U274"/>
  <c r="U290"/>
  <c r="U304"/>
  <c r="S324"/>
  <c r="U324"/>
  <c r="L342"/>
  <c r="M342"/>
  <c r="L124"/>
  <c r="M124"/>
  <c r="L99"/>
  <c r="M99"/>
  <c r="L303"/>
  <c r="M303"/>
  <c r="L129"/>
  <c r="M129"/>
  <c r="AC214"/>
  <c r="D39" i="3"/>
  <c r="D44"/>
  <c r="AC320" i="1"/>
  <c r="D45" i="3"/>
  <c r="AC322" i="1"/>
  <c r="AC337"/>
  <c r="D49" i="3"/>
  <c r="L365" i="1"/>
  <c r="M365"/>
  <c r="L306"/>
  <c r="M306"/>
  <c r="L318"/>
  <c r="M318"/>
  <c r="L326"/>
  <c r="M326"/>
  <c r="L10"/>
  <c r="M10"/>
  <c r="L11"/>
  <c r="M11"/>
  <c r="L17"/>
  <c r="M17"/>
  <c r="L18"/>
  <c r="M18"/>
  <c r="L21"/>
  <c r="M21"/>
  <c r="L22"/>
  <c r="M22"/>
  <c r="L25"/>
  <c r="M25"/>
  <c r="L26"/>
  <c r="M26"/>
  <c r="L29"/>
  <c r="M29"/>
  <c r="L30"/>
  <c r="M30"/>
  <c r="L33"/>
  <c r="M33"/>
  <c r="L34"/>
  <c r="M34"/>
  <c r="L37"/>
  <c r="M37"/>
  <c r="L38"/>
  <c r="M38"/>
  <c r="L41"/>
  <c r="M41"/>
  <c r="L42"/>
  <c r="M42"/>
  <c r="L45"/>
  <c r="M45"/>
  <c r="L46"/>
  <c r="M46"/>
  <c r="L49"/>
  <c r="M49"/>
  <c r="L50"/>
  <c r="M50"/>
  <c r="L54"/>
  <c r="M54"/>
  <c r="L55"/>
  <c r="M55"/>
  <c r="L66"/>
  <c r="M66"/>
  <c r="L67"/>
  <c r="M67"/>
  <c r="L70"/>
  <c r="M70"/>
  <c r="L71"/>
  <c r="M71"/>
  <c r="L74"/>
  <c r="M74"/>
  <c r="L75"/>
  <c r="M75"/>
  <c r="L91"/>
  <c r="M91"/>
  <c r="L109"/>
  <c r="M109"/>
  <c r="L114"/>
  <c r="M114"/>
  <c r="L133"/>
  <c r="M133"/>
  <c r="AB223"/>
  <c r="AC223"/>
  <c r="AB357"/>
  <c r="AC357"/>
  <c r="AB261"/>
  <c r="AC261"/>
  <c r="K374"/>
  <c r="K12"/>
  <c r="L115"/>
  <c r="M115"/>
  <c r="L105"/>
  <c r="M105"/>
  <c r="L88"/>
  <c r="M88"/>
  <c r="L254"/>
  <c r="M254"/>
  <c r="L240"/>
  <c r="M240"/>
  <c r="L210"/>
  <c r="M210"/>
  <c r="L352"/>
  <c r="M352"/>
  <c r="L188"/>
  <c r="M188"/>
  <c r="L261"/>
  <c r="M261"/>
  <c r="L269"/>
  <c r="M269"/>
  <c r="L157"/>
  <c r="M157"/>
  <c r="L148"/>
  <c r="M148"/>
  <c r="V265"/>
  <c r="X265"/>
  <c r="AA265"/>
  <c r="X266"/>
  <c r="AA266"/>
  <c r="V179"/>
  <c r="X179"/>
  <c r="AA179"/>
  <c r="X180"/>
  <c r="AA180"/>
  <c r="L223"/>
  <c r="M223"/>
  <c r="L296"/>
  <c r="M296"/>
  <c r="L265"/>
  <c r="M265"/>
  <c r="L9"/>
  <c r="M9"/>
  <c r="L15"/>
  <c r="M15"/>
  <c r="L16"/>
  <c r="M16"/>
  <c r="L19"/>
  <c r="M19"/>
  <c r="L20"/>
  <c r="M20"/>
  <c r="L23"/>
  <c r="M23"/>
  <c r="L24"/>
  <c r="M24"/>
  <c r="L27"/>
  <c r="M27"/>
  <c r="L28"/>
  <c r="M28"/>
  <c r="L31"/>
  <c r="M31"/>
  <c r="L32"/>
  <c r="M32"/>
  <c r="L35"/>
  <c r="M35"/>
  <c r="L36"/>
  <c r="M36"/>
  <c r="L39"/>
  <c r="M39"/>
  <c r="L40"/>
  <c r="M40"/>
  <c r="L43"/>
  <c r="M43"/>
  <c r="L44"/>
  <c r="M44"/>
  <c r="L47"/>
  <c r="M47"/>
  <c r="L48"/>
  <c r="M48"/>
  <c r="L51"/>
  <c r="M51"/>
  <c r="L52"/>
  <c r="M52"/>
  <c r="L65"/>
  <c r="M65"/>
  <c r="L68"/>
  <c r="M68"/>
  <c r="L69"/>
  <c r="M69"/>
  <c r="L72"/>
  <c r="M72"/>
  <c r="L73"/>
  <c r="M73"/>
  <c r="L76"/>
  <c r="M76"/>
  <c r="L77"/>
  <c r="M77"/>
  <c r="L83"/>
  <c r="M83"/>
  <c r="L87"/>
  <c r="M87"/>
  <c r="L92"/>
  <c r="M92"/>
  <c r="L108"/>
  <c r="M108"/>
  <c r="L113"/>
  <c r="M113"/>
  <c r="L132"/>
  <c r="M132"/>
  <c r="AB12"/>
  <c r="AC12"/>
  <c r="L56"/>
  <c r="M56"/>
  <c r="L58"/>
  <c r="M58"/>
  <c r="L60"/>
  <c r="M60"/>
  <c r="L85"/>
  <c r="M85"/>
  <c r="L103"/>
  <c r="M103"/>
  <c r="L127"/>
  <c r="M127"/>
  <c r="L128"/>
  <c r="M128"/>
  <c r="L141"/>
  <c r="M141"/>
  <c r="L143"/>
  <c r="M143"/>
  <c r="L152"/>
  <c r="M152"/>
  <c r="L161"/>
  <c r="M161"/>
  <c r="L167"/>
  <c r="M167"/>
  <c r="L168"/>
  <c r="M168"/>
  <c r="L169"/>
  <c r="M169"/>
  <c r="L177"/>
  <c r="M177"/>
  <c r="L178"/>
  <c r="M178"/>
  <c r="L191"/>
  <c r="M191"/>
  <c r="L197"/>
  <c r="M197"/>
  <c r="L202"/>
  <c r="M202"/>
  <c r="L207"/>
  <c r="M207"/>
  <c r="L208"/>
  <c r="M208"/>
  <c r="L209"/>
  <c r="M209"/>
  <c r="L213"/>
  <c r="M213"/>
  <c r="L214"/>
  <c r="M214"/>
  <c r="L219"/>
  <c r="M219"/>
  <c r="L221"/>
  <c r="M221"/>
  <c r="L226"/>
  <c r="M226"/>
  <c r="L228"/>
  <c r="M228"/>
  <c r="L233"/>
  <c r="M233"/>
  <c r="L249"/>
  <c r="M249"/>
  <c r="L251"/>
  <c r="M251"/>
  <c r="L253"/>
  <c r="M253"/>
  <c r="L264"/>
  <c r="M264"/>
  <c r="L276"/>
  <c r="M276"/>
  <c r="L278"/>
  <c r="M278"/>
  <c r="L282"/>
  <c r="M282"/>
  <c r="L300"/>
  <c r="M300"/>
  <c r="L302"/>
  <c r="M302"/>
  <c r="L313"/>
  <c r="M313"/>
  <c r="L315"/>
  <c r="M315"/>
  <c r="L317"/>
  <c r="M317"/>
  <c r="L320"/>
  <c r="M320"/>
  <c r="L322"/>
  <c r="M322"/>
  <c r="L334"/>
  <c r="M334"/>
  <c r="L336"/>
  <c r="M336"/>
  <c r="L338"/>
  <c r="M338"/>
  <c r="L340"/>
  <c r="M340"/>
  <c r="L346"/>
  <c r="M346"/>
  <c r="L351"/>
  <c r="M351"/>
  <c r="L356"/>
  <c r="M356"/>
  <c r="L366"/>
  <c r="M366"/>
  <c r="L367"/>
  <c r="M367"/>
  <c r="L368"/>
  <c r="M368"/>
  <c r="L369"/>
  <c r="M369"/>
  <c r="L373"/>
  <c r="M373"/>
  <c r="AB105"/>
  <c r="AC105"/>
  <c r="L142"/>
  <c r="M142"/>
  <c r="L147"/>
  <c r="M147"/>
  <c r="L151"/>
  <c r="M151"/>
  <c r="L153"/>
  <c r="M153"/>
  <c r="L160"/>
  <c r="M160"/>
  <c r="L173"/>
  <c r="M173"/>
  <c r="L182"/>
  <c r="M182"/>
  <c r="L183"/>
  <c r="M183"/>
  <c r="L184"/>
  <c r="M184"/>
  <c r="L185"/>
  <c r="M185"/>
  <c r="L186"/>
  <c r="M186"/>
  <c r="L187"/>
  <c r="M187"/>
  <c r="L192"/>
  <c r="M192"/>
  <c r="L198"/>
  <c r="M198"/>
  <c r="L203"/>
  <c r="M203"/>
  <c r="L218"/>
  <c r="M218"/>
  <c r="L220"/>
  <c r="M220"/>
  <c r="L222"/>
  <c r="M222"/>
  <c r="L227"/>
  <c r="M227"/>
  <c r="L229"/>
  <c r="M229"/>
  <c r="L237"/>
  <c r="M237"/>
  <c r="L238"/>
  <c r="M238"/>
  <c r="L239"/>
  <c r="M239"/>
  <c r="L243"/>
  <c r="M243"/>
  <c r="L244"/>
  <c r="M244"/>
  <c r="L245"/>
  <c r="M245"/>
  <c r="L250"/>
  <c r="M250"/>
  <c r="L252"/>
  <c r="M252"/>
  <c r="L257"/>
  <c r="M257"/>
  <c r="L258"/>
  <c r="M258"/>
  <c r="L259"/>
  <c r="M259"/>
  <c r="L260"/>
  <c r="M260"/>
  <c r="L268"/>
  <c r="M268"/>
  <c r="L272"/>
  <c r="M272"/>
  <c r="L277"/>
  <c r="M277"/>
  <c r="L283"/>
  <c r="M283"/>
  <c r="L287"/>
  <c r="M287"/>
  <c r="L288"/>
  <c r="M288"/>
  <c r="L292"/>
  <c r="M292"/>
  <c r="L294"/>
  <c r="M294"/>
  <c r="L295"/>
  <c r="M295"/>
  <c r="L299"/>
  <c r="M299"/>
  <c r="L301"/>
  <c r="M301"/>
  <c r="L309"/>
  <c r="M309"/>
  <c r="L314"/>
  <c r="M314"/>
  <c r="L316"/>
  <c r="M316"/>
  <c r="L319"/>
  <c r="M319"/>
  <c r="L321"/>
  <c r="M321"/>
  <c r="L329"/>
  <c r="M329"/>
  <c r="L330"/>
  <c r="M330"/>
  <c r="L335"/>
  <c r="M335"/>
  <c r="L337"/>
  <c r="M337"/>
  <c r="L339"/>
  <c r="M339"/>
  <c r="L341"/>
  <c r="M341"/>
  <c r="L345"/>
  <c r="M345"/>
  <c r="L347"/>
  <c r="M347"/>
  <c r="L360"/>
  <c r="M360"/>
  <c r="X200"/>
  <c r="AA200"/>
  <c r="AB199"/>
  <c r="AC199"/>
  <c r="M310"/>
  <c r="X270"/>
  <c r="AA270"/>
  <c r="AB269"/>
  <c r="AC269"/>
  <c r="M357"/>
  <c r="M284"/>
  <c r="M194"/>
  <c r="M62"/>
  <c r="M331"/>
  <c r="M289"/>
  <c r="M121"/>
  <c r="M362"/>
  <c r="M174"/>
  <c r="M134"/>
  <c r="M273"/>
  <c r="M204"/>
  <c r="M110"/>
  <c r="M348"/>
  <c r="M94"/>
  <c r="M234"/>
  <c r="M170"/>
  <c r="M370"/>
  <c r="M323"/>
  <c r="M230"/>
  <c r="M215"/>
  <c r="M154"/>
  <c r="M118"/>
  <c r="M293"/>
  <c r="M193"/>
  <c r="M57"/>
  <c r="M59"/>
  <c r="M61"/>
  <c r="M82"/>
  <c r="M86"/>
  <c r="M98"/>
  <c r="M53"/>
  <c r="L53"/>
  <c r="L361"/>
  <c r="M361"/>
  <c r="L355"/>
  <c r="M355"/>
  <c r="M137"/>
  <c r="L137"/>
  <c r="M104"/>
  <c r="L104"/>
  <c r="V189"/>
  <c r="V188"/>
  <c r="X188"/>
  <c r="AA188"/>
  <c r="X189"/>
  <c r="AA189"/>
  <c r="U125"/>
  <c r="U139"/>
  <c r="X139"/>
  <c r="AA139"/>
  <c r="AB138"/>
  <c r="AC138"/>
  <c r="U149"/>
  <c r="U175"/>
  <c r="X175"/>
  <c r="AA175"/>
  <c r="U95"/>
  <c r="V95"/>
  <c r="U100"/>
  <c r="U116"/>
  <c r="X116"/>
  <c r="AA116"/>
  <c r="AB115"/>
  <c r="AC115"/>
  <c r="S119"/>
  <c r="U119"/>
  <c r="X119"/>
  <c r="AA119"/>
  <c r="AB118"/>
  <c r="S130"/>
  <c r="U130"/>
  <c r="V130"/>
  <c r="S135"/>
  <c r="U135"/>
  <c r="V135"/>
  <c r="S145"/>
  <c r="U145"/>
  <c r="V145"/>
  <c r="V144"/>
  <c r="X144"/>
  <c r="AA144"/>
  <c r="S171"/>
  <c r="U171"/>
  <c r="X171"/>
  <c r="AA171"/>
  <c r="V175"/>
  <c r="V174"/>
  <c r="X174"/>
  <c r="AA174"/>
  <c r="D38" i="3"/>
  <c r="AC173" i="1"/>
  <c r="V171"/>
  <c r="V170"/>
  <c r="X170"/>
  <c r="AA170"/>
  <c r="AB157"/>
  <c r="S155"/>
  <c r="U155"/>
  <c r="V155"/>
  <c r="V154"/>
  <c r="X154"/>
  <c r="AA154"/>
  <c r="V149"/>
  <c r="V148"/>
  <c r="X148"/>
  <c r="AA148"/>
  <c r="X145"/>
  <c r="AA145"/>
  <c r="V139"/>
  <c r="V138"/>
  <c r="X138"/>
  <c r="AA138"/>
  <c r="V134"/>
  <c r="X134"/>
  <c r="AA134"/>
  <c r="D34" i="3"/>
  <c r="AC133" i="1"/>
  <c r="V129"/>
  <c r="X129"/>
  <c r="AA129"/>
  <c r="V125"/>
  <c r="V124"/>
  <c r="X124"/>
  <c r="AA124"/>
  <c r="S122"/>
  <c r="U122"/>
  <c r="V122"/>
  <c r="V121"/>
  <c r="X121"/>
  <c r="AA121"/>
  <c r="AC114"/>
  <c r="D27" i="3"/>
  <c r="S111" i="1"/>
  <c r="U111"/>
  <c r="V111"/>
  <c r="V110"/>
  <c r="X110"/>
  <c r="AA110"/>
  <c r="D22" i="3"/>
  <c r="AC109" i="1"/>
  <c r="AC102"/>
  <c r="D21" i="3"/>
  <c r="V100" i="1"/>
  <c r="V99"/>
  <c r="X99"/>
  <c r="AA99"/>
  <c r="D17" i="3"/>
  <c r="AC93" i="1"/>
  <c r="AC92"/>
  <c r="D16" i="3"/>
  <c r="S89" i="1"/>
  <c r="U89"/>
  <c r="D12" i="3"/>
  <c r="AC87" i="1"/>
  <c r="AC86"/>
  <c r="D11" i="3"/>
  <c r="S377" i="1"/>
  <c r="U377" s="1"/>
  <c r="AC84"/>
  <c r="D10" i="3"/>
  <c r="AC82" i="1"/>
  <c r="AC118"/>
  <c r="D28" i="3"/>
  <c r="V297" i="1"/>
  <c r="V296"/>
  <c r="X296"/>
  <c r="AA296"/>
  <c r="V235"/>
  <c r="V234"/>
  <c r="X234"/>
  <c r="AA234"/>
  <c r="V304"/>
  <c r="V303"/>
  <c r="X303"/>
  <c r="AA303"/>
  <c r="V274"/>
  <c r="V273"/>
  <c r="X273"/>
  <c r="AA273"/>
  <c r="V231"/>
  <c r="V230"/>
  <c r="X230"/>
  <c r="AA230"/>
  <c r="V327"/>
  <c r="V326"/>
  <c r="X326"/>
  <c r="AA326"/>
  <c r="V195"/>
  <c r="V194"/>
  <c r="X194"/>
  <c r="AA194"/>
  <c r="X135"/>
  <c r="AA135"/>
  <c r="AB144"/>
  <c r="AC144"/>
  <c r="X149"/>
  <c r="AA149"/>
  <c r="X125"/>
  <c r="AA125"/>
  <c r="AB124"/>
  <c r="AC124"/>
  <c r="AB284"/>
  <c r="AC284"/>
  <c r="V324"/>
  <c r="V323"/>
  <c r="X323"/>
  <c r="AA323"/>
  <c r="V290"/>
  <c r="V289"/>
  <c r="X289"/>
  <c r="AA289"/>
  <c r="V241"/>
  <c r="V240"/>
  <c r="X240"/>
  <c r="AA240"/>
  <c r="V280"/>
  <c r="V279"/>
  <c r="X279"/>
  <c r="AA279"/>
  <c r="V211"/>
  <c r="V210"/>
  <c r="X210"/>
  <c r="AA210"/>
  <c r="X285"/>
  <c r="AA285"/>
  <c r="K279"/>
  <c r="AB348"/>
  <c r="AC348"/>
  <c r="AB306"/>
  <c r="AC306"/>
  <c r="X353"/>
  <c r="AA353"/>
  <c r="AB352"/>
  <c r="AC352"/>
  <c r="V94"/>
  <c r="X94"/>
  <c r="AA94"/>
  <c r="X95"/>
  <c r="AA95"/>
  <c r="L374"/>
  <c r="M374"/>
  <c r="X130"/>
  <c r="AA130"/>
  <c r="AB129"/>
  <c r="AC129"/>
  <c r="AB134"/>
  <c r="AC134"/>
  <c r="AB170"/>
  <c r="AC170"/>
  <c r="AB174"/>
  <c r="AC174"/>
  <c r="AB188"/>
  <c r="AC188"/>
  <c r="AB179"/>
  <c r="AC179"/>
  <c r="AB265"/>
  <c r="AC265"/>
  <c r="L12"/>
  <c r="M12"/>
  <c r="V89"/>
  <c r="V88"/>
  <c r="X88"/>
  <c r="AA88"/>
  <c r="AB148"/>
  <c r="AC148"/>
  <c r="D35" i="3"/>
  <c r="AC157" i="1"/>
  <c r="X155"/>
  <c r="AA155"/>
  <c r="AB154"/>
  <c r="AC154"/>
  <c r="X122"/>
  <c r="AA122"/>
  <c r="AB121"/>
  <c r="X111"/>
  <c r="AA111"/>
  <c r="AB110"/>
  <c r="AC110"/>
  <c r="X100"/>
  <c r="AA100"/>
  <c r="AB99"/>
  <c r="AC99"/>
  <c r="M279"/>
  <c r="L279"/>
  <c r="X89"/>
  <c r="AA89"/>
  <c r="AB88"/>
  <c r="X211"/>
  <c r="AA211"/>
  <c r="AB210"/>
  <c r="AC210"/>
  <c r="X280"/>
  <c r="AA280"/>
  <c r="AB279"/>
  <c r="AC279"/>
  <c r="X241"/>
  <c r="AA241"/>
  <c r="AB240"/>
  <c r="AC240"/>
  <c r="X290"/>
  <c r="AA290"/>
  <c r="AB289"/>
  <c r="AC289"/>
  <c r="X324"/>
  <c r="AA324"/>
  <c r="AB323"/>
  <c r="AC323"/>
  <c r="X195"/>
  <c r="AA195"/>
  <c r="AB194"/>
  <c r="X327"/>
  <c r="AA327"/>
  <c r="AB326"/>
  <c r="AC326"/>
  <c r="X231"/>
  <c r="AA231"/>
  <c r="AB230"/>
  <c r="AC230"/>
  <c r="X274"/>
  <c r="AA274"/>
  <c r="AB273"/>
  <c r="AC273"/>
  <c r="X304"/>
  <c r="AA304"/>
  <c r="AB303"/>
  <c r="AC303"/>
  <c r="X235"/>
  <c r="AA235"/>
  <c r="AB234"/>
  <c r="AC234"/>
  <c r="X297"/>
  <c r="AA297"/>
  <c r="AB296"/>
  <c r="AC296"/>
  <c r="AB94"/>
  <c r="AC94"/>
  <c r="AC121"/>
  <c r="D31" i="3"/>
  <c r="D18"/>
  <c r="AC88" i="1"/>
  <c r="AC194"/>
  <c r="V164"/>
  <c r="V163"/>
  <c r="X163"/>
  <c r="AA163"/>
  <c r="M163"/>
  <c r="L163"/>
  <c r="G80"/>
  <c r="J80"/>
  <c r="E79"/>
  <c r="G79"/>
  <c r="J79"/>
  <c r="K79"/>
  <c r="V80"/>
  <c r="V79"/>
  <c r="X79"/>
  <c r="AA79"/>
  <c r="X164"/>
  <c r="AA164"/>
  <c r="AB163"/>
  <c r="AC163"/>
  <c r="X80"/>
  <c r="AA80"/>
  <c r="AB79"/>
  <c r="M79"/>
  <c r="K379"/>
  <c r="L79"/>
  <c r="K378"/>
  <c r="AC79"/>
  <c r="L378"/>
  <c r="L379"/>
  <c r="X371" l="1"/>
  <c r="AA371" s="1"/>
  <c r="V370"/>
  <c r="X370" s="1"/>
  <c r="AA370" s="1"/>
  <c r="AB370" s="1"/>
  <c r="AC370" s="1"/>
  <c r="AB331"/>
  <c r="AC331" s="1"/>
  <c r="D46" i="3"/>
  <c r="D41"/>
  <c r="AC310" i="1"/>
  <c r="AC113"/>
  <c r="D26" i="3"/>
  <c r="D51" s="1"/>
  <c r="AC91" i="1"/>
  <c r="AB378"/>
  <c r="AB379"/>
</calcChain>
</file>

<file path=xl/sharedStrings.xml><?xml version="1.0" encoding="utf-8"?>
<sst xmlns="http://schemas.openxmlformats.org/spreadsheetml/2006/main" count="1649" uniqueCount="337">
  <si>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</si>
  <si>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</si>
  <si>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</si>
  <si>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</si>
  <si>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</si>
  <si>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</si>
  <si>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</si>
  <si>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Приложение 2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</si>
  <si>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</si>
  <si>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</si>
  <si>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</si>
  <si>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</si>
  <si>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</si>
  <si>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</si>
  <si>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</si>
  <si>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</si>
  <si>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</si>
  <si>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</si>
  <si>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</si>
  <si>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</si>
  <si>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</si>
  <si>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</si>
  <si>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</si>
  <si>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</si>
  <si>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</si>
  <si>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</si>
  <si>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</si>
  <si>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</si>
  <si>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</si>
  <si>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</si>
  <si>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</si>
  <si>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</si>
  <si>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</si>
  <si>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</si>
  <si>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№
п/п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</si>
  <si>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</si>
  <si>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</si>
  <si>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</si>
  <si>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</si>
  <si>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Ожидаемый дефицит , МВА</t>
  </si>
  <si>
    <t>Ожидаемый дефицит/ профицит, МВА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</si>
  <si>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</si>
  <si>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</si>
  <si>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</si>
  <si>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</si>
  <si>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</si>
  <si>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</si>
  <si>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</si>
  <si>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</si>
  <si>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</si>
  <si>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</si>
  <si>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</si>
  <si>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</si>
  <si>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</si>
  <si>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</si>
  <si>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</si>
  <si>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</si>
  <si>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</si>
  <si>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</si>
  <si>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</si>
  <si>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</si>
  <si>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</si>
  <si>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</si>
  <si>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</si>
  <si>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</si>
  <si>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</si>
  <si>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</si>
  <si>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</si>
  <si>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</si>
  <si>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</si>
  <si>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</si>
  <si>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</si>
  <si>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</si>
  <si>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</si>
  <si>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</si>
  <si>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</si>
  <si>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</si>
  <si>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</si>
  <si>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</si>
  <si>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</si>
  <si>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</si>
  <si>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</si>
  <si>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Недейковичи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</si>
  <si>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</si>
  <si>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</si>
  <si>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</si>
  <si>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</si>
  <si>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</si>
  <si>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</si>
  <si>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</si>
  <si>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</si>
  <si>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</si>
  <si>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</si>
  <si>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</si>
  <si>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</si>
  <si>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</si>
  <si>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</si>
  <si>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</si>
  <si>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</si>
  <si>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</si>
  <si>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</si>
  <si>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</si>
  <si>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</si>
  <si>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</si>
  <si>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</si>
  <si>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</si>
  <si>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</si>
  <si>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Двухтрансформаторные ПС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</si>
  <si>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</si>
  <si>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</si>
  <si>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</si>
  <si>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</si>
  <si>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</si>
  <si>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</si>
  <si>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</si>
  <si>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</si>
  <si>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</si>
  <si>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</si>
  <si>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</si>
  <si>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</si>
  <si>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</si>
  <si>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</si>
  <si>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</si>
  <si>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</si>
  <si>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</si>
  <si>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</si>
  <si>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</si>
  <si>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</si>
  <si>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</si>
  <si>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</si>
  <si>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</si>
  <si>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</si>
  <si>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</si>
  <si>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</si>
  <si>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</si>
  <si>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</si>
  <si>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</si>
  <si>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</si>
  <si>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</si>
  <si>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</si>
  <si>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</si>
  <si>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</si>
  <si>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</si>
  <si>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</si>
  <si>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</si>
  <si>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</si>
  <si>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</si>
  <si>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</si>
  <si>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</si>
  <si>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</si>
  <si>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</si>
  <si>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</si>
  <si>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</si>
  <si>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</si>
  <si>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</si>
  <si>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</si>
  <si>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</si>
  <si>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</si>
  <si>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</si>
  <si>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</si>
  <si>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</si>
  <si>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</si>
  <si>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</si>
  <si>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</si>
  <si>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</si>
  <si>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</si>
  <si>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</si>
  <si>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</si>
  <si>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</si>
  <si>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</si>
  <si>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</si>
  <si>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</si>
  <si>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</si>
  <si>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</si>
  <si>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</si>
  <si>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</si>
  <si>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</si>
  <si>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</si>
  <si>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</si>
  <si>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</si>
  <si>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</si>
  <si>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</si>
  <si>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</si>
  <si>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</si>
  <si>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</si>
  <si>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</si>
  <si>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</si>
  <si>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</si>
  <si>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</si>
  <si>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</si>
  <si>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</si>
  <si>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</si>
  <si>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</si>
  <si>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</si>
  <si>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</si>
  <si>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</si>
  <si>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</si>
  <si>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</si>
  <si>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</si>
  <si>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</si>
  <si>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</si>
  <si>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Артек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</si>
  <si>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</si>
  <si>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</si>
  <si>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</si>
  <si>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</si>
  <si>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</si>
  <si>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</si>
  <si>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</si>
  <si>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</si>
  <si>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</si>
  <si>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</si>
  <si>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</si>
  <si>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</si>
  <si>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</si>
  <si>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</si>
  <si>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</si>
  <si>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</si>
  <si>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</si>
  <si>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</si>
  <si>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</si>
  <si>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</si>
  <si>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</si>
  <si>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</si>
  <si>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</si>
  <si>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</si>
  <si>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</si>
  <si>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</si>
  <si>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</si>
  <si>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</si>
  <si>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</si>
  <si>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</si>
  <si>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</si>
  <si>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</si>
  <si>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</si>
  <si>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</si>
  <si>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</si>
  <si>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</si>
  <si>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</si>
  <si>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</si>
  <si>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</si>
  <si>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</si>
  <si>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</si>
  <si>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</si>
  <si>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</si>
  <si>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</si>
  <si>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</si>
  <si>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</si>
  <si>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</si>
  <si>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</si>
  <si>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</si>
  <si>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</si>
  <si>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</si>
  <si>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</si>
  <si>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</si>
  <si>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</si>
  <si>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</si>
  <si>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</si>
  <si>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</si>
  <si>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</si>
  <si>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</si>
  <si>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</si>
  <si>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</si>
  <si>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</si>
  <si>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</si>
  <si>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</si>
  <si>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</si>
  <si>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</si>
  <si>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</si>
  <si>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</si>
  <si>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</si>
  <si>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</si>
  <si>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</si>
  <si>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</si>
  <si>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</si>
  <si>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</si>
  <si>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</si>
  <si>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</si>
  <si>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</si>
  <si>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</si>
  <si>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</si>
  <si>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</si>
  <si>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</si>
  <si>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</si>
  <si>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</si>
  <si>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</si>
  <si>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</si>
  <si>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</si>
  <si>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</si>
  <si>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</si>
  <si>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</si>
  <si>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</si>
  <si>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</si>
  <si>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</si>
  <si>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</si>
  <si>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</si>
  <si>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</si>
  <si>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</si>
  <si>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</si>
  <si>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</si>
  <si>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</si>
  <si>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</si>
  <si>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</si>
  <si>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4+1,6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</si>
  <si>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</si>
  <si>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</si>
  <si>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</si>
  <si>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</si>
  <si>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</si>
  <si>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</si>
  <si>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</si>
  <si>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№ п/п</t>
  </si>
  <si>
    <t>Смоленскэнерго</t>
  </si>
  <si>
    <t>Наименование объекта центра питания, класс напряжения, мощность тр-ров(уст. МВА)</t>
  </si>
  <si>
    <t>закрыт</t>
  </si>
  <si>
    <t>Текущий дефицит, МВА</t>
  </si>
  <si>
    <t>Перечень закрытых центров питания филиала ОАО "МРСК Центра" - "Смоленскэнерго" по ожидаемым нагрузкам  с учетом подключения новых мощностей по технологическому присоединению и др.развития эл.сетевого комплекса</t>
  </si>
  <si>
    <t>Макшеево
110/10</t>
  </si>
  <si>
    <t>Нахимовская
35/10</t>
  </si>
  <si>
    <t>Петрищево
35/10</t>
  </si>
  <si>
    <t>Смоленск 1 (ФСК)
  110/35/6</t>
  </si>
  <si>
    <t>Рудня (ФСК)
110/35/10</t>
  </si>
  <si>
    <t>Надейковичи
35/10</t>
  </si>
  <si>
    <t>КС-3 ПС №2
110/10</t>
  </si>
  <si>
    <t>Артек (ведомств.)
35/10</t>
  </si>
  <si>
    <t>Суммарная полная мощность ЦП по результатам замеров максимума нагрузки Sмах , МВА</t>
  </si>
  <si>
    <t xml:space="preserve"> </t>
  </si>
  <si>
    <t>Текущий дефицит/ профицит,         МВт</t>
  </si>
  <si>
    <t xml:space="preserve"> Дополнительная мощность по выданным ТУ на ТП, МВт</t>
  </si>
  <si>
    <t>Расчёт пропускной способности Центров питания филиала ОАО "МРСК Центра" -Смоленскэнерго по итогам зимнего замера максимума нагрузки 2011 г.</t>
  </si>
  <si>
    <t>Перечень закрытых центров питания филиала ОАО "МРСК Центра" - "Смоленскэнерго" по зимним нагрузкам 2011 года (текущий дефицит мощности).</t>
  </si>
  <si>
    <t>cosφ</t>
  </si>
  <si>
    <r>
      <t>cos</t>
    </r>
    <r>
      <rPr>
        <i/>
        <sz val="9"/>
        <rFont val="Calibri"/>
        <family val="2"/>
        <charset val="204"/>
      </rPr>
      <t>φ</t>
    </r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</si>
  <si>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</si>
  <si>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r>
      <t xml:space="preserve">Смоленск 1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  110/35/6</t>
    </r>
  </si>
  <si>
    <r>
      <t xml:space="preserve">Рудня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110/35/10</t>
    </r>
  </si>
  <si>
    <t>Итого текущий дефицит (март 2012)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</si>
</sst>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</font>
    <font>
      <b/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color indexed="10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30" fillId="2" borderId="0" xfId="0" applyFont="1" applyFill="1"/>
    <xf numFmtId="2" fontId="30" fillId="0" borderId="0" xfId="0" applyNumberFormat="1" applyFont="1"/>
    <xf numFmtId="0" fontId="30" fillId="0" borderId="0" xfId="0" applyFont="1"/>
    <xf numFmtId="0" fontId="30" fillId="0" borderId="0" xfId="0" applyFont="1" applyFill="1"/>
    <xf numFmtId="0" fontId="31" fillId="0" borderId="0" xfId="0" applyFont="1"/>
    <xf numFmtId="0" fontId="31" fillId="0" borderId="0" xfId="0" applyFont="1" applyFill="1"/>
    <xf numFmtId="0" fontId="3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2" fontId="30" fillId="0" borderId="4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Fill="1" applyBorder="1" applyAlignment="1" applyProtection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2" fontId="30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/>
    </xf>
    <xf numFmtId="2" fontId="30" fillId="4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/>
    </xf>
    <xf numFmtId="2" fontId="33" fillId="4" borderId="1" xfId="0" applyNumberFormat="1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 vertical="center"/>
    </xf>
    <xf numFmtId="0" fontId="30" fillId="2" borderId="1" xfId="0" applyFont="1" applyFill="1" applyBorder="1"/>
    <xf numFmtId="0" fontId="30" fillId="2" borderId="1" xfId="0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30" fillId="2" borderId="0" xfId="0" applyFont="1" applyFill="1" applyBorder="1"/>
    <xf numFmtId="0" fontId="33" fillId="2" borderId="0" xfId="0" applyFont="1" applyFill="1"/>
    <xf numFmtId="2" fontId="30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2" fontId="30" fillId="5" borderId="1" xfId="0" applyNumberFormat="1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2" fontId="33" fillId="0" borderId="7" xfId="0" applyNumberFormat="1" applyFont="1" applyFill="1" applyBorder="1" applyAlignment="1">
      <alignment horizontal="center" vertical="center"/>
    </xf>
    <xf numFmtId="2" fontId="33" fillId="0" borderId="8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2" fontId="30" fillId="0" borderId="6" xfId="0" applyNumberFormat="1" applyFont="1" applyFill="1" applyBorder="1" applyAlignment="1">
      <alignment horizontal="center" vertical="center" wrapText="1"/>
    </xf>
    <xf numFmtId="2" fontId="30" fillId="0" borderId="7" xfId="0" applyNumberFormat="1" applyFont="1" applyFill="1" applyBorder="1" applyAlignment="1">
      <alignment horizontal="center" vertical="center" wrapText="1"/>
    </xf>
    <xf numFmtId="2" fontId="30" fillId="0" borderId="8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35-110&#1082;&#1042;%20&#1079;&#1072;&#1075;&#1088;&#1091;&#1079;&#1082;&#1072;%20&#1090;&#1088;-&#1088;&#1086;&#1074;%20&#1055;&#1054;%20&#1080;%20&#1073;&#1072;&#1079;&#1072;%20&#1087;&#1086;%20&#1058;&#1055;/&#1056;&#1072;&#1089;&#1095;&#1077;&#1090;%20&#1087;&#1088;&#1086;&#1087;&#1091;&#1089;&#1082;-&#1081;%20&#1089;&#1087;&#1086;&#1089;&#1086;&#1073;&#1085;&#1086;&#1089;&#1090;&#1080;%20&#1057;&#1084;&#1086;&#1083;&#1077;&#1085;&#1089;&#1082;&#1101;&#1085;&#1077;&#1088;&#1075;&#1086;.%20&#1083;&#1077;&#1090;&#1086;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екущий дефицит"/>
      <sheetName val="перспективный дефицит"/>
    </sheetNames>
    <sheetDataSet>
      <sheetData sheetId="0" refreshError="1">
        <row r="95">
          <cell r="E95">
            <v>0</v>
          </cell>
        </row>
        <row r="100">
          <cell r="E100">
            <v>0.01</v>
          </cell>
        </row>
        <row r="106">
          <cell r="E106">
            <v>1.19</v>
          </cell>
        </row>
        <row r="111">
          <cell r="E111">
            <v>2.59</v>
          </cell>
        </row>
        <row r="119">
          <cell r="E119">
            <v>2.12</v>
          </cell>
        </row>
        <row r="122">
          <cell r="E122">
            <v>5.72</v>
          </cell>
        </row>
        <row r="125">
          <cell r="E125">
            <v>0</v>
          </cell>
        </row>
        <row r="130">
          <cell r="E130">
            <v>0.86</v>
          </cell>
        </row>
        <row r="135">
          <cell r="E135">
            <v>0.26</v>
          </cell>
        </row>
        <row r="138">
          <cell r="E138">
            <v>0.46</v>
          </cell>
        </row>
        <row r="144">
          <cell r="E144">
            <v>0.67</v>
          </cell>
        </row>
        <row r="148">
          <cell r="E148">
            <v>0.18</v>
          </cell>
        </row>
        <row r="154">
          <cell r="E154">
            <v>0.42</v>
          </cell>
        </row>
        <row r="157">
          <cell r="E157">
            <v>0.62</v>
          </cell>
        </row>
        <row r="163">
          <cell r="E163">
            <v>0.93</v>
          </cell>
        </row>
        <row r="170">
          <cell r="E170">
            <v>0.16</v>
          </cell>
        </row>
        <row r="174">
          <cell r="E174">
            <v>0.06</v>
          </cell>
        </row>
        <row r="179">
          <cell r="E179">
            <v>4.67</v>
          </cell>
        </row>
        <row r="188">
          <cell r="E188">
            <v>0.43</v>
          </cell>
        </row>
        <row r="194">
          <cell r="E194">
            <v>0.11</v>
          </cell>
        </row>
        <row r="199">
          <cell r="E199">
            <v>0.26</v>
          </cell>
        </row>
        <row r="204">
          <cell r="E204">
            <v>0.14000000000000001</v>
          </cell>
        </row>
        <row r="210">
          <cell r="E210">
            <v>0.21</v>
          </cell>
        </row>
        <row r="215">
          <cell r="E215">
            <v>0.52</v>
          </cell>
        </row>
        <row r="223">
          <cell r="E223">
            <v>0.54</v>
          </cell>
        </row>
        <row r="230">
          <cell r="E230">
            <v>0</v>
          </cell>
        </row>
        <row r="234">
          <cell r="E234">
            <v>0.57999999999999996</v>
          </cell>
        </row>
        <row r="240">
          <cell r="E240">
            <v>0.4</v>
          </cell>
        </row>
        <row r="246">
          <cell r="E246">
            <v>0</v>
          </cell>
        </row>
        <row r="254">
          <cell r="E254">
            <v>0</v>
          </cell>
        </row>
        <row r="261">
          <cell r="E261">
            <v>0</v>
          </cell>
        </row>
        <row r="265">
          <cell r="E265">
            <v>0</v>
          </cell>
        </row>
        <row r="269">
          <cell r="E269">
            <v>0</v>
          </cell>
        </row>
        <row r="273">
          <cell r="E273">
            <v>0.08</v>
          </cell>
        </row>
        <row r="279">
          <cell r="E279">
            <v>0.45</v>
          </cell>
        </row>
        <row r="284">
          <cell r="E284">
            <v>0.21</v>
          </cell>
        </row>
        <row r="289">
          <cell r="E289">
            <v>0</v>
          </cell>
        </row>
        <row r="296">
          <cell r="E296">
            <v>0.18</v>
          </cell>
        </row>
        <row r="303">
          <cell r="E303">
            <v>0.64</v>
          </cell>
        </row>
        <row r="306">
          <cell r="E306">
            <v>0.22</v>
          </cell>
        </row>
        <row r="310">
          <cell r="E310">
            <v>0.56000000000000005</v>
          </cell>
        </row>
        <row r="323">
          <cell r="E323">
            <v>0.34</v>
          </cell>
        </row>
        <row r="326">
          <cell r="E326">
            <v>0.32</v>
          </cell>
        </row>
        <row r="331">
          <cell r="E331">
            <v>1.72</v>
          </cell>
        </row>
        <row r="342">
          <cell r="E342">
            <v>0.64</v>
          </cell>
        </row>
        <row r="348">
          <cell r="E348">
            <v>0.25</v>
          </cell>
        </row>
        <row r="352">
          <cell r="E352">
            <v>0.48</v>
          </cell>
        </row>
        <row r="356">
          <cell r="E356">
            <v>0.16</v>
          </cell>
        </row>
        <row r="360">
          <cell r="E360">
            <v>0.77</v>
          </cell>
        </row>
        <row r="368">
          <cell r="E368">
            <v>0.03</v>
          </cell>
        </row>
        <row r="372">
          <cell r="E372">
            <v>0.01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9"/>
  <sheetViews>
    <sheetView tabSelected="1" zoomScaleNormal="100" workbookViewId="0">
      <pane ySplit="6" topLeftCell="A7" activePane="bottomLeft" state="frozen"/>
      <selection pane="bottomLeft" activeCell="H382" sqref="H382"/>
    </sheetView>
  </sheetViews>
  <sheetFormatPr defaultRowHeight="15"/>
  <cols>
    <col min="1" max="1" width="5.28515625" style="1" customWidth="1"/>
    <col min="2" max="2" width="20.5703125" style="1" customWidth="1"/>
    <col min="3" max="3" width="15.85546875" style="1" customWidth="1"/>
    <col min="4" max="4" width="14" style="4" customWidth="1"/>
    <col min="5" max="6" width="8.5703125" style="1" customWidth="1"/>
    <col min="7" max="7" width="10" style="1" customWidth="1"/>
    <col min="8" max="8" width="9.7109375" style="1" customWidth="1"/>
    <col min="9" max="9" width="11.42578125" style="1" customWidth="1"/>
    <col min="10" max="10" width="12" style="1" customWidth="1"/>
    <col min="11" max="11" width="10.42578125" style="4" customWidth="1"/>
    <col min="12" max="12" width="9.85546875" style="4" hidden="1" customWidth="1"/>
    <col min="13" max="14" width="11.28515625" style="1" customWidth="1"/>
    <col min="15" max="15" width="2" style="1" customWidth="1"/>
    <col min="16" max="16" width="5.28515625" style="1" customWidth="1"/>
    <col min="17" max="17" width="20.42578125" style="1" customWidth="1"/>
    <col min="18" max="18" width="20.85546875" style="1" customWidth="1"/>
    <col min="19" max="19" width="12.5703125" style="1" customWidth="1"/>
    <col min="20" max="20" width="11.7109375" style="1" customWidth="1"/>
    <col min="21" max="21" width="10.140625" style="4" customWidth="1"/>
    <col min="22" max="23" width="13" style="1" customWidth="1"/>
    <col min="24" max="24" width="9.5703125" style="1" customWidth="1"/>
    <col min="25" max="25" width="8.5703125" style="1" customWidth="1"/>
    <col min="26" max="27" width="10.5703125" style="1" customWidth="1"/>
    <col min="28" max="28" width="11" style="4" customWidth="1"/>
    <col min="29" max="30" width="11.28515625" style="1" customWidth="1"/>
    <col min="31" max="16384" width="9.140625" style="1"/>
  </cols>
  <sheetData>
    <row r="1" spans="1:31">
      <c r="J1" s="130" t="s">
        <v>7</v>
      </c>
      <c r="K1" s="130"/>
      <c r="L1" s="25"/>
    </row>
    <row r="2" spans="1:31" ht="18" customHeight="1">
      <c r="A2" s="134" t="s">
        <v>329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24"/>
      <c r="AD2" s="24"/>
    </row>
    <row r="3" spans="1:31">
      <c r="J3" s="133" t="s">
        <v>13</v>
      </c>
      <c r="K3" s="133"/>
      <c r="L3" s="26"/>
      <c r="O3" s="17"/>
      <c r="Q3" s="2"/>
      <c r="R3" s="131"/>
      <c r="S3" s="131"/>
      <c r="T3" s="131"/>
      <c r="U3" s="131"/>
      <c r="V3" s="131"/>
      <c r="W3" s="3"/>
      <c r="X3" s="3"/>
      <c r="Y3" s="3"/>
      <c r="Z3" s="132" t="s">
        <v>14</v>
      </c>
      <c r="AA3" s="132"/>
      <c r="AB3" s="22"/>
    </row>
    <row r="4" spans="1:31" s="9" customFormat="1" ht="17.25" customHeight="1">
      <c r="A4" s="135" t="s">
        <v>311</v>
      </c>
      <c r="B4" s="119" t="s">
        <v>0</v>
      </c>
      <c r="C4" s="127" t="s">
        <v>1</v>
      </c>
      <c r="D4" s="128"/>
      <c r="E4" s="128"/>
      <c r="F4" s="128"/>
      <c r="G4" s="128"/>
      <c r="H4" s="128"/>
      <c r="I4" s="128"/>
      <c r="J4" s="128"/>
      <c r="K4" s="129"/>
      <c r="L4" s="28"/>
      <c r="M4" s="120" t="s">
        <v>16</v>
      </c>
      <c r="N4" s="119" t="s">
        <v>332</v>
      </c>
      <c r="O4" s="29"/>
      <c r="P4" s="135" t="s">
        <v>311</v>
      </c>
      <c r="Q4" s="119" t="s">
        <v>0</v>
      </c>
      <c r="R4" s="127" t="s">
        <v>19</v>
      </c>
      <c r="S4" s="128"/>
      <c r="T4" s="128"/>
      <c r="U4" s="128"/>
      <c r="V4" s="128"/>
      <c r="W4" s="128"/>
      <c r="X4" s="128"/>
      <c r="Y4" s="128"/>
      <c r="Z4" s="128"/>
      <c r="AA4" s="128"/>
      <c r="AB4" s="129"/>
      <c r="AC4" s="120" t="s">
        <v>16</v>
      </c>
      <c r="AD4" s="119" t="s">
        <v>332</v>
      </c>
    </row>
    <row r="5" spans="1:31" s="9" customFormat="1" ht="78" customHeight="1">
      <c r="A5" s="136"/>
      <c r="B5" s="119"/>
      <c r="C5" s="119" t="s">
        <v>8</v>
      </c>
      <c r="D5" s="126" t="s">
        <v>325</v>
      </c>
      <c r="E5" s="119" t="s">
        <v>6</v>
      </c>
      <c r="F5" s="119"/>
      <c r="G5" s="119" t="s">
        <v>2</v>
      </c>
      <c r="H5" s="119" t="s">
        <v>38</v>
      </c>
      <c r="I5" s="119" t="s">
        <v>4</v>
      </c>
      <c r="J5" s="119" t="s">
        <v>18</v>
      </c>
      <c r="K5" s="123" t="s">
        <v>10</v>
      </c>
      <c r="L5" s="123" t="s">
        <v>327</v>
      </c>
      <c r="M5" s="121"/>
      <c r="N5" s="119"/>
      <c r="O5" s="29"/>
      <c r="P5" s="136"/>
      <c r="Q5" s="119"/>
      <c r="R5" s="119" t="s">
        <v>36</v>
      </c>
      <c r="S5" s="119" t="s">
        <v>15</v>
      </c>
      <c r="T5" s="119" t="s">
        <v>328</v>
      </c>
      <c r="U5" s="126" t="s">
        <v>37</v>
      </c>
      <c r="V5" s="119" t="s">
        <v>17</v>
      </c>
      <c r="W5" s="119"/>
      <c r="X5" s="119" t="s">
        <v>12</v>
      </c>
      <c r="Y5" s="119" t="s">
        <v>9</v>
      </c>
      <c r="Z5" s="119" t="s">
        <v>4</v>
      </c>
      <c r="AA5" s="119" t="s">
        <v>11</v>
      </c>
      <c r="AB5" s="123" t="s">
        <v>40</v>
      </c>
      <c r="AC5" s="121"/>
      <c r="AD5" s="119"/>
    </row>
    <row r="6" spans="1:31" s="9" customFormat="1" ht="45.75" customHeight="1">
      <c r="A6" s="137"/>
      <c r="B6" s="119"/>
      <c r="C6" s="119"/>
      <c r="D6" s="126"/>
      <c r="E6" s="27" t="s">
        <v>3</v>
      </c>
      <c r="F6" s="27" t="s">
        <v>5</v>
      </c>
      <c r="G6" s="119"/>
      <c r="H6" s="119"/>
      <c r="I6" s="119"/>
      <c r="J6" s="119"/>
      <c r="K6" s="124"/>
      <c r="L6" s="124"/>
      <c r="M6" s="122"/>
      <c r="N6" s="119"/>
      <c r="O6" s="29"/>
      <c r="P6" s="137"/>
      <c r="Q6" s="119"/>
      <c r="R6" s="119"/>
      <c r="S6" s="119"/>
      <c r="T6" s="119"/>
      <c r="U6" s="126"/>
      <c r="V6" s="27" t="s">
        <v>3</v>
      </c>
      <c r="W6" s="27" t="s">
        <v>5</v>
      </c>
      <c r="X6" s="119"/>
      <c r="Y6" s="119"/>
      <c r="Z6" s="119"/>
      <c r="AA6" s="119"/>
      <c r="AB6" s="124"/>
      <c r="AC6" s="122"/>
      <c r="AD6" s="119"/>
    </row>
    <row r="7" spans="1:31" s="7" customFormat="1" ht="11.25">
      <c r="A7" s="5">
        <v>1</v>
      </c>
      <c r="B7" s="5">
        <v>2</v>
      </c>
      <c r="C7" s="5">
        <v>3</v>
      </c>
      <c r="D7" s="2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21">
        <v>11</v>
      </c>
      <c r="L7" s="21">
        <v>11</v>
      </c>
      <c r="M7" s="6">
        <v>12</v>
      </c>
      <c r="N7" s="6"/>
      <c r="O7" s="18"/>
      <c r="P7" s="5">
        <v>1</v>
      </c>
      <c r="Q7" s="5">
        <v>2</v>
      </c>
      <c r="R7" s="5">
        <v>3</v>
      </c>
      <c r="S7" s="5">
        <v>4</v>
      </c>
      <c r="T7" s="5"/>
      <c r="U7" s="21">
        <v>5</v>
      </c>
      <c r="V7" s="5">
        <v>6</v>
      </c>
      <c r="W7" s="5">
        <v>7</v>
      </c>
      <c r="X7" s="5">
        <v>8</v>
      </c>
      <c r="Y7" s="5">
        <v>9</v>
      </c>
      <c r="Z7" s="5">
        <v>10</v>
      </c>
      <c r="AA7" s="5">
        <v>11</v>
      </c>
      <c r="AB7" s="21">
        <v>12</v>
      </c>
      <c r="AC7" s="8">
        <v>13</v>
      </c>
      <c r="AD7" s="6"/>
    </row>
    <row r="8" spans="1:31" s="32" customFormat="1" ht="15" customHeight="1">
      <c r="A8" s="125" t="s">
        <v>309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52"/>
      <c r="O8" s="30"/>
      <c r="P8" s="118" t="s">
        <v>309</v>
      </c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52"/>
    </row>
    <row r="9" spans="1:31" s="32" customFormat="1" ht="22.5">
      <c r="A9" s="53">
        <v>1</v>
      </c>
      <c r="B9" s="43" t="s">
        <v>41</v>
      </c>
      <c r="C9" s="54">
        <v>2.5</v>
      </c>
      <c r="D9" s="43">
        <v>0.3</v>
      </c>
      <c r="E9" s="54">
        <v>0.7</v>
      </c>
      <c r="F9" s="54" t="s">
        <v>35</v>
      </c>
      <c r="G9" s="54">
        <f t="shared" ref="G9:G73" si="0">E9</f>
        <v>0.7</v>
      </c>
      <c r="H9" s="54">
        <v>0</v>
      </c>
      <c r="I9" s="54">
        <f t="shared" ref="I9:I73" si="1">G9-H9</f>
        <v>0.7</v>
      </c>
      <c r="J9" s="54">
        <f t="shared" ref="J9:J73" si="2">I9-D9</f>
        <v>0.39999999999999997</v>
      </c>
      <c r="K9" s="43">
        <f>J9</f>
        <v>0.39999999999999997</v>
      </c>
      <c r="L9" s="46">
        <f>K9*N9</f>
        <v>0.39599999999999996</v>
      </c>
      <c r="M9" s="55" t="str">
        <f>IF(K9&lt;0,"закрыт","открыт")</f>
        <v>открыт</v>
      </c>
      <c r="N9" s="55">
        <v>0.99</v>
      </c>
      <c r="O9" s="30"/>
      <c r="P9" s="53">
        <v>1</v>
      </c>
      <c r="Q9" s="56" t="s">
        <v>41</v>
      </c>
      <c r="R9" s="54">
        <v>2.5</v>
      </c>
      <c r="S9" s="57">
        <f>T9/N9</f>
        <v>0.34343434343434348</v>
      </c>
      <c r="T9" s="57">
        <v>0.34</v>
      </c>
      <c r="U9" s="46">
        <f t="shared" ref="U9:U15" si="3">D9+S9</f>
        <v>0.64343434343434347</v>
      </c>
      <c r="V9" s="57">
        <f>E9</f>
        <v>0.7</v>
      </c>
      <c r="W9" s="54" t="s">
        <v>35</v>
      </c>
      <c r="X9" s="57">
        <f>U9-V9</f>
        <v>-5.6565656565656486E-2</v>
      </c>
      <c r="Y9" s="57">
        <v>0</v>
      </c>
      <c r="Z9" s="57">
        <f>V9</f>
        <v>0.7</v>
      </c>
      <c r="AA9" s="57">
        <f>Z9-U9</f>
        <v>5.6565656565656486E-2</v>
      </c>
      <c r="AB9" s="46">
        <f>AA9</f>
        <v>5.6565656565656486E-2</v>
      </c>
      <c r="AC9" s="58" t="str">
        <f>IF(AB9&lt;0,"закрыт","открыт")</f>
        <v>открыт</v>
      </c>
      <c r="AD9" s="55">
        <v>0.99</v>
      </c>
      <c r="AE9" s="31"/>
    </row>
    <row r="10" spans="1:31" s="32" customFormat="1" ht="22.5">
      <c r="A10" s="53">
        <v>2</v>
      </c>
      <c r="B10" s="43" t="s">
        <v>42</v>
      </c>
      <c r="C10" s="54">
        <v>4</v>
      </c>
      <c r="D10" s="43">
        <v>0.55000000000000004</v>
      </c>
      <c r="E10" s="54">
        <v>1.36</v>
      </c>
      <c r="F10" s="54" t="s">
        <v>35</v>
      </c>
      <c r="G10" s="54">
        <f t="shared" si="0"/>
        <v>1.36</v>
      </c>
      <c r="H10" s="54">
        <v>0</v>
      </c>
      <c r="I10" s="54">
        <f t="shared" si="1"/>
        <v>1.36</v>
      </c>
      <c r="J10" s="54">
        <f t="shared" si="2"/>
        <v>0.81</v>
      </c>
      <c r="K10" s="43">
        <f>J10</f>
        <v>0.81</v>
      </c>
      <c r="L10" s="46">
        <f t="shared" ref="L10:L61" si="4">K10*N10</f>
        <v>0.80190000000000006</v>
      </c>
      <c r="M10" s="55" t="str">
        <f>IF(K10&lt;0,"закрыт","открыт")</f>
        <v>открыт</v>
      </c>
      <c r="N10" s="55">
        <v>0.99</v>
      </c>
      <c r="O10" s="30"/>
      <c r="P10" s="53">
        <v>2</v>
      </c>
      <c r="Q10" s="54" t="s">
        <v>42</v>
      </c>
      <c r="R10" s="54">
        <v>4</v>
      </c>
      <c r="S10" s="57">
        <f>T10/N10</f>
        <v>0</v>
      </c>
      <c r="T10" s="57">
        <v>0</v>
      </c>
      <c r="U10" s="46">
        <f t="shared" si="3"/>
        <v>0.55000000000000004</v>
      </c>
      <c r="V10" s="57">
        <f>E10</f>
        <v>1.36</v>
      </c>
      <c r="W10" s="54" t="s">
        <v>35</v>
      </c>
      <c r="X10" s="57">
        <f>U10-V10</f>
        <v>-0.81</v>
      </c>
      <c r="Y10" s="57">
        <v>0</v>
      </c>
      <c r="Z10" s="57">
        <f>V10</f>
        <v>1.36</v>
      </c>
      <c r="AA10" s="57">
        <f>Z10-U10</f>
        <v>0.81</v>
      </c>
      <c r="AB10" s="46">
        <f t="shared" ref="AB10:AB74" si="5">AA10</f>
        <v>0.81</v>
      </c>
      <c r="AC10" s="55" t="str">
        <f>IF(AB10&lt;0,"закрыт","открыт")</f>
        <v>открыт</v>
      </c>
      <c r="AD10" s="55">
        <v>0.99</v>
      </c>
      <c r="AE10" s="31"/>
    </row>
    <row r="11" spans="1:31" s="32" customFormat="1" ht="22.5">
      <c r="A11" s="45">
        <v>3</v>
      </c>
      <c r="B11" s="43" t="s">
        <v>43</v>
      </c>
      <c r="C11" s="54">
        <v>2.5</v>
      </c>
      <c r="D11" s="59">
        <v>0.22</v>
      </c>
      <c r="E11" s="54">
        <v>1.73</v>
      </c>
      <c r="F11" s="54" t="s">
        <v>35</v>
      </c>
      <c r="G11" s="54">
        <f t="shared" si="0"/>
        <v>1.73</v>
      </c>
      <c r="H11" s="54">
        <v>0</v>
      </c>
      <c r="I11" s="54">
        <f t="shared" si="1"/>
        <v>1.73</v>
      </c>
      <c r="J11" s="54">
        <f t="shared" si="2"/>
        <v>1.51</v>
      </c>
      <c r="K11" s="43">
        <f>J11</f>
        <v>1.51</v>
      </c>
      <c r="L11" s="46">
        <f t="shared" si="4"/>
        <v>1.2532999999999999</v>
      </c>
      <c r="M11" s="55" t="str">
        <f>IF(K11&lt;0,"закрыт","открыт")</f>
        <v>открыт</v>
      </c>
      <c r="N11" s="55">
        <v>0.83</v>
      </c>
      <c r="O11" s="30"/>
      <c r="P11" s="45">
        <v>3</v>
      </c>
      <c r="Q11" s="54" t="s">
        <v>43</v>
      </c>
      <c r="R11" s="54">
        <v>2.5</v>
      </c>
      <c r="S11" s="57">
        <f>T11/N11</f>
        <v>0</v>
      </c>
      <c r="T11" s="57">
        <v>0</v>
      </c>
      <c r="U11" s="46">
        <f t="shared" si="3"/>
        <v>0.22</v>
      </c>
      <c r="V11" s="57">
        <f>E11</f>
        <v>1.73</v>
      </c>
      <c r="W11" s="54" t="s">
        <v>35</v>
      </c>
      <c r="X11" s="57">
        <f>U11-V11</f>
        <v>-1.51</v>
      </c>
      <c r="Y11" s="57">
        <v>0</v>
      </c>
      <c r="Z11" s="57">
        <f>V11</f>
        <v>1.73</v>
      </c>
      <c r="AA11" s="57">
        <f>Z11-U11</f>
        <v>1.51</v>
      </c>
      <c r="AB11" s="46">
        <f t="shared" si="5"/>
        <v>1.51</v>
      </c>
      <c r="AC11" s="55" t="str">
        <f>IF(AB11&lt;0,"закрыт","открыт")</f>
        <v>открыт</v>
      </c>
      <c r="AD11" s="55">
        <v>0.83</v>
      </c>
      <c r="AE11" s="31"/>
    </row>
    <row r="12" spans="1:31" s="32" customFormat="1" ht="17.25" customHeight="1">
      <c r="A12" s="96">
        <f>A11+1</f>
        <v>4</v>
      </c>
      <c r="B12" s="43" t="s">
        <v>44</v>
      </c>
      <c r="C12" s="54">
        <v>6.3</v>
      </c>
      <c r="D12" s="59">
        <v>0.35</v>
      </c>
      <c r="E12" s="43">
        <f>D12</f>
        <v>0.35</v>
      </c>
      <c r="F12" s="54" t="s">
        <v>35</v>
      </c>
      <c r="G12" s="54">
        <f t="shared" si="0"/>
        <v>0.35</v>
      </c>
      <c r="H12" s="54">
        <v>0</v>
      </c>
      <c r="I12" s="54">
        <f t="shared" si="1"/>
        <v>0.35</v>
      </c>
      <c r="J12" s="54">
        <f t="shared" si="2"/>
        <v>0</v>
      </c>
      <c r="K12" s="95">
        <f>MIN(J12:J14)</f>
        <v>0</v>
      </c>
      <c r="L12" s="46">
        <f t="shared" si="4"/>
        <v>0</v>
      </c>
      <c r="M12" s="98" t="str">
        <f>IF(K12&lt;0,"закрыт","открыт")</f>
        <v>открыт</v>
      </c>
      <c r="N12" s="98">
        <v>0.89</v>
      </c>
      <c r="O12" s="30"/>
      <c r="P12" s="96">
        <f>P11+1</f>
        <v>4</v>
      </c>
      <c r="Q12" s="54" t="s">
        <v>44</v>
      </c>
      <c r="R12" s="54">
        <v>6.3</v>
      </c>
      <c r="S12" s="60">
        <f>T12/N12</f>
        <v>0.41067415730337076</v>
      </c>
      <c r="T12" s="57">
        <v>0.36549999999999999</v>
      </c>
      <c r="U12" s="46">
        <f t="shared" si="3"/>
        <v>0.76067415730337073</v>
      </c>
      <c r="V12" s="57">
        <f>U12</f>
        <v>0.76067415730337073</v>
      </c>
      <c r="W12" s="54" t="s">
        <v>35</v>
      </c>
      <c r="X12" s="57">
        <f t="shared" ref="X12:X74" si="6">U12-V12</f>
        <v>0</v>
      </c>
      <c r="Y12" s="57">
        <v>0</v>
      </c>
      <c r="Z12" s="57">
        <f t="shared" ref="Z12:Z74" si="7">V12</f>
        <v>0.76067415730337073</v>
      </c>
      <c r="AA12" s="57">
        <f t="shared" ref="AA12:AA74" si="8">Z12-U12</f>
        <v>0</v>
      </c>
      <c r="AB12" s="94">
        <f xml:space="preserve"> MIN(AA12:AA14)</f>
        <v>0</v>
      </c>
      <c r="AC12" s="98" t="str">
        <f>IF(AB12&lt;0,"закрыт","открыт")</f>
        <v>открыт</v>
      </c>
      <c r="AD12" s="98">
        <v>0.89</v>
      </c>
      <c r="AE12" s="31"/>
    </row>
    <row r="13" spans="1:31" s="32" customFormat="1" ht="12.75" customHeight="1">
      <c r="A13" s="96"/>
      <c r="B13" s="61" t="s">
        <v>45</v>
      </c>
      <c r="C13" s="54">
        <v>6.3</v>
      </c>
      <c r="D13" s="59">
        <f>D12-D14</f>
        <v>4.9999999999999989E-2</v>
      </c>
      <c r="E13" s="56">
        <f>D13</f>
        <v>4.9999999999999989E-2</v>
      </c>
      <c r="F13" s="54" t="s">
        <v>35</v>
      </c>
      <c r="G13" s="54">
        <f t="shared" si="0"/>
        <v>4.9999999999999989E-2</v>
      </c>
      <c r="H13" s="54">
        <v>0</v>
      </c>
      <c r="I13" s="54">
        <f t="shared" si="1"/>
        <v>4.9999999999999989E-2</v>
      </c>
      <c r="J13" s="54">
        <f t="shared" si="2"/>
        <v>0</v>
      </c>
      <c r="K13" s="95"/>
      <c r="L13" s="46">
        <f t="shared" si="4"/>
        <v>0</v>
      </c>
      <c r="M13" s="99"/>
      <c r="N13" s="99"/>
      <c r="O13" s="30"/>
      <c r="P13" s="96"/>
      <c r="Q13" s="62" t="s">
        <v>45</v>
      </c>
      <c r="R13" s="54">
        <v>6.3</v>
      </c>
      <c r="S13" s="60">
        <f>S12-S14</f>
        <v>0.37247191011235953</v>
      </c>
      <c r="T13" s="60"/>
      <c r="U13" s="46">
        <f t="shared" si="3"/>
        <v>0.42247191011235952</v>
      </c>
      <c r="V13" s="57">
        <f>U13</f>
        <v>0.42247191011235952</v>
      </c>
      <c r="W13" s="54"/>
      <c r="X13" s="57">
        <f t="shared" si="6"/>
        <v>0</v>
      </c>
      <c r="Y13" s="57">
        <v>0</v>
      </c>
      <c r="Z13" s="57">
        <f t="shared" si="7"/>
        <v>0.42247191011235952</v>
      </c>
      <c r="AA13" s="57">
        <f t="shared" si="8"/>
        <v>0</v>
      </c>
      <c r="AB13" s="94"/>
      <c r="AC13" s="99"/>
      <c r="AD13" s="99"/>
      <c r="AE13" s="31"/>
    </row>
    <row r="14" spans="1:31" s="32" customFormat="1" ht="12.75" customHeight="1">
      <c r="A14" s="96"/>
      <c r="B14" s="61" t="s">
        <v>46</v>
      </c>
      <c r="C14" s="54">
        <v>6.3</v>
      </c>
      <c r="D14" s="59">
        <v>0.3</v>
      </c>
      <c r="E14" s="56">
        <f>D14</f>
        <v>0.3</v>
      </c>
      <c r="F14" s="54" t="s">
        <v>35</v>
      </c>
      <c r="G14" s="54">
        <f t="shared" si="0"/>
        <v>0.3</v>
      </c>
      <c r="H14" s="54">
        <v>0</v>
      </c>
      <c r="I14" s="54">
        <f t="shared" si="1"/>
        <v>0.3</v>
      </c>
      <c r="J14" s="54">
        <f t="shared" si="2"/>
        <v>0</v>
      </c>
      <c r="K14" s="95"/>
      <c r="L14" s="46">
        <f t="shared" si="4"/>
        <v>0</v>
      </c>
      <c r="M14" s="100"/>
      <c r="N14" s="100"/>
      <c r="O14" s="30"/>
      <c r="P14" s="96"/>
      <c r="Q14" s="62" t="s">
        <v>46</v>
      </c>
      <c r="R14" s="54">
        <v>6.3</v>
      </c>
      <c r="S14" s="60">
        <f>T14/N12</f>
        <v>3.8202247191011236E-2</v>
      </c>
      <c r="T14" s="57">
        <v>3.4000000000000002E-2</v>
      </c>
      <c r="U14" s="46">
        <f t="shared" si="3"/>
        <v>0.33820224719101122</v>
      </c>
      <c r="V14" s="57">
        <f>U14</f>
        <v>0.33820224719101122</v>
      </c>
      <c r="W14" s="54" t="s">
        <v>35</v>
      </c>
      <c r="X14" s="57">
        <f t="shared" si="6"/>
        <v>0</v>
      </c>
      <c r="Y14" s="57">
        <v>0</v>
      </c>
      <c r="Z14" s="57">
        <f t="shared" si="7"/>
        <v>0.33820224719101122</v>
      </c>
      <c r="AA14" s="57">
        <f t="shared" si="8"/>
        <v>0</v>
      </c>
      <c r="AB14" s="94"/>
      <c r="AC14" s="100"/>
      <c r="AD14" s="100"/>
      <c r="AE14" s="31"/>
    </row>
    <row r="15" spans="1:31" s="32" customFormat="1" ht="22.5">
      <c r="A15" s="45">
        <f>A12+1</f>
        <v>5</v>
      </c>
      <c r="B15" s="43" t="s">
        <v>47</v>
      </c>
      <c r="C15" s="54">
        <v>1.6</v>
      </c>
      <c r="D15" s="63">
        <v>0.22</v>
      </c>
      <c r="E15" s="54">
        <v>1.68</v>
      </c>
      <c r="F15" s="54" t="s">
        <v>35</v>
      </c>
      <c r="G15" s="54">
        <f t="shared" si="0"/>
        <v>1.68</v>
      </c>
      <c r="H15" s="54">
        <v>0</v>
      </c>
      <c r="I15" s="54">
        <f t="shared" si="1"/>
        <v>1.68</v>
      </c>
      <c r="J15" s="54">
        <f t="shared" si="2"/>
        <v>1.46</v>
      </c>
      <c r="K15" s="43">
        <f t="shared" ref="K15:K61" si="9">J15</f>
        <v>1.46</v>
      </c>
      <c r="L15" s="46">
        <f t="shared" si="4"/>
        <v>1.1679999999999999</v>
      </c>
      <c r="M15" s="55" t="str">
        <f>IF(K15&lt;0,"закрыт","открыт")</f>
        <v>открыт</v>
      </c>
      <c r="N15" s="55">
        <v>0.8</v>
      </c>
      <c r="O15" s="30"/>
      <c r="P15" s="45">
        <f>P12+1</f>
        <v>5</v>
      </c>
      <c r="Q15" s="54" t="s">
        <v>47</v>
      </c>
      <c r="R15" s="54">
        <v>1.6</v>
      </c>
      <c r="S15" s="57">
        <f t="shared" ref="S15:S61" si="10">T15/N15</f>
        <v>0</v>
      </c>
      <c r="T15" s="57">
        <v>0</v>
      </c>
      <c r="U15" s="46">
        <f t="shared" si="3"/>
        <v>0.22</v>
      </c>
      <c r="V15" s="57">
        <f t="shared" ref="V15:V61" si="11">E15</f>
        <v>1.68</v>
      </c>
      <c r="W15" s="54" t="s">
        <v>35</v>
      </c>
      <c r="X15" s="57">
        <f t="shared" si="6"/>
        <v>-1.46</v>
      </c>
      <c r="Y15" s="57">
        <v>0</v>
      </c>
      <c r="Z15" s="57">
        <f t="shared" si="7"/>
        <v>1.68</v>
      </c>
      <c r="AA15" s="57">
        <f t="shared" si="8"/>
        <v>1.46</v>
      </c>
      <c r="AB15" s="46">
        <f t="shared" si="5"/>
        <v>1.46</v>
      </c>
      <c r="AC15" s="55" t="str">
        <f>IF(AB15&lt;0,"закрыт","открыт")</f>
        <v>открыт</v>
      </c>
      <c r="AD15" s="55">
        <v>0.8</v>
      </c>
      <c r="AE15" s="31"/>
    </row>
    <row r="16" spans="1:31" s="32" customFormat="1" ht="22.5">
      <c r="A16" s="45">
        <f t="shared" ref="A16:A77" si="12">A15+1</f>
        <v>6</v>
      </c>
      <c r="B16" s="43" t="s">
        <v>48</v>
      </c>
      <c r="C16" s="54">
        <v>1.6</v>
      </c>
      <c r="D16" s="63">
        <v>0.15</v>
      </c>
      <c r="E16" s="54">
        <v>0.85</v>
      </c>
      <c r="F16" s="54" t="s">
        <v>35</v>
      </c>
      <c r="G16" s="54">
        <f t="shared" si="0"/>
        <v>0.85</v>
      </c>
      <c r="H16" s="54">
        <v>0</v>
      </c>
      <c r="I16" s="54">
        <f t="shared" si="1"/>
        <v>0.85</v>
      </c>
      <c r="J16" s="54">
        <f t="shared" si="2"/>
        <v>0.7</v>
      </c>
      <c r="K16" s="43">
        <f t="shared" si="9"/>
        <v>0.7</v>
      </c>
      <c r="L16" s="46">
        <f t="shared" si="4"/>
        <v>0.69299999999999995</v>
      </c>
      <c r="M16" s="55" t="str">
        <f t="shared" ref="M16:M61" si="13">IF(K16&lt;0,"закрыт","открыт")</f>
        <v>открыт</v>
      </c>
      <c r="N16" s="55">
        <v>0.99</v>
      </c>
      <c r="O16" s="30"/>
      <c r="P16" s="45">
        <f t="shared" ref="P16:P77" si="14">P15+1</f>
        <v>6</v>
      </c>
      <c r="Q16" s="54" t="s">
        <v>48</v>
      </c>
      <c r="R16" s="54">
        <v>1.6</v>
      </c>
      <c r="S16" s="57">
        <f t="shared" si="10"/>
        <v>0</v>
      </c>
      <c r="T16" s="57">
        <v>0</v>
      </c>
      <c r="U16" s="46">
        <f t="shared" ref="U16:U79" si="15">D16+S16</f>
        <v>0.15</v>
      </c>
      <c r="V16" s="57">
        <f t="shared" si="11"/>
        <v>0.85</v>
      </c>
      <c r="W16" s="54" t="s">
        <v>35</v>
      </c>
      <c r="X16" s="57">
        <f t="shared" si="6"/>
        <v>-0.7</v>
      </c>
      <c r="Y16" s="57">
        <v>0</v>
      </c>
      <c r="Z16" s="57">
        <f t="shared" si="7"/>
        <v>0.85</v>
      </c>
      <c r="AA16" s="57">
        <f t="shared" si="8"/>
        <v>0.7</v>
      </c>
      <c r="AB16" s="46">
        <f t="shared" si="5"/>
        <v>0.7</v>
      </c>
      <c r="AC16" s="55" t="str">
        <f t="shared" ref="AC16:AC61" si="16">IF(AB16&lt;0,"закрыт","открыт")</f>
        <v>открыт</v>
      </c>
      <c r="AD16" s="55">
        <v>0.99</v>
      </c>
      <c r="AE16" s="31"/>
    </row>
    <row r="17" spans="1:31" s="32" customFormat="1" ht="22.5">
      <c r="A17" s="45">
        <f t="shared" si="12"/>
        <v>7</v>
      </c>
      <c r="B17" s="43" t="s">
        <v>49</v>
      </c>
      <c r="C17" s="54">
        <v>2.5</v>
      </c>
      <c r="D17" s="63">
        <v>0.41</v>
      </c>
      <c r="E17" s="54">
        <v>2.21</v>
      </c>
      <c r="F17" s="54" t="s">
        <v>35</v>
      </c>
      <c r="G17" s="54">
        <f t="shared" si="0"/>
        <v>2.21</v>
      </c>
      <c r="H17" s="54">
        <v>0</v>
      </c>
      <c r="I17" s="54">
        <f t="shared" si="1"/>
        <v>2.21</v>
      </c>
      <c r="J17" s="54">
        <f t="shared" si="2"/>
        <v>1.8</v>
      </c>
      <c r="K17" s="43">
        <f t="shared" si="9"/>
        <v>1.8</v>
      </c>
      <c r="L17" s="46">
        <f t="shared" si="4"/>
        <v>1.746</v>
      </c>
      <c r="M17" s="55" t="str">
        <f t="shared" si="13"/>
        <v>открыт</v>
      </c>
      <c r="N17" s="55">
        <v>0.97</v>
      </c>
      <c r="O17" s="30"/>
      <c r="P17" s="45">
        <f t="shared" si="14"/>
        <v>7</v>
      </c>
      <c r="Q17" s="54" t="s">
        <v>49</v>
      </c>
      <c r="R17" s="54">
        <v>2.5</v>
      </c>
      <c r="S17" s="57">
        <f t="shared" si="10"/>
        <v>0</v>
      </c>
      <c r="T17" s="57">
        <v>0</v>
      </c>
      <c r="U17" s="46">
        <f t="shared" si="15"/>
        <v>0.41</v>
      </c>
      <c r="V17" s="57">
        <f t="shared" si="11"/>
        <v>2.21</v>
      </c>
      <c r="W17" s="54" t="s">
        <v>35</v>
      </c>
      <c r="X17" s="57">
        <f t="shared" si="6"/>
        <v>-1.8</v>
      </c>
      <c r="Y17" s="57">
        <v>0</v>
      </c>
      <c r="Z17" s="57">
        <f t="shared" si="7"/>
        <v>2.21</v>
      </c>
      <c r="AA17" s="57">
        <f t="shared" si="8"/>
        <v>1.8</v>
      </c>
      <c r="AB17" s="46">
        <f t="shared" si="5"/>
        <v>1.8</v>
      </c>
      <c r="AC17" s="55" t="str">
        <f t="shared" si="16"/>
        <v>открыт</v>
      </c>
      <c r="AD17" s="55">
        <v>0.97</v>
      </c>
      <c r="AE17" s="31"/>
    </row>
    <row r="18" spans="1:31" s="32" customFormat="1" ht="22.5">
      <c r="A18" s="45">
        <f t="shared" si="12"/>
        <v>8</v>
      </c>
      <c r="B18" s="43" t="s">
        <v>50</v>
      </c>
      <c r="C18" s="54">
        <v>6.3</v>
      </c>
      <c r="D18" s="63">
        <v>0.43</v>
      </c>
      <c r="E18" s="54">
        <v>1.36</v>
      </c>
      <c r="F18" s="54" t="s">
        <v>35</v>
      </c>
      <c r="G18" s="54">
        <f t="shared" si="0"/>
        <v>1.36</v>
      </c>
      <c r="H18" s="54">
        <v>0</v>
      </c>
      <c r="I18" s="54">
        <f t="shared" si="1"/>
        <v>1.36</v>
      </c>
      <c r="J18" s="54">
        <f t="shared" si="2"/>
        <v>0.93000000000000016</v>
      </c>
      <c r="K18" s="43">
        <f t="shared" si="9"/>
        <v>0.93000000000000016</v>
      </c>
      <c r="L18" s="46">
        <f t="shared" si="4"/>
        <v>0.92070000000000018</v>
      </c>
      <c r="M18" s="55" t="str">
        <f t="shared" si="13"/>
        <v>открыт</v>
      </c>
      <c r="N18" s="55">
        <v>0.99</v>
      </c>
      <c r="O18" s="30"/>
      <c r="P18" s="45">
        <f t="shared" si="14"/>
        <v>8</v>
      </c>
      <c r="Q18" s="54" t="s">
        <v>50</v>
      </c>
      <c r="R18" s="54">
        <v>6.3</v>
      </c>
      <c r="S18" s="57">
        <f t="shared" si="10"/>
        <v>0</v>
      </c>
      <c r="T18" s="57">
        <v>0</v>
      </c>
      <c r="U18" s="46">
        <f t="shared" si="15"/>
        <v>0.43</v>
      </c>
      <c r="V18" s="57">
        <f t="shared" si="11"/>
        <v>1.36</v>
      </c>
      <c r="W18" s="54" t="s">
        <v>35</v>
      </c>
      <c r="X18" s="57">
        <f t="shared" si="6"/>
        <v>-0.93000000000000016</v>
      </c>
      <c r="Y18" s="57">
        <v>0</v>
      </c>
      <c r="Z18" s="57">
        <f t="shared" si="7"/>
        <v>1.36</v>
      </c>
      <c r="AA18" s="57">
        <f t="shared" si="8"/>
        <v>0.93000000000000016</v>
      </c>
      <c r="AB18" s="46">
        <f t="shared" si="5"/>
        <v>0.93000000000000016</v>
      </c>
      <c r="AC18" s="55" t="str">
        <f t="shared" si="16"/>
        <v>открыт</v>
      </c>
      <c r="AD18" s="55">
        <v>0.99</v>
      </c>
      <c r="AE18" s="31"/>
    </row>
    <row r="19" spans="1:31" s="32" customFormat="1" ht="22.5">
      <c r="A19" s="45">
        <f t="shared" si="12"/>
        <v>9</v>
      </c>
      <c r="B19" s="43" t="s">
        <v>51</v>
      </c>
      <c r="C19" s="54">
        <v>2.5</v>
      </c>
      <c r="D19" s="63">
        <v>0.43</v>
      </c>
      <c r="E19" s="54">
        <v>1.36</v>
      </c>
      <c r="F19" s="54" t="s">
        <v>35</v>
      </c>
      <c r="G19" s="54">
        <f t="shared" si="0"/>
        <v>1.36</v>
      </c>
      <c r="H19" s="54">
        <v>0</v>
      </c>
      <c r="I19" s="54">
        <f t="shared" si="1"/>
        <v>1.36</v>
      </c>
      <c r="J19" s="54">
        <f t="shared" si="2"/>
        <v>0.93000000000000016</v>
      </c>
      <c r="K19" s="43">
        <f t="shared" si="9"/>
        <v>0.93000000000000016</v>
      </c>
      <c r="L19" s="46">
        <f t="shared" si="4"/>
        <v>0.90210000000000012</v>
      </c>
      <c r="M19" s="55" t="str">
        <f t="shared" si="13"/>
        <v>открыт</v>
      </c>
      <c r="N19" s="55">
        <v>0.97</v>
      </c>
      <c r="O19" s="30"/>
      <c r="P19" s="45">
        <f t="shared" si="14"/>
        <v>9</v>
      </c>
      <c r="Q19" s="43" t="s">
        <v>51</v>
      </c>
      <c r="R19" s="43">
        <v>2.5</v>
      </c>
      <c r="S19" s="57">
        <f t="shared" si="10"/>
        <v>8.7628865979381451E-2</v>
      </c>
      <c r="T19" s="57">
        <v>8.5000000000000006E-2</v>
      </c>
      <c r="U19" s="46">
        <f t="shared" si="15"/>
        <v>0.5176288659793814</v>
      </c>
      <c r="V19" s="57">
        <f t="shared" si="11"/>
        <v>1.36</v>
      </c>
      <c r="W19" s="43" t="s">
        <v>35</v>
      </c>
      <c r="X19" s="46">
        <f t="shared" si="6"/>
        <v>-0.84237113402061869</v>
      </c>
      <c r="Y19" s="46">
        <v>0</v>
      </c>
      <c r="Z19" s="46">
        <f t="shared" si="7"/>
        <v>1.36</v>
      </c>
      <c r="AA19" s="46">
        <f t="shared" si="8"/>
        <v>0.84237113402061869</v>
      </c>
      <c r="AB19" s="46">
        <f t="shared" si="5"/>
        <v>0.84237113402061869</v>
      </c>
      <c r="AC19" s="59" t="str">
        <f t="shared" si="16"/>
        <v>открыт</v>
      </c>
      <c r="AD19" s="55">
        <v>0.97</v>
      </c>
      <c r="AE19" s="31"/>
    </row>
    <row r="20" spans="1:31" s="32" customFormat="1" ht="22.5">
      <c r="A20" s="45">
        <f t="shared" si="12"/>
        <v>10</v>
      </c>
      <c r="B20" s="43" t="s">
        <v>52</v>
      </c>
      <c r="C20" s="54">
        <v>2.5</v>
      </c>
      <c r="D20" s="63">
        <v>0.18</v>
      </c>
      <c r="E20" s="54">
        <v>0.85</v>
      </c>
      <c r="F20" s="54" t="s">
        <v>35</v>
      </c>
      <c r="G20" s="54">
        <f t="shared" si="0"/>
        <v>0.85</v>
      </c>
      <c r="H20" s="54">
        <v>0</v>
      </c>
      <c r="I20" s="54">
        <f t="shared" si="1"/>
        <v>0.85</v>
      </c>
      <c r="J20" s="54">
        <f t="shared" si="2"/>
        <v>0.66999999999999993</v>
      </c>
      <c r="K20" s="43">
        <f t="shared" si="9"/>
        <v>0.66999999999999993</v>
      </c>
      <c r="L20" s="46">
        <f t="shared" si="4"/>
        <v>0.66329999999999989</v>
      </c>
      <c r="M20" s="55" t="str">
        <f t="shared" si="13"/>
        <v>открыт</v>
      </c>
      <c r="N20" s="55">
        <v>0.99</v>
      </c>
      <c r="O20" s="30"/>
      <c r="P20" s="45">
        <f t="shared" si="14"/>
        <v>10</v>
      </c>
      <c r="Q20" s="54" t="s">
        <v>52</v>
      </c>
      <c r="R20" s="54">
        <v>2.5</v>
      </c>
      <c r="S20" s="57">
        <f t="shared" si="10"/>
        <v>0</v>
      </c>
      <c r="T20" s="57">
        <v>0</v>
      </c>
      <c r="U20" s="46">
        <f t="shared" si="15"/>
        <v>0.18</v>
      </c>
      <c r="V20" s="57">
        <f t="shared" si="11"/>
        <v>0.85</v>
      </c>
      <c r="W20" s="54" t="s">
        <v>35</v>
      </c>
      <c r="X20" s="57">
        <f t="shared" si="6"/>
        <v>-0.66999999999999993</v>
      </c>
      <c r="Y20" s="57">
        <v>0</v>
      </c>
      <c r="Z20" s="57">
        <f t="shared" si="7"/>
        <v>0.85</v>
      </c>
      <c r="AA20" s="57">
        <f t="shared" si="8"/>
        <v>0.66999999999999993</v>
      </c>
      <c r="AB20" s="46">
        <f t="shared" si="5"/>
        <v>0.66999999999999993</v>
      </c>
      <c r="AC20" s="55" t="str">
        <f t="shared" si="16"/>
        <v>открыт</v>
      </c>
      <c r="AD20" s="55">
        <v>0.99</v>
      </c>
      <c r="AE20" s="31"/>
    </row>
    <row r="21" spans="1:31" s="32" customFormat="1" ht="22.5">
      <c r="A21" s="45">
        <f t="shared" si="12"/>
        <v>11</v>
      </c>
      <c r="B21" s="43" t="s">
        <v>53</v>
      </c>
      <c r="C21" s="54">
        <v>1.6</v>
      </c>
      <c r="D21" s="63">
        <v>0.15</v>
      </c>
      <c r="E21" s="54">
        <v>0.85</v>
      </c>
      <c r="F21" s="54" t="s">
        <v>35</v>
      </c>
      <c r="G21" s="54">
        <f t="shared" si="0"/>
        <v>0.85</v>
      </c>
      <c r="H21" s="54">
        <v>0</v>
      </c>
      <c r="I21" s="54">
        <f t="shared" si="1"/>
        <v>0.85</v>
      </c>
      <c r="J21" s="54">
        <f t="shared" si="2"/>
        <v>0.7</v>
      </c>
      <c r="K21" s="43">
        <f t="shared" si="9"/>
        <v>0.7</v>
      </c>
      <c r="L21" s="46">
        <f t="shared" si="4"/>
        <v>0.69299999999999995</v>
      </c>
      <c r="M21" s="55" t="str">
        <f t="shared" si="13"/>
        <v>открыт</v>
      </c>
      <c r="N21" s="55">
        <v>0.99</v>
      </c>
      <c r="O21" s="30"/>
      <c r="P21" s="45">
        <f t="shared" si="14"/>
        <v>11</v>
      </c>
      <c r="Q21" s="54" t="s">
        <v>53</v>
      </c>
      <c r="R21" s="54">
        <v>1.6</v>
      </c>
      <c r="S21" s="57">
        <f t="shared" si="10"/>
        <v>0</v>
      </c>
      <c r="T21" s="57">
        <v>0</v>
      </c>
      <c r="U21" s="46">
        <f t="shared" si="15"/>
        <v>0.15</v>
      </c>
      <c r="V21" s="57">
        <f t="shared" si="11"/>
        <v>0.85</v>
      </c>
      <c r="W21" s="54" t="s">
        <v>35</v>
      </c>
      <c r="X21" s="57">
        <f t="shared" si="6"/>
        <v>-0.7</v>
      </c>
      <c r="Y21" s="57">
        <v>0</v>
      </c>
      <c r="Z21" s="57">
        <f t="shared" si="7"/>
        <v>0.85</v>
      </c>
      <c r="AA21" s="57">
        <f t="shared" si="8"/>
        <v>0.7</v>
      </c>
      <c r="AB21" s="46">
        <f t="shared" si="5"/>
        <v>0.7</v>
      </c>
      <c r="AC21" s="55" t="str">
        <f t="shared" si="16"/>
        <v>открыт</v>
      </c>
      <c r="AD21" s="55">
        <v>0.99</v>
      </c>
      <c r="AE21" s="31"/>
    </row>
    <row r="22" spans="1:31" s="32" customFormat="1" ht="22.5">
      <c r="A22" s="45">
        <f t="shared" si="12"/>
        <v>12</v>
      </c>
      <c r="B22" s="43" t="s">
        <v>54</v>
      </c>
      <c r="C22" s="54">
        <v>4</v>
      </c>
      <c r="D22" s="63">
        <v>0.76</v>
      </c>
      <c r="E22" s="54">
        <v>2.12</v>
      </c>
      <c r="F22" s="54" t="s">
        <v>35</v>
      </c>
      <c r="G22" s="54">
        <f t="shared" si="0"/>
        <v>2.12</v>
      </c>
      <c r="H22" s="54">
        <v>0</v>
      </c>
      <c r="I22" s="54">
        <f t="shared" si="1"/>
        <v>2.12</v>
      </c>
      <c r="J22" s="54">
        <f t="shared" si="2"/>
        <v>1.36</v>
      </c>
      <c r="K22" s="43">
        <f t="shared" si="9"/>
        <v>1.36</v>
      </c>
      <c r="L22" s="46">
        <f t="shared" si="4"/>
        <v>1.292</v>
      </c>
      <c r="M22" s="55" t="str">
        <f t="shared" si="13"/>
        <v>открыт</v>
      </c>
      <c r="N22" s="55">
        <v>0.95</v>
      </c>
      <c r="O22" s="30"/>
      <c r="P22" s="45">
        <f t="shared" si="14"/>
        <v>12</v>
      </c>
      <c r="Q22" s="54" t="s">
        <v>54</v>
      </c>
      <c r="R22" s="54">
        <v>4</v>
      </c>
      <c r="S22" s="57">
        <f t="shared" si="10"/>
        <v>0.16105263157894736</v>
      </c>
      <c r="T22" s="57">
        <v>0.153</v>
      </c>
      <c r="U22" s="46">
        <f t="shared" si="15"/>
        <v>0.92105263157894735</v>
      </c>
      <c r="V22" s="57">
        <f t="shared" si="11"/>
        <v>2.12</v>
      </c>
      <c r="W22" s="54" t="s">
        <v>35</v>
      </c>
      <c r="X22" s="57">
        <f t="shared" si="6"/>
        <v>-1.1989473684210528</v>
      </c>
      <c r="Y22" s="57">
        <v>0</v>
      </c>
      <c r="Z22" s="57">
        <f t="shared" si="7"/>
        <v>2.12</v>
      </c>
      <c r="AA22" s="57">
        <f t="shared" si="8"/>
        <v>1.1989473684210528</v>
      </c>
      <c r="AB22" s="46">
        <f t="shared" si="5"/>
        <v>1.1989473684210528</v>
      </c>
      <c r="AC22" s="55" t="str">
        <f t="shared" si="16"/>
        <v>открыт</v>
      </c>
      <c r="AD22" s="55">
        <v>0.95</v>
      </c>
      <c r="AE22" s="31"/>
    </row>
    <row r="23" spans="1:31" s="32" customFormat="1" ht="22.5">
      <c r="A23" s="45">
        <f t="shared" si="12"/>
        <v>13</v>
      </c>
      <c r="B23" s="43" t="s">
        <v>55</v>
      </c>
      <c r="C23" s="54">
        <v>2.5</v>
      </c>
      <c r="D23" s="63">
        <v>0.43</v>
      </c>
      <c r="E23" s="54">
        <v>0.85</v>
      </c>
      <c r="F23" s="54" t="s">
        <v>35</v>
      </c>
      <c r="G23" s="54">
        <f t="shared" si="0"/>
        <v>0.85</v>
      </c>
      <c r="H23" s="54">
        <v>0</v>
      </c>
      <c r="I23" s="54">
        <f t="shared" si="1"/>
        <v>0.85</v>
      </c>
      <c r="J23" s="54">
        <f t="shared" si="2"/>
        <v>0.42</v>
      </c>
      <c r="K23" s="43">
        <f t="shared" si="9"/>
        <v>0.42</v>
      </c>
      <c r="L23" s="46">
        <f t="shared" si="4"/>
        <v>0.39899999999999997</v>
      </c>
      <c r="M23" s="55" t="str">
        <f t="shared" si="13"/>
        <v>открыт</v>
      </c>
      <c r="N23" s="55">
        <v>0.95</v>
      </c>
      <c r="O23" s="30"/>
      <c r="P23" s="45">
        <f t="shared" si="14"/>
        <v>13</v>
      </c>
      <c r="Q23" s="54" t="s">
        <v>55</v>
      </c>
      <c r="R23" s="54">
        <v>2.5</v>
      </c>
      <c r="S23" s="57">
        <f t="shared" si="10"/>
        <v>0.20578947368421055</v>
      </c>
      <c r="T23" s="57">
        <v>0.19550000000000001</v>
      </c>
      <c r="U23" s="46">
        <f t="shared" si="15"/>
        <v>0.63578947368421057</v>
      </c>
      <c r="V23" s="57">
        <f t="shared" si="11"/>
        <v>0.85</v>
      </c>
      <c r="W23" s="54" t="s">
        <v>35</v>
      </c>
      <c r="X23" s="57">
        <f t="shared" si="6"/>
        <v>-0.21421052631578941</v>
      </c>
      <c r="Y23" s="57">
        <v>0</v>
      </c>
      <c r="Z23" s="57">
        <f t="shared" si="7"/>
        <v>0.85</v>
      </c>
      <c r="AA23" s="57">
        <f t="shared" si="8"/>
        <v>0.21421052631578941</v>
      </c>
      <c r="AB23" s="46">
        <f t="shared" si="5"/>
        <v>0.21421052631578941</v>
      </c>
      <c r="AC23" s="55" t="str">
        <f t="shared" si="16"/>
        <v>открыт</v>
      </c>
      <c r="AD23" s="55">
        <v>0.95</v>
      </c>
      <c r="AE23" s="31"/>
    </row>
    <row r="24" spans="1:31" s="32" customFormat="1" ht="22.5">
      <c r="A24" s="45">
        <f t="shared" si="12"/>
        <v>14</v>
      </c>
      <c r="B24" s="43" t="s">
        <v>56</v>
      </c>
      <c r="C24" s="54">
        <v>2.5</v>
      </c>
      <c r="D24" s="63">
        <v>0.45</v>
      </c>
      <c r="E24" s="54">
        <v>1.02</v>
      </c>
      <c r="F24" s="54" t="s">
        <v>35</v>
      </c>
      <c r="G24" s="54">
        <f t="shared" si="0"/>
        <v>1.02</v>
      </c>
      <c r="H24" s="54">
        <v>0</v>
      </c>
      <c r="I24" s="54">
        <f t="shared" si="1"/>
        <v>1.02</v>
      </c>
      <c r="J24" s="54">
        <f t="shared" si="2"/>
        <v>0.57000000000000006</v>
      </c>
      <c r="K24" s="43">
        <f t="shared" si="9"/>
        <v>0.57000000000000006</v>
      </c>
      <c r="L24" s="46">
        <f t="shared" si="4"/>
        <v>0.50730000000000008</v>
      </c>
      <c r="M24" s="55" t="str">
        <f t="shared" si="13"/>
        <v>открыт</v>
      </c>
      <c r="N24" s="55">
        <v>0.89</v>
      </c>
      <c r="O24" s="30"/>
      <c r="P24" s="45">
        <f t="shared" si="14"/>
        <v>14</v>
      </c>
      <c r="Q24" s="54" t="s">
        <v>56</v>
      </c>
      <c r="R24" s="54">
        <v>2.5</v>
      </c>
      <c r="S24" s="57">
        <f t="shared" si="10"/>
        <v>0</v>
      </c>
      <c r="T24" s="57">
        <v>0</v>
      </c>
      <c r="U24" s="46">
        <f t="shared" si="15"/>
        <v>0.45</v>
      </c>
      <c r="V24" s="57">
        <f t="shared" si="11"/>
        <v>1.02</v>
      </c>
      <c r="W24" s="54" t="s">
        <v>35</v>
      </c>
      <c r="X24" s="57">
        <f t="shared" si="6"/>
        <v>-0.57000000000000006</v>
      </c>
      <c r="Y24" s="57">
        <v>0</v>
      </c>
      <c r="Z24" s="57">
        <f t="shared" si="7"/>
        <v>1.02</v>
      </c>
      <c r="AA24" s="57">
        <f t="shared" si="8"/>
        <v>0.57000000000000006</v>
      </c>
      <c r="AB24" s="46">
        <f t="shared" si="5"/>
        <v>0.57000000000000006</v>
      </c>
      <c r="AC24" s="55" t="str">
        <f t="shared" si="16"/>
        <v>открыт</v>
      </c>
      <c r="AD24" s="55">
        <v>0.89</v>
      </c>
      <c r="AE24" s="31"/>
    </row>
    <row r="25" spans="1:31" s="32" customFormat="1" ht="22.5">
      <c r="A25" s="45">
        <f t="shared" si="12"/>
        <v>15</v>
      </c>
      <c r="B25" s="43" t="s">
        <v>57</v>
      </c>
      <c r="C25" s="54">
        <v>2.5</v>
      </c>
      <c r="D25" s="63">
        <v>0.14000000000000001</v>
      </c>
      <c r="E25" s="54">
        <v>0.68</v>
      </c>
      <c r="F25" s="54" t="s">
        <v>35</v>
      </c>
      <c r="G25" s="54">
        <f t="shared" si="0"/>
        <v>0.68</v>
      </c>
      <c r="H25" s="54">
        <v>0</v>
      </c>
      <c r="I25" s="54">
        <f t="shared" si="1"/>
        <v>0.68</v>
      </c>
      <c r="J25" s="54">
        <f t="shared" si="2"/>
        <v>0.54</v>
      </c>
      <c r="K25" s="43">
        <f t="shared" si="9"/>
        <v>0.54</v>
      </c>
      <c r="L25" s="46">
        <f t="shared" si="4"/>
        <v>0.48060000000000003</v>
      </c>
      <c r="M25" s="55" t="str">
        <f t="shared" si="13"/>
        <v>открыт</v>
      </c>
      <c r="N25" s="55">
        <v>0.89</v>
      </c>
      <c r="O25" s="30"/>
      <c r="P25" s="45">
        <f t="shared" si="14"/>
        <v>15</v>
      </c>
      <c r="Q25" s="54" t="s">
        <v>57</v>
      </c>
      <c r="R25" s="54">
        <v>2.5</v>
      </c>
      <c r="S25" s="57">
        <f t="shared" si="10"/>
        <v>0</v>
      </c>
      <c r="T25" s="57">
        <v>0</v>
      </c>
      <c r="U25" s="46">
        <f t="shared" si="15"/>
        <v>0.14000000000000001</v>
      </c>
      <c r="V25" s="57">
        <f t="shared" si="11"/>
        <v>0.68</v>
      </c>
      <c r="W25" s="54" t="s">
        <v>35</v>
      </c>
      <c r="X25" s="57">
        <f t="shared" si="6"/>
        <v>-0.54</v>
      </c>
      <c r="Y25" s="57">
        <v>0</v>
      </c>
      <c r="Z25" s="57">
        <f t="shared" si="7"/>
        <v>0.68</v>
      </c>
      <c r="AA25" s="57">
        <f t="shared" si="8"/>
        <v>0.54</v>
      </c>
      <c r="AB25" s="46">
        <f t="shared" si="5"/>
        <v>0.54</v>
      </c>
      <c r="AC25" s="55" t="str">
        <f t="shared" si="16"/>
        <v>открыт</v>
      </c>
      <c r="AD25" s="55">
        <v>0.89</v>
      </c>
      <c r="AE25" s="31"/>
    </row>
    <row r="26" spans="1:31" s="32" customFormat="1" ht="22.5">
      <c r="A26" s="45">
        <f t="shared" si="12"/>
        <v>16</v>
      </c>
      <c r="B26" s="43" t="s">
        <v>58</v>
      </c>
      <c r="C26" s="54">
        <v>2.5</v>
      </c>
      <c r="D26" s="63">
        <v>0.19</v>
      </c>
      <c r="E26" s="54">
        <v>0.85</v>
      </c>
      <c r="F26" s="54" t="s">
        <v>35</v>
      </c>
      <c r="G26" s="54">
        <f t="shared" si="0"/>
        <v>0.85</v>
      </c>
      <c r="H26" s="54">
        <v>0</v>
      </c>
      <c r="I26" s="54">
        <f t="shared" si="1"/>
        <v>0.85</v>
      </c>
      <c r="J26" s="54">
        <f t="shared" si="2"/>
        <v>0.65999999999999992</v>
      </c>
      <c r="K26" s="43">
        <f t="shared" si="9"/>
        <v>0.65999999999999992</v>
      </c>
      <c r="L26" s="46">
        <f t="shared" si="4"/>
        <v>0.65339999999999987</v>
      </c>
      <c r="M26" s="55" t="str">
        <f t="shared" si="13"/>
        <v>открыт</v>
      </c>
      <c r="N26" s="55">
        <v>0.99</v>
      </c>
      <c r="O26" s="30"/>
      <c r="P26" s="45">
        <f t="shared" si="14"/>
        <v>16</v>
      </c>
      <c r="Q26" s="54" t="s">
        <v>58</v>
      </c>
      <c r="R26" s="54">
        <v>2.5</v>
      </c>
      <c r="S26" s="57">
        <f t="shared" si="10"/>
        <v>0</v>
      </c>
      <c r="T26" s="57">
        <v>0</v>
      </c>
      <c r="U26" s="46">
        <f t="shared" si="15"/>
        <v>0.19</v>
      </c>
      <c r="V26" s="57">
        <f t="shared" si="11"/>
        <v>0.85</v>
      </c>
      <c r="W26" s="54" t="s">
        <v>35</v>
      </c>
      <c r="X26" s="57">
        <f t="shared" si="6"/>
        <v>-0.65999999999999992</v>
      </c>
      <c r="Y26" s="57">
        <v>0</v>
      </c>
      <c r="Z26" s="57">
        <f t="shared" si="7"/>
        <v>0.85</v>
      </c>
      <c r="AA26" s="57">
        <f t="shared" si="8"/>
        <v>0.65999999999999992</v>
      </c>
      <c r="AB26" s="46">
        <f t="shared" si="5"/>
        <v>0.65999999999999992</v>
      </c>
      <c r="AC26" s="55" t="str">
        <f t="shared" si="16"/>
        <v>открыт</v>
      </c>
      <c r="AD26" s="55">
        <v>0.99</v>
      </c>
      <c r="AE26" s="31"/>
    </row>
    <row r="27" spans="1:31" s="32" customFormat="1" ht="22.5">
      <c r="A27" s="45">
        <f t="shared" si="12"/>
        <v>17</v>
      </c>
      <c r="B27" s="43" t="s">
        <v>59</v>
      </c>
      <c r="C27" s="54">
        <v>2.5</v>
      </c>
      <c r="D27" s="63">
        <v>0.22</v>
      </c>
      <c r="E27" s="54">
        <v>1.3</v>
      </c>
      <c r="F27" s="54" t="s">
        <v>35</v>
      </c>
      <c r="G27" s="54">
        <f t="shared" si="0"/>
        <v>1.3</v>
      </c>
      <c r="H27" s="54">
        <v>0</v>
      </c>
      <c r="I27" s="54">
        <f t="shared" si="1"/>
        <v>1.3</v>
      </c>
      <c r="J27" s="54">
        <f t="shared" si="2"/>
        <v>1.08</v>
      </c>
      <c r="K27" s="43">
        <f t="shared" si="9"/>
        <v>1.08</v>
      </c>
      <c r="L27" s="46">
        <f t="shared" si="4"/>
        <v>0.89639999999999997</v>
      </c>
      <c r="M27" s="55" t="str">
        <f t="shared" si="13"/>
        <v>открыт</v>
      </c>
      <c r="N27" s="55">
        <v>0.83</v>
      </c>
      <c r="O27" s="30"/>
      <c r="P27" s="45">
        <f t="shared" si="14"/>
        <v>17</v>
      </c>
      <c r="Q27" s="54" t="s">
        <v>59</v>
      </c>
      <c r="R27" s="54">
        <v>2.5</v>
      </c>
      <c r="S27" s="57">
        <f t="shared" si="10"/>
        <v>0</v>
      </c>
      <c r="T27" s="57">
        <v>0</v>
      </c>
      <c r="U27" s="46">
        <f t="shared" si="15"/>
        <v>0.22</v>
      </c>
      <c r="V27" s="57">
        <f t="shared" si="11"/>
        <v>1.3</v>
      </c>
      <c r="W27" s="54" t="s">
        <v>35</v>
      </c>
      <c r="X27" s="57">
        <f t="shared" si="6"/>
        <v>-1.08</v>
      </c>
      <c r="Y27" s="57">
        <v>0</v>
      </c>
      <c r="Z27" s="57">
        <f t="shared" si="7"/>
        <v>1.3</v>
      </c>
      <c r="AA27" s="57">
        <f t="shared" si="8"/>
        <v>1.08</v>
      </c>
      <c r="AB27" s="46">
        <f t="shared" si="5"/>
        <v>1.08</v>
      </c>
      <c r="AC27" s="55" t="str">
        <f t="shared" si="16"/>
        <v>открыт</v>
      </c>
      <c r="AD27" s="55">
        <v>0.83</v>
      </c>
      <c r="AE27" s="31"/>
    </row>
    <row r="28" spans="1:31" s="32" customFormat="1" ht="22.5">
      <c r="A28" s="45">
        <f t="shared" si="12"/>
        <v>18</v>
      </c>
      <c r="B28" s="43" t="s">
        <v>60</v>
      </c>
      <c r="C28" s="54">
        <v>2.5</v>
      </c>
      <c r="D28" s="63">
        <v>0.14000000000000001</v>
      </c>
      <c r="E28" s="54">
        <v>0.85</v>
      </c>
      <c r="F28" s="54" t="s">
        <v>35</v>
      </c>
      <c r="G28" s="54">
        <f t="shared" si="0"/>
        <v>0.85</v>
      </c>
      <c r="H28" s="54">
        <v>0</v>
      </c>
      <c r="I28" s="54">
        <f t="shared" si="1"/>
        <v>0.85</v>
      </c>
      <c r="J28" s="54">
        <f t="shared" si="2"/>
        <v>0.71</v>
      </c>
      <c r="K28" s="43">
        <f t="shared" si="9"/>
        <v>0.71</v>
      </c>
      <c r="L28" s="46">
        <f t="shared" si="4"/>
        <v>0.50409999999999999</v>
      </c>
      <c r="M28" s="55" t="str">
        <f t="shared" si="13"/>
        <v>открыт</v>
      </c>
      <c r="N28" s="55">
        <v>0.71</v>
      </c>
      <c r="O28" s="30"/>
      <c r="P28" s="45">
        <f t="shared" si="14"/>
        <v>18</v>
      </c>
      <c r="Q28" s="54" t="s">
        <v>60</v>
      </c>
      <c r="R28" s="54">
        <v>2.5</v>
      </c>
      <c r="S28" s="57">
        <f t="shared" si="10"/>
        <v>0</v>
      </c>
      <c r="T28" s="57">
        <v>0</v>
      </c>
      <c r="U28" s="46">
        <f t="shared" si="15"/>
        <v>0.14000000000000001</v>
      </c>
      <c r="V28" s="57">
        <f t="shared" si="11"/>
        <v>0.85</v>
      </c>
      <c r="W28" s="54" t="s">
        <v>35</v>
      </c>
      <c r="X28" s="57">
        <f t="shared" si="6"/>
        <v>-0.71</v>
      </c>
      <c r="Y28" s="57">
        <v>0</v>
      </c>
      <c r="Z28" s="57">
        <f t="shared" si="7"/>
        <v>0.85</v>
      </c>
      <c r="AA28" s="57">
        <f t="shared" si="8"/>
        <v>0.71</v>
      </c>
      <c r="AB28" s="46">
        <f t="shared" si="5"/>
        <v>0.71</v>
      </c>
      <c r="AC28" s="55" t="str">
        <f t="shared" si="16"/>
        <v>открыт</v>
      </c>
      <c r="AD28" s="55">
        <v>0.71</v>
      </c>
      <c r="AE28" s="31"/>
    </row>
    <row r="29" spans="1:31" s="32" customFormat="1" ht="22.5">
      <c r="A29" s="45">
        <f t="shared" si="12"/>
        <v>19</v>
      </c>
      <c r="B29" s="43" t="s">
        <v>61</v>
      </c>
      <c r="C29" s="54">
        <v>2.5</v>
      </c>
      <c r="D29" s="64">
        <v>0.36</v>
      </c>
      <c r="E29" s="54">
        <v>1.73</v>
      </c>
      <c r="F29" s="54" t="s">
        <v>35</v>
      </c>
      <c r="G29" s="54">
        <f t="shared" si="0"/>
        <v>1.73</v>
      </c>
      <c r="H29" s="54">
        <v>0</v>
      </c>
      <c r="I29" s="54">
        <f t="shared" si="1"/>
        <v>1.73</v>
      </c>
      <c r="J29" s="54">
        <f t="shared" si="2"/>
        <v>1.37</v>
      </c>
      <c r="K29" s="43">
        <f t="shared" si="9"/>
        <v>1.37</v>
      </c>
      <c r="L29" s="46">
        <f t="shared" si="4"/>
        <v>1.2741000000000002</v>
      </c>
      <c r="M29" s="55" t="str">
        <f t="shared" si="13"/>
        <v>открыт</v>
      </c>
      <c r="N29" s="55">
        <v>0.93</v>
      </c>
      <c r="O29" s="30"/>
      <c r="P29" s="45">
        <f t="shared" si="14"/>
        <v>19</v>
      </c>
      <c r="Q29" s="54" t="s">
        <v>61</v>
      </c>
      <c r="R29" s="54">
        <v>2.5</v>
      </c>
      <c r="S29" s="57">
        <f t="shared" si="10"/>
        <v>6.4516129032258063E-2</v>
      </c>
      <c r="T29" s="60">
        <v>0.06</v>
      </c>
      <c r="U29" s="46">
        <f t="shared" si="15"/>
        <v>0.42451612903225805</v>
      </c>
      <c r="V29" s="57">
        <f t="shared" si="11"/>
        <v>1.73</v>
      </c>
      <c r="W29" s="54" t="s">
        <v>35</v>
      </c>
      <c r="X29" s="57">
        <f t="shared" si="6"/>
        <v>-1.3054838709677419</v>
      </c>
      <c r="Y29" s="57">
        <v>0</v>
      </c>
      <c r="Z29" s="57">
        <f t="shared" si="7"/>
        <v>1.73</v>
      </c>
      <c r="AA29" s="57">
        <f t="shared" si="8"/>
        <v>1.3054838709677419</v>
      </c>
      <c r="AB29" s="46">
        <f t="shared" si="5"/>
        <v>1.3054838709677419</v>
      </c>
      <c r="AC29" s="55" t="str">
        <f t="shared" si="16"/>
        <v>открыт</v>
      </c>
      <c r="AD29" s="55">
        <v>0.93</v>
      </c>
      <c r="AE29" s="31"/>
    </row>
    <row r="30" spans="1:31" s="32" customFormat="1" ht="22.5">
      <c r="A30" s="42">
        <f t="shared" si="12"/>
        <v>20</v>
      </c>
      <c r="B30" s="43" t="s">
        <v>62</v>
      </c>
      <c r="C30" s="43">
        <v>2.5</v>
      </c>
      <c r="D30" s="64">
        <v>1.08</v>
      </c>
      <c r="E30" s="43">
        <v>2.5499999999999998</v>
      </c>
      <c r="F30" s="43" t="s">
        <v>35</v>
      </c>
      <c r="G30" s="43">
        <f t="shared" si="0"/>
        <v>2.5499999999999998</v>
      </c>
      <c r="H30" s="43">
        <v>0</v>
      </c>
      <c r="I30" s="43">
        <f t="shared" si="1"/>
        <v>2.5499999999999998</v>
      </c>
      <c r="J30" s="43">
        <f t="shared" si="2"/>
        <v>1.4699999999999998</v>
      </c>
      <c r="K30" s="43">
        <f t="shared" si="9"/>
        <v>1.4699999999999998</v>
      </c>
      <c r="L30" s="46">
        <f t="shared" si="4"/>
        <v>1.1024999999999998</v>
      </c>
      <c r="M30" s="59" t="str">
        <f t="shared" si="13"/>
        <v>открыт</v>
      </c>
      <c r="N30" s="59">
        <v>0.75</v>
      </c>
      <c r="O30" s="30"/>
      <c r="P30" s="42">
        <f t="shared" si="14"/>
        <v>20</v>
      </c>
      <c r="Q30" s="43" t="s">
        <v>62</v>
      </c>
      <c r="R30" s="43">
        <v>2.5</v>
      </c>
      <c r="S30" s="57">
        <f t="shared" si="10"/>
        <v>0</v>
      </c>
      <c r="T30" s="48">
        <v>0</v>
      </c>
      <c r="U30" s="46">
        <f t="shared" si="15"/>
        <v>1.08</v>
      </c>
      <c r="V30" s="46">
        <f t="shared" si="11"/>
        <v>2.5499999999999998</v>
      </c>
      <c r="W30" s="43" t="s">
        <v>35</v>
      </c>
      <c r="X30" s="46">
        <f t="shared" si="6"/>
        <v>-1.4699999999999998</v>
      </c>
      <c r="Y30" s="46">
        <v>0</v>
      </c>
      <c r="Z30" s="46">
        <f t="shared" si="7"/>
        <v>2.5499999999999998</v>
      </c>
      <c r="AA30" s="46">
        <f t="shared" si="8"/>
        <v>1.4699999999999998</v>
      </c>
      <c r="AB30" s="46">
        <f t="shared" si="5"/>
        <v>1.4699999999999998</v>
      </c>
      <c r="AC30" s="59" t="str">
        <f t="shared" si="16"/>
        <v>открыт</v>
      </c>
      <c r="AD30" s="59">
        <v>0.75</v>
      </c>
      <c r="AE30" s="31"/>
    </row>
    <row r="31" spans="1:31" s="32" customFormat="1" ht="22.5">
      <c r="A31" s="45">
        <f t="shared" si="12"/>
        <v>21</v>
      </c>
      <c r="B31" s="43" t="s">
        <v>63</v>
      </c>
      <c r="C31" s="54">
        <v>2.5</v>
      </c>
      <c r="D31" s="64">
        <v>0.36</v>
      </c>
      <c r="E31" s="54">
        <v>1.73</v>
      </c>
      <c r="F31" s="54" t="s">
        <v>35</v>
      </c>
      <c r="G31" s="54">
        <f t="shared" si="0"/>
        <v>1.73</v>
      </c>
      <c r="H31" s="54">
        <v>0</v>
      </c>
      <c r="I31" s="54">
        <f t="shared" si="1"/>
        <v>1.73</v>
      </c>
      <c r="J31" s="54">
        <f t="shared" si="2"/>
        <v>1.37</v>
      </c>
      <c r="K31" s="43">
        <f t="shared" si="9"/>
        <v>1.37</v>
      </c>
      <c r="L31" s="46">
        <f t="shared" si="4"/>
        <v>1.1371</v>
      </c>
      <c r="M31" s="55" t="str">
        <f t="shared" si="13"/>
        <v>открыт</v>
      </c>
      <c r="N31" s="55">
        <v>0.83</v>
      </c>
      <c r="O31" s="30"/>
      <c r="P31" s="45">
        <f t="shared" si="14"/>
        <v>21</v>
      </c>
      <c r="Q31" s="54" t="s">
        <v>63</v>
      </c>
      <c r="R31" s="54">
        <v>2.5</v>
      </c>
      <c r="S31" s="57">
        <f t="shared" si="10"/>
        <v>7.2289156626506021E-2</v>
      </c>
      <c r="T31" s="60">
        <v>0.06</v>
      </c>
      <c r="U31" s="46">
        <f t="shared" si="15"/>
        <v>0.43228915662650602</v>
      </c>
      <c r="V31" s="57">
        <f t="shared" si="11"/>
        <v>1.73</v>
      </c>
      <c r="W31" s="54" t="s">
        <v>35</v>
      </c>
      <c r="X31" s="57">
        <f t="shared" si="6"/>
        <v>-1.2977108433734941</v>
      </c>
      <c r="Y31" s="57">
        <v>0</v>
      </c>
      <c r="Z31" s="57">
        <f t="shared" si="7"/>
        <v>1.73</v>
      </c>
      <c r="AA31" s="57">
        <f t="shared" si="8"/>
        <v>1.2977108433734941</v>
      </c>
      <c r="AB31" s="46">
        <f t="shared" si="5"/>
        <v>1.2977108433734941</v>
      </c>
      <c r="AC31" s="55" t="str">
        <f t="shared" si="16"/>
        <v>открыт</v>
      </c>
      <c r="AD31" s="55">
        <v>0.83</v>
      </c>
      <c r="AE31" s="31"/>
    </row>
    <row r="32" spans="1:31" s="32" customFormat="1" ht="22.5">
      <c r="A32" s="45">
        <f t="shared" si="12"/>
        <v>22</v>
      </c>
      <c r="B32" s="43" t="s">
        <v>64</v>
      </c>
      <c r="C32" s="54">
        <v>1.6</v>
      </c>
      <c r="D32" s="64">
        <v>0.18</v>
      </c>
      <c r="E32" s="54">
        <v>0.68</v>
      </c>
      <c r="F32" s="54" t="s">
        <v>35</v>
      </c>
      <c r="G32" s="54">
        <f t="shared" si="0"/>
        <v>0.68</v>
      </c>
      <c r="H32" s="54">
        <v>0</v>
      </c>
      <c r="I32" s="54">
        <f t="shared" si="1"/>
        <v>0.68</v>
      </c>
      <c r="J32" s="54">
        <f t="shared" si="2"/>
        <v>0.5</v>
      </c>
      <c r="K32" s="43">
        <f t="shared" si="9"/>
        <v>0.5</v>
      </c>
      <c r="L32" s="46">
        <f t="shared" si="4"/>
        <v>0.43</v>
      </c>
      <c r="M32" s="55" t="str">
        <f t="shared" si="13"/>
        <v>открыт</v>
      </c>
      <c r="N32" s="55">
        <v>0.86</v>
      </c>
      <c r="O32" s="30"/>
      <c r="P32" s="45">
        <f t="shared" si="14"/>
        <v>22</v>
      </c>
      <c r="Q32" s="54" t="s">
        <v>64</v>
      </c>
      <c r="R32" s="54">
        <v>1.6</v>
      </c>
      <c r="S32" s="57">
        <f t="shared" si="10"/>
        <v>0</v>
      </c>
      <c r="T32" s="60">
        <v>0</v>
      </c>
      <c r="U32" s="46">
        <f t="shared" si="15"/>
        <v>0.18</v>
      </c>
      <c r="V32" s="57">
        <f t="shared" si="11"/>
        <v>0.68</v>
      </c>
      <c r="W32" s="54" t="s">
        <v>35</v>
      </c>
      <c r="X32" s="57">
        <f t="shared" si="6"/>
        <v>-0.5</v>
      </c>
      <c r="Y32" s="57">
        <v>0</v>
      </c>
      <c r="Z32" s="57">
        <f t="shared" si="7"/>
        <v>0.68</v>
      </c>
      <c r="AA32" s="57">
        <f t="shared" si="8"/>
        <v>0.5</v>
      </c>
      <c r="AB32" s="46">
        <f t="shared" si="5"/>
        <v>0.5</v>
      </c>
      <c r="AC32" s="55" t="str">
        <f t="shared" si="16"/>
        <v>открыт</v>
      </c>
      <c r="AD32" s="55">
        <v>0.86</v>
      </c>
      <c r="AE32" s="31"/>
    </row>
    <row r="33" spans="1:31" s="32" customFormat="1" ht="22.5">
      <c r="A33" s="45">
        <f t="shared" si="12"/>
        <v>23</v>
      </c>
      <c r="B33" s="43" t="s">
        <v>65</v>
      </c>
      <c r="C33" s="54">
        <v>4</v>
      </c>
      <c r="D33" s="64">
        <v>0.36</v>
      </c>
      <c r="E33" s="54">
        <v>2.5499999999999998</v>
      </c>
      <c r="F33" s="54" t="s">
        <v>35</v>
      </c>
      <c r="G33" s="54">
        <f t="shared" si="0"/>
        <v>2.5499999999999998</v>
      </c>
      <c r="H33" s="54">
        <v>0</v>
      </c>
      <c r="I33" s="54">
        <f t="shared" si="1"/>
        <v>2.5499999999999998</v>
      </c>
      <c r="J33" s="54">
        <f t="shared" si="2"/>
        <v>2.19</v>
      </c>
      <c r="K33" s="43">
        <f t="shared" si="9"/>
        <v>2.19</v>
      </c>
      <c r="L33" s="46">
        <f t="shared" si="4"/>
        <v>1.8176999999999999</v>
      </c>
      <c r="M33" s="55" t="str">
        <f t="shared" si="13"/>
        <v>открыт</v>
      </c>
      <c r="N33" s="55">
        <v>0.83</v>
      </c>
      <c r="O33" s="30"/>
      <c r="P33" s="45">
        <f t="shared" si="14"/>
        <v>23</v>
      </c>
      <c r="Q33" s="54" t="s">
        <v>65</v>
      </c>
      <c r="R33" s="54">
        <v>4</v>
      </c>
      <c r="S33" s="57">
        <f t="shared" si="10"/>
        <v>9.6385542168674704E-2</v>
      </c>
      <c r="T33" s="60">
        <v>0.08</v>
      </c>
      <c r="U33" s="46">
        <f t="shared" si="15"/>
        <v>0.45638554216867466</v>
      </c>
      <c r="V33" s="57">
        <f t="shared" si="11"/>
        <v>2.5499999999999998</v>
      </c>
      <c r="W33" s="54" t="s">
        <v>35</v>
      </c>
      <c r="X33" s="57">
        <f t="shared" si="6"/>
        <v>-2.0936144578313254</v>
      </c>
      <c r="Y33" s="57">
        <v>0</v>
      </c>
      <c r="Z33" s="57">
        <f t="shared" si="7"/>
        <v>2.5499999999999998</v>
      </c>
      <c r="AA33" s="57">
        <f t="shared" si="8"/>
        <v>2.0936144578313254</v>
      </c>
      <c r="AB33" s="46">
        <f t="shared" si="5"/>
        <v>2.0936144578313254</v>
      </c>
      <c r="AC33" s="55" t="str">
        <f t="shared" si="16"/>
        <v>открыт</v>
      </c>
      <c r="AD33" s="55">
        <v>0.83</v>
      </c>
      <c r="AE33" s="31"/>
    </row>
    <row r="34" spans="1:31" s="32" customFormat="1" ht="22.5">
      <c r="A34" s="45">
        <f t="shared" si="12"/>
        <v>24</v>
      </c>
      <c r="B34" s="43" t="s">
        <v>66</v>
      </c>
      <c r="C34" s="54">
        <v>2.5</v>
      </c>
      <c r="D34" s="64">
        <v>0.14000000000000001</v>
      </c>
      <c r="E34" s="54">
        <v>1.3</v>
      </c>
      <c r="F34" s="54" t="s">
        <v>35</v>
      </c>
      <c r="G34" s="54">
        <f t="shared" si="0"/>
        <v>1.3</v>
      </c>
      <c r="H34" s="54">
        <v>0</v>
      </c>
      <c r="I34" s="54">
        <f t="shared" si="1"/>
        <v>1.3</v>
      </c>
      <c r="J34" s="54">
        <f t="shared" si="2"/>
        <v>1.1600000000000001</v>
      </c>
      <c r="K34" s="43">
        <f t="shared" si="9"/>
        <v>1.1600000000000001</v>
      </c>
      <c r="L34" s="46">
        <f t="shared" si="4"/>
        <v>0.9628000000000001</v>
      </c>
      <c r="M34" s="55" t="str">
        <f t="shared" si="13"/>
        <v>открыт</v>
      </c>
      <c r="N34" s="55">
        <v>0.83</v>
      </c>
      <c r="O34" s="30"/>
      <c r="P34" s="45">
        <f t="shared" si="14"/>
        <v>24</v>
      </c>
      <c r="Q34" s="54" t="s">
        <v>66</v>
      </c>
      <c r="R34" s="54">
        <v>2.5</v>
      </c>
      <c r="S34" s="57">
        <f t="shared" si="10"/>
        <v>0</v>
      </c>
      <c r="T34" s="60">
        <v>0</v>
      </c>
      <c r="U34" s="46">
        <f t="shared" si="15"/>
        <v>0.14000000000000001</v>
      </c>
      <c r="V34" s="57">
        <f t="shared" si="11"/>
        <v>1.3</v>
      </c>
      <c r="W34" s="54" t="s">
        <v>35</v>
      </c>
      <c r="X34" s="57">
        <f t="shared" si="6"/>
        <v>-1.1600000000000001</v>
      </c>
      <c r="Y34" s="57">
        <v>0</v>
      </c>
      <c r="Z34" s="57">
        <f t="shared" si="7"/>
        <v>1.3</v>
      </c>
      <c r="AA34" s="57">
        <f t="shared" si="8"/>
        <v>1.1600000000000001</v>
      </c>
      <c r="AB34" s="46">
        <f t="shared" si="5"/>
        <v>1.1600000000000001</v>
      </c>
      <c r="AC34" s="55" t="str">
        <f t="shared" si="16"/>
        <v>открыт</v>
      </c>
      <c r="AD34" s="55">
        <v>0.83</v>
      </c>
      <c r="AE34" s="31"/>
    </row>
    <row r="35" spans="1:31" s="32" customFormat="1" ht="22.5">
      <c r="A35" s="45">
        <f t="shared" si="12"/>
        <v>25</v>
      </c>
      <c r="B35" s="43" t="s">
        <v>67</v>
      </c>
      <c r="C35" s="54">
        <v>1.6</v>
      </c>
      <c r="D35" s="64">
        <v>0.14000000000000001</v>
      </c>
      <c r="E35" s="54">
        <v>0.85</v>
      </c>
      <c r="F35" s="54" t="s">
        <v>35</v>
      </c>
      <c r="G35" s="54">
        <f t="shared" si="0"/>
        <v>0.85</v>
      </c>
      <c r="H35" s="54">
        <v>0</v>
      </c>
      <c r="I35" s="54">
        <f t="shared" si="1"/>
        <v>0.85</v>
      </c>
      <c r="J35" s="54">
        <f t="shared" si="2"/>
        <v>0.71</v>
      </c>
      <c r="K35" s="43">
        <f t="shared" si="9"/>
        <v>0.71</v>
      </c>
      <c r="L35" s="46">
        <f t="shared" si="4"/>
        <v>0.70289999999999997</v>
      </c>
      <c r="M35" s="55" t="str">
        <f t="shared" si="13"/>
        <v>открыт</v>
      </c>
      <c r="N35" s="55">
        <v>0.99</v>
      </c>
      <c r="O35" s="30"/>
      <c r="P35" s="45">
        <f t="shared" si="14"/>
        <v>25</v>
      </c>
      <c r="Q35" s="43" t="s">
        <v>67</v>
      </c>
      <c r="R35" s="43">
        <v>1.6</v>
      </c>
      <c r="S35" s="57">
        <f t="shared" si="10"/>
        <v>0</v>
      </c>
      <c r="T35" s="60">
        <v>0</v>
      </c>
      <c r="U35" s="46">
        <f t="shared" si="15"/>
        <v>0.14000000000000001</v>
      </c>
      <c r="V35" s="57">
        <f t="shared" si="11"/>
        <v>0.85</v>
      </c>
      <c r="W35" s="43" t="s">
        <v>35</v>
      </c>
      <c r="X35" s="46">
        <f t="shared" si="6"/>
        <v>-0.71</v>
      </c>
      <c r="Y35" s="46">
        <v>0</v>
      </c>
      <c r="Z35" s="46">
        <f t="shared" si="7"/>
        <v>0.85</v>
      </c>
      <c r="AA35" s="46">
        <f t="shared" si="8"/>
        <v>0.71</v>
      </c>
      <c r="AB35" s="46">
        <f t="shared" si="5"/>
        <v>0.71</v>
      </c>
      <c r="AC35" s="59" t="str">
        <f t="shared" si="16"/>
        <v>открыт</v>
      </c>
      <c r="AD35" s="55">
        <v>0.99</v>
      </c>
      <c r="AE35" s="31"/>
    </row>
    <row r="36" spans="1:31" s="32" customFormat="1" ht="22.5">
      <c r="A36" s="45">
        <f t="shared" si="12"/>
        <v>26</v>
      </c>
      <c r="B36" s="43" t="s">
        <v>68</v>
      </c>
      <c r="C36" s="54">
        <v>2.5</v>
      </c>
      <c r="D36" s="64">
        <v>0.72</v>
      </c>
      <c r="E36" s="54">
        <v>2.625</v>
      </c>
      <c r="F36" s="54" t="s">
        <v>35</v>
      </c>
      <c r="G36" s="54">
        <f t="shared" si="0"/>
        <v>2.625</v>
      </c>
      <c r="H36" s="54">
        <v>0</v>
      </c>
      <c r="I36" s="54">
        <f t="shared" si="1"/>
        <v>2.625</v>
      </c>
      <c r="J36" s="54">
        <f t="shared" si="2"/>
        <v>1.905</v>
      </c>
      <c r="K36" s="43">
        <f t="shared" si="9"/>
        <v>1.905</v>
      </c>
      <c r="L36" s="46">
        <f t="shared" si="4"/>
        <v>1.6954500000000001</v>
      </c>
      <c r="M36" s="55" t="str">
        <f t="shared" si="13"/>
        <v>открыт</v>
      </c>
      <c r="N36" s="55">
        <v>0.89</v>
      </c>
      <c r="O36" s="30"/>
      <c r="P36" s="45">
        <f t="shared" si="14"/>
        <v>26</v>
      </c>
      <c r="Q36" s="43" t="s">
        <v>68</v>
      </c>
      <c r="R36" s="43">
        <v>2.5</v>
      </c>
      <c r="S36" s="57">
        <f t="shared" si="10"/>
        <v>0</v>
      </c>
      <c r="T36" s="60">
        <v>0</v>
      </c>
      <c r="U36" s="46">
        <f t="shared" si="15"/>
        <v>0.72</v>
      </c>
      <c r="V36" s="57">
        <f t="shared" si="11"/>
        <v>2.625</v>
      </c>
      <c r="W36" s="43" t="s">
        <v>35</v>
      </c>
      <c r="X36" s="46">
        <f t="shared" si="6"/>
        <v>-1.905</v>
      </c>
      <c r="Y36" s="46">
        <v>0</v>
      </c>
      <c r="Z36" s="46">
        <f t="shared" si="7"/>
        <v>2.625</v>
      </c>
      <c r="AA36" s="46">
        <f t="shared" si="8"/>
        <v>1.905</v>
      </c>
      <c r="AB36" s="46">
        <f t="shared" si="5"/>
        <v>1.905</v>
      </c>
      <c r="AC36" s="59" t="str">
        <f t="shared" si="16"/>
        <v>открыт</v>
      </c>
      <c r="AD36" s="55">
        <v>0.89</v>
      </c>
      <c r="AE36" s="31"/>
    </row>
    <row r="37" spans="1:31" s="32" customFormat="1" ht="22.5">
      <c r="A37" s="45">
        <f t="shared" si="12"/>
        <v>27</v>
      </c>
      <c r="B37" s="43" t="s">
        <v>69</v>
      </c>
      <c r="C37" s="54">
        <v>1.6</v>
      </c>
      <c r="D37" s="64">
        <v>0.11</v>
      </c>
      <c r="E37" s="54">
        <v>0.85</v>
      </c>
      <c r="F37" s="54" t="s">
        <v>35</v>
      </c>
      <c r="G37" s="54">
        <f t="shared" si="0"/>
        <v>0.85</v>
      </c>
      <c r="H37" s="54">
        <v>0</v>
      </c>
      <c r="I37" s="54">
        <f t="shared" si="1"/>
        <v>0.85</v>
      </c>
      <c r="J37" s="54">
        <f t="shared" si="2"/>
        <v>0.74</v>
      </c>
      <c r="K37" s="43">
        <f t="shared" si="9"/>
        <v>0.74</v>
      </c>
      <c r="L37" s="46">
        <f t="shared" si="4"/>
        <v>0.65859999999999996</v>
      </c>
      <c r="M37" s="55" t="str">
        <f t="shared" si="13"/>
        <v>открыт</v>
      </c>
      <c r="N37" s="55">
        <v>0.89</v>
      </c>
      <c r="O37" s="30"/>
      <c r="P37" s="45">
        <f t="shared" si="14"/>
        <v>27</v>
      </c>
      <c r="Q37" s="54" t="s">
        <v>69</v>
      </c>
      <c r="R37" s="54">
        <v>1.6</v>
      </c>
      <c r="S37" s="57">
        <f t="shared" si="10"/>
        <v>1.1235955056179775E-2</v>
      </c>
      <c r="T37" s="60">
        <v>0.01</v>
      </c>
      <c r="U37" s="46">
        <f t="shared" si="15"/>
        <v>0.12123595505617978</v>
      </c>
      <c r="V37" s="57">
        <f t="shared" si="11"/>
        <v>0.85</v>
      </c>
      <c r="W37" s="54" t="s">
        <v>35</v>
      </c>
      <c r="X37" s="57">
        <f t="shared" si="6"/>
        <v>-0.72876404494382019</v>
      </c>
      <c r="Y37" s="57">
        <v>0</v>
      </c>
      <c r="Z37" s="57">
        <f t="shared" si="7"/>
        <v>0.85</v>
      </c>
      <c r="AA37" s="57">
        <f t="shared" si="8"/>
        <v>0.72876404494382019</v>
      </c>
      <c r="AB37" s="46">
        <f t="shared" si="5"/>
        <v>0.72876404494382019</v>
      </c>
      <c r="AC37" s="55" t="str">
        <f t="shared" si="16"/>
        <v>открыт</v>
      </c>
      <c r="AD37" s="55">
        <v>0.89</v>
      </c>
      <c r="AE37" s="31"/>
    </row>
    <row r="38" spans="1:31" s="32" customFormat="1" ht="22.5">
      <c r="A38" s="45">
        <f t="shared" si="12"/>
        <v>28</v>
      </c>
      <c r="B38" s="43" t="s">
        <v>70</v>
      </c>
      <c r="C38" s="54">
        <v>2.5</v>
      </c>
      <c r="D38" s="64">
        <v>0.14000000000000001</v>
      </c>
      <c r="E38" s="54">
        <v>1.73</v>
      </c>
      <c r="F38" s="54" t="s">
        <v>35</v>
      </c>
      <c r="G38" s="54">
        <f t="shared" si="0"/>
        <v>1.73</v>
      </c>
      <c r="H38" s="54">
        <v>0</v>
      </c>
      <c r="I38" s="54">
        <f t="shared" si="1"/>
        <v>1.73</v>
      </c>
      <c r="J38" s="54">
        <f t="shared" si="2"/>
        <v>1.5899999999999999</v>
      </c>
      <c r="K38" s="43">
        <f t="shared" si="9"/>
        <v>1.5899999999999999</v>
      </c>
      <c r="L38" s="46">
        <f t="shared" si="4"/>
        <v>1.4150999999999998</v>
      </c>
      <c r="M38" s="55" t="str">
        <f t="shared" si="13"/>
        <v>открыт</v>
      </c>
      <c r="N38" s="55">
        <v>0.89</v>
      </c>
      <c r="O38" s="30"/>
      <c r="P38" s="45">
        <f t="shared" si="14"/>
        <v>28</v>
      </c>
      <c r="Q38" s="54" t="s">
        <v>70</v>
      </c>
      <c r="R38" s="54">
        <v>2.5</v>
      </c>
      <c r="S38" s="57">
        <f t="shared" si="10"/>
        <v>0.5617977528089888</v>
      </c>
      <c r="T38" s="60">
        <v>0.5</v>
      </c>
      <c r="U38" s="46">
        <f t="shared" si="15"/>
        <v>0.70179775280898882</v>
      </c>
      <c r="V38" s="57">
        <f t="shared" si="11"/>
        <v>1.73</v>
      </c>
      <c r="W38" s="54" t="s">
        <v>35</v>
      </c>
      <c r="X38" s="57">
        <f t="shared" si="6"/>
        <v>-1.0282022471910111</v>
      </c>
      <c r="Y38" s="57">
        <v>0</v>
      </c>
      <c r="Z38" s="57">
        <f t="shared" si="7"/>
        <v>1.73</v>
      </c>
      <c r="AA38" s="57">
        <f t="shared" si="8"/>
        <v>1.0282022471910111</v>
      </c>
      <c r="AB38" s="46">
        <f t="shared" si="5"/>
        <v>1.0282022471910111</v>
      </c>
      <c r="AC38" s="55" t="str">
        <f t="shared" si="16"/>
        <v>открыт</v>
      </c>
      <c r="AD38" s="55">
        <v>0.89</v>
      </c>
      <c r="AE38" s="31"/>
    </row>
    <row r="39" spans="1:31" s="32" customFormat="1" ht="22.5">
      <c r="A39" s="45">
        <f t="shared" si="12"/>
        <v>29</v>
      </c>
      <c r="B39" s="43" t="s">
        <v>71</v>
      </c>
      <c r="C39" s="54">
        <v>2.5</v>
      </c>
      <c r="D39" s="64">
        <v>0.14000000000000001</v>
      </c>
      <c r="E39" s="54">
        <v>2.5499999999999998</v>
      </c>
      <c r="F39" s="54" t="s">
        <v>35</v>
      </c>
      <c r="G39" s="54">
        <f t="shared" si="0"/>
        <v>2.5499999999999998</v>
      </c>
      <c r="H39" s="54">
        <v>0</v>
      </c>
      <c r="I39" s="54">
        <f t="shared" si="1"/>
        <v>2.5499999999999998</v>
      </c>
      <c r="J39" s="54">
        <f t="shared" si="2"/>
        <v>2.4099999999999997</v>
      </c>
      <c r="K39" s="43">
        <f t="shared" si="9"/>
        <v>2.4099999999999997</v>
      </c>
      <c r="L39" s="46">
        <f t="shared" si="4"/>
        <v>2.1448999999999998</v>
      </c>
      <c r="M39" s="55" t="str">
        <f t="shared" si="13"/>
        <v>открыт</v>
      </c>
      <c r="N39" s="55">
        <v>0.89</v>
      </c>
      <c r="O39" s="30"/>
      <c r="P39" s="45">
        <f t="shared" si="14"/>
        <v>29</v>
      </c>
      <c r="Q39" s="54" t="s">
        <v>71</v>
      </c>
      <c r="R39" s="54">
        <v>2.5</v>
      </c>
      <c r="S39" s="57">
        <f t="shared" si="10"/>
        <v>0</v>
      </c>
      <c r="T39" s="60">
        <v>0</v>
      </c>
      <c r="U39" s="46">
        <f t="shared" si="15"/>
        <v>0.14000000000000001</v>
      </c>
      <c r="V39" s="57">
        <f t="shared" si="11"/>
        <v>2.5499999999999998</v>
      </c>
      <c r="W39" s="54" t="s">
        <v>35</v>
      </c>
      <c r="X39" s="57">
        <f t="shared" si="6"/>
        <v>-2.4099999999999997</v>
      </c>
      <c r="Y39" s="57">
        <v>0</v>
      </c>
      <c r="Z39" s="57">
        <f t="shared" si="7"/>
        <v>2.5499999999999998</v>
      </c>
      <c r="AA39" s="57">
        <f t="shared" si="8"/>
        <v>2.4099999999999997</v>
      </c>
      <c r="AB39" s="46">
        <f t="shared" si="5"/>
        <v>2.4099999999999997</v>
      </c>
      <c r="AC39" s="55" t="str">
        <f t="shared" si="16"/>
        <v>открыт</v>
      </c>
      <c r="AD39" s="55">
        <v>0.89</v>
      </c>
      <c r="AE39" s="31"/>
    </row>
    <row r="40" spans="1:31" s="32" customFormat="1" ht="22.5">
      <c r="A40" s="45">
        <f t="shared" si="12"/>
        <v>30</v>
      </c>
      <c r="B40" s="43" t="s">
        <v>72</v>
      </c>
      <c r="C40" s="54">
        <v>1.6</v>
      </c>
      <c r="D40" s="64">
        <v>0.38</v>
      </c>
      <c r="E40" s="54">
        <v>0.85</v>
      </c>
      <c r="F40" s="54" t="s">
        <v>35</v>
      </c>
      <c r="G40" s="54">
        <f t="shared" si="0"/>
        <v>0.85</v>
      </c>
      <c r="H40" s="54">
        <v>0</v>
      </c>
      <c r="I40" s="54">
        <f t="shared" si="1"/>
        <v>0.85</v>
      </c>
      <c r="J40" s="54">
        <f t="shared" si="2"/>
        <v>0.47</v>
      </c>
      <c r="K40" s="43">
        <f t="shared" si="9"/>
        <v>0.47</v>
      </c>
      <c r="L40" s="46">
        <f t="shared" si="4"/>
        <v>0.45589999999999997</v>
      </c>
      <c r="M40" s="55" t="str">
        <f t="shared" si="13"/>
        <v>открыт</v>
      </c>
      <c r="N40" s="55">
        <v>0.97</v>
      </c>
      <c r="O40" s="30"/>
      <c r="P40" s="45">
        <f t="shared" si="14"/>
        <v>30</v>
      </c>
      <c r="Q40" s="54" t="s">
        <v>72</v>
      </c>
      <c r="R40" s="54">
        <v>1.6</v>
      </c>
      <c r="S40" s="57">
        <f t="shared" si="10"/>
        <v>1.443298969072165E-2</v>
      </c>
      <c r="T40" s="60">
        <v>1.4E-2</v>
      </c>
      <c r="U40" s="46">
        <f t="shared" si="15"/>
        <v>0.39443298969072166</v>
      </c>
      <c r="V40" s="57">
        <f t="shared" si="11"/>
        <v>0.85</v>
      </c>
      <c r="W40" s="54" t="s">
        <v>35</v>
      </c>
      <c r="X40" s="57">
        <f t="shared" si="6"/>
        <v>-0.45556701030927832</v>
      </c>
      <c r="Y40" s="57">
        <v>0</v>
      </c>
      <c r="Z40" s="57">
        <f t="shared" si="7"/>
        <v>0.85</v>
      </c>
      <c r="AA40" s="57">
        <f t="shared" si="8"/>
        <v>0.45556701030927832</v>
      </c>
      <c r="AB40" s="46">
        <f t="shared" si="5"/>
        <v>0.45556701030927832</v>
      </c>
      <c r="AC40" s="55" t="str">
        <f t="shared" si="16"/>
        <v>открыт</v>
      </c>
      <c r="AD40" s="55">
        <v>0.97</v>
      </c>
      <c r="AE40" s="31"/>
    </row>
    <row r="41" spans="1:31" s="32" customFormat="1" ht="22.5">
      <c r="A41" s="45">
        <f t="shared" si="12"/>
        <v>31</v>
      </c>
      <c r="B41" s="43" t="s">
        <v>73</v>
      </c>
      <c r="C41" s="54">
        <v>2.5</v>
      </c>
      <c r="D41" s="64">
        <v>0.44</v>
      </c>
      <c r="E41" s="54">
        <v>0.85</v>
      </c>
      <c r="F41" s="54" t="s">
        <v>35</v>
      </c>
      <c r="G41" s="54">
        <f t="shared" si="0"/>
        <v>0.85</v>
      </c>
      <c r="H41" s="54">
        <v>0</v>
      </c>
      <c r="I41" s="54">
        <f t="shared" si="1"/>
        <v>0.85</v>
      </c>
      <c r="J41" s="54">
        <f t="shared" si="2"/>
        <v>0.41</v>
      </c>
      <c r="K41" s="43">
        <f t="shared" si="9"/>
        <v>0.41</v>
      </c>
      <c r="L41" s="46">
        <f t="shared" si="4"/>
        <v>0.39359999999999995</v>
      </c>
      <c r="M41" s="55" t="str">
        <f t="shared" si="13"/>
        <v>открыт</v>
      </c>
      <c r="N41" s="55">
        <v>0.96</v>
      </c>
      <c r="O41" s="30"/>
      <c r="P41" s="45">
        <f t="shared" si="14"/>
        <v>31</v>
      </c>
      <c r="Q41" s="54" t="s">
        <v>73</v>
      </c>
      <c r="R41" s="54">
        <v>2.5</v>
      </c>
      <c r="S41" s="57">
        <f t="shared" si="10"/>
        <v>9.375E-2</v>
      </c>
      <c r="T41" s="60">
        <v>0.09</v>
      </c>
      <c r="U41" s="46">
        <f t="shared" si="15"/>
        <v>0.53374999999999995</v>
      </c>
      <c r="V41" s="57">
        <f t="shared" si="11"/>
        <v>0.85</v>
      </c>
      <c r="W41" s="54" t="s">
        <v>35</v>
      </c>
      <c r="X41" s="57">
        <f t="shared" si="6"/>
        <v>-0.31625000000000003</v>
      </c>
      <c r="Y41" s="57">
        <v>0</v>
      </c>
      <c r="Z41" s="57">
        <f t="shared" si="7"/>
        <v>0.85</v>
      </c>
      <c r="AA41" s="57">
        <f t="shared" si="8"/>
        <v>0.31625000000000003</v>
      </c>
      <c r="AB41" s="46">
        <f t="shared" si="5"/>
        <v>0.31625000000000003</v>
      </c>
      <c r="AC41" s="55" t="str">
        <f t="shared" si="16"/>
        <v>открыт</v>
      </c>
      <c r="AD41" s="55">
        <v>0.96</v>
      </c>
      <c r="AE41" s="31"/>
    </row>
    <row r="42" spans="1:31" s="32" customFormat="1" ht="22.5">
      <c r="A42" s="45">
        <f t="shared" si="12"/>
        <v>32</v>
      </c>
      <c r="B42" s="43" t="s">
        <v>74</v>
      </c>
      <c r="C42" s="54">
        <v>1.6</v>
      </c>
      <c r="D42" s="64">
        <v>0.24</v>
      </c>
      <c r="E42" s="54">
        <v>1.68</v>
      </c>
      <c r="F42" s="54" t="s">
        <v>35</v>
      </c>
      <c r="G42" s="54">
        <f t="shared" si="0"/>
        <v>1.68</v>
      </c>
      <c r="H42" s="54">
        <v>0</v>
      </c>
      <c r="I42" s="54">
        <f t="shared" si="1"/>
        <v>1.68</v>
      </c>
      <c r="J42" s="54">
        <f t="shared" si="2"/>
        <v>1.44</v>
      </c>
      <c r="K42" s="43">
        <f t="shared" si="9"/>
        <v>1.44</v>
      </c>
      <c r="L42" s="46">
        <f t="shared" si="4"/>
        <v>1.1807999999999998</v>
      </c>
      <c r="M42" s="55" t="str">
        <f t="shared" si="13"/>
        <v>открыт</v>
      </c>
      <c r="N42" s="55">
        <v>0.82</v>
      </c>
      <c r="O42" s="30"/>
      <c r="P42" s="45">
        <f t="shared" si="14"/>
        <v>32</v>
      </c>
      <c r="Q42" s="54" t="s">
        <v>74</v>
      </c>
      <c r="R42" s="54">
        <v>1.6</v>
      </c>
      <c r="S42" s="57">
        <f t="shared" si="10"/>
        <v>6.0975609756097567E-2</v>
      </c>
      <c r="T42" s="60">
        <v>0.05</v>
      </c>
      <c r="U42" s="46">
        <f t="shared" si="15"/>
        <v>0.30097560975609755</v>
      </c>
      <c r="V42" s="57">
        <f t="shared" si="11"/>
        <v>1.68</v>
      </c>
      <c r="W42" s="54" t="s">
        <v>35</v>
      </c>
      <c r="X42" s="57">
        <f t="shared" si="6"/>
        <v>-1.3790243902439023</v>
      </c>
      <c r="Y42" s="57">
        <v>0</v>
      </c>
      <c r="Z42" s="57">
        <f t="shared" si="7"/>
        <v>1.68</v>
      </c>
      <c r="AA42" s="57">
        <f t="shared" si="8"/>
        <v>1.3790243902439023</v>
      </c>
      <c r="AB42" s="46">
        <f t="shared" si="5"/>
        <v>1.3790243902439023</v>
      </c>
      <c r="AC42" s="55" t="str">
        <f t="shared" si="16"/>
        <v>открыт</v>
      </c>
      <c r="AD42" s="55">
        <v>0.82</v>
      </c>
      <c r="AE42" s="31"/>
    </row>
    <row r="43" spans="1:31" s="32" customFormat="1" ht="22.5">
      <c r="A43" s="45">
        <f t="shared" si="12"/>
        <v>33</v>
      </c>
      <c r="B43" s="43" t="s">
        <v>75</v>
      </c>
      <c r="C43" s="54">
        <v>2.5</v>
      </c>
      <c r="D43" s="64">
        <v>0.51</v>
      </c>
      <c r="E43" s="54">
        <v>0.85</v>
      </c>
      <c r="F43" s="54" t="s">
        <v>35</v>
      </c>
      <c r="G43" s="54">
        <f t="shared" si="0"/>
        <v>0.85</v>
      </c>
      <c r="H43" s="54">
        <v>0</v>
      </c>
      <c r="I43" s="54">
        <f t="shared" si="1"/>
        <v>0.85</v>
      </c>
      <c r="J43" s="54">
        <f t="shared" si="2"/>
        <v>0.33999999999999997</v>
      </c>
      <c r="K43" s="43">
        <f t="shared" si="9"/>
        <v>0.33999999999999997</v>
      </c>
      <c r="L43" s="46">
        <f t="shared" si="4"/>
        <v>0.26519999999999999</v>
      </c>
      <c r="M43" s="55" t="str">
        <f t="shared" si="13"/>
        <v>открыт</v>
      </c>
      <c r="N43" s="55">
        <v>0.78</v>
      </c>
      <c r="O43" s="30"/>
      <c r="P43" s="86">
        <f t="shared" si="14"/>
        <v>33</v>
      </c>
      <c r="Q43" s="66" t="s">
        <v>75</v>
      </c>
      <c r="R43" s="66">
        <v>2.5</v>
      </c>
      <c r="S43" s="67">
        <f t="shared" si="10"/>
        <v>1.0256410256410258</v>
      </c>
      <c r="T43" s="60">
        <v>0.8</v>
      </c>
      <c r="U43" s="67">
        <f t="shared" si="15"/>
        <v>1.5356410256410258</v>
      </c>
      <c r="V43" s="67">
        <f t="shared" si="11"/>
        <v>0.85</v>
      </c>
      <c r="W43" s="66" t="s">
        <v>35</v>
      </c>
      <c r="X43" s="67">
        <f t="shared" si="6"/>
        <v>0.6856410256410258</v>
      </c>
      <c r="Y43" s="67">
        <v>0</v>
      </c>
      <c r="Z43" s="67">
        <f t="shared" si="7"/>
        <v>0.85</v>
      </c>
      <c r="AA43" s="67">
        <f t="shared" si="8"/>
        <v>-0.6856410256410258</v>
      </c>
      <c r="AB43" s="67">
        <f t="shared" si="5"/>
        <v>-0.6856410256410258</v>
      </c>
      <c r="AC43" s="68" t="str">
        <f t="shared" si="16"/>
        <v>закрыт</v>
      </c>
      <c r="AD43" s="55">
        <v>0.78</v>
      </c>
      <c r="AE43" s="31"/>
    </row>
    <row r="44" spans="1:31" s="32" customFormat="1" ht="22.5">
      <c r="A44" s="45">
        <f t="shared" si="12"/>
        <v>34</v>
      </c>
      <c r="B44" s="43" t="s">
        <v>76</v>
      </c>
      <c r="C44" s="54">
        <v>2.5</v>
      </c>
      <c r="D44" s="64">
        <v>0.18</v>
      </c>
      <c r="E44" s="54">
        <v>1.73</v>
      </c>
      <c r="F44" s="54" t="s">
        <v>35</v>
      </c>
      <c r="G44" s="54">
        <f t="shared" si="0"/>
        <v>1.73</v>
      </c>
      <c r="H44" s="54">
        <v>0</v>
      </c>
      <c r="I44" s="54">
        <f t="shared" si="1"/>
        <v>1.73</v>
      </c>
      <c r="J44" s="54">
        <f t="shared" si="2"/>
        <v>1.55</v>
      </c>
      <c r="K44" s="43">
        <f t="shared" si="9"/>
        <v>1.55</v>
      </c>
      <c r="L44" s="46">
        <f t="shared" si="4"/>
        <v>1.3795000000000002</v>
      </c>
      <c r="M44" s="55" t="str">
        <f t="shared" si="13"/>
        <v>открыт</v>
      </c>
      <c r="N44" s="55">
        <v>0.89</v>
      </c>
      <c r="O44" s="30"/>
      <c r="P44" s="45">
        <f t="shared" si="14"/>
        <v>34</v>
      </c>
      <c r="Q44" s="54" t="s">
        <v>76</v>
      </c>
      <c r="R44" s="54">
        <v>2.5</v>
      </c>
      <c r="S44" s="57">
        <f t="shared" si="10"/>
        <v>0</v>
      </c>
      <c r="T44" s="60">
        <v>0</v>
      </c>
      <c r="U44" s="46">
        <f t="shared" si="15"/>
        <v>0.18</v>
      </c>
      <c r="V44" s="57">
        <f t="shared" si="11"/>
        <v>1.73</v>
      </c>
      <c r="W44" s="54" t="s">
        <v>35</v>
      </c>
      <c r="X44" s="57">
        <f t="shared" si="6"/>
        <v>-1.55</v>
      </c>
      <c r="Y44" s="57">
        <v>0</v>
      </c>
      <c r="Z44" s="57">
        <f t="shared" si="7"/>
        <v>1.73</v>
      </c>
      <c r="AA44" s="57">
        <f t="shared" si="8"/>
        <v>1.55</v>
      </c>
      <c r="AB44" s="46">
        <f t="shared" si="5"/>
        <v>1.55</v>
      </c>
      <c r="AC44" s="55" t="str">
        <f t="shared" si="16"/>
        <v>открыт</v>
      </c>
      <c r="AD44" s="55">
        <v>0.89</v>
      </c>
      <c r="AE44" s="31"/>
    </row>
    <row r="45" spans="1:31" s="32" customFormat="1" ht="22.5">
      <c r="A45" s="45">
        <f t="shared" si="12"/>
        <v>35</v>
      </c>
      <c r="B45" s="43" t="s">
        <v>77</v>
      </c>
      <c r="C45" s="54">
        <v>2.5</v>
      </c>
      <c r="D45" s="64">
        <v>0.53</v>
      </c>
      <c r="E45" s="54">
        <v>2.625</v>
      </c>
      <c r="F45" s="54" t="s">
        <v>35</v>
      </c>
      <c r="G45" s="54">
        <f t="shared" si="0"/>
        <v>2.625</v>
      </c>
      <c r="H45" s="54">
        <v>0</v>
      </c>
      <c r="I45" s="54">
        <f t="shared" si="1"/>
        <v>2.625</v>
      </c>
      <c r="J45" s="54">
        <f t="shared" si="2"/>
        <v>2.0949999999999998</v>
      </c>
      <c r="K45" s="43">
        <f t="shared" si="9"/>
        <v>2.0949999999999998</v>
      </c>
      <c r="L45" s="46">
        <f t="shared" si="4"/>
        <v>2.0321499999999997</v>
      </c>
      <c r="M45" s="55" t="str">
        <f t="shared" si="13"/>
        <v>открыт</v>
      </c>
      <c r="N45" s="55">
        <v>0.97</v>
      </c>
      <c r="O45" s="30"/>
      <c r="P45" s="45">
        <f t="shared" si="14"/>
        <v>35</v>
      </c>
      <c r="Q45" s="54" t="s">
        <v>77</v>
      </c>
      <c r="R45" s="54">
        <v>2.5</v>
      </c>
      <c r="S45" s="57">
        <f t="shared" si="10"/>
        <v>2.0618556701030927E-2</v>
      </c>
      <c r="T45" s="60">
        <v>0.02</v>
      </c>
      <c r="U45" s="46">
        <f t="shared" si="15"/>
        <v>0.55061855670103099</v>
      </c>
      <c r="V45" s="57">
        <f t="shared" si="11"/>
        <v>2.625</v>
      </c>
      <c r="W45" s="54" t="s">
        <v>35</v>
      </c>
      <c r="X45" s="57">
        <f t="shared" si="6"/>
        <v>-2.0743814432989689</v>
      </c>
      <c r="Y45" s="57">
        <v>0</v>
      </c>
      <c r="Z45" s="57">
        <f t="shared" si="7"/>
        <v>2.625</v>
      </c>
      <c r="AA45" s="57">
        <f t="shared" si="8"/>
        <v>2.0743814432989689</v>
      </c>
      <c r="AB45" s="46">
        <f t="shared" si="5"/>
        <v>2.0743814432989689</v>
      </c>
      <c r="AC45" s="55" t="str">
        <f t="shared" si="16"/>
        <v>открыт</v>
      </c>
      <c r="AD45" s="55">
        <v>0.97</v>
      </c>
      <c r="AE45" s="31"/>
    </row>
    <row r="46" spans="1:31" s="32" customFormat="1" ht="22.5">
      <c r="A46" s="45">
        <f t="shared" si="12"/>
        <v>36</v>
      </c>
      <c r="B46" s="43" t="s">
        <v>78</v>
      </c>
      <c r="C46" s="54">
        <v>2.5</v>
      </c>
      <c r="D46" s="64">
        <v>0.26</v>
      </c>
      <c r="E46" s="54">
        <v>1.73</v>
      </c>
      <c r="F46" s="54" t="s">
        <v>35</v>
      </c>
      <c r="G46" s="54">
        <f t="shared" si="0"/>
        <v>1.73</v>
      </c>
      <c r="H46" s="54">
        <v>0</v>
      </c>
      <c r="I46" s="54">
        <f t="shared" si="1"/>
        <v>1.73</v>
      </c>
      <c r="J46" s="54">
        <f t="shared" si="2"/>
        <v>1.47</v>
      </c>
      <c r="K46" s="43">
        <f t="shared" si="9"/>
        <v>1.47</v>
      </c>
      <c r="L46" s="46">
        <f t="shared" si="4"/>
        <v>1.3083</v>
      </c>
      <c r="M46" s="55" t="str">
        <f t="shared" si="13"/>
        <v>открыт</v>
      </c>
      <c r="N46" s="55">
        <v>0.89</v>
      </c>
      <c r="O46" s="30"/>
      <c r="P46" s="45">
        <f t="shared" si="14"/>
        <v>36</v>
      </c>
      <c r="Q46" s="54" t="s">
        <v>78</v>
      </c>
      <c r="R46" s="54">
        <v>2.5</v>
      </c>
      <c r="S46" s="57">
        <f t="shared" si="10"/>
        <v>0</v>
      </c>
      <c r="T46" s="60">
        <v>0</v>
      </c>
      <c r="U46" s="46">
        <f t="shared" si="15"/>
        <v>0.26</v>
      </c>
      <c r="V46" s="57">
        <f t="shared" si="11"/>
        <v>1.73</v>
      </c>
      <c r="W46" s="54" t="s">
        <v>35</v>
      </c>
      <c r="X46" s="57">
        <f t="shared" si="6"/>
        <v>-1.47</v>
      </c>
      <c r="Y46" s="57">
        <v>0</v>
      </c>
      <c r="Z46" s="57">
        <f t="shared" si="7"/>
        <v>1.73</v>
      </c>
      <c r="AA46" s="57">
        <f t="shared" si="8"/>
        <v>1.47</v>
      </c>
      <c r="AB46" s="46">
        <f t="shared" si="5"/>
        <v>1.47</v>
      </c>
      <c r="AC46" s="55" t="str">
        <f t="shared" si="16"/>
        <v>открыт</v>
      </c>
      <c r="AD46" s="55">
        <v>0.89</v>
      </c>
      <c r="AE46" s="31"/>
    </row>
    <row r="47" spans="1:31" s="32" customFormat="1" ht="22.5">
      <c r="A47" s="45">
        <f t="shared" si="12"/>
        <v>37</v>
      </c>
      <c r="B47" s="43" t="s">
        <v>79</v>
      </c>
      <c r="C47" s="54">
        <v>2.5</v>
      </c>
      <c r="D47" s="64">
        <v>0.11</v>
      </c>
      <c r="E47" s="54">
        <v>1.73</v>
      </c>
      <c r="F47" s="54" t="s">
        <v>35</v>
      </c>
      <c r="G47" s="54">
        <f t="shared" si="0"/>
        <v>1.73</v>
      </c>
      <c r="H47" s="54">
        <v>0</v>
      </c>
      <c r="I47" s="54">
        <f t="shared" si="1"/>
        <v>1.73</v>
      </c>
      <c r="J47" s="54">
        <f t="shared" si="2"/>
        <v>1.6199999999999999</v>
      </c>
      <c r="K47" s="43">
        <f t="shared" si="9"/>
        <v>1.6199999999999999</v>
      </c>
      <c r="L47" s="46">
        <f t="shared" si="4"/>
        <v>1.0853999999999999</v>
      </c>
      <c r="M47" s="55" t="str">
        <f t="shared" si="13"/>
        <v>открыт</v>
      </c>
      <c r="N47" s="55">
        <v>0.67</v>
      </c>
      <c r="O47" s="30"/>
      <c r="P47" s="45">
        <f t="shared" si="14"/>
        <v>37</v>
      </c>
      <c r="Q47" s="54" t="s">
        <v>79</v>
      </c>
      <c r="R47" s="54">
        <v>2.5</v>
      </c>
      <c r="S47" s="57">
        <f t="shared" si="10"/>
        <v>2.2388059701492536E-2</v>
      </c>
      <c r="T47" s="60">
        <v>1.4999999999999999E-2</v>
      </c>
      <c r="U47" s="46">
        <f t="shared" si="15"/>
        <v>0.13238805970149253</v>
      </c>
      <c r="V47" s="57">
        <f t="shared" si="11"/>
        <v>1.73</v>
      </c>
      <c r="W47" s="54" t="s">
        <v>35</v>
      </c>
      <c r="X47" s="57">
        <f t="shared" si="6"/>
        <v>-1.5976119402985074</v>
      </c>
      <c r="Y47" s="57">
        <v>0</v>
      </c>
      <c r="Z47" s="57">
        <f t="shared" si="7"/>
        <v>1.73</v>
      </c>
      <c r="AA47" s="57">
        <f t="shared" si="8"/>
        <v>1.5976119402985074</v>
      </c>
      <c r="AB47" s="46">
        <f t="shared" si="5"/>
        <v>1.5976119402985074</v>
      </c>
      <c r="AC47" s="55" t="str">
        <f t="shared" si="16"/>
        <v>открыт</v>
      </c>
      <c r="AD47" s="55">
        <v>0.67</v>
      </c>
      <c r="AE47" s="31"/>
    </row>
    <row r="48" spans="1:31" s="32" customFormat="1" ht="22.5">
      <c r="A48" s="45">
        <f t="shared" si="12"/>
        <v>38</v>
      </c>
      <c r="B48" s="43" t="s">
        <v>80</v>
      </c>
      <c r="C48" s="54">
        <v>2.5</v>
      </c>
      <c r="D48" s="64">
        <v>0.16</v>
      </c>
      <c r="E48" s="54">
        <v>2.5499999999999998</v>
      </c>
      <c r="F48" s="54" t="s">
        <v>35</v>
      </c>
      <c r="G48" s="54">
        <f t="shared" si="0"/>
        <v>2.5499999999999998</v>
      </c>
      <c r="H48" s="54">
        <v>0</v>
      </c>
      <c r="I48" s="54">
        <f t="shared" si="1"/>
        <v>2.5499999999999998</v>
      </c>
      <c r="J48" s="54">
        <f t="shared" si="2"/>
        <v>2.3899999999999997</v>
      </c>
      <c r="K48" s="43">
        <f t="shared" si="9"/>
        <v>2.3899999999999997</v>
      </c>
      <c r="L48" s="46">
        <f t="shared" si="4"/>
        <v>1.9836999999999996</v>
      </c>
      <c r="M48" s="55" t="str">
        <f t="shared" si="13"/>
        <v>открыт</v>
      </c>
      <c r="N48" s="55">
        <v>0.83</v>
      </c>
      <c r="O48" s="30"/>
      <c r="P48" s="45">
        <f t="shared" si="14"/>
        <v>38</v>
      </c>
      <c r="Q48" s="54" t="s">
        <v>80</v>
      </c>
      <c r="R48" s="54">
        <v>2.5</v>
      </c>
      <c r="S48" s="57">
        <f t="shared" si="10"/>
        <v>1.2048192771084338E-3</v>
      </c>
      <c r="T48" s="60">
        <v>1E-3</v>
      </c>
      <c r="U48" s="46">
        <f t="shared" si="15"/>
        <v>0.16120481927710845</v>
      </c>
      <c r="V48" s="57">
        <f t="shared" si="11"/>
        <v>2.5499999999999998</v>
      </c>
      <c r="W48" s="54" t="s">
        <v>35</v>
      </c>
      <c r="X48" s="57">
        <f t="shared" si="6"/>
        <v>-2.3887951807228913</v>
      </c>
      <c r="Y48" s="57">
        <v>0</v>
      </c>
      <c r="Z48" s="57">
        <f t="shared" si="7"/>
        <v>2.5499999999999998</v>
      </c>
      <c r="AA48" s="57">
        <f t="shared" si="8"/>
        <v>2.3887951807228913</v>
      </c>
      <c r="AB48" s="46">
        <f t="shared" si="5"/>
        <v>2.3887951807228913</v>
      </c>
      <c r="AC48" s="55" t="str">
        <f t="shared" si="16"/>
        <v>открыт</v>
      </c>
      <c r="AD48" s="55">
        <v>0.83</v>
      </c>
      <c r="AE48" s="31"/>
    </row>
    <row r="49" spans="1:31" s="32" customFormat="1" ht="22.5">
      <c r="A49" s="45">
        <f t="shared" si="12"/>
        <v>39</v>
      </c>
      <c r="B49" s="43" t="s">
        <v>81</v>
      </c>
      <c r="C49" s="54">
        <v>2.5</v>
      </c>
      <c r="D49" s="64">
        <v>0.35</v>
      </c>
      <c r="E49" s="54">
        <v>2.625</v>
      </c>
      <c r="F49" s="54" t="s">
        <v>35</v>
      </c>
      <c r="G49" s="54">
        <f t="shared" si="0"/>
        <v>2.625</v>
      </c>
      <c r="H49" s="54">
        <v>0</v>
      </c>
      <c r="I49" s="54">
        <f t="shared" si="1"/>
        <v>2.625</v>
      </c>
      <c r="J49" s="54">
        <f t="shared" si="2"/>
        <v>2.2749999999999999</v>
      </c>
      <c r="K49" s="43">
        <f t="shared" si="9"/>
        <v>2.2749999999999999</v>
      </c>
      <c r="L49" s="46">
        <f t="shared" si="4"/>
        <v>1.9564999999999999</v>
      </c>
      <c r="M49" s="55" t="str">
        <f t="shared" si="13"/>
        <v>открыт</v>
      </c>
      <c r="N49" s="55">
        <v>0.86</v>
      </c>
      <c r="O49" s="30"/>
      <c r="P49" s="45">
        <f t="shared" si="14"/>
        <v>39</v>
      </c>
      <c r="Q49" s="54" t="s">
        <v>81</v>
      </c>
      <c r="R49" s="54">
        <v>2.5</v>
      </c>
      <c r="S49" s="57">
        <f t="shared" si="10"/>
        <v>1.1627906976744186E-2</v>
      </c>
      <c r="T49" s="60">
        <v>0.01</v>
      </c>
      <c r="U49" s="46">
        <f t="shared" si="15"/>
        <v>0.36162790697674418</v>
      </c>
      <c r="V49" s="57">
        <f t="shared" si="11"/>
        <v>2.625</v>
      </c>
      <c r="W49" s="54" t="s">
        <v>35</v>
      </c>
      <c r="X49" s="57">
        <f t="shared" si="6"/>
        <v>-2.2633720930232557</v>
      </c>
      <c r="Y49" s="57">
        <v>0</v>
      </c>
      <c r="Z49" s="57">
        <f t="shared" si="7"/>
        <v>2.625</v>
      </c>
      <c r="AA49" s="57">
        <f t="shared" si="8"/>
        <v>2.2633720930232557</v>
      </c>
      <c r="AB49" s="46">
        <f t="shared" si="5"/>
        <v>2.2633720930232557</v>
      </c>
      <c r="AC49" s="55" t="str">
        <f t="shared" si="16"/>
        <v>открыт</v>
      </c>
      <c r="AD49" s="55">
        <v>0.86</v>
      </c>
      <c r="AE49" s="31"/>
    </row>
    <row r="50" spans="1:31" s="32" customFormat="1" ht="22.5">
      <c r="A50" s="45">
        <f t="shared" si="12"/>
        <v>40</v>
      </c>
      <c r="B50" s="43" t="s">
        <v>322</v>
      </c>
      <c r="C50" s="54">
        <v>2.5</v>
      </c>
      <c r="D50" s="64">
        <v>0.24</v>
      </c>
      <c r="E50" s="54">
        <v>0.85</v>
      </c>
      <c r="F50" s="54" t="s">
        <v>35</v>
      </c>
      <c r="G50" s="54">
        <f t="shared" si="0"/>
        <v>0.85</v>
      </c>
      <c r="H50" s="54">
        <v>0</v>
      </c>
      <c r="I50" s="54">
        <f>G50-H50</f>
        <v>0.85</v>
      </c>
      <c r="J50" s="54">
        <f>I50-D50</f>
        <v>0.61</v>
      </c>
      <c r="K50" s="43">
        <f t="shared" si="9"/>
        <v>0.61</v>
      </c>
      <c r="L50" s="46">
        <f t="shared" si="4"/>
        <v>0.4758</v>
      </c>
      <c r="M50" s="55" t="str">
        <f t="shared" si="13"/>
        <v>открыт</v>
      </c>
      <c r="N50" s="55">
        <v>0.78</v>
      </c>
      <c r="O50" s="30"/>
      <c r="P50" s="45">
        <f t="shared" si="14"/>
        <v>40</v>
      </c>
      <c r="Q50" s="54" t="s">
        <v>82</v>
      </c>
      <c r="R50" s="54">
        <v>2.5</v>
      </c>
      <c r="S50" s="57">
        <f t="shared" si="10"/>
        <v>0</v>
      </c>
      <c r="T50" s="60">
        <v>0</v>
      </c>
      <c r="U50" s="46">
        <f t="shared" si="15"/>
        <v>0.24</v>
      </c>
      <c r="V50" s="57">
        <f t="shared" si="11"/>
        <v>0.85</v>
      </c>
      <c r="W50" s="54" t="s">
        <v>35</v>
      </c>
      <c r="X50" s="57">
        <f t="shared" si="6"/>
        <v>-0.61</v>
      </c>
      <c r="Y50" s="57">
        <v>0</v>
      </c>
      <c r="Z50" s="57">
        <f t="shared" si="7"/>
        <v>0.85</v>
      </c>
      <c r="AA50" s="57">
        <f t="shared" si="8"/>
        <v>0.61</v>
      </c>
      <c r="AB50" s="46">
        <f t="shared" si="5"/>
        <v>0.61</v>
      </c>
      <c r="AC50" s="55" t="str">
        <f t="shared" si="16"/>
        <v>открыт</v>
      </c>
      <c r="AD50" s="55">
        <v>0.78</v>
      </c>
      <c r="AE50" s="31"/>
    </row>
    <row r="51" spans="1:31" s="32" customFormat="1" ht="22.5">
      <c r="A51" s="45">
        <f t="shared" si="12"/>
        <v>41</v>
      </c>
      <c r="B51" s="43" t="s">
        <v>83</v>
      </c>
      <c r="C51" s="54">
        <v>6.3</v>
      </c>
      <c r="D51" s="64">
        <v>0.48</v>
      </c>
      <c r="E51" s="54">
        <v>0.94</v>
      </c>
      <c r="F51" s="54" t="s">
        <v>35</v>
      </c>
      <c r="G51" s="54">
        <f t="shared" si="0"/>
        <v>0.94</v>
      </c>
      <c r="H51" s="54">
        <v>0</v>
      </c>
      <c r="I51" s="54">
        <f t="shared" si="1"/>
        <v>0.94</v>
      </c>
      <c r="J51" s="54">
        <f t="shared" si="2"/>
        <v>0.45999999999999996</v>
      </c>
      <c r="K51" s="43">
        <f t="shared" si="9"/>
        <v>0.45999999999999996</v>
      </c>
      <c r="L51" s="46">
        <f t="shared" si="4"/>
        <v>0.32659999999999995</v>
      </c>
      <c r="M51" s="55" t="str">
        <f t="shared" si="13"/>
        <v>открыт</v>
      </c>
      <c r="N51" s="55">
        <v>0.71</v>
      </c>
      <c r="O51" s="30"/>
      <c r="P51" s="45">
        <f t="shared" si="14"/>
        <v>41</v>
      </c>
      <c r="Q51" s="54" t="s">
        <v>83</v>
      </c>
      <c r="R51" s="54">
        <v>6.3</v>
      </c>
      <c r="S51" s="57">
        <f t="shared" si="10"/>
        <v>0</v>
      </c>
      <c r="T51" s="60">
        <v>0</v>
      </c>
      <c r="U51" s="46">
        <f t="shared" si="15"/>
        <v>0.48</v>
      </c>
      <c r="V51" s="57">
        <f t="shared" si="11"/>
        <v>0.94</v>
      </c>
      <c r="W51" s="54" t="s">
        <v>35</v>
      </c>
      <c r="X51" s="57">
        <f t="shared" si="6"/>
        <v>-0.45999999999999996</v>
      </c>
      <c r="Y51" s="57">
        <v>0</v>
      </c>
      <c r="Z51" s="57">
        <f t="shared" si="7"/>
        <v>0.94</v>
      </c>
      <c r="AA51" s="57">
        <f t="shared" si="8"/>
        <v>0.45999999999999996</v>
      </c>
      <c r="AB51" s="46">
        <f t="shared" si="5"/>
        <v>0.45999999999999996</v>
      </c>
      <c r="AC51" s="55" t="str">
        <f t="shared" si="16"/>
        <v>открыт</v>
      </c>
      <c r="AD51" s="55">
        <v>0.71</v>
      </c>
      <c r="AE51" s="31"/>
    </row>
    <row r="52" spans="1:31" s="32" customFormat="1" ht="22.5">
      <c r="A52" s="45">
        <f t="shared" si="12"/>
        <v>42</v>
      </c>
      <c r="B52" s="43" t="s">
        <v>84</v>
      </c>
      <c r="C52" s="54">
        <v>2.5</v>
      </c>
      <c r="D52" s="64">
        <v>0.23</v>
      </c>
      <c r="E52" s="54">
        <v>1.73</v>
      </c>
      <c r="F52" s="54" t="s">
        <v>35</v>
      </c>
      <c r="G52" s="54">
        <f t="shared" si="0"/>
        <v>1.73</v>
      </c>
      <c r="H52" s="54">
        <v>0</v>
      </c>
      <c r="I52" s="54">
        <f t="shared" si="1"/>
        <v>1.73</v>
      </c>
      <c r="J52" s="54">
        <f t="shared" si="2"/>
        <v>1.5</v>
      </c>
      <c r="K52" s="43">
        <f t="shared" si="9"/>
        <v>1.5</v>
      </c>
      <c r="L52" s="46">
        <f t="shared" si="4"/>
        <v>1.0649999999999999</v>
      </c>
      <c r="M52" s="55" t="str">
        <f t="shared" si="13"/>
        <v>открыт</v>
      </c>
      <c r="N52" s="55">
        <v>0.71</v>
      </c>
      <c r="O52" s="30"/>
      <c r="P52" s="45">
        <f t="shared" si="14"/>
        <v>42</v>
      </c>
      <c r="Q52" s="54" t="s">
        <v>84</v>
      </c>
      <c r="R52" s="54">
        <v>2.5</v>
      </c>
      <c r="S52" s="57">
        <f t="shared" si="10"/>
        <v>0</v>
      </c>
      <c r="T52" s="60">
        <v>0</v>
      </c>
      <c r="U52" s="46">
        <f t="shared" si="15"/>
        <v>0.23</v>
      </c>
      <c r="V52" s="57">
        <f t="shared" si="11"/>
        <v>1.73</v>
      </c>
      <c r="W52" s="54" t="s">
        <v>35</v>
      </c>
      <c r="X52" s="57">
        <f t="shared" si="6"/>
        <v>-1.5</v>
      </c>
      <c r="Y52" s="57">
        <v>0</v>
      </c>
      <c r="Z52" s="57">
        <f t="shared" si="7"/>
        <v>1.73</v>
      </c>
      <c r="AA52" s="57">
        <f t="shared" si="8"/>
        <v>1.5</v>
      </c>
      <c r="AB52" s="46">
        <f t="shared" si="5"/>
        <v>1.5</v>
      </c>
      <c r="AC52" s="55" t="str">
        <f t="shared" si="16"/>
        <v>открыт</v>
      </c>
      <c r="AD52" s="55">
        <v>0.71</v>
      </c>
      <c r="AE52" s="31"/>
    </row>
    <row r="53" spans="1:31" s="32" customFormat="1" ht="22.5">
      <c r="A53" s="45">
        <f t="shared" si="12"/>
        <v>43</v>
      </c>
      <c r="B53" s="43" t="s">
        <v>317</v>
      </c>
      <c r="C53" s="54">
        <v>6.3</v>
      </c>
      <c r="D53" s="64">
        <v>0.53</v>
      </c>
      <c r="E53" s="54">
        <v>2.5499999999999998</v>
      </c>
      <c r="F53" s="54" t="s">
        <v>35</v>
      </c>
      <c r="G53" s="54">
        <f>E53</f>
        <v>2.5499999999999998</v>
      </c>
      <c r="H53" s="54">
        <v>0</v>
      </c>
      <c r="I53" s="54">
        <f>G53-H53</f>
        <v>2.5499999999999998</v>
      </c>
      <c r="J53" s="54">
        <f>I53-D53</f>
        <v>2.0199999999999996</v>
      </c>
      <c r="K53" s="43">
        <f t="shared" si="9"/>
        <v>2.0199999999999996</v>
      </c>
      <c r="L53" s="46">
        <f t="shared" si="4"/>
        <v>1.7573999999999996</v>
      </c>
      <c r="M53" s="55" t="str">
        <f>IF(K53&lt;0,"закрыт","открыт")</f>
        <v>открыт</v>
      </c>
      <c r="N53" s="55">
        <v>0.87</v>
      </c>
      <c r="O53" s="30"/>
      <c r="P53" s="45">
        <f t="shared" si="14"/>
        <v>43</v>
      </c>
      <c r="Q53" s="54" t="s">
        <v>317</v>
      </c>
      <c r="R53" s="54">
        <v>6.3</v>
      </c>
      <c r="S53" s="57">
        <f t="shared" si="10"/>
        <v>5.7471264367816098E-2</v>
      </c>
      <c r="T53" s="60">
        <v>0.05</v>
      </c>
      <c r="U53" s="46">
        <f>D53+S53</f>
        <v>0.58747126436781616</v>
      </c>
      <c r="V53" s="57">
        <f>E53</f>
        <v>2.5499999999999998</v>
      </c>
      <c r="W53" s="54" t="s">
        <v>35</v>
      </c>
      <c r="X53" s="57">
        <f>U53-V53</f>
        <v>-1.9625287356321837</v>
      </c>
      <c r="Y53" s="57">
        <v>0</v>
      </c>
      <c r="Z53" s="57">
        <f>V53</f>
        <v>2.5499999999999998</v>
      </c>
      <c r="AA53" s="57">
        <f>Z53-U53</f>
        <v>1.9625287356321837</v>
      </c>
      <c r="AB53" s="46">
        <f>AA53</f>
        <v>1.9625287356321837</v>
      </c>
      <c r="AC53" s="55" t="str">
        <f>IF(AB53&lt;0,"закрыт","открыт")</f>
        <v>открыт</v>
      </c>
      <c r="AD53" s="55">
        <v>0.87</v>
      </c>
      <c r="AE53" s="31"/>
    </row>
    <row r="54" spans="1:31" s="32" customFormat="1" ht="22.5">
      <c r="A54" s="45">
        <f t="shared" si="12"/>
        <v>44</v>
      </c>
      <c r="B54" s="43" t="s">
        <v>85</v>
      </c>
      <c r="C54" s="54">
        <v>1.8</v>
      </c>
      <c r="D54" s="64">
        <v>0.22</v>
      </c>
      <c r="E54" s="54">
        <v>0.85</v>
      </c>
      <c r="F54" s="54" t="s">
        <v>35</v>
      </c>
      <c r="G54" s="54">
        <f t="shared" si="0"/>
        <v>0.85</v>
      </c>
      <c r="H54" s="54">
        <v>0</v>
      </c>
      <c r="I54" s="54">
        <f>G54-H54</f>
        <v>0.85</v>
      </c>
      <c r="J54" s="54">
        <f>I54-D54</f>
        <v>0.63</v>
      </c>
      <c r="K54" s="43">
        <f t="shared" si="9"/>
        <v>0.63</v>
      </c>
      <c r="L54" s="46">
        <f t="shared" si="4"/>
        <v>0.44729999999999998</v>
      </c>
      <c r="M54" s="55" t="str">
        <f t="shared" si="13"/>
        <v>открыт</v>
      </c>
      <c r="N54" s="55">
        <v>0.71</v>
      </c>
      <c r="O54" s="30"/>
      <c r="P54" s="45">
        <f t="shared" si="14"/>
        <v>44</v>
      </c>
      <c r="Q54" s="43" t="s">
        <v>85</v>
      </c>
      <c r="R54" s="43">
        <v>1.8</v>
      </c>
      <c r="S54" s="57">
        <f t="shared" si="10"/>
        <v>7.1830985915492959E-2</v>
      </c>
      <c r="T54" s="57">
        <v>5.0999999999999997E-2</v>
      </c>
      <c r="U54" s="46">
        <f t="shared" si="15"/>
        <v>0.29183098591549295</v>
      </c>
      <c r="V54" s="57">
        <f t="shared" si="11"/>
        <v>0.85</v>
      </c>
      <c r="W54" s="43" t="s">
        <v>35</v>
      </c>
      <c r="X54" s="46">
        <f t="shared" si="6"/>
        <v>-0.55816901408450703</v>
      </c>
      <c r="Y54" s="46">
        <v>0</v>
      </c>
      <c r="Z54" s="46">
        <f t="shared" si="7"/>
        <v>0.85</v>
      </c>
      <c r="AA54" s="46">
        <f t="shared" si="8"/>
        <v>0.55816901408450703</v>
      </c>
      <c r="AB54" s="46">
        <f t="shared" si="5"/>
        <v>0.55816901408450703</v>
      </c>
      <c r="AC54" s="59" t="str">
        <f t="shared" si="16"/>
        <v>открыт</v>
      </c>
      <c r="AD54" s="55">
        <v>0.71</v>
      </c>
      <c r="AE54" s="31"/>
    </row>
    <row r="55" spans="1:31" s="32" customFormat="1" ht="22.5">
      <c r="A55" s="45">
        <f t="shared" si="12"/>
        <v>45</v>
      </c>
      <c r="B55" s="43" t="s">
        <v>86</v>
      </c>
      <c r="C55" s="54">
        <v>2.5</v>
      </c>
      <c r="D55" s="64">
        <v>0.45</v>
      </c>
      <c r="E55" s="54">
        <v>2.5499999999999998</v>
      </c>
      <c r="F55" s="54" t="s">
        <v>35</v>
      </c>
      <c r="G55" s="54">
        <f t="shared" si="0"/>
        <v>2.5499999999999998</v>
      </c>
      <c r="H55" s="54">
        <v>0</v>
      </c>
      <c r="I55" s="54">
        <f t="shared" si="1"/>
        <v>2.5499999999999998</v>
      </c>
      <c r="J55" s="54">
        <f t="shared" si="2"/>
        <v>2.0999999999999996</v>
      </c>
      <c r="K55" s="43">
        <f t="shared" si="9"/>
        <v>2.0999999999999996</v>
      </c>
      <c r="L55" s="46">
        <f t="shared" si="4"/>
        <v>2.0789999999999997</v>
      </c>
      <c r="M55" s="55" t="str">
        <f t="shared" si="13"/>
        <v>открыт</v>
      </c>
      <c r="N55" s="55">
        <v>0.99</v>
      </c>
      <c r="O55" s="30"/>
      <c r="P55" s="45">
        <f t="shared" si="14"/>
        <v>45</v>
      </c>
      <c r="Q55" s="54" t="s">
        <v>86</v>
      </c>
      <c r="R55" s="54">
        <v>2.5</v>
      </c>
      <c r="S55" s="57">
        <f t="shared" si="10"/>
        <v>0.12878787878787878</v>
      </c>
      <c r="T55" s="57">
        <v>0.1275</v>
      </c>
      <c r="U55" s="46">
        <f t="shared" si="15"/>
        <v>0.57878787878787885</v>
      </c>
      <c r="V55" s="57">
        <f t="shared" si="11"/>
        <v>2.5499999999999998</v>
      </c>
      <c r="W55" s="54" t="s">
        <v>35</v>
      </c>
      <c r="X55" s="57">
        <f t="shared" si="6"/>
        <v>-1.971212121212121</v>
      </c>
      <c r="Y55" s="57">
        <v>0</v>
      </c>
      <c r="Z55" s="57">
        <f t="shared" si="7"/>
        <v>2.5499999999999998</v>
      </c>
      <c r="AA55" s="57">
        <f t="shared" si="8"/>
        <v>1.971212121212121</v>
      </c>
      <c r="AB55" s="46">
        <f t="shared" si="5"/>
        <v>1.971212121212121</v>
      </c>
      <c r="AC55" s="55" t="str">
        <f t="shared" si="16"/>
        <v>открыт</v>
      </c>
      <c r="AD55" s="55">
        <v>0.99</v>
      </c>
      <c r="AE55" s="31"/>
    </row>
    <row r="56" spans="1:31" s="32" customFormat="1" ht="22.5">
      <c r="A56" s="45">
        <f t="shared" si="12"/>
        <v>46</v>
      </c>
      <c r="B56" s="43" t="s">
        <v>87</v>
      </c>
      <c r="C56" s="54">
        <v>1.6</v>
      </c>
      <c r="D56" s="64">
        <v>0.06</v>
      </c>
      <c r="E56" s="54">
        <v>0.85</v>
      </c>
      <c r="F56" s="54" t="s">
        <v>35</v>
      </c>
      <c r="G56" s="54">
        <f t="shared" si="0"/>
        <v>0.85</v>
      </c>
      <c r="H56" s="54">
        <v>0</v>
      </c>
      <c r="I56" s="54">
        <f t="shared" si="1"/>
        <v>0.85</v>
      </c>
      <c r="J56" s="54">
        <f t="shared" si="2"/>
        <v>0.79</v>
      </c>
      <c r="K56" s="43">
        <f t="shared" si="9"/>
        <v>0.79</v>
      </c>
      <c r="L56" s="46">
        <f t="shared" si="4"/>
        <v>0.56089999999999995</v>
      </c>
      <c r="M56" s="55" t="str">
        <f t="shared" si="13"/>
        <v>открыт</v>
      </c>
      <c r="N56" s="55">
        <v>0.71</v>
      </c>
      <c r="O56" s="30"/>
      <c r="P56" s="45">
        <f t="shared" si="14"/>
        <v>46</v>
      </c>
      <c r="Q56" s="54" t="s">
        <v>87</v>
      </c>
      <c r="R56" s="54">
        <v>1.6</v>
      </c>
      <c r="S56" s="57">
        <f t="shared" si="10"/>
        <v>0</v>
      </c>
      <c r="T56" s="57">
        <v>0</v>
      </c>
      <c r="U56" s="46">
        <f t="shared" si="15"/>
        <v>0.06</v>
      </c>
      <c r="V56" s="57">
        <f t="shared" si="11"/>
        <v>0.85</v>
      </c>
      <c r="W56" s="54" t="s">
        <v>35</v>
      </c>
      <c r="X56" s="57">
        <f t="shared" si="6"/>
        <v>-0.79</v>
      </c>
      <c r="Y56" s="57">
        <v>0</v>
      </c>
      <c r="Z56" s="57">
        <f t="shared" si="7"/>
        <v>0.85</v>
      </c>
      <c r="AA56" s="57">
        <f t="shared" si="8"/>
        <v>0.79</v>
      </c>
      <c r="AB56" s="46">
        <f t="shared" si="5"/>
        <v>0.79</v>
      </c>
      <c r="AC56" s="55" t="str">
        <f t="shared" si="16"/>
        <v>открыт</v>
      </c>
      <c r="AD56" s="55">
        <v>0.71</v>
      </c>
      <c r="AE56" s="31"/>
    </row>
    <row r="57" spans="1:31" s="32" customFormat="1" ht="22.5">
      <c r="A57" s="45">
        <f t="shared" si="12"/>
        <v>47</v>
      </c>
      <c r="B57" s="43" t="s">
        <v>88</v>
      </c>
      <c r="C57" s="54">
        <v>2.5</v>
      </c>
      <c r="D57" s="64">
        <v>0.28999999999999998</v>
      </c>
      <c r="E57" s="54">
        <v>2.62</v>
      </c>
      <c r="F57" s="54" t="s">
        <v>35</v>
      </c>
      <c r="G57" s="54">
        <f t="shared" si="0"/>
        <v>2.62</v>
      </c>
      <c r="H57" s="54">
        <v>0</v>
      </c>
      <c r="I57" s="54">
        <f t="shared" si="1"/>
        <v>2.62</v>
      </c>
      <c r="J57" s="54">
        <f t="shared" si="2"/>
        <v>2.33</v>
      </c>
      <c r="K57" s="43">
        <f t="shared" si="9"/>
        <v>2.33</v>
      </c>
      <c r="L57" s="46">
        <f t="shared" si="4"/>
        <v>2.1669</v>
      </c>
      <c r="M57" s="55" t="str">
        <f t="shared" si="13"/>
        <v>открыт</v>
      </c>
      <c r="N57" s="55">
        <v>0.93</v>
      </c>
      <c r="O57" s="30"/>
      <c r="P57" s="45">
        <f t="shared" si="14"/>
        <v>47</v>
      </c>
      <c r="Q57" s="54" t="s">
        <v>88</v>
      </c>
      <c r="R57" s="54">
        <v>2.5</v>
      </c>
      <c r="S57" s="57">
        <f t="shared" si="10"/>
        <v>0</v>
      </c>
      <c r="T57" s="57">
        <v>0</v>
      </c>
      <c r="U57" s="46">
        <f t="shared" si="15"/>
        <v>0.28999999999999998</v>
      </c>
      <c r="V57" s="57">
        <f t="shared" si="11"/>
        <v>2.62</v>
      </c>
      <c r="W57" s="54" t="s">
        <v>35</v>
      </c>
      <c r="X57" s="57">
        <f t="shared" si="6"/>
        <v>-2.33</v>
      </c>
      <c r="Y57" s="57">
        <v>0</v>
      </c>
      <c r="Z57" s="57">
        <f t="shared" si="7"/>
        <v>2.62</v>
      </c>
      <c r="AA57" s="57">
        <f t="shared" si="8"/>
        <v>2.33</v>
      </c>
      <c r="AB57" s="46">
        <f t="shared" si="5"/>
        <v>2.33</v>
      </c>
      <c r="AC57" s="55" t="str">
        <f t="shared" si="16"/>
        <v>открыт</v>
      </c>
      <c r="AD57" s="55">
        <v>0.93</v>
      </c>
      <c r="AE57" s="31"/>
    </row>
    <row r="58" spans="1:31" s="32" customFormat="1" ht="22.5">
      <c r="A58" s="45">
        <f t="shared" si="12"/>
        <v>48</v>
      </c>
      <c r="B58" s="43" t="s">
        <v>89</v>
      </c>
      <c r="C58" s="54">
        <v>1.6</v>
      </c>
      <c r="D58" s="64">
        <v>1.06</v>
      </c>
      <c r="E58" s="54">
        <v>1.68</v>
      </c>
      <c r="F58" s="54" t="s">
        <v>35</v>
      </c>
      <c r="G58" s="54">
        <f t="shared" si="0"/>
        <v>1.68</v>
      </c>
      <c r="H58" s="54">
        <v>0</v>
      </c>
      <c r="I58" s="54">
        <f t="shared" si="1"/>
        <v>1.68</v>
      </c>
      <c r="J58" s="54">
        <f t="shared" si="2"/>
        <v>0.61999999999999988</v>
      </c>
      <c r="K58" s="43">
        <f t="shared" si="9"/>
        <v>0.61999999999999988</v>
      </c>
      <c r="L58" s="46">
        <f t="shared" si="4"/>
        <v>0.57659999999999989</v>
      </c>
      <c r="M58" s="55" t="str">
        <f t="shared" si="13"/>
        <v>открыт</v>
      </c>
      <c r="N58" s="55">
        <v>0.93</v>
      </c>
      <c r="O58" s="30"/>
      <c r="P58" s="65">
        <f t="shared" si="14"/>
        <v>48</v>
      </c>
      <c r="Q58" s="66" t="s">
        <v>89</v>
      </c>
      <c r="R58" s="66">
        <v>1.6</v>
      </c>
      <c r="S58" s="67">
        <f t="shared" si="10"/>
        <v>1.2247311827956988</v>
      </c>
      <c r="T58" s="57">
        <v>1.139</v>
      </c>
      <c r="U58" s="67">
        <f t="shared" si="15"/>
        <v>2.2847311827956989</v>
      </c>
      <c r="V58" s="67">
        <f t="shared" si="11"/>
        <v>1.68</v>
      </c>
      <c r="W58" s="66" t="s">
        <v>35</v>
      </c>
      <c r="X58" s="67">
        <f t="shared" si="6"/>
        <v>0.60473118279569893</v>
      </c>
      <c r="Y58" s="67">
        <v>0</v>
      </c>
      <c r="Z58" s="67">
        <f t="shared" si="7"/>
        <v>1.68</v>
      </c>
      <c r="AA58" s="67">
        <f t="shared" si="8"/>
        <v>-0.60473118279569893</v>
      </c>
      <c r="AB58" s="67">
        <f t="shared" si="5"/>
        <v>-0.60473118279569893</v>
      </c>
      <c r="AC58" s="68" t="str">
        <f t="shared" si="16"/>
        <v>закрыт</v>
      </c>
      <c r="AD58" s="55">
        <v>0.93</v>
      </c>
      <c r="AE58" s="31"/>
    </row>
    <row r="59" spans="1:31" s="32" customFormat="1" ht="22.5">
      <c r="A59" s="45">
        <f t="shared" si="12"/>
        <v>49</v>
      </c>
      <c r="B59" s="43" t="s">
        <v>90</v>
      </c>
      <c r="C59" s="54">
        <v>1.6</v>
      </c>
      <c r="D59" s="64">
        <v>0.19</v>
      </c>
      <c r="E59" s="54">
        <v>0.68</v>
      </c>
      <c r="F59" s="54" t="s">
        <v>35</v>
      </c>
      <c r="G59" s="54">
        <f t="shared" si="0"/>
        <v>0.68</v>
      </c>
      <c r="H59" s="54">
        <v>0</v>
      </c>
      <c r="I59" s="54">
        <f t="shared" si="1"/>
        <v>0.68</v>
      </c>
      <c r="J59" s="54">
        <f t="shared" si="2"/>
        <v>0.49000000000000005</v>
      </c>
      <c r="K59" s="43">
        <f t="shared" si="9"/>
        <v>0.49000000000000005</v>
      </c>
      <c r="L59" s="46">
        <f t="shared" si="4"/>
        <v>0.42140000000000005</v>
      </c>
      <c r="M59" s="55" t="str">
        <f t="shared" si="13"/>
        <v>открыт</v>
      </c>
      <c r="N59" s="55">
        <v>0.86</v>
      </c>
      <c r="O59" s="30"/>
      <c r="P59" s="45">
        <f t="shared" si="14"/>
        <v>49</v>
      </c>
      <c r="Q59" s="54" t="s">
        <v>90</v>
      </c>
      <c r="R59" s="54">
        <v>1.6</v>
      </c>
      <c r="S59" s="57">
        <f t="shared" si="10"/>
        <v>0</v>
      </c>
      <c r="T59" s="57">
        <v>0</v>
      </c>
      <c r="U59" s="46">
        <f t="shared" si="15"/>
        <v>0.19</v>
      </c>
      <c r="V59" s="57">
        <f t="shared" si="11"/>
        <v>0.68</v>
      </c>
      <c r="W59" s="54" t="s">
        <v>35</v>
      </c>
      <c r="X59" s="57">
        <f t="shared" si="6"/>
        <v>-0.49000000000000005</v>
      </c>
      <c r="Y59" s="57">
        <v>0</v>
      </c>
      <c r="Z59" s="57">
        <f t="shared" si="7"/>
        <v>0.68</v>
      </c>
      <c r="AA59" s="57">
        <f t="shared" si="8"/>
        <v>0.49000000000000005</v>
      </c>
      <c r="AB59" s="46">
        <f t="shared" si="5"/>
        <v>0.49000000000000005</v>
      </c>
      <c r="AC59" s="55" t="str">
        <f t="shared" si="16"/>
        <v>открыт</v>
      </c>
      <c r="AD59" s="55">
        <v>0.86</v>
      </c>
      <c r="AE59" s="31"/>
    </row>
    <row r="60" spans="1:31" s="32" customFormat="1" ht="22.5">
      <c r="A60" s="45">
        <f t="shared" si="12"/>
        <v>50</v>
      </c>
      <c r="B60" s="43" t="s">
        <v>91</v>
      </c>
      <c r="C60" s="54">
        <v>2.5</v>
      </c>
      <c r="D60" s="64">
        <v>0.79</v>
      </c>
      <c r="E60" s="54">
        <v>0.85</v>
      </c>
      <c r="F60" s="54" t="s">
        <v>35</v>
      </c>
      <c r="G60" s="54">
        <f t="shared" si="0"/>
        <v>0.85</v>
      </c>
      <c r="H60" s="54">
        <v>0</v>
      </c>
      <c r="I60" s="54">
        <f t="shared" si="1"/>
        <v>0.85</v>
      </c>
      <c r="J60" s="54">
        <f t="shared" si="2"/>
        <v>5.9999999999999942E-2</v>
      </c>
      <c r="K60" s="43">
        <f t="shared" si="9"/>
        <v>5.9999999999999942E-2</v>
      </c>
      <c r="L60" s="46">
        <f t="shared" si="4"/>
        <v>5.0999999999999948E-2</v>
      </c>
      <c r="M60" s="55" t="str">
        <f t="shared" si="13"/>
        <v>открыт</v>
      </c>
      <c r="N60" s="55">
        <v>0.85</v>
      </c>
      <c r="O60" s="30"/>
      <c r="P60" s="45">
        <f t="shared" si="14"/>
        <v>50</v>
      </c>
      <c r="Q60" s="54" t="s">
        <v>91</v>
      </c>
      <c r="R60" s="54">
        <v>2.5</v>
      </c>
      <c r="S60" s="57">
        <f t="shared" si="10"/>
        <v>0</v>
      </c>
      <c r="T60" s="57">
        <v>0</v>
      </c>
      <c r="U60" s="46">
        <f t="shared" si="15"/>
        <v>0.79</v>
      </c>
      <c r="V60" s="57">
        <f t="shared" si="11"/>
        <v>0.85</v>
      </c>
      <c r="W60" s="54" t="s">
        <v>35</v>
      </c>
      <c r="X60" s="57">
        <f t="shared" si="6"/>
        <v>-5.9999999999999942E-2</v>
      </c>
      <c r="Y60" s="57">
        <v>0</v>
      </c>
      <c r="Z60" s="57">
        <f t="shared" si="7"/>
        <v>0.85</v>
      </c>
      <c r="AA60" s="57">
        <f t="shared" si="8"/>
        <v>5.9999999999999942E-2</v>
      </c>
      <c r="AB60" s="46">
        <f t="shared" si="5"/>
        <v>5.9999999999999942E-2</v>
      </c>
      <c r="AC60" s="55" t="str">
        <f t="shared" si="16"/>
        <v>открыт</v>
      </c>
      <c r="AD60" s="55">
        <v>0.85</v>
      </c>
      <c r="AE60" s="31"/>
    </row>
    <row r="61" spans="1:31" s="32" customFormat="1" ht="22.5">
      <c r="A61" s="45">
        <f t="shared" si="12"/>
        <v>51</v>
      </c>
      <c r="B61" s="43" t="s">
        <v>92</v>
      </c>
      <c r="C61" s="54">
        <v>16</v>
      </c>
      <c r="D61" s="64">
        <v>0</v>
      </c>
      <c r="E61" s="54">
        <v>0</v>
      </c>
      <c r="F61" s="54" t="s">
        <v>35</v>
      </c>
      <c r="G61" s="54">
        <f t="shared" si="0"/>
        <v>0</v>
      </c>
      <c r="H61" s="54">
        <v>0</v>
      </c>
      <c r="I61" s="54">
        <f t="shared" si="1"/>
        <v>0</v>
      </c>
      <c r="J61" s="54">
        <f t="shared" si="2"/>
        <v>0</v>
      </c>
      <c r="K61" s="43">
        <f t="shared" si="9"/>
        <v>0</v>
      </c>
      <c r="L61" s="46">
        <f t="shared" si="4"/>
        <v>0</v>
      </c>
      <c r="M61" s="55" t="str">
        <f t="shared" si="13"/>
        <v>открыт</v>
      </c>
      <c r="N61" s="55">
        <v>1</v>
      </c>
      <c r="O61" s="30"/>
      <c r="P61" s="45">
        <f t="shared" si="14"/>
        <v>51</v>
      </c>
      <c r="Q61" s="54" t="s">
        <v>92</v>
      </c>
      <c r="R61" s="54">
        <v>16</v>
      </c>
      <c r="S61" s="57">
        <f t="shared" si="10"/>
        <v>0</v>
      </c>
      <c r="T61" s="57">
        <v>0</v>
      </c>
      <c r="U61" s="46">
        <f t="shared" si="15"/>
        <v>0</v>
      </c>
      <c r="V61" s="57">
        <f t="shared" si="11"/>
        <v>0</v>
      </c>
      <c r="W61" s="54" t="s">
        <v>35</v>
      </c>
      <c r="X61" s="57">
        <f t="shared" si="6"/>
        <v>0</v>
      </c>
      <c r="Y61" s="57">
        <v>0</v>
      </c>
      <c r="Z61" s="57">
        <f t="shared" si="7"/>
        <v>0</v>
      </c>
      <c r="AA61" s="57">
        <f t="shared" si="8"/>
        <v>0</v>
      </c>
      <c r="AB61" s="46">
        <f t="shared" si="5"/>
        <v>0</v>
      </c>
      <c r="AC61" s="55" t="str">
        <f t="shared" si="16"/>
        <v>открыт</v>
      </c>
      <c r="AD61" s="55">
        <v>1</v>
      </c>
      <c r="AE61" s="31"/>
    </row>
    <row r="62" spans="1:31" s="32" customFormat="1" ht="19.5" customHeight="1">
      <c r="A62" s="96">
        <f>A61+1</f>
        <v>52</v>
      </c>
      <c r="B62" s="43" t="s">
        <v>93</v>
      </c>
      <c r="C62" s="54">
        <v>25</v>
      </c>
      <c r="D62" s="64">
        <v>2.97</v>
      </c>
      <c r="E62" s="46">
        <f>D62</f>
        <v>2.97</v>
      </c>
      <c r="F62" s="54" t="s">
        <v>35</v>
      </c>
      <c r="G62" s="54">
        <f t="shared" si="0"/>
        <v>2.97</v>
      </c>
      <c r="H62" s="54">
        <v>0</v>
      </c>
      <c r="I62" s="54">
        <f t="shared" si="1"/>
        <v>2.97</v>
      </c>
      <c r="J62" s="57">
        <f>I62-D62</f>
        <v>0</v>
      </c>
      <c r="K62" s="94">
        <f>MIN(J62:J64)</f>
        <v>0</v>
      </c>
      <c r="L62" s="94">
        <f>MIN(K62:K64)</f>
        <v>0</v>
      </c>
      <c r="M62" s="98" t="str">
        <f>IF(K62&lt;0,"закрыт","открыт")</f>
        <v>открыт</v>
      </c>
      <c r="N62" s="138">
        <v>0.91</v>
      </c>
      <c r="O62" s="30"/>
      <c r="P62" s="96">
        <f>P61+1</f>
        <v>52</v>
      </c>
      <c r="Q62" s="54" t="s">
        <v>93</v>
      </c>
      <c r="R62" s="54">
        <v>25</v>
      </c>
      <c r="S62" s="60">
        <f>T62/N62</f>
        <v>1.6906593406593406</v>
      </c>
      <c r="T62" s="57">
        <v>1.5385</v>
      </c>
      <c r="U62" s="46">
        <f t="shared" si="15"/>
        <v>4.6606593406593406</v>
      </c>
      <c r="V62" s="57">
        <f>U62</f>
        <v>4.6606593406593406</v>
      </c>
      <c r="W62" s="54" t="s">
        <v>35</v>
      </c>
      <c r="X62" s="57">
        <f t="shared" si="6"/>
        <v>0</v>
      </c>
      <c r="Y62" s="57">
        <v>0</v>
      </c>
      <c r="Z62" s="57">
        <f t="shared" si="7"/>
        <v>4.6606593406593406</v>
      </c>
      <c r="AA62" s="57">
        <f t="shared" si="8"/>
        <v>0</v>
      </c>
      <c r="AB62" s="94">
        <f>MIN(AA62:AA64)</f>
        <v>0</v>
      </c>
      <c r="AC62" s="98" t="str">
        <f>IF(AB62&lt;0,"закрыт","открыт")</f>
        <v>открыт</v>
      </c>
      <c r="AD62" s="138">
        <v>0.91</v>
      </c>
      <c r="AE62" s="31"/>
    </row>
    <row r="63" spans="1:31" s="32" customFormat="1" ht="12.75" customHeight="1">
      <c r="A63" s="96"/>
      <c r="B63" s="61" t="s">
        <v>45</v>
      </c>
      <c r="C63" s="54">
        <v>25</v>
      </c>
      <c r="D63" s="64">
        <v>2.97</v>
      </c>
      <c r="E63" s="69">
        <f>D63</f>
        <v>2.97</v>
      </c>
      <c r="F63" s="54" t="s">
        <v>35</v>
      </c>
      <c r="G63" s="54">
        <f t="shared" si="0"/>
        <v>2.97</v>
      </c>
      <c r="H63" s="54">
        <v>0</v>
      </c>
      <c r="I63" s="54">
        <f t="shared" si="1"/>
        <v>2.97</v>
      </c>
      <c r="J63" s="57">
        <f>I63-D63</f>
        <v>0</v>
      </c>
      <c r="K63" s="95"/>
      <c r="L63" s="95"/>
      <c r="M63" s="99"/>
      <c r="N63" s="138"/>
      <c r="O63" s="30"/>
      <c r="P63" s="96"/>
      <c r="Q63" s="62" t="s">
        <v>45</v>
      </c>
      <c r="R63" s="54">
        <v>25</v>
      </c>
      <c r="S63" s="60">
        <f>S62-S64</f>
        <v>1.6906593406593406</v>
      </c>
      <c r="T63" s="60"/>
      <c r="U63" s="46">
        <f t="shared" si="15"/>
        <v>4.6606593406593406</v>
      </c>
      <c r="V63" s="57">
        <f>U63</f>
        <v>4.6606593406593406</v>
      </c>
      <c r="W63" s="54" t="s">
        <v>35</v>
      </c>
      <c r="X63" s="57">
        <f t="shared" si="6"/>
        <v>0</v>
      </c>
      <c r="Y63" s="57">
        <v>0</v>
      </c>
      <c r="Z63" s="57">
        <f t="shared" si="7"/>
        <v>4.6606593406593406</v>
      </c>
      <c r="AA63" s="57">
        <f t="shared" si="8"/>
        <v>0</v>
      </c>
      <c r="AB63" s="94"/>
      <c r="AC63" s="99"/>
      <c r="AD63" s="138"/>
      <c r="AE63" s="31"/>
    </row>
    <row r="64" spans="1:31" s="32" customFormat="1" ht="12.75" customHeight="1">
      <c r="A64" s="96"/>
      <c r="B64" s="61" t="s">
        <v>46</v>
      </c>
      <c r="C64" s="54">
        <v>25</v>
      </c>
      <c r="D64" s="64">
        <v>0</v>
      </c>
      <c r="E64" s="69">
        <f>D64</f>
        <v>0</v>
      </c>
      <c r="F64" s="54" t="s">
        <v>35</v>
      </c>
      <c r="G64" s="54">
        <f>E64</f>
        <v>0</v>
      </c>
      <c r="H64" s="54">
        <v>0</v>
      </c>
      <c r="I64" s="54">
        <f t="shared" si="1"/>
        <v>0</v>
      </c>
      <c r="J64" s="57">
        <f>I64-D64</f>
        <v>0</v>
      </c>
      <c r="K64" s="95"/>
      <c r="L64" s="95"/>
      <c r="M64" s="100"/>
      <c r="N64" s="138"/>
      <c r="O64" s="30"/>
      <c r="P64" s="96"/>
      <c r="Q64" s="62" t="s">
        <v>46</v>
      </c>
      <c r="R64" s="54">
        <v>25</v>
      </c>
      <c r="S64" s="60">
        <f>T64/N62</f>
        <v>0</v>
      </c>
      <c r="T64" s="57">
        <v>0</v>
      </c>
      <c r="U64" s="46">
        <f t="shared" si="15"/>
        <v>0</v>
      </c>
      <c r="V64" s="57">
        <f>U64</f>
        <v>0</v>
      </c>
      <c r="W64" s="54" t="s">
        <v>35</v>
      </c>
      <c r="X64" s="57">
        <f t="shared" si="6"/>
        <v>0</v>
      </c>
      <c r="Y64" s="57">
        <v>0</v>
      </c>
      <c r="Z64" s="57">
        <f t="shared" si="7"/>
        <v>0</v>
      </c>
      <c r="AA64" s="57">
        <f t="shared" si="8"/>
        <v>0</v>
      </c>
      <c r="AB64" s="94"/>
      <c r="AC64" s="100"/>
      <c r="AD64" s="138"/>
      <c r="AE64" s="31"/>
    </row>
    <row r="65" spans="1:31" s="32" customFormat="1" ht="28.5" customHeight="1">
      <c r="A65" s="45">
        <f>A62+1</f>
        <v>53</v>
      </c>
      <c r="B65" s="43" t="s">
        <v>94</v>
      </c>
      <c r="C65" s="54">
        <v>2.5</v>
      </c>
      <c r="D65" s="64">
        <v>0.44</v>
      </c>
      <c r="E65" s="54">
        <v>2.62</v>
      </c>
      <c r="F65" s="54" t="s">
        <v>35</v>
      </c>
      <c r="G65" s="54">
        <f t="shared" si="0"/>
        <v>2.62</v>
      </c>
      <c r="H65" s="54">
        <v>0</v>
      </c>
      <c r="I65" s="54">
        <f t="shared" si="1"/>
        <v>2.62</v>
      </c>
      <c r="J65" s="54">
        <f t="shared" si="2"/>
        <v>2.1800000000000002</v>
      </c>
      <c r="K65" s="43">
        <f t="shared" ref="K65:K77" si="17">J65</f>
        <v>2.1800000000000002</v>
      </c>
      <c r="L65" s="46">
        <f t="shared" ref="L65:L77" si="18">K65*N65</f>
        <v>2.1582000000000003</v>
      </c>
      <c r="M65" s="55" t="str">
        <f t="shared" ref="M65:M77" si="19">IF(K65&lt;0,"закрыт","открыт")</f>
        <v>открыт</v>
      </c>
      <c r="N65" s="55">
        <v>0.99</v>
      </c>
      <c r="O65" s="30"/>
      <c r="P65" s="45">
        <f>P62+1</f>
        <v>53</v>
      </c>
      <c r="Q65" s="43" t="s">
        <v>94</v>
      </c>
      <c r="R65" s="43">
        <v>2.5</v>
      </c>
      <c r="S65" s="57">
        <f t="shared" ref="S65:S77" si="20">T65/N65</f>
        <v>4.2929292929292935E-2</v>
      </c>
      <c r="T65" s="57">
        <v>4.2500000000000003E-2</v>
      </c>
      <c r="U65" s="46">
        <f t="shared" si="15"/>
        <v>0.48292929292929293</v>
      </c>
      <c r="V65" s="57">
        <f t="shared" ref="V65:V77" si="21">E65</f>
        <v>2.62</v>
      </c>
      <c r="W65" s="43" t="s">
        <v>35</v>
      </c>
      <c r="X65" s="46">
        <f t="shared" si="6"/>
        <v>-2.1370707070707073</v>
      </c>
      <c r="Y65" s="46">
        <v>0</v>
      </c>
      <c r="Z65" s="46">
        <f t="shared" si="7"/>
        <v>2.62</v>
      </c>
      <c r="AA65" s="46">
        <f t="shared" si="8"/>
        <v>2.1370707070707073</v>
      </c>
      <c r="AB65" s="46">
        <f t="shared" si="5"/>
        <v>2.1370707070707073</v>
      </c>
      <c r="AC65" s="59" t="str">
        <f t="shared" ref="AC65:AC76" si="22">IF(AB65&lt;0,"закрыт","открыт")</f>
        <v>открыт</v>
      </c>
      <c r="AD65" s="55">
        <v>0.99</v>
      </c>
      <c r="AE65" s="31"/>
    </row>
    <row r="66" spans="1:31" s="32" customFormat="1" ht="22.5">
      <c r="A66" s="45">
        <f t="shared" si="12"/>
        <v>54</v>
      </c>
      <c r="B66" s="43" t="s">
        <v>95</v>
      </c>
      <c r="C66" s="54">
        <v>6.3</v>
      </c>
      <c r="D66" s="64">
        <v>0.3</v>
      </c>
      <c r="E66" s="54">
        <v>2.89</v>
      </c>
      <c r="F66" s="54" t="s">
        <v>35</v>
      </c>
      <c r="G66" s="54">
        <f t="shared" si="0"/>
        <v>2.89</v>
      </c>
      <c r="H66" s="54">
        <v>0</v>
      </c>
      <c r="I66" s="54">
        <f t="shared" si="1"/>
        <v>2.89</v>
      </c>
      <c r="J66" s="54">
        <f t="shared" si="2"/>
        <v>2.5900000000000003</v>
      </c>
      <c r="K66" s="43">
        <f t="shared" si="17"/>
        <v>2.5900000000000003</v>
      </c>
      <c r="L66" s="46">
        <f t="shared" si="18"/>
        <v>2.3051000000000004</v>
      </c>
      <c r="M66" s="55" t="str">
        <f t="shared" si="19"/>
        <v>открыт</v>
      </c>
      <c r="N66" s="55">
        <v>0.89</v>
      </c>
      <c r="O66" s="30"/>
      <c r="P66" s="45">
        <f t="shared" si="14"/>
        <v>54</v>
      </c>
      <c r="Q66" s="54" t="s">
        <v>95</v>
      </c>
      <c r="R66" s="54">
        <v>6.3</v>
      </c>
      <c r="S66" s="57">
        <f t="shared" si="20"/>
        <v>0.14325842696629212</v>
      </c>
      <c r="T66" s="57">
        <v>0.1275</v>
      </c>
      <c r="U66" s="46">
        <f t="shared" si="15"/>
        <v>0.44325842696629214</v>
      </c>
      <c r="V66" s="57">
        <f t="shared" si="21"/>
        <v>2.89</v>
      </c>
      <c r="W66" s="54" t="s">
        <v>35</v>
      </c>
      <c r="X66" s="57">
        <f t="shared" si="6"/>
        <v>-2.4467415730337079</v>
      </c>
      <c r="Y66" s="57">
        <v>0</v>
      </c>
      <c r="Z66" s="57">
        <f t="shared" si="7"/>
        <v>2.89</v>
      </c>
      <c r="AA66" s="57">
        <f t="shared" si="8"/>
        <v>2.4467415730337079</v>
      </c>
      <c r="AB66" s="46">
        <f t="shared" si="5"/>
        <v>2.4467415730337079</v>
      </c>
      <c r="AC66" s="55" t="str">
        <f t="shared" si="22"/>
        <v>открыт</v>
      </c>
      <c r="AD66" s="55">
        <v>0.89</v>
      </c>
      <c r="AE66" s="31"/>
    </row>
    <row r="67" spans="1:31" s="32" customFormat="1" ht="22.5">
      <c r="A67" s="45">
        <f t="shared" si="12"/>
        <v>55</v>
      </c>
      <c r="B67" s="43" t="s">
        <v>96</v>
      </c>
      <c r="C67" s="54">
        <v>1</v>
      </c>
      <c r="D67" s="64">
        <v>0.14000000000000001</v>
      </c>
      <c r="E67" s="54">
        <v>0.68</v>
      </c>
      <c r="F67" s="54" t="s">
        <v>35</v>
      </c>
      <c r="G67" s="54">
        <f t="shared" si="0"/>
        <v>0.68</v>
      </c>
      <c r="H67" s="54">
        <v>0</v>
      </c>
      <c r="I67" s="54">
        <f t="shared" si="1"/>
        <v>0.68</v>
      </c>
      <c r="J67" s="54">
        <f t="shared" si="2"/>
        <v>0.54</v>
      </c>
      <c r="K67" s="43">
        <f t="shared" si="17"/>
        <v>0.54</v>
      </c>
      <c r="L67" s="46">
        <f t="shared" si="18"/>
        <v>0.53460000000000008</v>
      </c>
      <c r="M67" s="55" t="str">
        <f t="shared" si="19"/>
        <v>открыт</v>
      </c>
      <c r="N67" s="55">
        <v>0.99</v>
      </c>
      <c r="O67" s="30"/>
      <c r="P67" s="45">
        <f t="shared" si="14"/>
        <v>55</v>
      </c>
      <c r="Q67" s="43" t="s">
        <v>96</v>
      </c>
      <c r="R67" s="43">
        <v>1</v>
      </c>
      <c r="S67" s="57">
        <f t="shared" si="20"/>
        <v>0.25757575757575757</v>
      </c>
      <c r="T67" s="57">
        <v>0.255</v>
      </c>
      <c r="U67" s="46">
        <f t="shared" si="15"/>
        <v>0.39757575757575758</v>
      </c>
      <c r="V67" s="57">
        <f t="shared" si="21"/>
        <v>0.68</v>
      </c>
      <c r="W67" s="43" t="s">
        <v>35</v>
      </c>
      <c r="X67" s="46">
        <f t="shared" si="6"/>
        <v>-0.28242424242424247</v>
      </c>
      <c r="Y67" s="46">
        <v>0</v>
      </c>
      <c r="Z67" s="46">
        <f t="shared" si="7"/>
        <v>0.68</v>
      </c>
      <c r="AA67" s="46">
        <f t="shared" si="8"/>
        <v>0.28242424242424247</v>
      </c>
      <c r="AB67" s="46">
        <f t="shared" si="5"/>
        <v>0.28242424242424247</v>
      </c>
      <c r="AC67" s="59" t="str">
        <f t="shared" si="22"/>
        <v>открыт</v>
      </c>
      <c r="AD67" s="55">
        <v>0.99</v>
      </c>
      <c r="AE67" s="31"/>
    </row>
    <row r="68" spans="1:31" s="32" customFormat="1" ht="22.5">
      <c r="A68" s="45">
        <f t="shared" si="12"/>
        <v>56</v>
      </c>
      <c r="B68" s="43" t="s">
        <v>97</v>
      </c>
      <c r="C68" s="54">
        <v>2.5</v>
      </c>
      <c r="D68" s="64">
        <v>0.17</v>
      </c>
      <c r="E68" s="54">
        <v>1.73</v>
      </c>
      <c r="F68" s="54" t="s">
        <v>35</v>
      </c>
      <c r="G68" s="54">
        <f t="shared" si="0"/>
        <v>1.73</v>
      </c>
      <c r="H68" s="54">
        <v>0</v>
      </c>
      <c r="I68" s="54">
        <f t="shared" si="1"/>
        <v>1.73</v>
      </c>
      <c r="J68" s="54">
        <f t="shared" si="2"/>
        <v>1.56</v>
      </c>
      <c r="K68" s="43">
        <f t="shared" si="17"/>
        <v>1.56</v>
      </c>
      <c r="L68" s="46">
        <f t="shared" si="18"/>
        <v>1.482</v>
      </c>
      <c r="M68" s="55" t="str">
        <f t="shared" si="19"/>
        <v>открыт</v>
      </c>
      <c r="N68" s="55">
        <v>0.95</v>
      </c>
      <c r="O68" s="30"/>
      <c r="P68" s="45">
        <f t="shared" si="14"/>
        <v>56</v>
      </c>
      <c r="Q68" s="54" t="s">
        <v>97</v>
      </c>
      <c r="R68" s="54">
        <v>2.5</v>
      </c>
      <c r="S68" s="57">
        <f t="shared" si="20"/>
        <v>8.9473684210526327E-3</v>
      </c>
      <c r="T68" s="57">
        <v>8.5000000000000006E-3</v>
      </c>
      <c r="U68" s="46">
        <f t="shared" si="15"/>
        <v>0.17894736842105263</v>
      </c>
      <c r="V68" s="57">
        <f t="shared" si="21"/>
        <v>1.73</v>
      </c>
      <c r="W68" s="54" t="s">
        <v>35</v>
      </c>
      <c r="X68" s="57">
        <f t="shared" si="6"/>
        <v>-1.5510526315789472</v>
      </c>
      <c r="Y68" s="57">
        <v>0</v>
      </c>
      <c r="Z68" s="57">
        <f t="shared" si="7"/>
        <v>1.73</v>
      </c>
      <c r="AA68" s="57">
        <f t="shared" si="8"/>
        <v>1.5510526315789472</v>
      </c>
      <c r="AB68" s="46">
        <f t="shared" si="5"/>
        <v>1.5510526315789472</v>
      </c>
      <c r="AC68" s="55" t="str">
        <f t="shared" si="22"/>
        <v>открыт</v>
      </c>
      <c r="AD68" s="55">
        <v>0.95</v>
      </c>
      <c r="AE68" s="31"/>
    </row>
    <row r="69" spans="1:31" s="32" customFormat="1" ht="22.5">
      <c r="A69" s="45">
        <f t="shared" si="12"/>
        <v>57</v>
      </c>
      <c r="B69" s="43" t="s">
        <v>98</v>
      </c>
      <c r="C69" s="54">
        <v>2.5</v>
      </c>
      <c r="D69" s="64">
        <v>0.26</v>
      </c>
      <c r="E69" s="54">
        <v>0.68</v>
      </c>
      <c r="F69" s="54" t="s">
        <v>35</v>
      </c>
      <c r="G69" s="54">
        <f t="shared" si="0"/>
        <v>0.68</v>
      </c>
      <c r="H69" s="54">
        <v>0</v>
      </c>
      <c r="I69" s="54">
        <f t="shared" si="1"/>
        <v>0.68</v>
      </c>
      <c r="J69" s="54">
        <f t="shared" si="2"/>
        <v>0.42000000000000004</v>
      </c>
      <c r="K69" s="43">
        <f t="shared" si="17"/>
        <v>0.42000000000000004</v>
      </c>
      <c r="L69" s="46">
        <f t="shared" si="18"/>
        <v>0.39480000000000004</v>
      </c>
      <c r="M69" s="55" t="str">
        <f t="shared" si="19"/>
        <v>открыт</v>
      </c>
      <c r="N69" s="55">
        <v>0.94</v>
      </c>
      <c r="O69" s="30"/>
      <c r="P69" s="65">
        <f t="shared" si="14"/>
        <v>57</v>
      </c>
      <c r="Q69" s="66" t="s">
        <v>98</v>
      </c>
      <c r="R69" s="66">
        <v>2.5</v>
      </c>
      <c r="S69" s="67">
        <f t="shared" si="20"/>
        <v>3.0563829787234043</v>
      </c>
      <c r="T69" s="57">
        <v>2.8729999999999998</v>
      </c>
      <c r="U69" s="67">
        <f t="shared" si="15"/>
        <v>3.3163829787234045</v>
      </c>
      <c r="V69" s="67">
        <f t="shared" si="21"/>
        <v>0.68</v>
      </c>
      <c r="W69" s="66" t="s">
        <v>35</v>
      </c>
      <c r="X69" s="67">
        <f t="shared" si="6"/>
        <v>2.6363829787234043</v>
      </c>
      <c r="Y69" s="67">
        <v>0</v>
      </c>
      <c r="Z69" s="67">
        <f t="shared" si="7"/>
        <v>0.68</v>
      </c>
      <c r="AA69" s="67">
        <f t="shared" si="8"/>
        <v>-2.6363829787234043</v>
      </c>
      <c r="AB69" s="67">
        <f t="shared" si="5"/>
        <v>-2.6363829787234043</v>
      </c>
      <c r="AC69" s="68" t="str">
        <f t="shared" si="22"/>
        <v>закрыт</v>
      </c>
      <c r="AD69" s="55">
        <v>0.94</v>
      </c>
      <c r="AE69" s="31"/>
    </row>
    <row r="70" spans="1:31" s="32" customFormat="1" ht="22.5">
      <c r="A70" s="45">
        <f t="shared" si="12"/>
        <v>58</v>
      </c>
      <c r="B70" s="43" t="s">
        <v>99</v>
      </c>
      <c r="C70" s="54">
        <v>2.5</v>
      </c>
      <c r="D70" s="64">
        <v>0.13</v>
      </c>
      <c r="E70" s="54">
        <v>0.68</v>
      </c>
      <c r="F70" s="54" t="s">
        <v>35</v>
      </c>
      <c r="G70" s="54">
        <f t="shared" si="0"/>
        <v>0.68</v>
      </c>
      <c r="H70" s="54">
        <v>0</v>
      </c>
      <c r="I70" s="54">
        <f t="shared" si="1"/>
        <v>0.68</v>
      </c>
      <c r="J70" s="54">
        <f t="shared" si="2"/>
        <v>0.55000000000000004</v>
      </c>
      <c r="K70" s="43">
        <f t="shared" si="17"/>
        <v>0.55000000000000004</v>
      </c>
      <c r="L70" s="46">
        <f t="shared" si="18"/>
        <v>0.47850000000000004</v>
      </c>
      <c r="M70" s="55" t="str">
        <f t="shared" si="19"/>
        <v>открыт</v>
      </c>
      <c r="N70" s="55">
        <v>0.87</v>
      </c>
      <c r="O70" s="30"/>
      <c r="P70" s="45">
        <f t="shared" si="14"/>
        <v>58</v>
      </c>
      <c r="Q70" s="43" t="s">
        <v>99</v>
      </c>
      <c r="R70" s="43">
        <v>2.5</v>
      </c>
      <c r="S70" s="57">
        <f t="shared" si="20"/>
        <v>6.8390804597701152E-2</v>
      </c>
      <c r="T70" s="57">
        <v>5.9500000000000004E-2</v>
      </c>
      <c r="U70" s="46">
        <f t="shared" si="15"/>
        <v>0.19839080459770114</v>
      </c>
      <c r="V70" s="57">
        <f t="shared" si="21"/>
        <v>0.68</v>
      </c>
      <c r="W70" s="43" t="s">
        <v>35</v>
      </c>
      <c r="X70" s="46">
        <f t="shared" si="6"/>
        <v>-0.48160919540229891</v>
      </c>
      <c r="Y70" s="46">
        <v>0</v>
      </c>
      <c r="Z70" s="46">
        <f t="shared" si="7"/>
        <v>0.68</v>
      </c>
      <c r="AA70" s="46">
        <f t="shared" si="8"/>
        <v>0.48160919540229891</v>
      </c>
      <c r="AB70" s="46">
        <f t="shared" si="5"/>
        <v>0.48160919540229891</v>
      </c>
      <c r="AC70" s="59" t="str">
        <f t="shared" si="22"/>
        <v>открыт</v>
      </c>
      <c r="AD70" s="55">
        <v>0.87</v>
      </c>
      <c r="AE70" s="31"/>
    </row>
    <row r="71" spans="1:31" s="32" customFormat="1" ht="22.5">
      <c r="A71" s="45">
        <f t="shared" si="12"/>
        <v>59</v>
      </c>
      <c r="B71" s="43" t="s">
        <v>100</v>
      </c>
      <c r="C71" s="54">
        <v>2.5</v>
      </c>
      <c r="D71" s="64">
        <v>0.31</v>
      </c>
      <c r="E71" s="54">
        <v>0.68</v>
      </c>
      <c r="F71" s="54" t="s">
        <v>35</v>
      </c>
      <c r="G71" s="54">
        <f t="shared" si="0"/>
        <v>0.68</v>
      </c>
      <c r="H71" s="54">
        <v>0</v>
      </c>
      <c r="I71" s="54">
        <f t="shared" si="1"/>
        <v>0.68</v>
      </c>
      <c r="J71" s="54">
        <f t="shared" si="2"/>
        <v>0.37000000000000005</v>
      </c>
      <c r="K71" s="43">
        <f t="shared" si="17"/>
        <v>0.37000000000000005</v>
      </c>
      <c r="L71" s="46">
        <f t="shared" si="18"/>
        <v>0.32930000000000004</v>
      </c>
      <c r="M71" s="55" t="str">
        <f t="shared" si="19"/>
        <v>открыт</v>
      </c>
      <c r="N71" s="55">
        <v>0.89</v>
      </c>
      <c r="O71" s="30"/>
      <c r="P71" s="45">
        <f t="shared" si="14"/>
        <v>59</v>
      </c>
      <c r="Q71" s="54" t="s">
        <v>100</v>
      </c>
      <c r="R71" s="54">
        <v>2.5</v>
      </c>
      <c r="S71" s="57">
        <f t="shared" si="20"/>
        <v>0</v>
      </c>
      <c r="T71" s="57">
        <v>0</v>
      </c>
      <c r="U71" s="46">
        <f t="shared" si="15"/>
        <v>0.31</v>
      </c>
      <c r="V71" s="57">
        <f t="shared" si="21"/>
        <v>0.68</v>
      </c>
      <c r="W71" s="54" t="s">
        <v>35</v>
      </c>
      <c r="X71" s="57">
        <f t="shared" si="6"/>
        <v>-0.37000000000000005</v>
      </c>
      <c r="Y71" s="57">
        <v>0</v>
      </c>
      <c r="Z71" s="57">
        <f t="shared" si="7"/>
        <v>0.68</v>
      </c>
      <c r="AA71" s="57">
        <f t="shared" si="8"/>
        <v>0.37000000000000005</v>
      </c>
      <c r="AB71" s="46">
        <f t="shared" si="5"/>
        <v>0.37000000000000005</v>
      </c>
      <c r="AC71" s="55" t="str">
        <f t="shared" si="22"/>
        <v>открыт</v>
      </c>
      <c r="AD71" s="55">
        <v>0.89</v>
      </c>
      <c r="AE71" s="31"/>
    </row>
    <row r="72" spans="1:31" s="32" customFormat="1" ht="22.5">
      <c r="A72" s="45">
        <f t="shared" si="12"/>
        <v>60</v>
      </c>
      <c r="B72" s="43" t="s">
        <v>101</v>
      </c>
      <c r="C72" s="54">
        <v>2.5</v>
      </c>
      <c r="D72" s="64">
        <v>0.08</v>
      </c>
      <c r="E72" s="54">
        <v>0.85</v>
      </c>
      <c r="F72" s="54" t="s">
        <v>35</v>
      </c>
      <c r="G72" s="54">
        <f t="shared" si="0"/>
        <v>0.85</v>
      </c>
      <c r="H72" s="54">
        <v>0</v>
      </c>
      <c r="I72" s="54">
        <f t="shared" si="1"/>
        <v>0.85</v>
      </c>
      <c r="J72" s="54">
        <f t="shared" si="2"/>
        <v>0.77</v>
      </c>
      <c r="K72" s="43">
        <f t="shared" si="17"/>
        <v>0.77</v>
      </c>
      <c r="L72" s="46">
        <f t="shared" si="18"/>
        <v>0.63139999999999996</v>
      </c>
      <c r="M72" s="55" t="str">
        <f t="shared" si="19"/>
        <v>открыт</v>
      </c>
      <c r="N72" s="55">
        <v>0.82</v>
      </c>
      <c r="O72" s="30"/>
      <c r="P72" s="45">
        <f t="shared" si="14"/>
        <v>60</v>
      </c>
      <c r="Q72" s="54" t="s">
        <v>101</v>
      </c>
      <c r="R72" s="54">
        <v>2.5</v>
      </c>
      <c r="S72" s="57">
        <f t="shared" si="20"/>
        <v>0</v>
      </c>
      <c r="T72" s="57">
        <v>0</v>
      </c>
      <c r="U72" s="46">
        <f t="shared" si="15"/>
        <v>0.08</v>
      </c>
      <c r="V72" s="57">
        <f t="shared" si="21"/>
        <v>0.85</v>
      </c>
      <c r="W72" s="54" t="s">
        <v>35</v>
      </c>
      <c r="X72" s="57">
        <f t="shared" si="6"/>
        <v>-0.77</v>
      </c>
      <c r="Y72" s="57">
        <v>0</v>
      </c>
      <c r="Z72" s="57">
        <f t="shared" si="7"/>
        <v>0.85</v>
      </c>
      <c r="AA72" s="57">
        <f t="shared" si="8"/>
        <v>0.77</v>
      </c>
      <c r="AB72" s="46">
        <f t="shared" si="5"/>
        <v>0.77</v>
      </c>
      <c r="AC72" s="55" t="str">
        <f t="shared" si="22"/>
        <v>открыт</v>
      </c>
      <c r="AD72" s="55">
        <v>0.82</v>
      </c>
      <c r="AE72" s="31"/>
    </row>
    <row r="73" spans="1:31" s="32" customFormat="1" ht="22.5">
      <c r="A73" s="65">
        <f t="shared" si="12"/>
        <v>61</v>
      </c>
      <c r="B73" s="66" t="s">
        <v>102</v>
      </c>
      <c r="C73" s="66">
        <v>1.6</v>
      </c>
      <c r="D73" s="64">
        <v>0.06</v>
      </c>
      <c r="E73" s="66">
        <v>0</v>
      </c>
      <c r="F73" s="66" t="s">
        <v>35</v>
      </c>
      <c r="G73" s="66">
        <f t="shared" si="0"/>
        <v>0</v>
      </c>
      <c r="H73" s="66">
        <v>0</v>
      </c>
      <c r="I73" s="66">
        <f t="shared" si="1"/>
        <v>0</v>
      </c>
      <c r="J73" s="66">
        <f t="shared" si="2"/>
        <v>-0.06</v>
      </c>
      <c r="K73" s="66">
        <f t="shared" si="17"/>
        <v>-0.06</v>
      </c>
      <c r="L73" s="46">
        <f t="shared" si="18"/>
        <v>-4.8000000000000001E-2</v>
      </c>
      <c r="M73" s="68" t="str">
        <f t="shared" si="19"/>
        <v>закрыт</v>
      </c>
      <c r="N73" s="68">
        <v>0.8</v>
      </c>
      <c r="O73" s="30"/>
      <c r="P73" s="65">
        <f t="shared" si="14"/>
        <v>61</v>
      </c>
      <c r="Q73" s="66" t="s">
        <v>102</v>
      </c>
      <c r="R73" s="66">
        <v>1.6</v>
      </c>
      <c r="S73" s="67">
        <f t="shared" si="20"/>
        <v>0</v>
      </c>
      <c r="T73" s="57">
        <v>0</v>
      </c>
      <c r="U73" s="67">
        <f t="shared" si="15"/>
        <v>0.06</v>
      </c>
      <c r="V73" s="67">
        <f t="shared" si="21"/>
        <v>0</v>
      </c>
      <c r="W73" s="66" t="s">
        <v>35</v>
      </c>
      <c r="X73" s="67">
        <f t="shared" si="6"/>
        <v>0.06</v>
      </c>
      <c r="Y73" s="67">
        <v>0</v>
      </c>
      <c r="Z73" s="67">
        <f t="shared" si="7"/>
        <v>0</v>
      </c>
      <c r="AA73" s="67">
        <f t="shared" si="8"/>
        <v>-0.06</v>
      </c>
      <c r="AB73" s="67">
        <f t="shared" si="5"/>
        <v>-0.06</v>
      </c>
      <c r="AC73" s="68" t="str">
        <f t="shared" si="22"/>
        <v>закрыт</v>
      </c>
      <c r="AD73" s="68">
        <v>0.8</v>
      </c>
      <c r="AE73" s="31"/>
    </row>
    <row r="74" spans="1:31" s="32" customFormat="1" ht="22.5">
      <c r="A74" s="45">
        <f t="shared" si="12"/>
        <v>62</v>
      </c>
      <c r="B74" s="54" t="s">
        <v>103</v>
      </c>
      <c r="C74" s="54">
        <v>1.6</v>
      </c>
      <c r="D74" s="64">
        <v>0.04</v>
      </c>
      <c r="E74" s="54">
        <v>0.85</v>
      </c>
      <c r="F74" s="54" t="s">
        <v>35</v>
      </c>
      <c r="G74" s="54">
        <f>E74</f>
        <v>0.85</v>
      </c>
      <c r="H74" s="54">
        <v>0</v>
      </c>
      <c r="I74" s="54">
        <f>G74-H74</f>
        <v>0.85</v>
      </c>
      <c r="J74" s="54">
        <f>I74-D74</f>
        <v>0.80999999999999994</v>
      </c>
      <c r="K74" s="43">
        <f t="shared" si="17"/>
        <v>0.80999999999999994</v>
      </c>
      <c r="L74" s="46">
        <f t="shared" si="18"/>
        <v>0.72899999999999998</v>
      </c>
      <c r="M74" s="55" t="str">
        <f t="shared" si="19"/>
        <v>открыт</v>
      </c>
      <c r="N74" s="55">
        <v>0.9</v>
      </c>
      <c r="O74" s="30"/>
      <c r="P74" s="45">
        <f t="shared" si="14"/>
        <v>62</v>
      </c>
      <c r="Q74" s="54" t="s">
        <v>103</v>
      </c>
      <c r="R74" s="54">
        <v>1.6</v>
      </c>
      <c r="S74" s="57">
        <f t="shared" si="20"/>
        <v>0</v>
      </c>
      <c r="T74" s="57">
        <v>0</v>
      </c>
      <c r="U74" s="46">
        <f t="shared" si="15"/>
        <v>0.04</v>
      </c>
      <c r="V74" s="57">
        <f t="shared" si="21"/>
        <v>0.85</v>
      </c>
      <c r="W74" s="54" t="s">
        <v>35</v>
      </c>
      <c r="X74" s="57">
        <f t="shared" si="6"/>
        <v>-0.80999999999999994</v>
      </c>
      <c r="Y74" s="57">
        <v>0</v>
      </c>
      <c r="Z74" s="57">
        <f t="shared" si="7"/>
        <v>0.85</v>
      </c>
      <c r="AA74" s="57">
        <f t="shared" si="8"/>
        <v>0.80999999999999994</v>
      </c>
      <c r="AB74" s="46">
        <f t="shared" si="5"/>
        <v>0.80999999999999994</v>
      </c>
      <c r="AC74" s="55" t="str">
        <f t="shared" si="22"/>
        <v>открыт</v>
      </c>
      <c r="AD74" s="55">
        <v>0.9</v>
      </c>
      <c r="AE74" s="31"/>
    </row>
    <row r="75" spans="1:31" s="32" customFormat="1" ht="22.5">
      <c r="A75" s="45">
        <f t="shared" si="12"/>
        <v>63</v>
      </c>
      <c r="B75" s="54" t="s">
        <v>104</v>
      </c>
      <c r="C75" s="54">
        <v>1.6</v>
      </c>
      <c r="D75" s="64">
        <v>0.05</v>
      </c>
      <c r="E75" s="54">
        <v>0.85</v>
      </c>
      <c r="F75" s="54" t="s">
        <v>35</v>
      </c>
      <c r="G75" s="54">
        <f>E75</f>
        <v>0.85</v>
      </c>
      <c r="H75" s="54">
        <v>0</v>
      </c>
      <c r="I75" s="54">
        <f>G75-H75</f>
        <v>0.85</v>
      </c>
      <c r="J75" s="54">
        <f>I75-D75</f>
        <v>0.79999999999999993</v>
      </c>
      <c r="K75" s="43">
        <f t="shared" si="17"/>
        <v>0.79999999999999993</v>
      </c>
      <c r="L75" s="46">
        <f t="shared" si="18"/>
        <v>0.73599999999999999</v>
      </c>
      <c r="M75" s="55" t="str">
        <f t="shared" si="19"/>
        <v>открыт</v>
      </c>
      <c r="N75" s="55">
        <v>0.92</v>
      </c>
      <c r="O75" s="30"/>
      <c r="P75" s="45">
        <f t="shared" si="14"/>
        <v>63</v>
      </c>
      <c r="Q75" s="54" t="s">
        <v>104</v>
      </c>
      <c r="R75" s="54">
        <v>1.6</v>
      </c>
      <c r="S75" s="57">
        <f t="shared" si="20"/>
        <v>0</v>
      </c>
      <c r="T75" s="57">
        <v>0</v>
      </c>
      <c r="U75" s="46">
        <f t="shared" si="15"/>
        <v>0.05</v>
      </c>
      <c r="V75" s="57">
        <f t="shared" si="21"/>
        <v>0.85</v>
      </c>
      <c r="W75" s="54" t="s">
        <v>35</v>
      </c>
      <c r="X75" s="57">
        <f>U75-V75</f>
        <v>-0.79999999999999993</v>
      </c>
      <c r="Y75" s="57">
        <v>0</v>
      </c>
      <c r="Z75" s="57">
        <f>V75</f>
        <v>0.85</v>
      </c>
      <c r="AA75" s="57">
        <f>Z75-U75</f>
        <v>0.79999999999999993</v>
      </c>
      <c r="AB75" s="46">
        <f>AA75</f>
        <v>0.79999999999999993</v>
      </c>
      <c r="AC75" s="55" t="str">
        <f t="shared" si="22"/>
        <v>открыт</v>
      </c>
      <c r="AD75" s="55">
        <v>0.92</v>
      </c>
      <c r="AE75" s="31"/>
    </row>
    <row r="76" spans="1:31" s="32" customFormat="1" ht="22.5">
      <c r="A76" s="45">
        <f t="shared" si="12"/>
        <v>64</v>
      </c>
      <c r="B76" s="54" t="s">
        <v>105</v>
      </c>
      <c r="C76" s="54">
        <v>4</v>
      </c>
      <c r="D76" s="64">
        <v>0.24</v>
      </c>
      <c r="E76" s="54">
        <v>1.73</v>
      </c>
      <c r="F76" s="54" t="s">
        <v>35</v>
      </c>
      <c r="G76" s="54">
        <f>E76</f>
        <v>1.73</v>
      </c>
      <c r="H76" s="54">
        <v>0</v>
      </c>
      <c r="I76" s="54">
        <f>G76-H76</f>
        <v>1.73</v>
      </c>
      <c r="J76" s="54">
        <f>I76-D76</f>
        <v>1.49</v>
      </c>
      <c r="K76" s="43">
        <f t="shared" si="17"/>
        <v>1.49</v>
      </c>
      <c r="L76" s="46">
        <f t="shared" si="18"/>
        <v>1.3708</v>
      </c>
      <c r="M76" s="55" t="str">
        <f t="shared" si="19"/>
        <v>открыт</v>
      </c>
      <c r="N76" s="55">
        <v>0.92</v>
      </c>
      <c r="O76" s="30"/>
      <c r="P76" s="45">
        <f t="shared" si="14"/>
        <v>64</v>
      </c>
      <c r="Q76" s="54" t="s">
        <v>105</v>
      </c>
      <c r="R76" s="54">
        <v>4</v>
      </c>
      <c r="S76" s="57">
        <f t="shared" si="20"/>
        <v>0</v>
      </c>
      <c r="T76" s="57">
        <v>0</v>
      </c>
      <c r="U76" s="46">
        <f t="shared" si="15"/>
        <v>0.24</v>
      </c>
      <c r="V76" s="57">
        <f t="shared" si="21"/>
        <v>1.73</v>
      </c>
      <c r="W76" s="54" t="s">
        <v>35</v>
      </c>
      <c r="X76" s="57">
        <f>U76-V76</f>
        <v>-1.49</v>
      </c>
      <c r="Y76" s="57">
        <v>0</v>
      </c>
      <c r="Z76" s="57">
        <f>V76</f>
        <v>1.73</v>
      </c>
      <c r="AA76" s="57">
        <f>Z76-U76</f>
        <v>1.49</v>
      </c>
      <c r="AB76" s="46">
        <f>AA76</f>
        <v>1.49</v>
      </c>
      <c r="AC76" s="55" t="str">
        <f t="shared" si="22"/>
        <v>открыт</v>
      </c>
      <c r="AD76" s="55">
        <v>0.92</v>
      </c>
      <c r="AE76" s="31"/>
    </row>
    <row r="77" spans="1:31" s="32" customFormat="1" ht="22.5">
      <c r="A77" s="45">
        <f t="shared" si="12"/>
        <v>65</v>
      </c>
      <c r="B77" s="54" t="s">
        <v>106</v>
      </c>
      <c r="C77" s="54">
        <v>2.5</v>
      </c>
      <c r="D77" s="64">
        <v>0.25</v>
      </c>
      <c r="E77" s="54">
        <v>1.73</v>
      </c>
      <c r="F77" s="54" t="s">
        <v>35</v>
      </c>
      <c r="G77" s="54">
        <f>E77</f>
        <v>1.73</v>
      </c>
      <c r="H77" s="54">
        <v>0</v>
      </c>
      <c r="I77" s="54">
        <f>G77-H77</f>
        <v>1.73</v>
      </c>
      <c r="J77" s="54">
        <f>I77-D77</f>
        <v>1.48</v>
      </c>
      <c r="K77" s="43">
        <f t="shared" si="17"/>
        <v>1.48</v>
      </c>
      <c r="L77" s="46">
        <f t="shared" si="18"/>
        <v>1.3468</v>
      </c>
      <c r="M77" s="55" t="str">
        <f t="shared" si="19"/>
        <v>открыт</v>
      </c>
      <c r="N77" s="55">
        <v>0.91</v>
      </c>
      <c r="O77" s="30"/>
      <c r="P77" s="45">
        <f t="shared" si="14"/>
        <v>65</v>
      </c>
      <c r="Q77" s="54" t="s">
        <v>106</v>
      </c>
      <c r="R77" s="54">
        <v>2.5</v>
      </c>
      <c r="S77" s="57">
        <f t="shared" si="20"/>
        <v>0</v>
      </c>
      <c r="T77" s="57">
        <v>0</v>
      </c>
      <c r="U77" s="46">
        <f t="shared" si="15"/>
        <v>0.25</v>
      </c>
      <c r="V77" s="57">
        <f t="shared" si="21"/>
        <v>1.73</v>
      </c>
      <c r="W77" s="54" t="s">
        <v>35</v>
      </c>
      <c r="X77" s="57">
        <f>U77-V77</f>
        <v>-1.48</v>
      </c>
      <c r="Y77" s="57">
        <v>0</v>
      </c>
      <c r="Z77" s="57">
        <f>V77</f>
        <v>1.73</v>
      </c>
      <c r="AA77" s="57">
        <f>Z77-U77</f>
        <v>1.48</v>
      </c>
      <c r="AB77" s="46">
        <f>AA77</f>
        <v>1.48</v>
      </c>
      <c r="AC77" s="55" t="str">
        <f>IF(AB77&lt;0,"закрыт","открыт")</f>
        <v>открыт</v>
      </c>
      <c r="AD77" s="55">
        <v>0.91</v>
      </c>
      <c r="AE77" s="31"/>
    </row>
    <row r="78" spans="1:31" s="32" customFormat="1" ht="11.25">
      <c r="A78" s="118" t="s">
        <v>107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70"/>
      <c r="O78" s="30"/>
      <c r="P78" s="117" t="s">
        <v>107</v>
      </c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70"/>
      <c r="AE78" s="31"/>
    </row>
    <row r="79" spans="1:31" s="32" customFormat="1" ht="22.5" hidden="1">
      <c r="A79" s="96">
        <v>66</v>
      </c>
      <c r="B79" s="43" t="s">
        <v>334</v>
      </c>
      <c r="C79" s="54" t="s">
        <v>108</v>
      </c>
      <c r="D79" s="64">
        <v>35.1</v>
      </c>
      <c r="E79" s="42">
        <f>E80+E81</f>
        <v>4.3499999999999996</v>
      </c>
      <c r="F79" s="45">
        <v>120</v>
      </c>
      <c r="G79" s="60">
        <f>D79-E79</f>
        <v>30.75</v>
      </c>
      <c r="H79" s="45">
        <v>0</v>
      </c>
      <c r="I79" s="54">
        <f>1.05*40</f>
        <v>42</v>
      </c>
      <c r="J79" s="60">
        <f>I79-G79-H79</f>
        <v>11.25</v>
      </c>
      <c r="K79" s="93">
        <f>MIN(J79:J81)</f>
        <v>11.25</v>
      </c>
      <c r="L79" s="93">
        <f>MIN(K79:K81)</f>
        <v>11.25</v>
      </c>
      <c r="M79" s="98" t="str">
        <f>IF(K79&lt;0,"закрыт","открыт")</f>
        <v>открыт</v>
      </c>
      <c r="N79" s="138">
        <v>0.88</v>
      </c>
      <c r="O79" s="30"/>
      <c r="P79" s="104">
        <v>66</v>
      </c>
      <c r="Q79" s="66" t="s">
        <v>320</v>
      </c>
      <c r="R79" s="66" t="s">
        <v>108</v>
      </c>
      <c r="S79" s="87">
        <f>T79/N79</f>
        <v>23.443181818181817</v>
      </c>
      <c r="T79" s="67">
        <v>20.63</v>
      </c>
      <c r="U79" s="67">
        <f t="shared" si="15"/>
        <v>58.543181818181822</v>
      </c>
      <c r="V79" s="67">
        <f>V80+V81</f>
        <v>9.3954545454545428</v>
      </c>
      <c r="W79" s="67">
        <v>120</v>
      </c>
      <c r="X79" s="67">
        <f>U79-V79</f>
        <v>49.14772727272728</v>
      </c>
      <c r="Y79" s="66">
        <v>0</v>
      </c>
      <c r="Z79" s="66">
        <f>1.05*40</f>
        <v>42</v>
      </c>
      <c r="AA79" s="67">
        <f>Z79-Y79-X79</f>
        <v>-7.1477272727272805</v>
      </c>
      <c r="AB79" s="116">
        <f>MIN(AA79:AA81)</f>
        <v>-7.1477272727272805</v>
      </c>
      <c r="AC79" s="106" t="str">
        <f>IF(AB79&lt;0,"закрыт","открыт")</f>
        <v>закрыт</v>
      </c>
      <c r="AD79" s="138">
        <v>0.88</v>
      </c>
      <c r="AE79" s="31"/>
    </row>
    <row r="80" spans="1:31" s="32" customFormat="1" ht="12.75" hidden="1" customHeight="1">
      <c r="A80" s="96"/>
      <c r="B80" s="61" t="s">
        <v>45</v>
      </c>
      <c r="C80" s="54" t="s">
        <v>108</v>
      </c>
      <c r="D80" s="48">
        <f>D79-D81</f>
        <v>2.4299999999999997</v>
      </c>
      <c r="E80" s="71">
        <f>D80</f>
        <v>2.4299999999999997</v>
      </c>
      <c r="F80" s="45"/>
      <c r="G80" s="60">
        <f>D80-E80</f>
        <v>0</v>
      </c>
      <c r="H80" s="45">
        <v>0</v>
      </c>
      <c r="I80" s="54">
        <f>1.05*40</f>
        <v>42</v>
      </c>
      <c r="J80" s="60">
        <f>I80-G80-H80</f>
        <v>42</v>
      </c>
      <c r="K80" s="93"/>
      <c r="L80" s="93"/>
      <c r="M80" s="99"/>
      <c r="N80" s="138"/>
      <c r="O80" s="30"/>
      <c r="P80" s="104"/>
      <c r="Q80" s="74" t="s">
        <v>45</v>
      </c>
      <c r="R80" s="66" t="s">
        <v>108</v>
      </c>
      <c r="S80" s="87">
        <f>S79-S81</f>
        <v>5.0454545454545432</v>
      </c>
      <c r="T80" s="87"/>
      <c r="U80" s="67">
        <f>D80+S80</f>
        <v>7.4754545454545429</v>
      </c>
      <c r="V80" s="67">
        <f>U80</f>
        <v>7.4754545454545429</v>
      </c>
      <c r="W80" s="67"/>
      <c r="X80" s="67">
        <f t="shared" ref="X80:X144" si="23">U80-V80</f>
        <v>0</v>
      </c>
      <c r="Y80" s="66">
        <v>0</v>
      </c>
      <c r="Z80" s="66">
        <f>1.05*40</f>
        <v>42</v>
      </c>
      <c r="AA80" s="67">
        <f t="shared" ref="AA80:AA144" si="24">Z80-Y80-X80</f>
        <v>42</v>
      </c>
      <c r="AB80" s="116"/>
      <c r="AC80" s="107"/>
      <c r="AD80" s="138"/>
      <c r="AE80" s="31"/>
    </row>
    <row r="81" spans="1:31" s="32" customFormat="1" ht="12.75" hidden="1" customHeight="1">
      <c r="A81" s="96"/>
      <c r="B81" s="61" t="s">
        <v>46</v>
      </c>
      <c r="C81" s="54" t="s">
        <v>108</v>
      </c>
      <c r="D81" s="64">
        <v>32.67</v>
      </c>
      <c r="E81" s="56">
        <v>1.92</v>
      </c>
      <c r="F81" s="45">
        <v>120</v>
      </c>
      <c r="G81" s="60">
        <f>D81-E81</f>
        <v>30.75</v>
      </c>
      <c r="H81" s="43">
        <v>0</v>
      </c>
      <c r="I81" s="54">
        <f>1.05*40</f>
        <v>42</v>
      </c>
      <c r="J81" s="60">
        <f>I81-G81-H81</f>
        <v>11.25</v>
      </c>
      <c r="K81" s="93"/>
      <c r="L81" s="93"/>
      <c r="M81" s="100"/>
      <c r="N81" s="138"/>
      <c r="O81" s="30"/>
      <c r="P81" s="104"/>
      <c r="Q81" s="74" t="s">
        <v>46</v>
      </c>
      <c r="R81" s="66" t="s">
        <v>108</v>
      </c>
      <c r="S81" s="87">
        <f>T81/N79</f>
        <v>18.397727272727273</v>
      </c>
      <c r="T81" s="67">
        <v>16.190000000000001</v>
      </c>
      <c r="U81" s="67">
        <f t="shared" ref="U81:U145" si="25">D81+S81</f>
        <v>51.067727272727275</v>
      </c>
      <c r="V81" s="67">
        <f t="shared" ref="V81:V87" si="26">E81</f>
        <v>1.92</v>
      </c>
      <c r="W81" s="67">
        <v>120</v>
      </c>
      <c r="X81" s="67">
        <f t="shared" si="23"/>
        <v>49.147727272727273</v>
      </c>
      <c r="Y81" s="66">
        <v>0</v>
      </c>
      <c r="Z81" s="66">
        <f>1.05*40</f>
        <v>42</v>
      </c>
      <c r="AA81" s="67">
        <f t="shared" si="24"/>
        <v>-7.1477272727272734</v>
      </c>
      <c r="AB81" s="116"/>
      <c r="AC81" s="108"/>
      <c r="AD81" s="138"/>
      <c r="AE81" s="31"/>
    </row>
    <row r="82" spans="1:31" s="32" customFormat="1" ht="22.5">
      <c r="A82" s="45">
        <v>67</v>
      </c>
      <c r="B82" s="43" t="s">
        <v>109</v>
      </c>
      <c r="C82" s="54" t="s">
        <v>32</v>
      </c>
      <c r="D82" s="64">
        <v>2.91</v>
      </c>
      <c r="E82" s="54">
        <v>1.2</v>
      </c>
      <c r="F82" s="45">
        <v>120</v>
      </c>
      <c r="G82" s="60">
        <f t="shared" ref="G82:G186" si="27">D82-E82</f>
        <v>1.7100000000000002</v>
      </c>
      <c r="H82" s="43">
        <v>0</v>
      </c>
      <c r="I82" s="54">
        <f>1.05*4</f>
        <v>4.2</v>
      </c>
      <c r="J82" s="60">
        <f t="shared" ref="J82:J186" si="28">I82-G82-H82</f>
        <v>2.4900000000000002</v>
      </c>
      <c r="K82" s="48">
        <f t="shared" ref="K82:K87" si="29">J82</f>
        <v>2.4900000000000002</v>
      </c>
      <c r="L82" s="46">
        <f t="shared" ref="L82:L87" si="30">K82*N82</f>
        <v>2.2161000000000004</v>
      </c>
      <c r="M82" s="55" t="str">
        <f t="shared" ref="M82:M87" si="31">IF(K82&lt;0,"закрыт","открыт")</f>
        <v>открыт</v>
      </c>
      <c r="N82" s="55">
        <v>0.89</v>
      </c>
      <c r="O82" s="30"/>
      <c r="P82" s="42">
        <v>67</v>
      </c>
      <c r="Q82" s="43" t="s">
        <v>109</v>
      </c>
      <c r="R82" s="43" t="s">
        <v>32</v>
      </c>
      <c r="S82" s="57">
        <f t="shared" ref="S82:S87" si="32">T82/N82</f>
        <v>1.9775280898876404</v>
      </c>
      <c r="T82" s="57">
        <v>1.76</v>
      </c>
      <c r="U82" s="46">
        <f t="shared" si="25"/>
        <v>4.8875280898876401</v>
      </c>
      <c r="V82" s="46">
        <f t="shared" si="26"/>
        <v>1.2</v>
      </c>
      <c r="W82" s="43">
        <v>120</v>
      </c>
      <c r="X82" s="46">
        <f t="shared" si="23"/>
        <v>3.6875280898876399</v>
      </c>
      <c r="Y82" s="46">
        <v>0</v>
      </c>
      <c r="Z82" s="46">
        <f>1.05*4</f>
        <v>4.2</v>
      </c>
      <c r="AA82" s="46">
        <f t="shared" si="24"/>
        <v>0.51247191011236026</v>
      </c>
      <c r="AB82" s="48">
        <f t="shared" ref="AB82:AB87" si="33">AA82</f>
        <v>0.51247191011236026</v>
      </c>
      <c r="AC82" s="59" t="str">
        <f t="shared" ref="AC82:AC87" si="34">IF(AB82&lt;0,"закрыт","открыт")</f>
        <v>открыт</v>
      </c>
      <c r="AD82" s="55">
        <v>0.89</v>
      </c>
      <c r="AE82" s="31"/>
    </row>
    <row r="83" spans="1:31" s="32" customFormat="1" ht="22.5">
      <c r="A83" s="45">
        <v>68</v>
      </c>
      <c r="B83" s="43" t="s">
        <v>110</v>
      </c>
      <c r="C83" s="54" t="s">
        <v>32</v>
      </c>
      <c r="D83" s="64">
        <v>1.06</v>
      </c>
      <c r="E83" s="54">
        <v>0.91</v>
      </c>
      <c r="F83" s="45">
        <v>120</v>
      </c>
      <c r="G83" s="60">
        <f t="shared" si="27"/>
        <v>0.15000000000000002</v>
      </c>
      <c r="H83" s="43">
        <v>0</v>
      </c>
      <c r="I83" s="54">
        <f>1.05*4</f>
        <v>4.2</v>
      </c>
      <c r="J83" s="60">
        <f t="shared" si="28"/>
        <v>4.05</v>
      </c>
      <c r="K83" s="48">
        <f t="shared" si="29"/>
        <v>4.05</v>
      </c>
      <c r="L83" s="46">
        <f t="shared" si="30"/>
        <v>3.6044999999999998</v>
      </c>
      <c r="M83" s="55" t="str">
        <f t="shared" si="31"/>
        <v>открыт</v>
      </c>
      <c r="N83" s="55">
        <v>0.89</v>
      </c>
      <c r="O83" s="30"/>
      <c r="P83" s="45">
        <v>68</v>
      </c>
      <c r="Q83" s="54" t="s">
        <v>110</v>
      </c>
      <c r="R83" s="54" t="s">
        <v>32</v>
      </c>
      <c r="S83" s="57">
        <f t="shared" si="32"/>
        <v>0.4044943820224719</v>
      </c>
      <c r="T83" s="57">
        <v>0.36</v>
      </c>
      <c r="U83" s="46">
        <f t="shared" si="25"/>
        <v>1.4644943820224721</v>
      </c>
      <c r="V83" s="57">
        <f t="shared" si="26"/>
        <v>0.91</v>
      </c>
      <c r="W83" s="54">
        <v>120</v>
      </c>
      <c r="X83" s="57">
        <f t="shared" si="23"/>
        <v>0.55449438202247203</v>
      </c>
      <c r="Y83" s="46">
        <v>0</v>
      </c>
      <c r="Z83" s="57">
        <f>1.05*4</f>
        <v>4.2</v>
      </c>
      <c r="AA83" s="46">
        <f t="shared" si="24"/>
        <v>3.6455056179775283</v>
      </c>
      <c r="AB83" s="48">
        <f t="shared" si="33"/>
        <v>3.6455056179775283</v>
      </c>
      <c r="AC83" s="55" t="str">
        <f t="shared" si="34"/>
        <v>открыт</v>
      </c>
      <c r="AD83" s="55">
        <v>0.89</v>
      </c>
      <c r="AE83" s="31"/>
    </row>
    <row r="84" spans="1:31" s="32" customFormat="1" ht="22.5">
      <c r="A84" s="45">
        <v>69</v>
      </c>
      <c r="B84" s="43" t="s">
        <v>111</v>
      </c>
      <c r="C84" s="54" t="s">
        <v>32</v>
      </c>
      <c r="D84" s="64">
        <v>3.29</v>
      </c>
      <c r="E84" s="54">
        <v>0</v>
      </c>
      <c r="F84" s="45">
        <v>120</v>
      </c>
      <c r="G84" s="60">
        <f t="shared" si="27"/>
        <v>3.29</v>
      </c>
      <c r="H84" s="43">
        <v>0</v>
      </c>
      <c r="I84" s="54">
        <f>1.05*4</f>
        <v>4.2</v>
      </c>
      <c r="J84" s="60">
        <f t="shared" si="28"/>
        <v>0.91000000000000014</v>
      </c>
      <c r="K84" s="48">
        <f t="shared" si="29"/>
        <v>0.91000000000000014</v>
      </c>
      <c r="L84" s="46">
        <f t="shared" si="30"/>
        <v>0.74620000000000009</v>
      </c>
      <c r="M84" s="55" t="str">
        <f t="shared" si="31"/>
        <v>открыт</v>
      </c>
      <c r="N84" s="55">
        <v>0.82</v>
      </c>
      <c r="O84" s="30"/>
      <c r="P84" s="65">
        <v>69</v>
      </c>
      <c r="Q84" s="66" t="s">
        <v>111</v>
      </c>
      <c r="R84" s="66" t="s">
        <v>32</v>
      </c>
      <c r="S84" s="67">
        <f t="shared" si="32"/>
        <v>2.8292682926829267</v>
      </c>
      <c r="T84" s="57">
        <v>2.3199999999999998</v>
      </c>
      <c r="U84" s="67">
        <f t="shared" si="25"/>
        <v>6.1192682926829267</v>
      </c>
      <c r="V84" s="67">
        <f t="shared" si="26"/>
        <v>0</v>
      </c>
      <c r="W84" s="66">
        <v>120</v>
      </c>
      <c r="X84" s="67">
        <f t="shared" si="23"/>
        <v>6.1192682926829267</v>
      </c>
      <c r="Y84" s="67">
        <v>0</v>
      </c>
      <c r="Z84" s="67">
        <f>1.05*4</f>
        <v>4.2</v>
      </c>
      <c r="AA84" s="67">
        <f t="shared" si="24"/>
        <v>-1.9192682926829265</v>
      </c>
      <c r="AB84" s="72">
        <f t="shared" si="33"/>
        <v>-1.9192682926829265</v>
      </c>
      <c r="AC84" s="68" t="str">
        <f t="shared" si="34"/>
        <v>закрыт</v>
      </c>
      <c r="AD84" s="55">
        <v>0.82</v>
      </c>
      <c r="AE84" s="31"/>
    </row>
    <row r="85" spans="1:31" s="32" customFormat="1" ht="22.5">
      <c r="A85" s="45">
        <v>70</v>
      </c>
      <c r="B85" s="47" t="s">
        <v>112</v>
      </c>
      <c r="C85" s="43" t="s">
        <v>108</v>
      </c>
      <c r="D85" s="64">
        <v>18.45</v>
      </c>
      <c r="E85" s="43">
        <v>6.41</v>
      </c>
      <c r="F85" s="45">
        <v>120</v>
      </c>
      <c r="G85" s="60">
        <f t="shared" si="27"/>
        <v>12.04</v>
      </c>
      <c r="H85" s="43">
        <v>0</v>
      </c>
      <c r="I85" s="45">
        <f>1.05*40</f>
        <v>42</v>
      </c>
      <c r="J85" s="60">
        <f t="shared" si="28"/>
        <v>29.96</v>
      </c>
      <c r="K85" s="48">
        <f t="shared" si="29"/>
        <v>29.96</v>
      </c>
      <c r="L85" s="46">
        <f t="shared" si="30"/>
        <v>25.765599999999999</v>
      </c>
      <c r="M85" s="55" t="str">
        <f t="shared" si="31"/>
        <v>открыт</v>
      </c>
      <c r="N85" s="55">
        <v>0.86</v>
      </c>
      <c r="O85" s="30"/>
      <c r="P85" s="45">
        <v>70</v>
      </c>
      <c r="Q85" s="53" t="s">
        <v>112</v>
      </c>
      <c r="R85" s="43" t="s">
        <v>108</v>
      </c>
      <c r="S85" s="57">
        <f t="shared" si="32"/>
        <v>6.8023255813953485</v>
      </c>
      <c r="T85" s="57">
        <v>5.85</v>
      </c>
      <c r="U85" s="46">
        <f t="shared" si="25"/>
        <v>25.252325581395347</v>
      </c>
      <c r="V85" s="57">
        <f t="shared" si="26"/>
        <v>6.41</v>
      </c>
      <c r="W85" s="54">
        <v>120</v>
      </c>
      <c r="X85" s="57">
        <f t="shared" si="23"/>
        <v>18.842325581395347</v>
      </c>
      <c r="Y85" s="46">
        <v>0</v>
      </c>
      <c r="Z85" s="60">
        <f>1.05*40</f>
        <v>42</v>
      </c>
      <c r="AA85" s="46">
        <f t="shared" si="24"/>
        <v>23.157674418604653</v>
      </c>
      <c r="AB85" s="48">
        <f t="shared" si="33"/>
        <v>23.157674418604653</v>
      </c>
      <c r="AC85" s="55" t="str">
        <f t="shared" si="34"/>
        <v>открыт</v>
      </c>
      <c r="AD85" s="55">
        <v>0.86</v>
      </c>
      <c r="AE85" s="31"/>
    </row>
    <row r="86" spans="1:31" s="32" customFormat="1" ht="22.5">
      <c r="A86" s="45">
        <v>71</v>
      </c>
      <c r="B86" s="47" t="s">
        <v>113</v>
      </c>
      <c r="C86" s="43" t="s">
        <v>114</v>
      </c>
      <c r="D86" s="64">
        <v>8.2799999999999994</v>
      </c>
      <c r="E86" s="43">
        <v>0</v>
      </c>
      <c r="F86" s="45">
        <v>120</v>
      </c>
      <c r="G86" s="60">
        <f t="shared" si="27"/>
        <v>8.2799999999999994</v>
      </c>
      <c r="H86" s="43">
        <v>0</v>
      </c>
      <c r="I86" s="45">
        <f>1.05*16</f>
        <v>16.8</v>
      </c>
      <c r="J86" s="60">
        <f t="shared" si="28"/>
        <v>8.5200000000000014</v>
      </c>
      <c r="K86" s="48">
        <f t="shared" si="29"/>
        <v>8.5200000000000014</v>
      </c>
      <c r="L86" s="46">
        <f t="shared" si="30"/>
        <v>7.9236000000000013</v>
      </c>
      <c r="M86" s="55" t="str">
        <f t="shared" si="31"/>
        <v>открыт</v>
      </c>
      <c r="N86" s="55">
        <v>0.93</v>
      </c>
      <c r="O86" s="30"/>
      <c r="P86" s="65">
        <v>71</v>
      </c>
      <c r="Q86" s="73" t="s">
        <v>113</v>
      </c>
      <c r="R86" s="66" t="s">
        <v>114</v>
      </c>
      <c r="S86" s="67">
        <f t="shared" si="32"/>
        <v>11.569892473118278</v>
      </c>
      <c r="T86" s="57">
        <v>10.76</v>
      </c>
      <c r="U86" s="67">
        <f t="shared" si="25"/>
        <v>19.849892473118278</v>
      </c>
      <c r="V86" s="67">
        <f t="shared" si="26"/>
        <v>0</v>
      </c>
      <c r="W86" s="66">
        <v>120</v>
      </c>
      <c r="X86" s="67">
        <f t="shared" si="23"/>
        <v>19.849892473118278</v>
      </c>
      <c r="Y86" s="67">
        <v>0</v>
      </c>
      <c r="Z86" s="72">
        <f>1.05*16</f>
        <v>16.8</v>
      </c>
      <c r="AA86" s="67">
        <f t="shared" si="24"/>
        <v>-3.0498924731182768</v>
      </c>
      <c r="AB86" s="72">
        <f t="shared" si="33"/>
        <v>-3.0498924731182768</v>
      </c>
      <c r="AC86" s="68" t="str">
        <f t="shared" si="34"/>
        <v>закрыт</v>
      </c>
      <c r="AD86" s="55">
        <v>0.93</v>
      </c>
      <c r="AE86" s="31"/>
    </row>
    <row r="87" spans="1:31" s="32" customFormat="1" ht="22.5">
      <c r="A87" s="45">
        <v>72</v>
      </c>
      <c r="B87" s="47" t="s">
        <v>115</v>
      </c>
      <c r="C87" s="43" t="s">
        <v>116</v>
      </c>
      <c r="D87" s="64">
        <v>17.239999999999998</v>
      </c>
      <c r="E87" s="43">
        <v>1.06</v>
      </c>
      <c r="F87" s="45">
        <v>120</v>
      </c>
      <c r="G87" s="60">
        <f t="shared" si="27"/>
        <v>16.18</v>
      </c>
      <c r="H87" s="43">
        <v>0</v>
      </c>
      <c r="I87" s="45">
        <f>1.05*25</f>
        <v>26.25</v>
      </c>
      <c r="J87" s="60">
        <f t="shared" si="28"/>
        <v>10.07</v>
      </c>
      <c r="K87" s="48">
        <f t="shared" si="29"/>
        <v>10.07</v>
      </c>
      <c r="L87" s="46">
        <f t="shared" si="30"/>
        <v>9.2644000000000002</v>
      </c>
      <c r="M87" s="55" t="str">
        <f t="shared" si="31"/>
        <v>открыт</v>
      </c>
      <c r="N87" s="55">
        <v>0.92</v>
      </c>
      <c r="O87" s="30"/>
      <c r="P87" s="65">
        <v>72</v>
      </c>
      <c r="Q87" s="73" t="s">
        <v>115</v>
      </c>
      <c r="R87" s="66" t="s">
        <v>116</v>
      </c>
      <c r="S87" s="67">
        <f t="shared" si="32"/>
        <v>19.336956521739129</v>
      </c>
      <c r="T87" s="57">
        <v>17.79</v>
      </c>
      <c r="U87" s="67">
        <f t="shared" si="25"/>
        <v>36.576956521739127</v>
      </c>
      <c r="V87" s="67">
        <f t="shared" si="26"/>
        <v>1.06</v>
      </c>
      <c r="W87" s="66">
        <v>120</v>
      </c>
      <c r="X87" s="67">
        <f t="shared" si="23"/>
        <v>35.516956521739125</v>
      </c>
      <c r="Y87" s="67">
        <v>0</v>
      </c>
      <c r="Z87" s="72">
        <f>1.05*25</f>
        <v>26.25</v>
      </c>
      <c r="AA87" s="67">
        <f t="shared" si="24"/>
        <v>-9.2669565217391252</v>
      </c>
      <c r="AB87" s="72">
        <f t="shared" si="33"/>
        <v>-9.2669565217391252</v>
      </c>
      <c r="AC87" s="68" t="str">
        <f t="shared" si="34"/>
        <v>закрыт</v>
      </c>
      <c r="AD87" s="55">
        <v>0.92</v>
      </c>
      <c r="AE87" s="31"/>
    </row>
    <row r="88" spans="1:31" s="32" customFormat="1" ht="22.5">
      <c r="A88" s="96">
        <v>73</v>
      </c>
      <c r="B88" s="47" t="s">
        <v>117</v>
      </c>
      <c r="C88" s="43" t="s">
        <v>22</v>
      </c>
      <c r="D88" s="64">
        <v>10.63</v>
      </c>
      <c r="E88" s="43">
        <f>E89+E90</f>
        <v>9.34</v>
      </c>
      <c r="F88" s="45">
        <v>120</v>
      </c>
      <c r="G88" s="60">
        <f t="shared" si="27"/>
        <v>1.2900000000000009</v>
      </c>
      <c r="H88" s="43">
        <v>0</v>
      </c>
      <c r="I88" s="45">
        <f>1.05*16</f>
        <v>16.8</v>
      </c>
      <c r="J88" s="60">
        <f t="shared" si="28"/>
        <v>15.51</v>
      </c>
      <c r="K88" s="93">
        <f>MIN(J88:J90)</f>
        <v>13.11</v>
      </c>
      <c r="L88" s="93">
        <f>K88*N88</f>
        <v>12.323399999999999</v>
      </c>
      <c r="M88" s="98" t="str">
        <f>IF(K88&lt;0,"закрыт","открыт")</f>
        <v>открыт</v>
      </c>
      <c r="N88" s="138">
        <v>0.94</v>
      </c>
      <c r="O88" s="30"/>
      <c r="P88" s="104">
        <v>73</v>
      </c>
      <c r="Q88" s="73" t="s">
        <v>117</v>
      </c>
      <c r="R88" s="66" t="s">
        <v>22</v>
      </c>
      <c r="S88" s="87">
        <f>T88/N88</f>
        <v>21.138297872340424</v>
      </c>
      <c r="T88" s="67">
        <f>11.94+7.93</f>
        <v>19.869999999999997</v>
      </c>
      <c r="U88" s="67">
        <f t="shared" si="25"/>
        <v>31.768297872340426</v>
      </c>
      <c r="V88" s="67">
        <f>V89+V90</f>
        <v>11.781489361702128</v>
      </c>
      <c r="W88" s="66">
        <v>120</v>
      </c>
      <c r="X88" s="67">
        <f t="shared" si="23"/>
        <v>19.986808510638298</v>
      </c>
      <c r="Y88" s="67">
        <v>0</v>
      </c>
      <c r="Z88" s="87">
        <f>1.05*16</f>
        <v>16.8</v>
      </c>
      <c r="AA88" s="67">
        <f t="shared" si="24"/>
        <v>-3.1868085106382971</v>
      </c>
      <c r="AB88" s="116">
        <f>MIN(AA88:AA90)</f>
        <v>-3.1868085106382971</v>
      </c>
      <c r="AC88" s="106" t="str">
        <f>IF(AB88&lt;0,"закрыт","открыт")</f>
        <v>закрыт</v>
      </c>
      <c r="AD88" s="138">
        <v>0.94</v>
      </c>
      <c r="AE88" s="31"/>
    </row>
    <row r="89" spans="1:31" s="32" customFormat="1" ht="12.75" customHeight="1">
      <c r="A89" s="96"/>
      <c r="B89" s="61" t="s">
        <v>45</v>
      </c>
      <c r="C89" s="43" t="s">
        <v>22</v>
      </c>
      <c r="D89" s="64">
        <f>D88-D90</f>
        <v>7.3800000000000008</v>
      </c>
      <c r="E89" s="69">
        <f>D89/2</f>
        <v>3.6900000000000004</v>
      </c>
      <c r="F89" s="45"/>
      <c r="G89" s="60">
        <f t="shared" si="27"/>
        <v>3.6900000000000004</v>
      </c>
      <c r="H89" s="43">
        <v>0</v>
      </c>
      <c r="I89" s="45">
        <f>1.05*16</f>
        <v>16.8</v>
      </c>
      <c r="J89" s="60">
        <f t="shared" si="28"/>
        <v>13.11</v>
      </c>
      <c r="K89" s="93"/>
      <c r="L89" s="93"/>
      <c r="M89" s="99"/>
      <c r="N89" s="138"/>
      <c r="O89" s="30"/>
      <c r="P89" s="104"/>
      <c r="Q89" s="74" t="s">
        <v>45</v>
      </c>
      <c r="R89" s="66" t="s">
        <v>22</v>
      </c>
      <c r="S89" s="87">
        <f>S88-S90</f>
        <v>4.8829787234042534</v>
      </c>
      <c r="T89" s="87"/>
      <c r="U89" s="67">
        <f>D89+S89</f>
        <v>12.262978723404254</v>
      </c>
      <c r="V89" s="67">
        <f>U89/2</f>
        <v>6.1314893617021271</v>
      </c>
      <c r="W89" s="66"/>
      <c r="X89" s="67">
        <f>U89-V89</f>
        <v>6.1314893617021271</v>
      </c>
      <c r="Y89" s="67">
        <v>0</v>
      </c>
      <c r="Z89" s="87">
        <f>1.05*16</f>
        <v>16.8</v>
      </c>
      <c r="AA89" s="67">
        <f>Z89-Y89-X89</f>
        <v>10.668510638297874</v>
      </c>
      <c r="AB89" s="116"/>
      <c r="AC89" s="107"/>
      <c r="AD89" s="138"/>
      <c r="AE89" s="31"/>
    </row>
    <row r="90" spans="1:31" s="32" customFormat="1" ht="12.75" customHeight="1">
      <c r="A90" s="96"/>
      <c r="B90" s="61" t="s">
        <v>46</v>
      </c>
      <c r="C90" s="43" t="s">
        <v>22</v>
      </c>
      <c r="D90" s="64">
        <v>3.25</v>
      </c>
      <c r="E90" s="56">
        <v>5.65</v>
      </c>
      <c r="F90" s="45">
        <v>120</v>
      </c>
      <c r="G90" s="60">
        <f t="shared" si="27"/>
        <v>-2.4000000000000004</v>
      </c>
      <c r="H90" s="43">
        <v>0</v>
      </c>
      <c r="I90" s="45">
        <f>1.05*16</f>
        <v>16.8</v>
      </c>
      <c r="J90" s="60">
        <f t="shared" si="28"/>
        <v>19.200000000000003</v>
      </c>
      <c r="K90" s="93"/>
      <c r="L90" s="93"/>
      <c r="M90" s="100"/>
      <c r="N90" s="138"/>
      <c r="O90" s="30"/>
      <c r="P90" s="104"/>
      <c r="Q90" s="74" t="s">
        <v>46</v>
      </c>
      <c r="R90" s="66" t="s">
        <v>22</v>
      </c>
      <c r="S90" s="87">
        <f>T90/N88</f>
        <v>16.25531914893617</v>
      </c>
      <c r="T90" s="67">
        <f>7.35+7.93</f>
        <v>15.28</v>
      </c>
      <c r="U90" s="67">
        <f t="shared" si="25"/>
        <v>19.50531914893617</v>
      </c>
      <c r="V90" s="67">
        <f>E90</f>
        <v>5.65</v>
      </c>
      <c r="W90" s="66">
        <v>120</v>
      </c>
      <c r="X90" s="67">
        <f t="shared" si="23"/>
        <v>13.85531914893617</v>
      </c>
      <c r="Y90" s="67">
        <v>0</v>
      </c>
      <c r="Z90" s="87">
        <f>1.05*16</f>
        <v>16.8</v>
      </c>
      <c r="AA90" s="67">
        <f t="shared" si="24"/>
        <v>2.9446808510638309</v>
      </c>
      <c r="AB90" s="116"/>
      <c r="AC90" s="108"/>
      <c r="AD90" s="138"/>
      <c r="AE90" s="31"/>
    </row>
    <row r="91" spans="1:31" s="32" customFormat="1" ht="22.5">
      <c r="A91" s="42">
        <v>74</v>
      </c>
      <c r="B91" s="47" t="s">
        <v>118</v>
      </c>
      <c r="C91" s="43" t="s">
        <v>119</v>
      </c>
      <c r="D91" s="64">
        <v>8.82</v>
      </c>
      <c r="E91" s="43">
        <v>0</v>
      </c>
      <c r="F91" s="42">
        <v>120</v>
      </c>
      <c r="G91" s="48">
        <f t="shared" si="27"/>
        <v>8.82</v>
      </c>
      <c r="H91" s="43">
        <v>0</v>
      </c>
      <c r="I91" s="42">
        <v>10.5</v>
      </c>
      <c r="J91" s="48">
        <f t="shared" si="28"/>
        <v>1.6799999999999997</v>
      </c>
      <c r="K91" s="48">
        <f>J91</f>
        <v>1.6799999999999997</v>
      </c>
      <c r="L91" s="46">
        <f>K91*N91</f>
        <v>1.6127999999999996</v>
      </c>
      <c r="M91" s="59" t="str">
        <f>IF(K91&lt;0,"закрыт","открыт")</f>
        <v>открыт</v>
      </c>
      <c r="N91" s="59">
        <v>0.96</v>
      </c>
      <c r="O91" s="30"/>
      <c r="P91" s="91">
        <v>74</v>
      </c>
      <c r="Q91" s="73" t="s">
        <v>118</v>
      </c>
      <c r="R91" s="66" t="s">
        <v>119</v>
      </c>
      <c r="S91" s="67">
        <f>T91/N91</f>
        <v>1.8333333333333335</v>
      </c>
      <c r="T91" s="67">
        <v>1.76</v>
      </c>
      <c r="U91" s="67">
        <f t="shared" si="25"/>
        <v>10.653333333333334</v>
      </c>
      <c r="V91" s="67">
        <f>E91</f>
        <v>0</v>
      </c>
      <c r="W91" s="66">
        <v>120</v>
      </c>
      <c r="X91" s="67">
        <f t="shared" si="23"/>
        <v>10.653333333333334</v>
      </c>
      <c r="Y91" s="67">
        <v>0</v>
      </c>
      <c r="Z91" s="92">
        <v>10.5</v>
      </c>
      <c r="AA91" s="67">
        <f t="shared" si="24"/>
        <v>-0.15333333333333421</v>
      </c>
      <c r="AB91" s="92">
        <f>AA91</f>
        <v>-0.15333333333333421</v>
      </c>
      <c r="AC91" s="68" t="str">
        <f>IF(AB91&lt;0,"закрыт","открыт")</f>
        <v>закрыт</v>
      </c>
      <c r="AD91" s="59">
        <v>0.96</v>
      </c>
      <c r="AE91" s="31"/>
    </row>
    <row r="92" spans="1:31" s="32" customFormat="1" ht="22.5">
      <c r="A92" s="45">
        <v>75</v>
      </c>
      <c r="B92" s="47" t="s">
        <v>120</v>
      </c>
      <c r="C92" s="43" t="s">
        <v>121</v>
      </c>
      <c r="D92" s="64">
        <v>5.89</v>
      </c>
      <c r="E92" s="43">
        <v>0.42</v>
      </c>
      <c r="F92" s="45">
        <v>120</v>
      </c>
      <c r="G92" s="60">
        <f t="shared" si="27"/>
        <v>5.47</v>
      </c>
      <c r="H92" s="43">
        <v>0</v>
      </c>
      <c r="I92" s="45">
        <f>1.05*7.5</f>
        <v>7.875</v>
      </c>
      <c r="J92" s="60">
        <f t="shared" si="28"/>
        <v>2.4050000000000002</v>
      </c>
      <c r="K92" s="48">
        <f>J92</f>
        <v>2.4050000000000002</v>
      </c>
      <c r="L92" s="46">
        <f>K92*N92</f>
        <v>2.1645000000000003</v>
      </c>
      <c r="M92" s="55" t="str">
        <f>IF(K92&lt;0,"закрыт","открыт")</f>
        <v>открыт</v>
      </c>
      <c r="N92" s="55">
        <v>0.9</v>
      </c>
      <c r="O92" s="30"/>
      <c r="P92" s="65">
        <v>75</v>
      </c>
      <c r="Q92" s="73" t="s">
        <v>120</v>
      </c>
      <c r="R92" s="66" t="s">
        <v>121</v>
      </c>
      <c r="S92" s="67">
        <f>T92/N92</f>
        <v>3.4888888888888889</v>
      </c>
      <c r="T92" s="57">
        <v>3.14</v>
      </c>
      <c r="U92" s="67">
        <f t="shared" si="25"/>
        <v>9.3788888888888877</v>
      </c>
      <c r="V92" s="67">
        <f>E92</f>
        <v>0.42</v>
      </c>
      <c r="W92" s="66">
        <v>120</v>
      </c>
      <c r="X92" s="67">
        <f t="shared" si="23"/>
        <v>8.9588888888888878</v>
      </c>
      <c r="Y92" s="67">
        <v>0</v>
      </c>
      <c r="Z92" s="72">
        <f>1.05*7.5</f>
        <v>7.875</v>
      </c>
      <c r="AA92" s="67">
        <f t="shared" si="24"/>
        <v>-1.0838888888888878</v>
      </c>
      <c r="AB92" s="72">
        <f>AA92</f>
        <v>-1.0838888888888878</v>
      </c>
      <c r="AC92" s="68" t="str">
        <f>IF(AB92&lt;0,"закрыт","открыт")</f>
        <v>закрыт</v>
      </c>
      <c r="AD92" s="55">
        <v>0.9</v>
      </c>
      <c r="AE92" s="31"/>
    </row>
    <row r="93" spans="1:31" s="32" customFormat="1" ht="22.5">
      <c r="A93" s="45">
        <v>76</v>
      </c>
      <c r="B93" s="47" t="s">
        <v>122</v>
      </c>
      <c r="C93" s="43" t="s">
        <v>114</v>
      </c>
      <c r="D93" s="64">
        <v>13.4</v>
      </c>
      <c r="E93" s="43">
        <v>0.63</v>
      </c>
      <c r="F93" s="45">
        <v>120</v>
      </c>
      <c r="G93" s="60">
        <f t="shared" si="27"/>
        <v>12.77</v>
      </c>
      <c r="H93" s="43">
        <v>0</v>
      </c>
      <c r="I93" s="45">
        <f>1.05*16</f>
        <v>16.8</v>
      </c>
      <c r="J93" s="60">
        <f t="shared" si="28"/>
        <v>4.0300000000000011</v>
      </c>
      <c r="K93" s="48">
        <f>J93</f>
        <v>4.0300000000000011</v>
      </c>
      <c r="L93" s="46">
        <f>K93*N93</f>
        <v>3.8688000000000011</v>
      </c>
      <c r="M93" s="55" t="str">
        <f>IF(K93&lt;0,"закрыт","открыт")</f>
        <v>открыт</v>
      </c>
      <c r="N93" s="55">
        <v>0.96</v>
      </c>
      <c r="O93" s="30"/>
      <c r="P93" s="65">
        <v>76</v>
      </c>
      <c r="Q93" s="73" t="s">
        <v>122</v>
      </c>
      <c r="R93" s="66" t="s">
        <v>114</v>
      </c>
      <c r="S93" s="67">
        <f>T93/N93</f>
        <v>10.104166666666666</v>
      </c>
      <c r="T93" s="57">
        <v>9.6999999999999993</v>
      </c>
      <c r="U93" s="67">
        <f t="shared" si="25"/>
        <v>23.504166666666666</v>
      </c>
      <c r="V93" s="67">
        <f>E93</f>
        <v>0.63</v>
      </c>
      <c r="W93" s="66">
        <v>120</v>
      </c>
      <c r="X93" s="67">
        <f t="shared" si="23"/>
        <v>22.874166666666667</v>
      </c>
      <c r="Y93" s="67">
        <v>0</v>
      </c>
      <c r="Z93" s="72">
        <f>1.05*16</f>
        <v>16.8</v>
      </c>
      <c r="AA93" s="67">
        <f t="shared" si="24"/>
        <v>-6.0741666666666667</v>
      </c>
      <c r="AB93" s="72">
        <f>AA93</f>
        <v>-6.0741666666666667</v>
      </c>
      <c r="AC93" s="68" t="str">
        <f>IF(AB93&lt;0,"закрыт","открыт")</f>
        <v>закрыт</v>
      </c>
      <c r="AD93" s="55">
        <v>0.96</v>
      </c>
      <c r="AE93" s="31"/>
    </row>
    <row r="94" spans="1:31" s="32" customFormat="1" ht="22.5">
      <c r="A94" s="96">
        <v>77</v>
      </c>
      <c r="B94" s="47" t="s">
        <v>123</v>
      </c>
      <c r="C94" s="43" t="s">
        <v>20</v>
      </c>
      <c r="D94" s="64">
        <v>4.43</v>
      </c>
      <c r="E94" s="42">
        <f>E95+E96</f>
        <v>2.6599999999999997</v>
      </c>
      <c r="F94" s="45">
        <v>120</v>
      </c>
      <c r="G94" s="60">
        <f>D94-E94</f>
        <v>1.77</v>
      </c>
      <c r="H94" s="43">
        <v>0</v>
      </c>
      <c r="I94" s="45">
        <v>10.5</v>
      </c>
      <c r="J94" s="60">
        <f>I94-G94-H94</f>
        <v>8.73</v>
      </c>
      <c r="K94" s="93">
        <f>MIN(J94:J96)</f>
        <v>8.73</v>
      </c>
      <c r="L94" s="93">
        <f>K94*N94</f>
        <v>7.6824000000000003</v>
      </c>
      <c r="M94" s="98" t="str">
        <f>IF(K94&lt;0,"закрыт","открыт")</f>
        <v>открыт</v>
      </c>
      <c r="N94" s="138">
        <v>0.88</v>
      </c>
      <c r="O94" s="30"/>
      <c r="P94" s="96">
        <v>77</v>
      </c>
      <c r="Q94" s="53" t="s">
        <v>123</v>
      </c>
      <c r="R94" s="43" t="s">
        <v>20</v>
      </c>
      <c r="S94" s="60">
        <f>T94/N94</f>
        <v>10.988636363636363</v>
      </c>
      <c r="T94" s="57">
        <v>9.67</v>
      </c>
      <c r="U94" s="46">
        <f t="shared" si="25"/>
        <v>15.418636363636363</v>
      </c>
      <c r="V94" s="57">
        <f>V95+V96</f>
        <v>8.5872727272727278</v>
      </c>
      <c r="W94" s="54">
        <v>120</v>
      </c>
      <c r="X94" s="57">
        <f t="shared" si="23"/>
        <v>6.8313636363636352</v>
      </c>
      <c r="Y94" s="46">
        <v>0</v>
      </c>
      <c r="Z94" s="60">
        <v>10.5</v>
      </c>
      <c r="AA94" s="46">
        <f t="shared" si="24"/>
        <v>3.6686363636363648</v>
      </c>
      <c r="AB94" s="93">
        <f>MIN(AA94:AA96)</f>
        <v>3.6686363636363648</v>
      </c>
      <c r="AC94" s="98" t="str">
        <f>IF(AB94&lt;0,"закрыт","открыт")</f>
        <v>открыт</v>
      </c>
      <c r="AD94" s="138">
        <v>0.88</v>
      </c>
      <c r="AE94" s="31"/>
    </row>
    <row r="95" spans="1:31" s="32" customFormat="1" ht="12.75" customHeight="1">
      <c r="A95" s="96"/>
      <c r="B95" s="61" t="s">
        <v>45</v>
      </c>
      <c r="C95" s="43" t="s">
        <v>20</v>
      </c>
      <c r="D95" s="64">
        <f>D94-D96</f>
        <v>2.6599999999999997</v>
      </c>
      <c r="E95" s="69">
        <f>D95</f>
        <v>2.6599999999999997</v>
      </c>
      <c r="F95" s="45"/>
      <c r="G95" s="60">
        <f>D95-E95</f>
        <v>0</v>
      </c>
      <c r="H95" s="43">
        <v>0</v>
      </c>
      <c r="I95" s="45">
        <v>10.5</v>
      </c>
      <c r="J95" s="60">
        <f>I95-G95-H95</f>
        <v>10.5</v>
      </c>
      <c r="K95" s="93"/>
      <c r="L95" s="93"/>
      <c r="M95" s="99"/>
      <c r="N95" s="138"/>
      <c r="O95" s="30"/>
      <c r="P95" s="96"/>
      <c r="Q95" s="62" t="s">
        <v>45</v>
      </c>
      <c r="R95" s="43" t="s">
        <v>20</v>
      </c>
      <c r="S95" s="60">
        <f>S94-S96</f>
        <v>5.9272727272727277</v>
      </c>
      <c r="T95" s="48"/>
      <c r="U95" s="46">
        <f t="shared" si="25"/>
        <v>8.5872727272727278</v>
      </c>
      <c r="V95" s="57">
        <f>U95</f>
        <v>8.5872727272727278</v>
      </c>
      <c r="W95" s="54"/>
      <c r="X95" s="57">
        <f t="shared" si="23"/>
        <v>0</v>
      </c>
      <c r="Y95" s="46">
        <v>0</v>
      </c>
      <c r="Z95" s="60">
        <v>10.5</v>
      </c>
      <c r="AA95" s="46">
        <f t="shared" si="24"/>
        <v>10.5</v>
      </c>
      <c r="AB95" s="93"/>
      <c r="AC95" s="99"/>
      <c r="AD95" s="138"/>
      <c r="AE95" s="31"/>
    </row>
    <row r="96" spans="1:31" s="32" customFormat="1" ht="12.75" customHeight="1">
      <c r="A96" s="96"/>
      <c r="B96" s="61" t="s">
        <v>46</v>
      </c>
      <c r="C96" s="43" t="s">
        <v>20</v>
      </c>
      <c r="D96" s="64">
        <v>1.77</v>
      </c>
      <c r="E96" s="56">
        <v>0</v>
      </c>
      <c r="F96" s="45">
        <v>120</v>
      </c>
      <c r="G96" s="60">
        <f>D96-E96</f>
        <v>1.77</v>
      </c>
      <c r="H96" s="43">
        <v>0</v>
      </c>
      <c r="I96" s="45">
        <v>10.5</v>
      </c>
      <c r="J96" s="60">
        <f>I96-G96-H96</f>
        <v>8.73</v>
      </c>
      <c r="K96" s="93"/>
      <c r="L96" s="93"/>
      <c r="M96" s="100"/>
      <c r="N96" s="138"/>
      <c r="O96" s="30"/>
      <c r="P96" s="96"/>
      <c r="Q96" s="62" t="s">
        <v>46</v>
      </c>
      <c r="R96" s="43" t="s">
        <v>20</v>
      </c>
      <c r="S96" s="60">
        <f>T96/N94</f>
        <v>5.0613636363636356</v>
      </c>
      <c r="T96" s="57">
        <v>4.4539999999999997</v>
      </c>
      <c r="U96" s="46">
        <f t="shared" si="25"/>
        <v>6.8313636363636352</v>
      </c>
      <c r="V96" s="57">
        <f>'[1]текущий дефицит'!E95</f>
        <v>0</v>
      </c>
      <c r="W96" s="54">
        <v>120</v>
      </c>
      <c r="X96" s="57">
        <f t="shared" si="23"/>
        <v>6.8313636363636352</v>
      </c>
      <c r="Y96" s="46">
        <v>0</v>
      </c>
      <c r="Z96" s="60">
        <v>10.5</v>
      </c>
      <c r="AA96" s="46">
        <f t="shared" si="24"/>
        <v>3.6686363636363648</v>
      </c>
      <c r="AB96" s="93"/>
      <c r="AC96" s="100"/>
      <c r="AD96" s="138"/>
      <c r="AE96" s="31"/>
    </row>
    <row r="97" spans="1:31" s="33" customFormat="1" ht="22.5">
      <c r="A97" s="45">
        <v>78</v>
      </c>
      <c r="B97" s="47" t="s">
        <v>124</v>
      </c>
      <c r="C97" s="43" t="s">
        <v>32</v>
      </c>
      <c r="D97" s="64">
        <v>1.69</v>
      </c>
      <c r="E97" s="43">
        <v>0.05</v>
      </c>
      <c r="F97" s="45">
        <v>120</v>
      </c>
      <c r="G97" s="60">
        <f t="shared" si="27"/>
        <v>1.64</v>
      </c>
      <c r="H97" s="43">
        <v>0</v>
      </c>
      <c r="I97" s="43">
        <v>4.2</v>
      </c>
      <c r="J97" s="60">
        <f t="shared" si="28"/>
        <v>2.5600000000000005</v>
      </c>
      <c r="K97" s="48">
        <f>J97</f>
        <v>2.5600000000000005</v>
      </c>
      <c r="L97" s="46">
        <f>K97*N97</f>
        <v>2.1248000000000005</v>
      </c>
      <c r="M97" s="55" t="str">
        <f>IF(K97&lt;0,"закрыт","открыт")</f>
        <v>открыт</v>
      </c>
      <c r="N97" s="55">
        <v>0.83</v>
      </c>
      <c r="O97" s="30"/>
      <c r="P97" s="42">
        <v>78</v>
      </c>
      <c r="Q97" s="47" t="s">
        <v>124</v>
      </c>
      <c r="R97" s="43" t="s">
        <v>32</v>
      </c>
      <c r="S97" s="57">
        <f>T97/N97</f>
        <v>2.2048192771084341</v>
      </c>
      <c r="T97" s="57">
        <v>1.83</v>
      </c>
      <c r="U97" s="46">
        <f t="shared" si="25"/>
        <v>3.894819277108434</v>
      </c>
      <c r="V97" s="46">
        <f>E97</f>
        <v>0.05</v>
      </c>
      <c r="W97" s="43">
        <v>120</v>
      </c>
      <c r="X97" s="46">
        <f t="shared" si="23"/>
        <v>3.8448192771084342</v>
      </c>
      <c r="Y97" s="46">
        <v>0</v>
      </c>
      <c r="Z97" s="46">
        <v>4.2</v>
      </c>
      <c r="AA97" s="46">
        <f t="shared" si="24"/>
        <v>0.35518072289156599</v>
      </c>
      <c r="AB97" s="48">
        <f>AA97</f>
        <v>0.35518072289156599</v>
      </c>
      <c r="AC97" s="59" t="str">
        <f>IF(AB97&lt;0,"закрыт","открыт")</f>
        <v>открыт</v>
      </c>
      <c r="AD97" s="55">
        <v>0.83</v>
      </c>
      <c r="AE97" s="31"/>
    </row>
    <row r="98" spans="1:31" s="32" customFormat="1" ht="22.5">
      <c r="A98" s="45">
        <v>79</v>
      </c>
      <c r="B98" s="47" t="s">
        <v>125</v>
      </c>
      <c r="C98" s="43" t="s">
        <v>32</v>
      </c>
      <c r="D98" s="64">
        <v>1.2</v>
      </c>
      <c r="E98" s="43">
        <v>0.13</v>
      </c>
      <c r="F98" s="45">
        <v>120</v>
      </c>
      <c r="G98" s="60">
        <f t="shared" si="27"/>
        <v>1.0699999999999998</v>
      </c>
      <c r="H98" s="43">
        <v>0</v>
      </c>
      <c r="I98" s="43">
        <v>4.2</v>
      </c>
      <c r="J98" s="60">
        <f t="shared" si="28"/>
        <v>3.1300000000000003</v>
      </c>
      <c r="K98" s="48">
        <f>J98</f>
        <v>3.1300000000000003</v>
      </c>
      <c r="L98" s="46">
        <f>K98*N98</f>
        <v>2.9422000000000001</v>
      </c>
      <c r="M98" s="55" t="str">
        <f>IF(K98&lt;0,"закрыт","открыт")</f>
        <v>открыт</v>
      </c>
      <c r="N98" s="55">
        <v>0.94</v>
      </c>
      <c r="O98" s="30"/>
      <c r="P98" s="45">
        <v>79</v>
      </c>
      <c r="Q98" s="53" t="s">
        <v>125</v>
      </c>
      <c r="R98" s="43" t="s">
        <v>32</v>
      </c>
      <c r="S98" s="57">
        <f>T98/N98</f>
        <v>3.1276595744680851</v>
      </c>
      <c r="T98" s="57">
        <v>2.94</v>
      </c>
      <c r="U98" s="46">
        <f t="shared" si="25"/>
        <v>4.3276595744680852</v>
      </c>
      <c r="V98" s="57">
        <f>E98</f>
        <v>0.13</v>
      </c>
      <c r="W98" s="54">
        <v>120</v>
      </c>
      <c r="X98" s="57">
        <f t="shared" si="23"/>
        <v>4.1976595744680854</v>
      </c>
      <c r="Y98" s="46">
        <v>0</v>
      </c>
      <c r="Z98" s="46">
        <v>4.2</v>
      </c>
      <c r="AA98" s="46">
        <f t="shared" si="24"/>
        <v>2.3404255319148248E-3</v>
      </c>
      <c r="AB98" s="48">
        <f>AA98</f>
        <v>2.3404255319148248E-3</v>
      </c>
      <c r="AC98" s="55" t="str">
        <f>IF(AB98&lt;0,"закрыт","открыт")</f>
        <v>открыт</v>
      </c>
      <c r="AD98" s="55">
        <v>0.94</v>
      </c>
      <c r="AE98" s="31"/>
    </row>
    <row r="99" spans="1:31" s="32" customFormat="1" ht="22.5">
      <c r="A99" s="96">
        <v>80</v>
      </c>
      <c r="B99" s="47" t="s">
        <v>126</v>
      </c>
      <c r="C99" s="43" t="s">
        <v>119</v>
      </c>
      <c r="D99" s="64">
        <v>10.79</v>
      </c>
      <c r="E99" s="43">
        <f>E100+E101</f>
        <v>6.8999999999999986</v>
      </c>
      <c r="F99" s="45">
        <v>120</v>
      </c>
      <c r="G99" s="60">
        <f t="shared" si="27"/>
        <v>3.8900000000000006</v>
      </c>
      <c r="H99" s="43">
        <v>0</v>
      </c>
      <c r="I99" s="43">
        <v>10.5</v>
      </c>
      <c r="J99" s="60">
        <f>I99-G99-H99</f>
        <v>6.6099999999999994</v>
      </c>
      <c r="K99" s="93">
        <f>MIN(J99:J101)</f>
        <v>6.6099999999999994</v>
      </c>
      <c r="L99" s="93">
        <f>K99*N99</f>
        <v>5.8167999999999997</v>
      </c>
      <c r="M99" s="98" t="str">
        <f>IF(K99&lt;0,"закрыт","открыт")</f>
        <v>открыт</v>
      </c>
      <c r="N99" s="138">
        <v>0.88</v>
      </c>
      <c r="O99" s="30"/>
      <c r="P99" s="104">
        <v>80</v>
      </c>
      <c r="Q99" s="73" t="s">
        <v>126</v>
      </c>
      <c r="R99" s="66" t="s">
        <v>119</v>
      </c>
      <c r="S99" s="72">
        <f>T99/N99</f>
        <v>14.943181818181818</v>
      </c>
      <c r="T99" s="57">
        <v>13.15</v>
      </c>
      <c r="U99" s="67">
        <f>D99+S99</f>
        <v>25.733181818181819</v>
      </c>
      <c r="V99" s="67">
        <f>V100+V101</f>
        <v>2.1529437229437196</v>
      </c>
      <c r="W99" s="66">
        <v>120</v>
      </c>
      <c r="X99" s="67">
        <f t="shared" si="23"/>
        <v>23.580238095238101</v>
      </c>
      <c r="Y99" s="67">
        <v>0</v>
      </c>
      <c r="Z99" s="67">
        <v>10.5</v>
      </c>
      <c r="AA99" s="67">
        <f t="shared" si="24"/>
        <v>-13.080238095238101</v>
      </c>
      <c r="AB99" s="116">
        <f>MIN(AA99:AA101)</f>
        <v>-13.080238095238101</v>
      </c>
      <c r="AC99" s="106" t="str">
        <f>IF(AB99&lt;0,"закрыт","открыт")</f>
        <v>закрыт</v>
      </c>
      <c r="AD99" s="138">
        <v>0.88</v>
      </c>
      <c r="AE99" s="31"/>
    </row>
    <row r="100" spans="1:31" s="32" customFormat="1" ht="12.75" customHeight="1">
      <c r="A100" s="96"/>
      <c r="B100" s="61" t="s">
        <v>45</v>
      </c>
      <c r="C100" s="43" t="s">
        <v>119</v>
      </c>
      <c r="D100" s="64">
        <f>D99-D101</f>
        <v>6.8899999999999988</v>
      </c>
      <c r="E100" s="69">
        <f>D100</f>
        <v>6.8899999999999988</v>
      </c>
      <c r="F100" s="45"/>
      <c r="G100" s="60">
        <f t="shared" si="27"/>
        <v>0</v>
      </c>
      <c r="H100" s="43">
        <v>0</v>
      </c>
      <c r="I100" s="43">
        <v>10.5</v>
      </c>
      <c r="J100" s="60">
        <f>I100-G100-H100</f>
        <v>10.5</v>
      </c>
      <c r="K100" s="93"/>
      <c r="L100" s="93"/>
      <c r="M100" s="99"/>
      <c r="N100" s="138"/>
      <c r="O100" s="30"/>
      <c r="P100" s="104"/>
      <c r="Q100" s="74" t="s">
        <v>45</v>
      </c>
      <c r="R100" s="66" t="s">
        <v>119</v>
      </c>
      <c r="S100" s="72">
        <f>S99-S101</f>
        <v>10.818181818181818</v>
      </c>
      <c r="T100" s="72"/>
      <c r="U100" s="67">
        <f>D100+S100</f>
        <v>17.708181818181817</v>
      </c>
      <c r="V100" s="67">
        <f>U100-U102</f>
        <v>2.1429437229437198</v>
      </c>
      <c r="W100" s="66"/>
      <c r="X100" s="67">
        <f t="shared" si="23"/>
        <v>15.565238095238097</v>
      </c>
      <c r="Y100" s="67">
        <v>0</v>
      </c>
      <c r="Z100" s="67">
        <v>10.5</v>
      </c>
      <c r="AA100" s="67">
        <f>Z100-Y100-X100</f>
        <v>-5.0652380952380973</v>
      </c>
      <c r="AB100" s="116"/>
      <c r="AC100" s="107"/>
      <c r="AD100" s="138"/>
      <c r="AE100" s="31"/>
    </row>
    <row r="101" spans="1:31" s="32" customFormat="1" ht="12.75" customHeight="1">
      <c r="A101" s="96"/>
      <c r="B101" s="61" t="s">
        <v>46</v>
      </c>
      <c r="C101" s="43" t="s">
        <v>119</v>
      </c>
      <c r="D101" s="64">
        <v>3.9</v>
      </c>
      <c r="E101" s="56">
        <v>0.01</v>
      </c>
      <c r="F101" s="45">
        <v>120</v>
      </c>
      <c r="G101" s="60">
        <f t="shared" si="27"/>
        <v>3.89</v>
      </c>
      <c r="H101" s="43">
        <v>0</v>
      </c>
      <c r="I101" s="43">
        <v>10.5</v>
      </c>
      <c r="J101" s="60">
        <f>I101-G101-H101</f>
        <v>6.6099999999999994</v>
      </c>
      <c r="K101" s="93"/>
      <c r="L101" s="93"/>
      <c r="M101" s="100"/>
      <c r="N101" s="138"/>
      <c r="O101" s="30"/>
      <c r="P101" s="104"/>
      <c r="Q101" s="74" t="s">
        <v>46</v>
      </c>
      <c r="R101" s="66" t="s">
        <v>119</v>
      </c>
      <c r="S101" s="72">
        <f>T101/N99</f>
        <v>4.125</v>
      </c>
      <c r="T101" s="57">
        <v>3.63</v>
      </c>
      <c r="U101" s="67">
        <f>D101+S101</f>
        <v>8.0250000000000004</v>
      </c>
      <c r="V101" s="67">
        <f>'[1]текущий дефицит'!E100</f>
        <v>0.01</v>
      </c>
      <c r="W101" s="66">
        <v>120</v>
      </c>
      <c r="X101" s="67">
        <f t="shared" si="23"/>
        <v>8.0150000000000006</v>
      </c>
      <c r="Y101" s="67">
        <v>0</v>
      </c>
      <c r="Z101" s="67">
        <v>10.5</v>
      </c>
      <c r="AA101" s="67">
        <f t="shared" si="24"/>
        <v>2.4849999999999994</v>
      </c>
      <c r="AB101" s="116"/>
      <c r="AC101" s="108"/>
      <c r="AD101" s="138"/>
      <c r="AE101" s="31"/>
    </row>
    <row r="102" spans="1:31" s="32" customFormat="1" ht="22.5">
      <c r="A102" s="45">
        <v>81</v>
      </c>
      <c r="B102" s="47" t="s">
        <v>127</v>
      </c>
      <c r="C102" s="43" t="s">
        <v>128</v>
      </c>
      <c r="D102" s="64">
        <v>5.97</v>
      </c>
      <c r="E102" s="43">
        <v>2.15</v>
      </c>
      <c r="F102" s="45">
        <v>120</v>
      </c>
      <c r="G102" s="60">
        <f t="shared" si="27"/>
        <v>3.82</v>
      </c>
      <c r="H102" s="43">
        <v>0</v>
      </c>
      <c r="I102" s="45">
        <f>1.05*6.3</f>
        <v>6.6150000000000002</v>
      </c>
      <c r="J102" s="60">
        <f t="shared" si="28"/>
        <v>2.7950000000000004</v>
      </c>
      <c r="K102" s="48">
        <f>J102</f>
        <v>2.7950000000000004</v>
      </c>
      <c r="L102" s="46">
        <f>K102*N102</f>
        <v>2.3478000000000003</v>
      </c>
      <c r="M102" s="55" t="str">
        <f>IF(K102&lt;0,"закрыт","открыт")</f>
        <v>открыт</v>
      </c>
      <c r="N102" s="55">
        <v>0.84</v>
      </c>
      <c r="O102" s="30"/>
      <c r="P102" s="65">
        <v>81</v>
      </c>
      <c r="Q102" s="73" t="s">
        <v>127</v>
      </c>
      <c r="R102" s="66" t="s">
        <v>128</v>
      </c>
      <c r="S102" s="67">
        <f>T102/N102</f>
        <v>9.5952380952380967</v>
      </c>
      <c r="T102" s="57">
        <v>8.06</v>
      </c>
      <c r="U102" s="67">
        <f t="shared" si="25"/>
        <v>15.565238095238097</v>
      </c>
      <c r="V102" s="67">
        <f>E102</f>
        <v>2.15</v>
      </c>
      <c r="W102" s="66">
        <v>120</v>
      </c>
      <c r="X102" s="67">
        <f t="shared" si="23"/>
        <v>13.415238095238097</v>
      </c>
      <c r="Y102" s="67">
        <v>0</v>
      </c>
      <c r="Z102" s="72">
        <f>1.05*6.3</f>
        <v>6.6150000000000002</v>
      </c>
      <c r="AA102" s="67">
        <f t="shared" si="24"/>
        <v>-6.8002380952380967</v>
      </c>
      <c r="AB102" s="72">
        <f>AA102</f>
        <v>-6.8002380952380967</v>
      </c>
      <c r="AC102" s="68" t="str">
        <f>IF(AB102&lt;0,"закрыт","открыт")</f>
        <v>закрыт</v>
      </c>
      <c r="AD102" s="55">
        <v>0.84</v>
      </c>
      <c r="AE102" s="31"/>
    </row>
    <row r="103" spans="1:31" s="32" customFormat="1" ht="22.5">
      <c r="A103" s="45">
        <v>82</v>
      </c>
      <c r="B103" s="47" t="s">
        <v>129</v>
      </c>
      <c r="C103" s="43" t="s">
        <v>130</v>
      </c>
      <c r="D103" s="64">
        <v>1.1299999999999999</v>
      </c>
      <c r="E103" s="43">
        <v>0.08</v>
      </c>
      <c r="F103" s="45">
        <v>120</v>
      </c>
      <c r="G103" s="60">
        <f t="shared" si="27"/>
        <v>1.0499999999999998</v>
      </c>
      <c r="H103" s="43">
        <v>0</v>
      </c>
      <c r="I103" s="43">
        <v>2.625</v>
      </c>
      <c r="J103" s="60">
        <f t="shared" si="28"/>
        <v>1.5750000000000002</v>
      </c>
      <c r="K103" s="48">
        <f>J103</f>
        <v>1.5750000000000002</v>
      </c>
      <c r="L103" s="46">
        <f>K103*N103</f>
        <v>1.3545</v>
      </c>
      <c r="M103" s="55" t="str">
        <f>IF(K103&lt;0,"закрыт","открыт")</f>
        <v>открыт</v>
      </c>
      <c r="N103" s="55">
        <v>0.86</v>
      </c>
      <c r="O103" s="30"/>
      <c r="P103" s="45">
        <v>82</v>
      </c>
      <c r="Q103" s="53" t="s">
        <v>129</v>
      </c>
      <c r="R103" s="43" t="s">
        <v>130</v>
      </c>
      <c r="S103" s="57">
        <f>T103/N103</f>
        <v>1.2674418604651163</v>
      </c>
      <c r="T103" s="57">
        <v>1.0900000000000001</v>
      </c>
      <c r="U103" s="46">
        <f t="shared" si="25"/>
        <v>2.3974418604651162</v>
      </c>
      <c r="V103" s="57">
        <f>E103</f>
        <v>0.08</v>
      </c>
      <c r="W103" s="54">
        <v>120</v>
      </c>
      <c r="X103" s="57">
        <f t="shared" si="23"/>
        <v>2.3174418604651161</v>
      </c>
      <c r="Y103" s="46">
        <v>0</v>
      </c>
      <c r="Z103" s="46">
        <v>2.625</v>
      </c>
      <c r="AA103" s="46">
        <f t="shared" si="24"/>
        <v>0.30755813953488387</v>
      </c>
      <c r="AB103" s="48">
        <f>AA103</f>
        <v>0.30755813953488387</v>
      </c>
      <c r="AC103" s="55" t="str">
        <f>IF(AB103&lt;0,"закрыт","открыт")</f>
        <v>открыт</v>
      </c>
      <c r="AD103" s="55">
        <v>0.86</v>
      </c>
      <c r="AE103" s="31"/>
    </row>
    <row r="104" spans="1:31" s="32" customFormat="1" ht="22.5">
      <c r="A104" s="45">
        <v>83</v>
      </c>
      <c r="B104" s="47" t="s">
        <v>323</v>
      </c>
      <c r="C104" s="43" t="s">
        <v>108</v>
      </c>
      <c r="D104" s="64">
        <v>0.98</v>
      </c>
      <c r="E104" s="43">
        <v>0</v>
      </c>
      <c r="F104" s="45"/>
      <c r="G104" s="60">
        <f t="shared" si="27"/>
        <v>0.98</v>
      </c>
      <c r="H104" s="43">
        <v>0</v>
      </c>
      <c r="I104" s="43">
        <f>40*1.05</f>
        <v>42</v>
      </c>
      <c r="J104" s="60">
        <f t="shared" si="28"/>
        <v>41.02</v>
      </c>
      <c r="K104" s="48">
        <f>J104</f>
        <v>41.02</v>
      </c>
      <c r="L104" s="46">
        <f>K104*N104</f>
        <v>41.02</v>
      </c>
      <c r="M104" s="55" t="str">
        <f>IF(K104&lt;0,"закрыт","открыт")</f>
        <v>открыт</v>
      </c>
      <c r="N104" s="55">
        <v>1</v>
      </c>
      <c r="O104" s="30"/>
      <c r="P104" s="45">
        <v>83</v>
      </c>
      <c r="Q104" s="53" t="s">
        <v>323</v>
      </c>
      <c r="R104" s="43" t="s">
        <v>108</v>
      </c>
      <c r="S104" s="57">
        <f>T104/N104</f>
        <v>0</v>
      </c>
      <c r="T104" s="57">
        <v>0</v>
      </c>
      <c r="U104" s="46">
        <f t="shared" si="25"/>
        <v>0.98</v>
      </c>
      <c r="V104" s="57">
        <f>E104</f>
        <v>0</v>
      </c>
      <c r="W104" s="54"/>
      <c r="X104" s="57">
        <f t="shared" si="23"/>
        <v>0.98</v>
      </c>
      <c r="Y104" s="46">
        <v>0</v>
      </c>
      <c r="Z104" s="46">
        <f>I104</f>
        <v>42</v>
      </c>
      <c r="AA104" s="46">
        <f t="shared" si="24"/>
        <v>41.02</v>
      </c>
      <c r="AB104" s="48">
        <f>AA104</f>
        <v>41.02</v>
      </c>
      <c r="AC104" s="55" t="str">
        <f>IF(AB104&lt;0,"закрыт","открыт")</f>
        <v>открыт</v>
      </c>
      <c r="AD104" s="55">
        <v>1</v>
      </c>
      <c r="AE104" s="31"/>
    </row>
    <row r="105" spans="1:31" s="32" customFormat="1" ht="22.5">
      <c r="A105" s="96">
        <v>84</v>
      </c>
      <c r="B105" s="43" t="s">
        <v>131</v>
      </c>
      <c r="C105" s="43" t="s">
        <v>119</v>
      </c>
      <c r="D105" s="64">
        <v>6.31</v>
      </c>
      <c r="E105" s="59">
        <f>E106+E107</f>
        <v>4.6199999999999992</v>
      </c>
      <c r="F105" s="59">
        <v>120</v>
      </c>
      <c r="G105" s="64">
        <f>D105-E105</f>
        <v>1.6900000000000004</v>
      </c>
      <c r="H105" s="43">
        <v>0</v>
      </c>
      <c r="I105" s="43">
        <v>10.5</v>
      </c>
      <c r="J105" s="64">
        <f>I105-G105-H105</f>
        <v>8.8099999999999987</v>
      </c>
      <c r="K105" s="97">
        <f>MIN(J105:J107)</f>
        <v>8.8099999999999987</v>
      </c>
      <c r="L105" s="93">
        <f>K105*N105</f>
        <v>7.2241999999999988</v>
      </c>
      <c r="M105" s="98" t="str">
        <f>IF(K105&lt;0,"закрыт","открыт")</f>
        <v>открыт</v>
      </c>
      <c r="N105" s="138">
        <v>0.82</v>
      </c>
      <c r="O105" s="30"/>
      <c r="P105" s="96">
        <v>84</v>
      </c>
      <c r="Q105" s="43" t="s">
        <v>131</v>
      </c>
      <c r="R105" s="43" t="s">
        <v>119</v>
      </c>
      <c r="S105" s="60">
        <f>T105/N105</f>
        <v>6.8103658536585376</v>
      </c>
      <c r="T105" s="57">
        <v>5.5845000000000002</v>
      </c>
      <c r="U105" s="46">
        <f t="shared" si="25"/>
        <v>13.120365853658537</v>
      </c>
      <c r="V105" s="57">
        <f>V106+V107</f>
        <v>9.966951219512195</v>
      </c>
      <c r="W105" s="54">
        <v>120</v>
      </c>
      <c r="X105" s="57">
        <f t="shared" si="23"/>
        <v>3.1534146341463423</v>
      </c>
      <c r="Y105" s="46">
        <v>0</v>
      </c>
      <c r="Z105" s="46">
        <v>10.5</v>
      </c>
      <c r="AA105" s="46">
        <f t="shared" si="24"/>
        <v>7.3465853658536577</v>
      </c>
      <c r="AB105" s="97">
        <f>MIN(AA105:AA107)</f>
        <v>7.3465853658536577</v>
      </c>
      <c r="AC105" s="98" t="str">
        <f>IF(AB105&lt;0,"закрыт","открыт")</f>
        <v>открыт</v>
      </c>
      <c r="AD105" s="138">
        <v>0.82</v>
      </c>
      <c r="AE105" s="31"/>
    </row>
    <row r="106" spans="1:31" s="32" customFormat="1" ht="12.75" customHeight="1">
      <c r="A106" s="96"/>
      <c r="B106" s="61" t="s">
        <v>45</v>
      </c>
      <c r="C106" s="43" t="s">
        <v>119</v>
      </c>
      <c r="D106" s="64">
        <f>D105-D107</f>
        <v>3.4299999999999997</v>
      </c>
      <c r="E106" s="69">
        <f>D106</f>
        <v>3.4299999999999997</v>
      </c>
      <c r="F106" s="59"/>
      <c r="G106" s="64">
        <f>D106-E106</f>
        <v>0</v>
      </c>
      <c r="H106" s="43">
        <v>0</v>
      </c>
      <c r="I106" s="43">
        <v>10.5</v>
      </c>
      <c r="J106" s="64">
        <f>I106-G106-H106</f>
        <v>10.5</v>
      </c>
      <c r="K106" s="97"/>
      <c r="L106" s="93"/>
      <c r="M106" s="99"/>
      <c r="N106" s="138"/>
      <c r="O106" s="30"/>
      <c r="P106" s="96"/>
      <c r="Q106" s="61" t="s">
        <v>45</v>
      </c>
      <c r="R106" s="43" t="s">
        <v>119</v>
      </c>
      <c r="S106" s="60">
        <f>S105-S107</f>
        <v>5.3469512195121958</v>
      </c>
      <c r="T106" s="48"/>
      <c r="U106" s="46">
        <f t="shared" si="25"/>
        <v>8.7769512195121955</v>
      </c>
      <c r="V106" s="57">
        <f>U106</f>
        <v>8.7769512195121955</v>
      </c>
      <c r="W106" s="54"/>
      <c r="X106" s="57">
        <f t="shared" si="23"/>
        <v>0</v>
      </c>
      <c r="Y106" s="46">
        <v>0</v>
      </c>
      <c r="Z106" s="46">
        <v>10.5</v>
      </c>
      <c r="AA106" s="46">
        <f t="shared" si="24"/>
        <v>10.5</v>
      </c>
      <c r="AB106" s="97"/>
      <c r="AC106" s="99"/>
      <c r="AD106" s="138"/>
      <c r="AE106" s="31"/>
    </row>
    <row r="107" spans="1:31" s="32" customFormat="1" ht="12.75" customHeight="1">
      <c r="A107" s="96"/>
      <c r="B107" s="61" t="s">
        <v>46</v>
      </c>
      <c r="C107" s="43" t="s">
        <v>119</v>
      </c>
      <c r="D107" s="64">
        <v>2.88</v>
      </c>
      <c r="E107" s="56">
        <v>1.19</v>
      </c>
      <c r="F107" s="59">
        <v>120</v>
      </c>
      <c r="G107" s="64">
        <f>D107-E107</f>
        <v>1.69</v>
      </c>
      <c r="H107" s="43">
        <v>0</v>
      </c>
      <c r="I107" s="43">
        <v>10.5</v>
      </c>
      <c r="J107" s="64">
        <f>I107-G107-H107</f>
        <v>8.81</v>
      </c>
      <c r="K107" s="97"/>
      <c r="L107" s="93"/>
      <c r="M107" s="100"/>
      <c r="N107" s="138"/>
      <c r="O107" s="30"/>
      <c r="P107" s="96"/>
      <c r="Q107" s="61" t="s">
        <v>46</v>
      </c>
      <c r="R107" s="43" t="s">
        <v>119</v>
      </c>
      <c r="S107" s="60">
        <f>T107/N105</f>
        <v>1.4634146341463414</v>
      </c>
      <c r="T107" s="57">
        <v>1.2</v>
      </c>
      <c r="U107" s="46">
        <f t="shared" si="25"/>
        <v>4.3434146341463418</v>
      </c>
      <c r="V107" s="57">
        <f>'[1]текущий дефицит'!E106</f>
        <v>1.19</v>
      </c>
      <c r="W107" s="54">
        <v>120</v>
      </c>
      <c r="X107" s="57">
        <f t="shared" si="23"/>
        <v>3.1534146341463418</v>
      </c>
      <c r="Y107" s="46">
        <v>0</v>
      </c>
      <c r="Z107" s="46">
        <v>10.5</v>
      </c>
      <c r="AA107" s="46">
        <f t="shared" si="24"/>
        <v>7.3465853658536577</v>
      </c>
      <c r="AB107" s="97"/>
      <c r="AC107" s="100"/>
      <c r="AD107" s="138"/>
      <c r="AE107" s="31"/>
    </row>
    <row r="108" spans="1:31" s="32" customFormat="1" ht="22.5">
      <c r="A108" s="45">
        <v>85</v>
      </c>
      <c r="B108" s="47" t="s">
        <v>132</v>
      </c>
      <c r="C108" s="43" t="s">
        <v>130</v>
      </c>
      <c r="D108" s="64">
        <v>1.06</v>
      </c>
      <c r="E108" s="43">
        <v>0</v>
      </c>
      <c r="F108" s="45">
        <v>120</v>
      </c>
      <c r="G108" s="60">
        <f t="shared" si="27"/>
        <v>1.06</v>
      </c>
      <c r="H108" s="43">
        <v>0</v>
      </c>
      <c r="I108" s="43">
        <v>2.625</v>
      </c>
      <c r="J108" s="60">
        <f t="shared" si="28"/>
        <v>1.5649999999999999</v>
      </c>
      <c r="K108" s="48">
        <f>J108</f>
        <v>1.5649999999999999</v>
      </c>
      <c r="L108" s="46">
        <f>K108*N108</f>
        <v>1.3772</v>
      </c>
      <c r="M108" s="55" t="str">
        <f>IF(K108&lt;0,"закрыт","открыт")</f>
        <v>открыт</v>
      </c>
      <c r="N108" s="55">
        <v>0.88</v>
      </c>
      <c r="O108" s="30"/>
      <c r="P108" s="45">
        <v>85</v>
      </c>
      <c r="Q108" s="53" t="s">
        <v>132</v>
      </c>
      <c r="R108" s="43" t="s">
        <v>130</v>
      </c>
      <c r="S108" s="57">
        <f>T108/N108</f>
        <v>1.5636363636363635</v>
      </c>
      <c r="T108" s="57">
        <v>1.3759999999999999</v>
      </c>
      <c r="U108" s="46">
        <f>D108+S108</f>
        <v>2.6236363636363635</v>
      </c>
      <c r="V108" s="57">
        <f>E108</f>
        <v>0</v>
      </c>
      <c r="W108" s="54">
        <v>120</v>
      </c>
      <c r="X108" s="57">
        <f t="shared" si="23"/>
        <v>2.6236363636363635</v>
      </c>
      <c r="Y108" s="46">
        <v>0</v>
      </c>
      <c r="Z108" s="46">
        <v>2.625</v>
      </c>
      <c r="AA108" s="46">
        <f t="shared" si="24"/>
        <v>1.3636363636364557E-3</v>
      </c>
      <c r="AB108" s="48">
        <f>AA108</f>
        <v>1.3636363636364557E-3</v>
      </c>
      <c r="AC108" s="55" t="str">
        <f>IF(AB108&lt;0,"закрыт","открыт")</f>
        <v>открыт</v>
      </c>
      <c r="AD108" s="55">
        <v>0.88</v>
      </c>
      <c r="AE108" s="31"/>
    </row>
    <row r="109" spans="1:31" s="32" customFormat="1" ht="22.5">
      <c r="A109" s="45">
        <v>86</v>
      </c>
      <c r="B109" s="47" t="s">
        <v>133</v>
      </c>
      <c r="C109" s="43" t="s">
        <v>32</v>
      </c>
      <c r="D109" s="64">
        <v>3.08</v>
      </c>
      <c r="E109" s="43">
        <v>0</v>
      </c>
      <c r="F109" s="45">
        <v>120</v>
      </c>
      <c r="G109" s="60">
        <f t="shared" si="27"/>
        <v>3.08</v>
      </c>
      <c r="H109" s="43">
        <v>0</v>
      </c>
      <c r="I109" s="43">
        <v>4.2</v>
      </c>
      <c r="J109" s="60">
        <f t="shared" si="28"/>
        <v>1.1200000000000001</v>
      </c>
      <c r="K109" s="48">
        <f>J109</f>
        <v>1.1200000000000001</v>
      </c>
      <c r="L109" s="46">
        <f>K109*N109</f>
        <v>1.0080000000000002</v>
      </c>
      <c r="M109" s="55" t="str">
        <f>IF(K109&lt;0,"закрыт","открыт")</f>
        <v>открыт</v>
      </c>
      <c r="N109" s="55">
        <v>0.9</v>
      </c>
      <c r="O109" s="30"/>
      <c r="P109" s="65">
        <v>86</v>
      </c>
      <c r="Q109" s="73" t="s">
        <v>133</v>
      </c>
      <c r="R109" s="66" t="s">
        <v>32</v>
      </c>
      <c r="S109" s="67">
        <f>T109/N109</f>
        <v>3.3111111111111109</v>
      </c>
      <c r="T109" s="57">
        <v>2.98</v>
      </c>
      <c r="U109" s="67">
        <f t="shared" si="25"/>
        <v>6.391111111111111</v>
      </c>
      <c r="V109" s="67">
        <f>E109</f>
        <v>0</v>
      </c>
      <c r="W109" s="66">
        <v>120</v>
      </c>
      <c r="X109" s="67">
        <f t="shared" si="23"/>
        <v>6.391111111111111</v>
      </c>
      <c r="Y109" s="67">
        <v>0</v>
      </c>
      <c r="Z109" s="67">
        <v>4.2</v>
      </c>
      <c r="AA109" s="67">
        <f t="shared" si="24"/>
        <v>-2.1911111111111108</v>
      </c>
      <c r="AB109" s="72">
        <f>AA109</f>
        <v>-2.1911111111111108</v>
      </c>
      <c r="AC109" s="68" t="str">
        <f>IF(AB109&lt;0,"закрыт","открыт")</f>
        <v>закрыт</v>
      </c>
      <c r="AD109" s="55">
        <v>0.9</v>
      </c>
      <c r="AE109" s="31"/>
    </row>
    <row r="110" spans="1:31" s="32" customFormat="1" ht="22.5">
      <c r="A110" s="96">
        <v>87</v>
      </c>
      <c r="B110" s="47" t="s">
        <v>134</v>
      </c>
      <c r="C110" s="43" t="s">
        <v>116</v>
      </c>
      <c r="D110" s="64">
        <v>20.07</v>
      </c>
      <c r="E110" s="42">
        <f>E111+E112</f>
        <v>10.59</v>
      </c>
      <c r="F110" s="42">
        <v>120</v>
      </c>
      <c r="G110" s="48">
        <f>D110-E110</f>
        <v>9.48</v>
      </c>
      <c r="H110" s="43">
        <v>0</v>
      </c>
      <c r="I110" s="43">
        <v>26.25</v>
      </c>
      <c r="J110" s="48">
        <f>I110-G110-H110</f>
        <v>16.77</v>
      </c>
      <c r="K110" s="97">
        <f>MIN(J110:J112)</f>
        <v>16.77</v>
      </c>
      <c r="L110" s="93">
        <f>K110*N110</f>
        <v>14.9253</v>
      </c>
      <c r="M110" s="98" t="str">
        <f>IF(K110&lt;0,"закрыт","открыт")</f>
        <v>открыт</v>
      </c>
      <c r="N110" s="138">
        <v>0.89</v>
      </c>
      <c r="O110" s="30"/>
      <c r="P110" s="104">
        <v>87</v>
      </c>
      <c r="Q110" s="73" t="s">
        <v>134</v>
      </c>
      <c r="R110" s="66" t="s">
        <v>116</v>
      </c>
      <c r="S110" s="87">
        <f>T110/N110</f>
        <v>17.44943820224719</v>
      </c>
      <c r="T110" s="67">
        <v>15.53</v>
      </c>
      <c r="U110" s="67">
        <f t="shared" si="25"/>
        <v>37.519438202247187</v>
      </c>
      <c r="V110" s="67">
        <f>V111+V112</f>
        <v>11.264157303370787</v>
      </c>
      <c r="W110" s="66">
        <v>120</v>
      </c>
      <c r="X110" s="67">
        <f t="shared" si="23"/>
        <v>26.2552808988764</v>
      </c>
      <c r="Y110" s="67">
        <v>0</v>
      </c>
      <c r="Z110" s="67">
        <v>26.25</v>
      </c>
      <c r="AA110" s="67">
        <f t="shared" si="24"/>
        <v>-5.2808988763999309E-3</v>
      </c>
      <c r="AB110" s="105">
        <f>MIN(AA110:AA112)</f>
        <v>-5.2808988763999309E-3</v>
      </c>
      <c r="AC110" s="106" t="str">
        <f>IF(AB110&lt;0,"закрыт","открыт")</f>
        <v>закрыт</v>
      </c>
      <c r="AD110" s="138">
        <v>0.89</v>
      </c>
      <c r="AE110" s="31"/>
    </row>
    <row r="111" spans="1:31" s="32" customFormat="1" ht="12.75" customHeight="1">
      <c r="A111" s="96"/>
      <c r="B111" s="61" t="s">
        <v>45</v>
      </c>
      <c r="C111" s="43" t="s">
        <v>116</v>
      </c>
      <c r="D111" s="64">
        <f>D110-D112</f>
        <v>8</v>
      </c>
      <c r="E111" s="69">
        <f>D111</f>
        <v>8</v>
      </c>
      <c r="F111" s="42"/>
      <c r="G111" s="48">
        <f>D111-E111</f>
        <v>0</v>
      </c>
      <c r="H111" s="43">
        <v>0</v>
      </c>
      <c r="I111" s="43">
        <v>26.25</v>
      </c>
      <c r="J111" s="48">
        <f>I111-G111-H111</f>
        <v>26.25</v>
      </c>
      <c r="K111" s="97"/>
      <c r="L111" s="93"/>
      <c r="M111" s="99"/>
      <c r="N111" s="138"/>
      <c r="O111" s="30"/>
      <c r="P111" s="104"/>
      <c r="Q111" s="74" t="s">
        <v>45</v>
      </c>
      <c r="R111" s="66" t="s">
        <v>116</v>
      </c>
      <c r="S111" s="87">
        <f>S110-S112</f>
        <v>8.6741573033707873</v>
      </c>
      <c r="T111" s="67">
        <v>7.1654999999999998</v>
      </c>
      <c r="U111" s="67">
        <f>S111</f>
        <v>8.6741573033707873</v>
      </c>
      <c r="V111" s="67">
        <f>U111</f>
        <v>8.6741573033707873</v>
      </c>
      <c r="W111" s="66"/>
      <c r="X111" s="67">
        <f t="shared" si="23"/>
        <v>0</v>
      </c>
      <c r="Y111" s="67">
        <v>0</v>
      </c>
      <c r="Z111" s="67">
        <v>26.25</v>
      </c>
      <c r="AA111" s="67">
        <f t="shared" si="24"/>
        <v>26.25</v>
      </c>
      <c r="AB111" s="105"/>
      <c r="AC111" s="107"/>
      <c r="AD111" s="138"/>
      <c r="AE111" s="31"/>
    </row>
    <row r="112" spans="1:31" s="32" customFormat="1" ht="12.75" customHeight="1">
      <c r="A112" s="96"/>
      <c r="B112" s="61" t="s">
        <v>46</v>
      </c>
      <c r="C112" s="43" t="s">
        <v>116</v>
      </c>
      <c r="D112" s="64">
        <v>12.07</v>
      </c>
      <c r="E112" s="56">
        <v>2.59</v>
      </c>
      <c r="F112" s="42">
        <v>120</v>
      </c>
      <c r="G112" s="48">
        <f>D112-E112</f>
        <v>9.48</v>
      </c>
      <c r="H112" s="43">
        <v>0</v>
      </c>
      <c r="I112" s="43">
        <v>26.25</v>
      </c>
      <c r="J112" s="48">
        <f>I112-G112-H112</f>
        <v>16.77</v>
      </c>
      <c r="K112" s="97"/>
      <c r="L112" s="93"/>
      <c r="M112" s="100"/>
      <c r="N112" s="138"/>
      <c r="O112" s="30"/>
      <c r="P112" s="104"/>
      <c r="Q112" s="74" t="s">
        <v>46</v>
      </c>
      <c r="R112" s="66" t="s">
        <v>116</v>
      </c>
      <c r="S112" s="87">
        <f>T112/N110</f>
        <v>8.7752808988764031</v>
      </c>
      <c r="T112" s="67">
        <v>7.81</v>
      </c>
      <c r="U112" s="67">
        <f t="shared" si="25"/>
        <v>20.845280898876403</v>
      </c>
      <c r="V112" s="67">
        <f>'[1]текущий дефицит'!E111</f>
        <v>2.59</v>
      </c>
      <c r="W112" s="66">
        <v>120</v>
      </c>
      <c r="X112" s="67">
        <f t="shared" si="23"/>
        <v>18.255280898876403</v>
      </c>
      <c r="Y112" s="67">
        <v>0</v>
      </c>
      <c r="Z112" s="67">
        <v>26.25</v>
      </c>
      <c r="AA112" s="67">
        <f t="shared" si="24"/>
        <v>7.9947191011235965</v>
      </c>
      <c r="AB112" s="105"/>
      <c r="AC112" s="108"/>
      <c r="AD112" s="138"/>
      <c r="AE112" s="31"/>
    </row>
    <row r="113" spans="1:31" s="32" customFormat="1" ht="22.5">
      <c r="A113" s="45">
        <v>88</v>
      </c>
      <c r="B113" s="47" t="s">
        <v>135</v>
      </c>
      <c r="C113" s="43" t="s">
        <v>32</v>
      </c>
      <c r="D113" s="64">
        <v>3.32</v>
      </c>
      <c r="E113" s="43">
        <v>0.34</v>
      </c>
      <c r="F113" s="45">
        <v>120</v>
      </c>
      <c r="G113" s="60">
        <f t="shared" si="27"/>
        <v>2.98</v>
      </c>
      <c r="H113" s="43">
        <v>0</v>
      </c>
      <c r="I113" s="43">
        <v>4.2</v>
      </c>
      <c r="J113" s="60">
        <f t="shared" si="28"/>
        <v>1.2200000000000002</v>
      </c>
      <c r="K113" s="48">
        <f>J113</f>
        <v>1.2200000000000002</v>
      </c>
      <c r="L113" s="46">
        <f>K113*N113</f>
        <v>1.0858000000000001</v>
      </c>
      <c r="M113" s="55" t="str">
        <f>IF(K113&lt;0,"закрыт","открыт")</f>
        <v>открыт</v>
      </c>
      <c r="N113" s="55">
        <v>0.89</v>
      </c>
      <c r="O113" s="30"/>
      <c r="P113" s="65">
        <v>88</v>
      </c>
      <c r="Q113" s="73" t="s">
        <v>135</v>
      </c>
      <c r="R113" s="66" t="s">
        <v>32</v>
      </c>
      <c r="S113" s="67">
        <f>T113/N113</f>
        <v>6.2247191011235952</v>
      </c>
      <c r="T113" s="57">
        <v>5.54</v>
      </c>
      <c r="U113" s="67">
        <f t="shared" si="25"/>
        <v>9.5447191011235955</v>
      </c>
      <c r="V113" s="67">
        <f>E113</f>
        <v>0.34</v>
      </c>
      <c r="W113" s="66">
        <v>120</v>
      </c>
      <c r="X113" s="67">
        <f t="shared" si="23"/>
        <v>9.2047191011235956</v>
      </c>
      <c r="Y113" s="67">
        <v>0</v>
      </c>
      <c r="Z113" s="67">
        <v>4.2</v>
      </c>
      <c r="AA113" s="67">
        <f t="shared" si="24"/>
        <v>-5.0047191011235954</v>
      </c>
      <c r="AB113" s="72">
        <f>AA113</f>
        <v>-5.0047191011235954</v>
      </c>
      <c r="AC113" s="68" t="str">
        <f>IF(AB113&lt;0,"закрыт","открыт")</f>
        <v>закрыт</v>
      </c>
      <c r="AD113" s="55">
        <v>0.89</v>
      </c>
      <c r="AE113" s="31"/>
    </row>
    <row r="114" spans="1:31" s="32" customFormat="1" ht="22.5">
      <c r="A114" s="45">
        <v>89</v>
      </c>
      <c r="B114" s="47" t="s">
        <v>136</v>
      </c>
      <c r="C114" s="43" t="s">
        <v>33</v>
      </c>
      <c r="D114" s="64">
        <v>3.01</v>
      </c>
      <c r="E114" s="43">
        <v>0</v>
      </c>
      <c r="F114" s="45">
        <v>120</v>
      </c>
      <c r="G114" s="60">
        <f t="shared" si="27"/>
        <v>3.01</v>
      </c>
      <c r="H114" s="43">
        <v>0</v>
      </c>
      <c r="I114" s="43">
        <v>4.2</v>
      </c>
      <c r="J114" s="60">
        <f t="shared" si="28"/>
        <v>1.1900000000000004</v>
      </c>
      <c r="K114" s="48">
        <f>J114</f>
        <v>1.1900000000000004</v>
      </c>
      <c r="L114" s="46">
        <f>K114*N114</f>
        <v>1.1186000000000003</v>
      </c>
      <c r="M114" s="55" t="str">
        <f>IF(K114&lt;0,"закрыт","открыт")</f>
        <v>открыт</v>
      </c>
      <c r="N114" s="55">
        <v>0.94</v>
      </c>
      <c r="O114" s="30"/>
      <c r="P114" s="65">
        <v>89</v>
      </c>
      <c r="Q114" s="73" t="s">
        <v>136</v>
      </c>
      <c r="R114" s="66" t="s">
        <v>33</v>
      </c>
      <c r="S114" s="67">
        <f>T114/N114</f>
        <v>2.7021276595744683</v>
      </c>
      <c r="T114" s="57">
        <v>2.54</v>
      </c>
      <c r="U114" s="67">
        <f t="shared" si="25"/>
        <v>5.7121276595744686</v>
      </c>
      <c r="V114" s="67">
        <f>E114</f>
        <v>0</v>
      </c>
      <c r="W114" s="66">
        <v>120</v>
      </c>
      <c r="X114" s="67">
        <f t="shared" si="23"/>
        <v>5.7121276595744686</v>
      </c>
      <c r="Y114" s="67">
        <v>0</v>
      </c>
      <c r="Z114" s="67">
        <v>4.2</v>
      </c>
      <c r="AA114" s="67">
        <f t="shared" si="24"/>
        <v>-1.5121276595744684</v>
      </c>
      <c r="AB114" s="72">
        <f>AA114</f>
        <v>-1.5121276595744684</v>
      </c>
      <c r="AC114" s="68" t="str">
        <f>IF(AB114&lt;0,"закрыт","открыт")</f>
        <v>закрыт</v>
      </c>
      <c r="AD114" s="55">
        <v>0.94</v>
      </c>
      <c r="AE114" s="31"/>
    </row>
    <row r="115" spans="1:31" s="32" customFormat="1" ht="22.5">
      <c r="A115" s="96">
        <v>90</v>
      </c>
      <c r="B115" s="47" t="s">
        <v>137</v>
      </c>
      <c r="C115" s="43" t="s">
        <v>116</v>
      </c>
      <c r="D115" s="64">
        <v>19.2</v>
      </c>
      <c r="E115" s="43">
        <f>E116+E117</f>
        <v>7.7499999999999982</v>
      </c>
      <c r="F115" s="45">
        <v>120</v>
      </c>
      <c r="G115" s="60">
        <f>D115-E115</f>
        <v>11.450000000000001</v>
      </c>
      <c r="H115" s="43">
        <v>0</v>
      </c>
      <c r="I115" s="43">
        <v>26.25</v>
      </c>
      <c r="J115" s="60">
        <f>I115-G115-H115</f>
        <v>14.799999999999999</v>
      </c>
      <c r="K115" s="97">
        <f>MIN(J115:J117)</f>
        <v>14.799999999999999</v>
      </c>
      <c r="L115" s="93">
        <f>K115*N115</f>
        <v>13.763999999999999</v>
      </c>
      <c r="M115" s="98" t="str">
        <f>IF(K115&lt;0,"закрыт","открыт")</f>
        <v>открыт</v>
      </c>
      <c r="N115" s="138">
        <v>0.93</v>
      </c>
      <c r="O115" s="30"/>
      <c r="P115" s="96">
        <v>90</v>
      </c>
      <c r="Q115" s="53" t="s">
        <v>137</v>
      </c>
      <c r="R115" s="43" t="s">
        <v>116</v>
      </c>
      <c r="S115" s="60">
        <f>T115/N115</f>
        <v>12.376344086021504</v>
      </c>
      <c r="T115" s="57">
        <v>11.51</v>
      </c>
      <c r="U115" s="46">
        <f t="shared" si="25"/>
        <v>31.576344086021503</v>
      </c>
      <c r="V115" s="57">
        <f>V116+V117</f>
        <v>8.43</v>
      </c>
      <c r="W115" s="54">
        <v>120</v>
      </c>
      <c r="X115" s="57">
        <f t="shared" si="23"/>
        <v>23.146344086021504</v>
      </c>
      <c r="Y115" s="46">
        <v>0</v>
      </c>
      <c r="Z115" s="46">
        <v>26.25</v>
      </c>
      <c r="AA115" s="46">
        <f t="shared" si="24"/>
        <v>3.1036559139784963</v>
      </c>
      <c r="AB115" s="97">
        <f>MIN(AA115:AA117)</f>
        <v>3.1036559139784963</v>
      </c>
      <c r="AC115" s="98" t="str">
        <f>IF(AB115&lt;0,"закрыт","открыт")</f>
        <v>открыт</v>
      </c>
      <c r="AD115" s="138">
        <v>0.93</v>
      </c>
      <c r="AE115" s="31"/>
    </row>
    <row r="116" spans="1:31" s="32" customFormat="1" ht="12.75" customHeight="1">
      <c r="A116" s="96"/>
      <c r="B116" s="61" t="s">
        <v>45</v>
      </c>
      <c r="C116" s="43" t="s">
        <v>116</v>
      </c>
      <c r="D116" s="64">
        <f>D115-D117</f>
        <v>1.9899999999999984</v>
      </c>
      <c r="E116" s="69">
        <f>D116</f>
        <v>1.9899999999999984</v>
      </c>
      <c r="F116" s="45"/>
      <c r="G116" s="60">
        <f>D116-E116</f>
        <v>0</v>
      </c>
      <c r="H116" s="43">
        <v>0</v>
      </c>
      <c r="I116" s="43">
        <v>26.25</v>
      </c>
      <c r="J116" s="60">
        <f>I116-G116-H116</f>
        <v>26.25</v>
      </c>
      <c r="K116" s="97"/>
      <c r="L116" s="93"/>
      <c r="M116" s="99"/>
      <c r="N116" s="138"/>
      <c r="O116" s="30"/>
      <c r="P116" s="96"/>
      <c r="Q116" s="61" t="s">
        <v>45</v>
      </c>
      <c r="R116" s="43" t="s">
        <v>116</v>
      </c>
      <c r="S116" s="60">
        <f>S115-S117</f>
        <v>7.9801075268817199</v>
      </c>
      <c r="T116" s="57">
        <v>8.0579999999999998</v>
      </c>
      <c r="U116" s="46">
        <f t="shared" si="25"/>
        <v>9.9701075268817192</v>
      </c>
      <c r="V116" s="57">
        <v>3</v>
      </c>
      <c r="W116" s="54"/>
      <c r="X116" s="57">
        <f t="shared" si="23"/>
        <v>6.9701075268817192</v>
      </c>
      <c r="Y116" s="46">
        <v>0</v>
      </c>
      <c r="Z116" s="46">
        <v>26.25</v>
      </c>
      <c r="AA116" s="46">
        <f t="shared" si="24"/>
        <v>19.279892473118281</v>
      </c>
      <c r="AB116" s="97"/>
      <c r="AC116" s="99"/>
      <c r="AD116" s="138"/>
      <c r="AE116" s="31"/>
    </row>
    <row r="117" spans="1:31" s="32" customFormat="1" ht="12.75" customHeight="1">
      <c r="A117" s="96"/>
      <c r="B117" s="61" t="s">
        <v>46</v>
      </c>
      <c r="C117" s="43" t="s">
        <v>116</v>
      </c>
      <c r="D117" s="64">
        <v>17.21</v>
      </c>
      <c r="E117" s="56">
        <v>5.76</v>
      </c>
      <c r="F117" s="45">
        <v>120</v>
      </c>
      <c r="G117" s="60">
        <f>D117-E117</f>
        <v>11.450000000000001</v>
      </c>
      <c r="H117" s="43">
        <v>0</v>
      </c>
      <c r="I117" s="43">
        <v>26.25</v>
      </c>
      <c r="J117" s="60">
        <f>I117-G117-H117</f>
        <v>14.799999999999999</v>
      </c>
      <c r="K117" s="97"/>
      <c r="L117" s="93"/>
      <c r="M117" s="100"/>
      <c r="N117" s="138"/>
      <c r="O117" s="30"/>
      <c r="P117" s="96"/>
      <c r="Q117" s="61" t="s">
        <v>46</v>
      </c>
      <c r="R117" s="43" t="s">
        <v>116</v>
      </c>
      <c r="S117" s="60">
        <f>T117/N115</f>
        <v>4.3962365591397843</v>
      </c>
      <c r="T117" s="57">
        <v>4.0884999999999998</v>
      </c>
      <c r="U117" s="46">
        <f t="shared" si="25"/>
        <v>21.606236559139784</v>
      </c>
      <c r="V117" s="57">
        <v>5.43</v>
      </c>
      <c r="W117" s="54">
        <v>120</v>
      </c>
      <c r="X117" s="57">
        <f t="shared" si="23"/>
        <v>16.176236559139785</v>
      </c>
      <c r="Y117" s="46">
        <v>0</v>
      </c>
      <c r="Z117" s="46">
        <v>26.25</v>
      </c>
      <c r="AA117" s="46">
        <f t="shared" si="24"/>
        <v>10.073763440860215</v>
      </c>
      <c r="AB117" s="97"/>
      <c r="AC117" s="100"/>
      <c r="AD117" s="138"/>
      <c r="AE117" s="31"/>
    </row>
    <row r="118" spans="1:31" s="32" customFormat="1" ht="22.5">
      <c r="A118" s="96">
        <v>91</v>
      </c>
      <c r="B118" s="47" t="s">
        <v>138</v>
      </c>
      <c r="C118" s="43" t="s">
        <v>116</v>
      </c>
      <c r="D118" s="64">
        <v>20.97</v>
      </c>
      <c r="E118" s="43">
        <f>E119+E120</f>
        <v>0</v>
      </c>
      <c r="F118" s="45">
        <v>120</v>
      </c>
      <c r="G118" s="60">
        <f t="shared" si="27"/>
        <v>20.97</v>
      </c>
      <c r="H118" s="43">
        <v>0</v>
      </c>
      <c r="I118" s="43">
        <v>26.25</v>
      </c>
      <c r="J118" s="60">
        <f t="shared" si="28"/>
        <v>5.2800000000000011</v>
      </c>
      <c r="K118" s="97">
        <f>MIN(J118:J120)</f>
        <v>5.2800000000000011</v>
      </c>
      <c r="L118" s="93">
        <f>K118*N118</f>
        <v>4.9632000000000005</v>
      </c>
      <c r="M118" s="98" t="str">
        <f>IF(K118&lt;0,"закрыт","открыт")</f>
        <v>открыт</v>
      </c>
      <c r="N118" s="138">
        <v>0.94</v>
      </c>
      <c r="O118" s="30"/>
      <c r="P118" s="104">
        <v>91</v>
      </c>
      <c r="Q118" s="73" t="s">
        <v>138</v>
      </c>
      <c r="R118" s="66" t="s">
        <v>116</v>
      </c>
      <c r="S118" s="72">
        <f>T118/N118</f>
        <v>16.893617021276597</v>
      </c>
      <c r="T118" s="57">
        <v>15.88</v>
      </c>
      <c r="U118" s="67">
        <f t="shared" si="25"/>
        <v>37.863617021276596</v>
      </c>
      <c r="V118" s="67">
        <f>V119+V120</f>
        <v>2.12</v>
      </c>
      <c r="W118" s="66">
        <v>120</v>
      </c>
      <c r="X118" s="67">
        <f t="shared" si="23"/>
        <v>35.743617021276599</v>
      </c>
      <c r="Y118" s="67">
        <v>0</v>
      </c>
      <c r="Z118" s="67">
        <v>26.25</v>
      </c>
      <c r="AA118" s="67">
        <f t="shared" si="24"/>
        <v>-9.4936170212765987</v>
      </c>
      <c r="AB118" s="105">
        <f>MIN(AA118:AA120)</f>
        <v>-9.4936170212765987</v>
      </c>
      <c r="AC118" s="106" t="str">
        <f>IF(AB118&lt;0,"закрыт","открыт")</f>
        <v>закрыт</v>
      </c>
      <c r="AD118" s="138">
        <v>0.94</v>
      </c>
      <c r="AE118" s="31"/>
    </row>
    <row r="119" spans="1:31" s="32" customFormat="1" ht="12.75" customHeight="1">
      <c r="A119" s="96"/>
      <c r="B119" s="61" t="s">
        <v>45</v>
      </c>
      <c r="C119" s="43" t="s">
        <v>116</v>
      </c>
      <c r="D119" s="64">
        <f>D118-D120</f>
        <v>8.1</v>
      </c>
      <c r="E119" s="56">
        <v>0</v>
      </c>
      <c r="F119" s="45"/>
      <c r="G119" s="60">
        <f t="shared" si="27"/>
        <v>8.1</v>
      </c>
      <c r="H119" s="43">
        <v>0</v>
      </c>
      <c r="I119" s="43">
        <v>26.25</v>
      </c>
      <c r="J119" s="60">
        <f t="shared" si="28"/>
        <v>18.149999999999999</v>
      </c>
      <c r="K119" s="97"/>
      <c r="L119" s="93"/>
      <c r="M119" s="99"/>
      <c r="N119" s="138"/>
      <c r="O119" s="30"/>
      <c r="P119" s="104"/>
      <c r="Q119" s="74" t="s">
        <v>45</v>
      </c>
      <c r="R119" s="66" t="s">
        <v>116</v>
      </c>
      <c r="S119" s="72">
        <f>S118-S120</f>
        <v>7.1457446808510667</v>
      </c>
      <c r="T119" s="57">
        <v>5.032</v>
      </c>
      <c r="U119" s="67">
        <f t="shared" si="25"/>
        <v>15.245744680851066</v>
      </c>
      <c r="V119" s="67">
        <v>0</v>
      </c>
      <c r="W119" s="66"/>
      <c r="X119" s="67">
        <f t="shared" si="23"/>
        <v>15.245744680851066</v>
      </c>
      <c r="Y119" s="67">
        <v>0</v>
      </c>
      <c r="Z119" s="67">
        <v>26.25</v>
      </c>
      <c r="AA119" s="67">
        <f t="shared" si="24"/>
        <v>11.004255319148934</v>
      </c>
      <c r="AB119" s="105"/>
      <c r="AC119" s="99"/>
      <c r="AD119" s="138"/>
      <c r="AE119" s="31"/>
    </row>
    <row r="120" spans="1:31" s="32" customFormat="1" ht="12.75" customHeight="1">
      <c r="A120" s="96"/>
      <c r="B120" s="61" t="s">
        <v>46</v>
      </c>
      <c r="C120" s="43" t="s">
        <v>116</v>
      </c>
      <c r="D120" s="64">
        <v>12.87</v>
      </c>
      <c r="E120" s="56">
        <v>0</v>
      </c>
      <c r="F120" s="45">
        <v>120</v>
      </c>
      <c r="G120" s="60">
        <f t="shared" si="27"/>
        <v>12.87</v>
      </c>
      <c r="H120" s="43">
        <v>0</v>
      </c>
      <c r="I120" s="43">
        <v>26.25</v>
      </c>
      <c r="J120" s="60">
        <f t="shared" si="28"/>
        <v>13.38</v>
      </c>
      <c r="K120" s="97"/>
      <c r="L120" s="93"/>
      <c r="M120" s="100"/>
      <c r="N120" s="138"/>
      <c r="O120" s="30"/>
      <c r="P120" s="104"/>
      <c r="Q120" s="74" t="s">
        <v>46</v>
      </c>
      <c r="R120" s="66" t="s">
        <v>116</v>
      </c>
      <c r="S120" s="72">
        <f>T120/N118</f>
        <v>9.7478723404255305</v>
      </c>
      <c r="T120" s="57">
        <v>9.1629999999999985</v>
      </c>
      <c r="U120" s="67">
        <f t="shared" si="25"/>
        <v>22.617872340425528</v>
      </c>
      <c r="V120" s="67">
        <f>'[1]текущий дефицит'!E119</f>
        <v>2.12</v>
      </c>
      <c r="W120" s="66">
        <v>120</v>
      </c>
      <c r="X120" s="67">
        <f t="shared" si="23"/>
        <v>20.497872340425527</v>
      </c>
      <c r="Y120" s="67">
        <v>0</v>
      </c>
      <c r="Z120" s="67">
        <v>26.25</v>
      </c>
      <c r="AA120" s="67">
        <f t="shared" si="24"/>
        <v>5.752127659574473</v>
      </c>
      <c r="AB120" s="105"/>
      <c r="AC120" s="100"/>
      <c r="AD120" s="138"/>
      <c r="AE120" s="31"/>
    </row>
    <row r="121" spans="1:31" s="32" customFormat="1" ht="22.5">
      <c r="A121" s="96">
        <v>92</v>
      </c>
      <c r="B121" s="47" t="s">
        <v>139</v>
      </c>
      <c r="C121" s="43" t="s">
        <v>108</v>
      </c>
      <c r="D121" s="64">
        <v>36.1</v>
      </c>
      <c r="E121" s="42">
        <f>E122+E123</f>
        <v>10.600000000000001</v>
      </c>
      <c r="F121" s="45">
        <v>120</v>
      </c>
      <c r="G121" s="60">
        <f>D121-E121</f>
        <v>25.5</v>
      </c>
      <c r="H121" s="43">
        <v>0</v>
      </c>
      <c r="I121" s="43">
        <v>42</v>
      </c>
      <c r="J121" s="60">
        <f>I121-G121-H121</f>
        <v>16.5</v>
      </c>
      <c r="K121" s="97">
        <f>MIN(J121:J123)</f>
        <v>16.5</v>
      </c>
      <c r="L121" s="93">
        <f>K121*N121</f>
        <v>15.015000000000001</v>
      </c>
      <c r="M121" s="98" t="str">
        <f>IF(K121&lt;0,"закрыт","открыт")</f>
        <v>открыт</v>
      </c>
      <c r="N121" s="138">
        <v>0.91</v>
      </c>
      <c r="O121" s="30"/>
      <c r="P121" s="104">
        <v>92</v>
      </c>
      <c r="Q121" s="73" t="s">
        <v>139</v>
      </c>
      <c r="R121" s="66" t="s">
        <v>108</v>
      </c>
      <c r="S121" s="72">
        <f>T121/N121</f>
        <v>26.934065934065934</v>
      </c>
      <c r="T121" s="57">
        <v>24.51</v>
      </c>
      <c r="U121" s="67">
        <f t="shared" si="25"/>
        <v>63.034065934065936</v>
      </c>
      <c r="V121" s="67">
        <f>V122+V123</f>
        <v>12.814285714285717</v>
      </c>
      <c r="W121" s="66">
        <v>120</v>
      </c>
      <c r="X121" s="67">
        <f t="shared" si="23"/>
        <v>50.219780219780219</v>
      </c>
      <c r="Y121" s="67">
        <v>0</v>
      </c>
      <c r="Z121" s="67">
        <v>42</v>
      </c>
      <c r="AA121" s="67">
        <f>Z121-Y121-X121</f>
        <v>-8.219780219780219</v>
      </c>
      <c r="AB121" s="105">
        <f>MIN(AA121:AA123)</f>
        <v>-8.219780219780219</v>
      </c>
      <c r="AC121" s="106" t="str">
        <f>IF(AB121&lt;0,"закрыт","открыт")</f>
        <v>закрыт</v>
      </c>
      <c r="AD121" s="138">
        <v>0.91</v>
      </c>
      <c r="AE121" s="31"/>
    </row>
    <row r="122" spans="1:31" s="32" customFormat="1" ht="12.75" customHeight="1">
      <c r="A122" s="96"/>
      <c r="B122" s="61" t="s">
        <v>45</v>
      </c>
      <c r="C122" s="43" t="s">
        <v>108</v>
      </c>
      <c r="D122" s="64">
        <f>D121-D123</f>
        <v>9.7600000000000016</v>
      </c>
      <c r="E122" s="69">
        <f>D122/2</f>
        <v>4.8800000000000008</v>
      </c>
      <c r="F122" s="45"/>
      <c r="G122" s="60">
        <f>D122-E122</f>
        <v>4.8800000000000008</v>
      </c>
      <c r="H122" s="43">
        <v>0</v>
      </c>
      <c r="I122" s="43">
        <v>42</v>
      </c>
      <c r="J122" s="60">
        <f>I122-G122-H122</f>
        <v>37.119999999999997</v>
      </c>
      <c r="K122" s="97"/>
      <c r="L122" s="93"/>
      <c r="M122" s="99"/>
      <c r="N122" s="138"/>
      <c r="O122" s="30"/>
      <c r="P122" s="104"/>
      <c r="Q122" s="74" t="s">
        <v>45</v>
      </c>
      <c r="R122" s="66" t="s">
        <v>108</v>
      </c>
      <c r="S122" s="72">
        <f>S121-S123</f>
        <v>4.4285714285714306</v>
      </c>
      <c r="T122" s="57">
        <v>4.4454999999999973</v>
      </c>
      <c r="U122" s="67">
        <f t="shared" si="25"/>
        <v>14.188571428571432</v>
      </c>
      <c r="V122" s="67">
        <f>U122/2</f>
        <v>7.0942857142857161</v>
      </c>
      <c r="W122" s="66"/>
      <c r="X122" s="67">
        <f t="shared" si="23"/>
        <v>7.0942857142857161</v>
      </c>
      <c r="Y122" s="67">
        <v>0</v>
      </c>
      <c r="Z122" s="67">
        <v>42</v>
      </c>
      <c r="AA122" s="67">
        <f t="shared" si="24"/>
        <v>34.905714285714282</v>
      </c>
      <c r="AB122" s="105"/>
      <c r="AC122" s="107"/>
      <c r="AD122" s="138"/>
      <c r="AE122" s="31"/>
    </row>
    <row r="123" spans="1:31" s="32" customFormat="1" ht="12.75" customHeight="1">
      <c r="A123" s="96"/>
      <c r="B123" s="61" t="s">
        <v>46</v>
      </c>
      <c r="C123" s="43" t="s">
        <v>108</v>
      </c>
      <c r="D123" s="64">
        <v>26.34</v>
      </c>
      <c r="E123" s="56">
        <v>5.72</v>
      </c>
      <c r="F123" s="45">
        <v>120</v>
      </c>
      <c r="G123" s="60">
        <f>D123-E123</f>
        <v>20.62</v>
      </c>
      <c r="H123" s="43">
        <v>0</v>
      </c>
      <c r="I123" s="43">
        <v>42</v>
      </c>
      <c r="J123" s="60">
        <f>I123-G123-H123</f>
        <v>21.38</v>
      </c>
      <c r="K123" s="97"/>
      <c r="L123" s="93"/>
      <c r="M123" s="100"/>
      <c r="N123" s="138"/>
      <c r="O123" s="30"/>
      <c r="P123" s="104"/>
      <c r="Q123" s="74" t="s">
        <v>46</v>
      </c>
      <c r="R123" s="66" t="s">
        <v>108</v>
      </c>
      <c r="S123" s="72">
        <f>T123/N121</f>
        <v>22.505494505494504</v>
      </c>
      <c r="T123" s="57">
        <v>20.48</v>
      </c>
      <c r="U123" s="67">
        <f t="shared" si="25"/>
        <v>48.8454945054945</v>
      </c>
      <c r="V123" s="67">
        <f>'[1]текущий дефицит'!E122</f>
        <v>5.72</v>
      </c>
      <c r="W123" s="66">
        <v>120</v>
      </c>
      <c r="X123" s="67">
        <f t="shared" si="23"/>
        <v>43.125494505494501</v>
      </c>
      <c r="Y123" s="67">
        <v>0</v>
      </c>
      <c r="Z123" s="67">
        <v>42</v>
      </c>
      <c r="AA123" s="67">
        <f t="shared" si="24"/>
        <v>-1.1254945054945011</v>
      </c>
      <c r="AB123" s="105"/>
      <c r="AC123" s="108"/>
      <c r="AD123" s="138"/>
      <c r="AE123" s="31"/>
    </row>
    <row r="124" spans="1:31" s="32" customFormat="1" ht="22.5">
      <c r="A124" s="96">
        <v>93</v>
      </c>
      <c r="B124" s="47" t="s">
        <v>140</v>
      </c>
      <c r="C124" s="43" t="s">
        <v>22</v>
      </c>
      <c r="D124" s="64">
        <v>5.7</v>
      </c>
      <c r="E124" s="43">
        <f>E125+E126</f>
        <v>5.13</v>
      </c>
      <c r="F124" s="45">
        <v>120</v>
      </c>
      <c r="G124" s="60">
        <f t="shared" si="27"/>
        <v>0.57000000000000028</v>
      </c>
      <c r="H124" s="43">
        <v>0</v>
      </c>
      <c r="I124" s="45">
        <f>1.05*16</f>
        <v>16.8</v>
      </c>
      <c r="J124" s="60">
        <f t="shared" si="28"/>
        <v>16.23</v>
      </c>
      <c r="K124" s="97">
        <f>MIN(J124:J126)</f>
        <v>16.23</v>
      </c>
      <c r="L124" s="93">
        <f>K124*N124</f>
        <v>13.4709</v>
      </c>
      <c r="M124" s="98" t="str">
        <f>IF(K124&lt;0,"закрыт","открыт")</f>
        <v>открыт</v>
      </c>
      <c r="N124" s="138">
        <v>0.83</v>
      </c>
      <c r="O124" s="30"/>
      <c r="P124" s="96">
        <v>93</v>
      </c>
      <c r="Q124" s="53" t="s">
        <v>140</v>
      </c>
      <c r="R124" s="43" t="s">
        <v>22</v>
      </c>
      <c r="S124" s="60">
        <f>T124/N124</f>
        <v>3.3373493975903616</v>
      </c>
      <c r="T124" s="57">
        <v>2.77</v>
      </c>
      <c r="U124" s="46">
        <f t="shared" si="25"/>
        <v>9.0373493975903614</v>
      </c>
      <c r="V124" s="57">
        <f>V125+V126</f>
        <v>8.4553012048192766</v>
      </c>
      <c r="W124" s="54">
        <v>120</v>
      </c>
      <c r="X124" s="57">
        <f t="shared" si="23"/>
        <v>0.58204819277108477</v>
      </c>
      <c r="Y124" s="46">
        <v>0</v>
      </c>
      <c r="Z124" s="60">
        <f>1.05*16</f>
        <v>16.8</v>
      </c>
      <c r="AA124" s="46">
        <f t="shared" si="24"/>
        <v>16.217951807228914</v>
      </c>
      <c r="AB124" s="97">
        <f>MIN(AA124:AA126)</f>
        <v>16.217951807228914</v>
      </c>
      <c r="AC124" s="98" t="str">
        <f>IF(AB124&lt;0,"закрыт","открыт")</f>
        <v>открыт</v>
      </c>
      <c r="AD124" s="138">
        <v>0.83</v>
      </c>
      <c r="AE124" s="31"/>
    </row>
    <row r="125" spans="1:31" s="32" customFormat="1" ht="12.75" customHeight="1">
      <c r="A125" s="96"/>
      <c r="B125" s="61" t="s">
        <v>45</v>
      </c>
      <c r="C125" s="43" t="s">
        <v>22</v>
      </c>
      <c r="D125" s="64">
        <f>D124-D126</f>
        <v>5.13</v>
      </c>
      <c r="E125" s="69">
        <f>D125</f>
        <v>5.13</v>
      </c>
      <c r="F125" s="45"/>
      <c r="G125" s="60">
        <f t="shared" si="27"/>
        <v>0</v>
      </c>
      <c r="H125" s="43">
        <v>0</v>
      </c>
      <c r="I125" s="45">
        <f>1.05*16</f>
        <v>16.8</v>
      </c>
      <c r="J125" s="60">
        <f t="shared" si="28"/>
        <v>16.8</v>
      </c>
      <c r="K125" s="97"/>
      <c r="L125" s="93"/>
      <c r="M125" s="99"/>
      <c r="N125" s="138"/>
      <c r="O125" s="30"/>
      <c r="P125" s="96"/>
      <c r="Q125" s="61" t="s">
        <v>45</v>
      </c>
      <c r="R125" s="43" t="s">
        <v>22</v>
      </c>
      <c r="S125" s="60">
        <f>S124-S126</f>
        <v>3.3253012048192772</v>
      </c>
      <c r="T125" s="57">
        <v>0</v>
      </c>
      <c r="U125" s="46">
        <f t="shared" si="25"/>
        <v>8.4553012048192766</v>
      </c>
      <c r="V125" s="57">
        <f>U125</f>
        <v>8.4553012048192766</v>
      </c>
      <c r="W125" s="54"/>
      <c r="X125" s="57">
        <f t="shared" si="23"/>
        <v>0</v>
      </c>
      <c r="Y125" s="46">
        <v>0</v>
      </c>
      <c r="Z125" s="60">
        <f>1.05*16</f>
        <v>16.8</v>
      </c>
      <c r="AA125" s="46">
        <f t="shared" si="24"/>
        <v>16.8</v>
      </c>
      <c r="AB125" s="97"/>
      <c r="AC125" s="99"/>
      <c r="AD125" s="138"/>
      <c r="AE125" s="31"/>
    </row>
    <row r="126" spans="1:31" s="32" customFormat="1" ht="12.75" customHeight="1">
      <c r="A126" s="96"/>
      <c r="B126" s="61" t="s">
        <v>46</v>
      </c>
      <c r="C126" s="43" t="s">
        <v>22</v>
      </c>
      <c r="D126" s="64">
        <v>0.56999999999999995</v>
      </c>
      <c r="E126" s="56">
        <v>0</v>
      </c>
      <c r="F126" s="45">
        <v>120</v>
      </c>
      <c r="G126" s="60">
        <f t="shared" si="27"/>
        <v>0.56999999999999995</v>
      </c>
      <c r="H126" s="43">
        <v>0</v>
      </c>
      <c r="I126" s="45">
        <f>1.05*16</f>
        <v>16.8</v>
      </c>
      <c r="J126" s="60">
        <f t="shared" si="28"/>
        <v>16.23</v>
      </c>
      <c r="K126" s="97"/>
      <c r="L126" s="93"/>
      <c r="M126" s="100"/>
      <c r="N126" s="138"/>
      <c r="O126" s="30"/>
      <c r="P126" s="96"/>
      <c r="Q126" s="61" t="s">
        <v>46</v>
      </c>
      <c r="R126" s="43" t="s">
        <v>22</v>
      </c>
      <c r="S126" s="60">
        <f>T126/N124</f>
        <v>1.2048192771084338E-2</v>
      </c>
      <c r="T126" s="57">
        <v>0.01</v>
      </c>
      <c r="U126" s="46">
        <f t="shared" si="25"/>
        <v>0.58204819277108433</v>
      </c>
      <c r="V126" s="57">
        <f>'[1]текущий дефицит'!E125</f>
        <v>0</v>
      </c>
      <c r="W126" s="54">
        <v>120</v>
      </c>
      <c r="X126" s="57">
        <f t="shared" si="23"/>
        <v>0.58204819277108433</v>
      </c>
      <c r="Y126" s="46">
        <v>0</v>
      </c>
      <c r="Z126" s="60">
        <f>1.05*16</f>
        <v>16.8</v>
      </c>
      <c r="AA126" s="46">
        <f t="shared" si="24"/>
        <v>16.217951807228918</v>
      </c>
      <c r="AB126" s="97"/>
      <c r="AC126" s="100"/>
      <c r="AD126" s="138"/>
      <c r="AE126" s="31"/>
    </row>
    <row r="127" spans="1:31" s="32" customFormat="1" ht="22.5">
      <c r="A127" s="45">
        <v>94</v>
      </c>
      <c r="B127" s="47" t="s">
        <v>141</v>
      </c>
      <c r="C127" s="43" t="s">
        <v>32</v>
      </c>
      <c r="D127" s="64">
        <v>0.55000000000000004</v>
      </c>
      <c r="E127" s="43">
        <v>0.11</v>
      </c>
      <c r="F127" s="45">
        <v>120</v>
      </c>
      <c r="G127" s="60">
        <f t="shared" si="27"/>
        <v>0.44000000000000006</v>
      </c>
      <c r="H127" s="43">
        <v>0</v>
      </c>
      <c r="I127" s="43">
        <v>4.2</v>
      </c>
      <c r="J127" s="60">
        <f t="shared" si="28"/>
        <v>3.7600000000000002</v>
      </c>
      <c r="K127" s="48">
        <f>J127</f>
        <v>3.7600000000000002</v>
      </c>
      <c r="L127" s="46">
        <f>K127*N127</f>
        <v>3.5720000000000001</v>
      </c>
      <c r="M127" s="55" t="str">
        <f>IF(K127&lt;0,"закрыт","открыт")</f>
        <v>открыт</v>
      </c>
      <c r="N127" s="55">
        <v>0.95</v>
      </c>
      <c r="O127" s="30"/>
      <c r="P127" s="45">
        <v>94</v>
      </c>
      <c r="Q127" s="53" t="s">
        <v>141</v>
      </c>
      <c r="R127" s="43" t="s">
        <v>32</v>
      </c>
      <c r="S127" s="57">
        <f>T127/N127</f>
        <v>0.25263157894736843</v>
      </c>
      <c r="T127" s="57">
        <v>0.24</v>
      </c>
      <c r="U127" s="46">
        <f t="shared" si="25"/>
        <v>0.80263157894736847</v>
      </c>
      <c r="V127" s="57">
        <f>E127</f>
        <v>0.11</v>
      </c>
      <c r="W127" s="54">
        <v>120</v>
      </c>
      <c r="X127" s="57">
        <f t="shared" si="23"/>
        <v>0.69263157894736849</v>
      </c>
      <c r="Y127" s="46">
        <v>0</v>
      </c>
      <c r="Z127" s="46">
        <v>4.2</v>
      </c>
      <c r="AA127" s="46">
        <f t="shared" si="24"/>
        <v>3.5073684210526315</v>
      </c>
      <c r="AB127" s="48">
        <f>AA127</f>
        <v>3.5073684210526315</v>
      </c>
      <c r="AC127" s="55" t="str">
        <f>IF(AB127&lt;0,"закрыт","открыт")</f>
        <v>открыт</v>
      </c>
      <c r="AD127" s="55">
        <v>0.95</v>
      </c>
      <c r="AE127" s="31"/>
    </row>
    <row r="128" spans="1:31" s="32" customFormat="1" ht="22.5">
      <c r="A128" s="45">
        <v>95</v>
      </c>
      <c r="B128" s="47" t="s">
        <v>142</v>
      </c>
      <c r="C128" s="43" t="s">
        <v>130</v>
      </c>
      <c r="D128" s="64">
        <v>0.44</v>
      </c>
      <c r="E128" s="43">
        <v>0.03</v>
      </c>
      <c r="F128" s="45">
        <v>120</v>
      </c>
      <c r="G128" s="60">
        <f t="shared" si="27"/>
        <v>0.41000000000000003</v>
      </c>
      <c r="H128" s="43">
        <v>0</v>
      </c>
      <c r="I128" s="43">
        <v>2.625</v>
      </c>
      <c r="J128" s="60">
        <f t="shared" si="28"/>
        <v>2.2149999999999999</v>
      </c>
      <c r="K128" s="48">
        <f>J128</f>
        <v>2.2149999999999999</v>
      </c>
      <c r="L128" s="46">
        <f>K128*N128</f>
        <v>2.19285</v>
      </c>
      <c r="M128" s="55" t="str">
        <f>IF(K128&lt;0,"закрыт","открыт")</f>
        <v>открыт</v>
      </c>
      <c r="N128" s="55">
        <v>0.99</v>
      </c>
      <c r="O128" s="30"/>
      <c r="P128" s="45">
        <v>95</v>
      </c>
      <c r="Q128" s="53" t="s">
        <v>142</v>
      </c>
      <c r="R128" s="43" t="s">
        <v>130</v>
      </c>
      <c r="S128" s="57">
        <f>T128/N128</f>
        <v>0.11111111111111112</v>
      </c>
      <c r="T128" s="48">
        <v>0.11</v>
      </c>
      <c r="U128" s="46">
        <f t="shared" si="25"/>
        <v>0.55111111111111111</v>
      </c>
      <c r="V128" s="57">
        <f>E128</f>
        <v>0.03</v>
      </c>
      <c r="W128" s="54">
        <v>120</v>
      </c>
      <c r="X128" s="57">
        <f t="shared" si="23"/>
        <v>0.52111111111111108</v>
      </c>
      <c r="Y128" s="46">
        <v>0</v>
      </c>
      <c r="Z128" s="46">
        <v>2.625</v>
      </c>
      <c r="AA128" s="46">
        <f t="shared" si="24"/>
        <v>2.1038888888888891</v>
      </c>
      <c r="AB128" s="48">
        <f>AA128</f>
        <v>2.1038888888888891</v>
      </c>
      <c r="AC128" s="55" t="str">
        <f>IF(AB128&lt;0,"закрыт","открыт")</f>
        <v>открыт</v>
      </c>
      <c r="AD128" s="55">
        <v>0.99</v>
      </c>
      <c r="AE128" s="31"/>
    </row>
    <row r="129" spans="1:31" s="32" customFormat="1" ht="22.5">
      <c r="A129" s="96">
        <v>96</v>
      </c>
      <c r="B129" s="47" t="s">
        <v>143</v>
      </c>
      <c r="C129" s="43" t="s">
        <v>119</v>
      </c>
      <c r="D129" s="64">
        <v>3.6</v>
      </c>
      <c r="E129" s="43">
        <f>E130+E131</f>
        <v>3.33</v>
      </c>
      <c r="F129" s="45">
        <v>120</v>
      </c>
      <c r="G129" s="60">
        <f t="shared" si="27"/>
        <v>0.27</v>
      </c>
      <c r="H129" s="43">
        <v>0</v>
      </c>
      <c r="I129" s="43">
        <v>10.5</v>
      </c>
      <c r="J129" s="60">
        <f t="shared" si="28"/>
        <v>10.23</v>
      </c>
      <c r="K129" s="97">
        <f>MIN(J129:J131)</f>
        <v>10.23</v>
      </c>
      <c r="L129" s="93">
        <f>K129*N129</f>
        <v>8.7978000000000005</v>
      </c>
      <c r="M129" s="98" t="str">
        <f>IF(K129&lt;0,"закрыт","открыт")</f>
        <v>открыт</v>
      </c>
      <c r="N129" s="138">
        <v>0.86</v>
      </c>
      <c r="O129" s="30"/>
      <c r="P129" s="96">
        <v>96</v>
      </c>
      <c r="Q129" s="53" t="s">
        <v>143</v>
      </c>
      <c r="R129" s="43" t="s">
        <v>119</v>
      </c>
      <c r="S129" s="60">
        <f>T129/N129</f>
        <v>6.1511627906976747</v>
      </c>
      <c r="T129" s="57">
        <v>5.29</v>
      </c>
      <c r="U129" s="46">
        <f t="shared" si="25"/>
        <v>9.7511627906976752</v>
      </c>
      <c r="V129" s="57">
        <f>V130+V131</f>
        <v>8.9811627906976739</v>
      </c>
      <c r="W129" s="54">
        <v>120</v>
      </c>
      <c r="X129" s="57">
        <f t="shared" si="23"/>
        <v>0.77000000000000135</v>
      </c>
      <c r="Y129" s="46">
        <v>0</v>
      </c>
      <c r="Z129" s="46">
        <v>10.5</v>
      </c>
      <c r="AA129" s="46">
        <f t="shared" si="24"/>
        <v>9.7299999999999986</v>
      </c>
      <c r="AB129" s="97">
        <f>MIN(AA129:AA131)</f>
        <v>9.7299999999999986</v>
      </c>
      <c r="AC129" s="98" t="str">
        <f>IF(AB129&lt;0,"закрыт","открыт")</f>
        <v>открыт</v>
      </c>
      <c r="AD129" s="138">
        <v>0.86</v>
      </c>
      <c r="AE129" s="31"/>
    </row>
    <row r="130" spans="1:31" s="32" customFormat="1" ht="12.75" customHeight="1">
      <c r="A130" s="96"/>
      <c r="B130" s="61" t="s">
        <v>45</v>
      </c>
      <c r="C130" s="43" t="s">
        <v>119</v>
      </c>
      <c r="D130" s="64">
        <f>D129-D131</f>
        <v>2.4700000000000002</v>
      </c>
      <c r="E130" s="69">
        <f>D130</f>
        <v>2.4700000000000002</v>
      </c>
      <c r="F130" s="45"/>
      <c r="G130" s="60">
        <f t="shared" si="27"/>
        <v>0</v>
      </c>
      <c r="H130" s="43">
        <v>0</v>
      </c>
      <c r="I130" s="43">
        <v>10.5</v>
      </c>
      <c r="J130" s="60">
        <f t="shared" si="28"/>
        <v>10.5</v>
      </c>
      <c r="K130" s="97"/>
      <c r="L130" s="93"/>
      <c r="M130" s="99"/>
      <c r="N130" s="138"/>
      <c r="O130" s="30"/>
      <c r="P130" s="96"/>
      <c r="Q130" s="61" t="s">
        <v>45</v>
      </c>
      <c r="R130" s="43" t="s">
        <v>119</v>
      </c>
      <c r="S130" s="60">
        <f>S129-S131</f>
        <v>5.6511627906976747</v>
      </c>
      <c r="T130" s="57">
        <v>5.3040000000000003</v>
      </c>
      <c r="U130" s="46">
        <f t="shared" si="25"/>
        <v>8.1211627906976744</v>
      </c>
      <c r="V130" s="57">
        <f>U130</f>
        <v>8.1211627906976744</v>
      </c>
      <c r="W130" s="54"/>
      <c r="X130" s="57">
        <f t="shared" si="23"/>
        <v>0</v>
      </c>
      <c r="Y130" s="46">
        <v>0</v>
      </c>
      <c r="Z130" s="46">
        <v>10.5</v>
      </c>
      <c r="AA130" s="46">
        <f t="shared" si="24"/>
        <v>10.5</v>
      </c>
      <c r="AB130" s="97"/>
      <c r="AC130" s="99"/>
      <c r="AD130" s="138"/>
      <c r="AE130" s="31"/>
    </row>
    <row r="131" spans="1:31" s="32" customFormat="1" ht="12.75" customHeight="1">
      <c r="A131" s="96"/>
      <c r="B131" s="61" t="s">
        <v>46</v>
      </c>
      <c r="C131" s="43" t="s">
        <v>119</v>
      </c>
      <c r="D131" s="64">
        <v>1.1299999999999999</v>
      </c>
      <c r="E131" s="56">
        <v>0.86</v>
      </c>
      <c r="F131" s="45">
        <v>120</v>
      </c>
      <c r="G131" s="60">
        <f t="shared" si="27"/>
        <v>0.26999999999999991</v>
      </c>
      <c r="H131" s="43">
        <v>0</v>
      </c>
      <c r="I131" s="43">
        <v>10.5</v>
      </c>
      <c r="J131" s="60">
        <f t="shared" si="28"/>
        <v>10.23</v>
      </c>
      <c r="K131" s="97"/>
      <c r="L131" s="93"/>
      <c r="M131" s="100"/>
      <c r="N131" s="138"/>
      <c r="O131" s="30"/>
      <c r="P131" s="96"/>
      <c r="Q131" s="61" t="s">
        <v>46</v>
      </c>
      <c r="R131" s="43" t="s">
        <v>119</v>
      </c>
      <c r="S131" s="60">
        <f>T131/N129</f>
        <v>0.5</v>
      </c>
      <c r="T131" s="57">
        <v>0.43</v>
      </c>
      <c r="U131" s="46">
        <f t="shared" si="25"/>
        <v>1.63</v>
      </c>
      <c r="V131" s="57">
        <f>'[1]текущий дефицит'!E130</f>
        <v>0.86</v>
      </c>
      <c r="W131" s="54">
        <v>120</v>
      </c>
      <c r="X131" s="57">
        <f t="shared" si="23"/>
        <v>0.76999999999999991</v>
      </c>
      <c r="Y131" s="46">
        <v>0</v>
      </c>
      <c r="Z131" s="46">
        <v>10.5</v>
      </c>
      <c r="AA131" s="46">
        <f t="shared" si="24"/>
        <v>9.73</v>
      </c>
      <c r="AB131" s="97"/>
      <c r="AC131" s="100"/>
      <c r="AD131" s="138"/>
      <c r="AE131" s="31"/>
    </row>
    <row r="132" spans="1:31" s="32" customFormat="1" ht="22.5">
      <c r="A132" s="45">
        <v>97</v>
      </c>
      <c r="B132" s="47" t="s">
        <v>144</v>
      </c>
      <c r="C132" s="43" t="s">
        <v>130</v>
      </c>
      <c r="D132" s="64">
        <v>0.71</v>
      </c>
      <c r="E132" s="43">
        <v>0.17</v>
      </c>
      <c r="F132" s="45">
        <v>120</v>
      </c>
      <c r="G132" s="60">
        <f t="shared" si="27"/>
        <v>0.53999999999999992</v>
      </c>
      <c r="H132" s="43">
        <v>0</v>
      </c>
      <c r="I132" s="43">
        <v>2.625</v>
      </c>
      <c r="J132" s="60">
        <f t="shared" si="28"/>
        <v>2.085</v>
      </c>
      <c r="K132" s="48">
        <f>J132</f>
        <v>2.085</v>
      </c>
      <c r="L132" s="46">
        <f>K132*N132</f>
        <v>1.9598999999999998</v>
      </c>
      <c r="M132" s="55" t="str">
        <f>IF(K132&lt;0,"закрыт","открыт")</f>
        <v>открыт</v>
      </c>
      <c r="N132" s="55">
        <v>0.94</v>
      </c>
      <c r="O132" s="30"/>
      <c r="P132" s="45">
        <v>97</v>
      </c>
      <c r="Q132" s="53" t="s">
        <v>144</v>
      </c>
      <c r="R132" s="43" t="s">
        <v>130</v>
      </c>
      <c r="S132" s="57">
        <f>T132/N132</f>
        <v>0.13829787234042554</v>
      </c>
      <c r="T132" s="57">
        <v>0.13</v>
      </c>
      <c r="U132" s="46">
        <f t="shared" si="25"/>
        <v>0.84829787234042553</v>
      </c>
      <c r="V132" s="57">
        <f>E132</f>
        <v>0.17</v>
      </c>
      <c r="W132" s="54">
        <v>120</v>
      </c>
      <c r="X132" s="57">
        <f t="shared" si="23"/>
        <v>0.67829787234042549</v>
      </c>
      <c r="Y132" s="46">
        <v>0</v>
      </c>
      <c r="Z132" s="46">
        <v>2.625</v>
      </c>
      <c r="AA132" s="46">
        <f t="shared" si="24"/>
        <v>1.9467021276595746</v>
      </c>
      <c r="AB132" s="48">
        <f>AA132</f>
        <v>1.9467021276595746</v>
      </c>
      <c r="AC132" s="55" t="str">
        <f>IF(AB132&lt;0,"закрыт","открыт")</f>
        <v>открыт</v>
      </c>
      <c r="AD132" s="55">
        <v>0.94</v>
      </c>
      <c r="AE132" s="31"/>
    </row>
    <row r="133" spans="1:31" s="32" customFormat="1" ht="22.5">
      <c r="A133" s="45">
        <v>98</v>
      </c>
      <c r="B133" s="47" t="s">
        <v>145</v>
      </c>
      <c r="C133" s="43" t="s">
        <v>32</v>
      </c>
      <c r="D133" s="64">
        <v>2.0099999999999998</v>
      </c>
      <c r="E133" s="43">
        <v>0.19</v>
      </c>
      <c r="F133" s="45">
        <v>120</v>
      </c>
      <c r="G133" s="60">
        <f t="shared" si="27"/>
        <v>1.8199999999999998</v>
      </c>
      <c r="H133" s="43">
        <v>0</v>
      </c>
      <c r="I133" s="43">
        <v>4.2</v>
      </c>
      <c r="J133" s="60">
        <f t="shared" si="28"/>
        <v>2.3800000000000003</v>
      </c>
      <c r="K133" s="48">
        <f>J133</f>
        <v>2.3800000000000003</v>
      </c>
      <c r="L133" s="46">
        <f>K133*N133</f>
        <v>2.0944000000000003</v>
      </c>
      <c r="M133" s="55" t="str">
        <f>IF(K133&lt;0,"закрыт","открыт")</f>
        <v>открыт</v>
      </c>
      <c r="N133" s="55">
        <v>0.88</v>
      </c>
      <c r="O133" s="30"/>
      <c r="P133" s="65">
        <v>98</v>
      </c>
      <c r="Q133" s="73" t="s">
        <v>145</v>
      </c>
      <c r="R133" s="66" t="s">
        <v>32</v>
      </c>
      <c r="S133" s="67">
        <f>T133/N133</f>
        <v>3.6136363636363638</v>
      </c>
      <c r="T133" s="57">
        <v>3.18</v>
      </c>
      <c r="U133" s="67">
        <f t="shared" si="25"/>
        <v>5.6236363636363631</v>
      </c>
      <c r="V133" s="67">
        <f>E133</f>
        <v>0.19</v>
      </c>
      <c r="W133" s="66">
        <v>120</v>
      </c>
      <c r="X133" s="67">
        <f t="shared" si="23"/>
        <v>5.4336363636363627</v>
      </c>
      <c r="Y133" s="67">
        <v>0</v>
      </c>
      <c r="Z133" s="67">
        <v>4.2</v>
      </c>
      <c r="AA133" s="67">
        <f t="shared" si="24"/>
        <v>-1.2336363636363625</v>
      </c>
      <c r="AB133" s="72">
        <f>AA133</f>
        <v>-1.2336363636363625</v>
      </c>
      <c r="AC133" s="68" t="str">
        <f>IF(AB133&lt;0,"закрыт","открыт")</f>
        <v>закрыт</v>
      </c>
      <c r="AD133" s="55">
        <v>0.88</v>
      </c>
      <c r="AE133" s="31"/>
    </row>
    <row r="134" spans="1:31" s="32" customFormat="1" ht="22.5">
      <c r="A134" s="96">
        <v>99</v>
      </c>
      <c r="B134" s="47" t="s">
        <v>146</v>
      </c>
      <c r="C134" s="43" t="s">
        <v>119</v>
      </c>
      <c r="D134" s="64">
        <v>6.01</v>
      </c>
      <c r="E134" s="43">
        <f>E135+E136</f>
        <v>5.6</v>
      </c>
      <c r="F134" s="45">
        <v>120</v>
      </c>
      <c r="G134" s="60">
        <f t="shared" si="27"/>
        <v>0.41000000000000014</v>
      </c>
      <c r="H134" s="43">
        <v>0</v>
      </c>
      <c r="I134" s="43">
        <v>10.5</v>
      </c>
      <c r="J134" s="60">
        <f t="shared" si="28"/>
        <v>10.09</v>
      </c>
      <c r="K134" s="97">
        <f>MIN(J134:J136)</f>
        <v>10.09</v>
      </c>
      <c r="L134" s="93">
        <f>K134*N134</f>
        <v>8.5764999999999993</v>
      </c>
      <c r="M134" s="98" t="str">
        <f>IF(K134&lt;0,"закрыт","открыт")</f>
        <v>открыт</v>
      </c>
      <c r="N134" s="138">
        <v>0.85</v>
      </c>
      <c r="O134" s="30"/>
      <c r="P134" s="96">
        <v>99</v>
      </c>
      <c r="Q134" s="53" t="s">
        <v>146</v>
      </c>
      <c r="R134" s="43" t="s">
        <v>119</v>
      </c>
      <c r="S134" s="60">
        <f>T134/N134</f>
        <v>10.729411764705882</v>
      </c>
      <c r="T134" s="57">
        <v>9.1199999999999992</v>
      </c>
      <c r="U134" s="46">
        <f t="shared" si="25"/>
        <v>16.739411764705881</v>
      </c>
      <c r="V134" s="57">
        <f>V135+V136</f>
        <v>15.576470588235294</v>
      </c>
      <c r="W134" s="54">
        <v>120</v>
      </c>
      <c r="X134" s="57">
        <f t="shared" si="23"/>
        <v>1.1629411764705875</v>
      </c>
      <c r="Y134" s="46">
        <v>0</v>
      </c>
      <c r="Z134" s="46">
        <v>10.5</v>
      </c>
      <c r="AA134" s="46">
        <f t="shared" si="24"/>
        <v>9.3370588235294125</v>
      </c>
      <c r="AB134" s="97">
        <f>MIN(AA134:AA136)</f>
        <v>9.3370588235294125</v>
      </c>
      <c r="AC134" s="98" t="str">
        <f>IF(AB134&lt;0,"закрыт","открыт")</f>
        <v>открыт</v>
      </c>
      <c r="AD134" s="138">
        <v>0.85</v>
      </c>
      <c r="AE134" s="31"/>
    </row>
    <row r="135" spans="1:31" s="32" customFormat="1" ht="12.75" customHeight="1">
      <c r="A135" s="96"/>
      <c r="B135" s="61" t="s">
        <v>45</v>
      </c>
      <c r="C135" s="43" t="s">
        <v>119</v>
      </c>
      <c r="D135" s="64">
        <f>D134-D136</f>
        <v>5.34</v>
      </c>
      <c r="E135" s="69">
        <f>D135</f>
        <v>5.34</v>
      </c>
      <c r="F135" s="45"/>
      <c r="G135" s="60">
        <f t="shared" si="27"/>
        <v>0</v>
      </c>
      <c r="H135" s="43">
        <v>0</v>
      </c>
      <c r="I135" s="43">
        <v>10.5</v>
      </c>
      <c r="J135" s="60">
        <f t="shared" si="28"/>
        <v>10.5</v>
      </c>
      <c r="K135" s="97"/>
      <c r="L135" s="93"/>
      <c r="M135" s="99"/>
      <c r="N135" s="138"/>
      <c r="O135" s="30"/>
      <c r="P135" s="96"/>
      <c r="Q135" s="61" t="s">
        <v>45</v>
      </c>
      <c r="R135" s="43" t="s">
        <v>119</v>
      </c>
      <c r="S135" s="60">
        <f>S134-S136</f>
        <v>9.9764705882352942</v>
      </c>
      <c r="T135" s="57"/>
      <c r="U135" s="46">
        <f t="shared" si="25"/>
        <v>15.316470588235294</v>
      </c>
      <c r="V135" s="57">
        <f>U135</f>
        <v>15.316470588235294</v>
      </c>
      <c r="W135" s="54"/>
      <c r="X135" s="57">
        <f t="shared" si="23"/>
        <v>0</v>
      </c>
      <c r="Y135" s="46">
        <v>0</v>
      </c>
      <c r="Z135" s="46">
        <v>10.5</v>
      </c>
      <c r="AA135" s="46">
        <f t="shared" si="24"/>
        <v>10.5</v>
      </c>
      <c r="AB135" s="97"/>
      <c r="AC135" s="99"/>
      <c r="AD135" s="138"/>
      <c r="AE135" s="31"/>
    </row>
    <row r="136" spans="1:31" s="32" customFormat="1" ht="12.75" customHeight="1">
      <c r="A136" s="96"/>
      <c r="B136" s="61" t="s">
        <v>46</v>
      </c>
      <c r="C136" s="43" t="s">
        <v>119</v>
      </c>
      <c r="D136" s="64">
        <v>0.67</v>
      </c>
      <c r="E136" s="56">
        <v>0.26</v>
      </c>
      <c r="F136" s="45">
        <v>120</v>
      </c>
      <c r="G136" s="60">
        <f t="shared" si="27"/>
        <v>0.41000000000000003</v>
      </c>
      <c r="H136" s="43">
        <v>0</v>
      </c>
      <c r="I136" s="43">
        <v>10.5</v>
      </c>
      <c r="J136" s="60">
        <f t="shared" si="28"/>
        <v>10.09</v>
      </c>
      <c r="K136" s="97"/>
      <c r="L136" s="93"/>
      <c r="M136" s="100"/>
      <c r="N136" s="138"/>
      <c r="O136" s="30"/>
      <c r="P136" s="96"/>
      <c r="Q136" s="61" t="s">
        <v>46</v>
      </c>
      <c r="R136" s="43" t="s">
        <v>119</v>
      </c>
      <c r="S136" s="60">
        <f>T136/N134</f>
        <v>0.75294117647058822</v>
      </c>
      <c r="T136" s="57">
        <v>0.64</v>
      </c>
      <c r="U136" s="46">
        <f t="shared" si="25"/>
        <v>1.4229411764705882</v>
      </c>
      <c r="V136" s="57">
        <f>'[1]текущий дефицит'!E135</f>
        <v>0.26</v>
      </c>
      <c r="W136" s="54">
        <v>120</v>
      </c>
      <c r="X136" s="57">
        <f t="shared" si="23"/>
        <v>1.1629411764705881</v>
      </c>
      <c r="Y136" s="46">
        <v>0</v>
      </c>
      <c r="Z136" s="46">
        <v>10.5</v>
      </c>
      <c r="AA136" s="46">
        <f t="shared" si="24"/>
        <v>9.3370588235294125</v>
      </c>
      <c r="AB136" s="97"/>
      <c r="AC136" s="100"/>
      <c r="AD136" s="138"/>
      <c r="AE136" s="31"/>
    </row>
    <row r="137" spans="1:31" s="32" customFormat="1" ht="30.75" customHeight="1">
      <c r="A137" s="45">
        <v>100</v>
      </c>
      <c r="B137" s="47" t="s">
        <v>319</v>
      </c>
      <c r="C137" s="43" t="s">
        <v>24</v>
      </c>
      <c r="D137" s="64">
        <v>0.24</v>
      </c>
      <c r="E137" s="43">
        <v>0.01</v>
      </c>
      <c r="F137" s="45">
        <v>120</v>
      </c>
      <c r="G137" s="60">
        <f>D137-E137</f>
        <v>0.22999999999999998</v>
      </c>
      <c r="H137" s="43">
        <v>0</v>
      </c>
      <c r="I137" s="43">
        <v>1.68</v>
      </c>
      <c r="J137" s="60">
        <f>I137-G137-H137</f>
        <v>1.45</v>
      </c>
      <c r="K137" s="48">
        <f>J137</f>
        <v>1.45</v>
      </c>
      <c r="L137" s="46">
        <f>K137*N137</f>
        <v>1.276</v>
      </c>
      <c r="M137" s="55" t="str">
        <f>IF(K137&lt;0,"закрыт","открыт")</f>
        <v>открыт</v>
      </c>
      <c r="N137" s="55">
        <v>0.88</v>
      </c>
      <c r="O137" s="30"/>
      <c r="P137" s="45">
        <v>100</v>
      </c>
      <c r="Q137" s="53" t="s">
        <v>319</v>
      </c>
      <c r="R137" s="43" t="s">
        <v>24</v>
      </c>
      <c r="S137" s="57">
        <f>T137/N137</f>
        <v>0</v>
      </c>
      <c r="T137" s="57">
        <v>0</v>
      </c>
      <c r="U137" s="46">
        <f>D137+S137</f>
        <v>0.24</v>
      </c>
      <c r="V137" s="57">
        <f>E137</f>
        <v>0.01</v>
      </c>
      <c r="W137" s="54">
        <v>120</v>
      </c>
      <c r="X137" s="57">
        <f>U137-V137</f>
        <v>0.22999999999999998</v>
      </c>
      <c r="Y137" s="46">
        <v>0</v>
      </c>
      <c r="Z137" s="46">
        <v>1.68</v>
      </c>
      <c r="AA137" s="46">
        <f>Z137-Y137-X137</f>
        <v>1.45</v>
      </c>
      <c r="AB137" s="48">
        <f>AA137</f>
        <v>1.45</v>
      </c>
      <c r="AC137" s="55" t="str">
        <f>IF(AB137&lt;0,"закрыт","открыт")</f>
        <v>открыт</v>
      </c>
      <c r="AD137" s="55">
        <v>0.88</v>
      </c>
      <c r="AE137" s="31"/>
    </row>
    <row r="138" spans="1:31" s="32" customFormat="1" ht="22.5">
      <c r="A138" s="96">
        <v>101</v>
      </c>
      <c r="B138" s="47" t="s">
        <v>147</v>
      </c>
      <c r="C138" s="43" t="s">
        <v>119</v>
      </c>
      <c r="D138" s="64">
        <v>3.53</v>
      </c>
      <c r="E138" s="43">
        <f>E139+E140</f>
        <v>1.3199999999999998</v>
      </c>
      <c r="F138" s="45">
        <v>120</v>
      </c>
      <c r="G138" s="60">
        <f t="shared" si="27"/>
        <v>2.21</v>
      </c>
      <c r="H138" s="43">
        <v>0</v>
      </c>
      <c r="I138" s="43">
        <v>10.5</v>
      </c>
      <c r="J138" s="60">
        <f t="shared" si="28"/>
        <v>8.2899999999999991</v>
      </c>
      <c r="K138" s="97">
        <f>MIN(J138:J140)</f>
        <v>8.2899999999999991</v>
      </c>
      <c r="L138" s="93">
        <f>K138*N138</f>
        <v>6.8806999999999992</v>
      </c>
      <c r="M138" s="98" t="str">
        <f>IF(K138&lt;0,"закрыт","открыт")</f>
        <v>открыт</v>
      </c>
      <c r="N138" s="138">
        <v>0.83</v>
      </c>
      <c r="O138" s="30"/>
      <c r="P138" s="96">
        <v>101</v>
      </c>
      <c r="Q138" s="53" t="s">
        <v>147</v>
      </c>
      <c r="R138" s="43" t="s">
        <v>119</v>
      </c>
      <c r="S138" s="60">
        <f>T138/N138</f>
        <v>1.9879518072289157</v>
      </c>
      <c r="T138" s="57">
        <v>1.65</v>
      </c>
      <c r="U138" s="46">
        <f t="shared" si="25"/>
        <v>5.5179518072289158</v>
      </c>
      <c r="V138" s="57">
        <f>V139+V140</f>
        <v>1.8862650602409639</v>
      </c>
      <c r="W138" s="54">
        <v>120</v>
      </c>
      <c r="X138" s="57">
        <f t="shared" si="23"/>
        <v>3.6316867469879517</v>
      </c>
      <c r="Y138" s="46">
        <v>0</v>
      </c>
      <c r="Z138" s="46">
        <v>10.5</v>
      </c>
      <c r="AA138" s="46">
        <f t="shared" si="24"/>
        <v>6.8683132530120483</v>
      </c>
      <c r="AB138" s="97">
        <f>MIN(AA138:AA140)</f>
        <v>6.8683132530120483</v>
      </c>
      <c r="AC138" s="98" t="str">
        <f>IF(AB138&lt;0,"закрыт","открыт")</f>
        <v>открыт</v>
      </c>
      <c r="AD138" s="138">
        <v>0.83</v>
      </c>
      <c r="AE138" s="31"/>
    </row>
    <row r="139" spans="1:31" s="32" customFormat="1" ht="12.75" customHeight="1">
      <c r="A139" s="96"/>
      <c r="B139" s="61" t="s">
        <v>45</v>
      </c>
      <c r="C139" s="43" t="s">
        <v>119</v>
      </c>
      <c r="D139" s="64">
        <f>D138-D140</f>
        <v>0.85999999999999988</v>
      </c>
      <c r="E139" s="69">
        <f>D139</f>
        <v>0.85999999999999988</v>
      </c>
      <c r="F139" s="45"/>
      <c r="G139" s="60">
        <f t="shared" si="27"/>
        <v>0</v>
      </c>
      <c r="H139" s="43">
        <v>0</v>
      </c>
      <c r="I139" s="43">
        <v>10.5</v>
      </c>
      <c r="J139" s="60">
        <f t="shared" si="28"/>
        <v>10.5</v>
      </c>
      <c r="K139" s="97"/>
      <c r="L139" s="93"/>
      <c r="M139" s="99"/>
      <c r="N139" s="138"/>
      <c r="O139" s="30"/>
      <c r="P139" s="96"/>
      <c r="Q139" s="61" t="s">
        <v>45</v>
      </c>
      <c r="R139" s="43" t="s">
        <v>119</v>
      </c>
      <c r="S139" s="60">
        <f>S138-S140</f>
        <v>0.56626506024096401</v>
      </c>
      <c r="T139" s="57">
        <v>1.0285</v>
      </c>
      <c r="U139" s="46">
        <f t="shared" si="25"/>
        <v>1.4262650602409639</v>
      </c>
      <c r="V139" s="57">
        <f>U139</f>
        <v>1.4262650602409639</v>
      </c>
      <c r="W139" s="54"/>
      <c r="X139" s="57">
        <f t="shared" si="23"/>
        <v>0</v>
      </c>
      <c r="Y139" s="46">
        <v>0</v>
      </c>
      <c r="Z139" s="46">
        <v>10.5</v>
      </c>
      <c r="AA139" s="46">
        <f t="shared" si="24"/>
        <v>10.5</v>
      </c>
      <c r="AB139" s="97"/>
      <c r="AC139" s="99"/>
      <c r="AD139" s="138"/>
      <c r="AE139" s="31"/>
    </row>
    <row r="140" spans="1:31" s="32" customFormat="1" ht="12.75" customHeight="1">
      <c r="A140" s="96"/>
      <c r="B140" s="61" t="s">
        <v>46</v>
      </c>
      <c r="C140" s="43" t="s">
        <v>119</v>
      </c>
      <c r="D140" s="64">
        <v>2.67</v>
      </c>
      <c r="E140" s="56">
        <v>0.46</v>
      </c>
      <c r="F140" s="45">
        <v>120</v>
      </c>
      <c r="G140" s="60">
        <f t="shared" si="27"/>
        <v>2.21</v>
      </c>
      <c r="H140" s="43">
        <v>0</v>
      </c>
      <c r="I140" s="43">
        <v>10.5</v>
      </c>
      <c r="J140" s="60">
        <f t="shared" si="28"/>
        <v>8.2899999999999991</v>
      </c>
      <c r="K140" s="97"/>
      <c r="L140" s="93"/>
      <c r="M140" s="100"/>
      <c r="N140" s="138"/>
      <c r="O140" s="30"/>
      <c r="P140" s="96"/>
      <c r="Q140" s="61" t="s">
        <v>46</v>
      </c>
      <c r="R140" s="43" t="s">
        <v>119</v>
      </c>
      <c r="S140" s="60">
        <f>T140/N138</f>
        <v>1.4216867469879517</v>
      </c>
      <c r="T140" s="57">
        <v>1.18</v>
      </c>
      <c r="U140" s="46">
        <f t="shared" si="25"/>
        <v>4.0916867469879517</v>
      </c>
      <c r="V140" s="57">
        <f>'[1]текущий дефицит'!E138</f>
        <v>0.46</v>
      </c>
      <c r="W140" s="54">
        <v>120</v>
      </c>
      <c r="X140" s="57">
        <f t="shared" si="23"/>
        <v>3.6316867469879517</v>
      </c>
      <c r="Y140" s="46">
        <v>0</v>
      </c>
      <c r="Z140" s="46">
        <v>10.5</v>
      </c>
      <c r="AA140" s="46">
        <f t="shared" si="24"/>
        <v>6.8683132530120483</v>
      </c>
      <c r="AB140" s="97"/>
      <c r="AC140" s="100"/>
      <c r="AD140" s="138"/>
      <c r="AE140" s="31"/>
    </row>
    <row r="141" spans="1:31" s="32" customFormat="1" ht="22.5">
      <c r="A141" s="45">
        <v>102</v>
      </c>
      <c r="B141" s="47" t="s">
        <v>148</v>
      </c>
      <c r="C141" s="43" t="s">
        <v>130</v>
      </c>
      <c r="D141" s="64">
        <v>0.33</v>
      </c>
      <c r="E141" s="43">
        <v>0.01</v>
      </c>
      <c r="F141" s="45">
        <v>120</v>
      </c>
      <c r="G141" s="60">
        <f t="shared" si="27"/>
        <v>0.32</v>
      </c>
      <c r="H141" s="43">
        <v>0</v>
      </c>
      <c r="I141" s="43">
        <v>2.625</v>
      </c>
      <c r="J141" s="60">
        <f t="shared" si="28"/>
        <v>2.3050000000000002</v>
      </c>
      <c r="K141" s="48">
        <f>J141</f>
        <v>2.3050000000000002</v>
      </c>
      <c r="L141" s="46">
        <f>K141*N141</f>
        <v>2.0284</v>
      </c>
      <c r="M141" s="55" t="str">
        <f>IF(K141&lt;0,"закрыт","открыт")</f>
        <v>открыт</v>
      </c>
      <c r="N141" s="55">
        <v>0.88</v>
      </c>
      <c r="O141" s="30"/>
      <c r="P141" s="45">
        <v>102</v>
      </c>
      <c r="Q141" s="53" t="s">
        <v>148</v>
      </c>
      <c r="R141" s="43" t="s">
        <v>130</v>
      </c>
      <c r="S141" s="57">
        <f>T141/N141</f>
        <v>1.8181818181818181E-2</v>
      </c>
      <c r="T141" s="48">
        <v>1.6E-2</v>
      </c>
      <c r="U141" s="46">
        <f t="shared" si="25"/>
        <v>0.3481818181818182</v>
      </c>
      <c r="V141" s="57">
        <f>E141</f>
        <v>0.01</v>
      </c>
      <c r="W141" s="54">
        <v>120</v>
      </c>
      <c r="X141" s="57">
        <f t="shared" si="23"/>
        <v>0.33818181818181819</v>
      </c>
      <c r="Y141" s="46">
        <v>0</v>
      </c>
      <c r="Z141" s="46">
        <v>2.625</v>
      </c>
      <c r="AA141" s="46">
        <f t="shared" si="24"/>
        <v>2.2868181818181816</v>
      </c>
      <c r="AB141" s="48">
        <f>AA141</f>
        <v>2.2868181818181816</v>
      </c>
      <c r="AC141" s="55" t="str">
        <f>IF(AB141&lt;0,"закрыт","открыт")</f>
        <v>открыт</v>
      </c>
      <c r="AD141" s="55">
        <v>0.88</v>
      </c>
      <c r="AE141" s="31"/>
    </row>
    <row r="142" spans="1:31" s="32" customFormat="1" ht="22.5">
      <c r="A142" s="45">
        <v>103</v>
      </c>
      <c r="B142" s="47" t="s">
        <v>149</v>
      </c>
      <c r="C142" s="43" t="s">
        <v>130</v>
      </c>
      <c r="D142" s="64">
        <v>0.12</v>
      </c>
      <c r="E142" s="43">
        <v>0.26</v>
      </c>
      <c r="F142" s="45">
        <v>120</v>
      </c>
      <c r="G142" s="60">
        <f t="shared" si="27"/>
        <v>-0.14000000000000001</v>
      </c>
      <c r="H142" s="43">
        <v>0</v>
      </c>
      <c r="I142" s="43">
        <v>2.625</v>
      </c>
      <c r="J142" s="60">
        <f t="shared" si="28"/>
        <v>2.7650000000000001</v>
      </c>
      <c r="K142" s="48">
        <f>J142</f>
        <v>2.7650000000000001</v>
      </c>
      <c r="L142" s="46">
        <f>K142*N142</f>
        <v>2.4885000000000002</v>
      </c>
      <c r="M142" s="55" t="str">
        <f>IF(K142&lt;0,"закрыт","открыт")</f>
        <v>открыт</v>
      </c>
      <c r="N142" s="55">
        <v>0.9</v>
      </c>
      <c r="O142" s="30"/>
      <c r="P142" s="45">
        <v>103</v>
      </c>
      <c r="Q142" s="53" t="s">
        <v>149</v>
      </c>
      <c r="R142" s="43" t="s">
        <v>130</v>
      </c>
      <c r="S142" s="57">
        <f>T142/N142</f>
        <v>0.37777777777777777</v>
      </c>
      <c r="T142" s="57">
        <v>0.34</v>
      </c>
      <c r="U142" s="46">
        <f t="shared" si="25"/>
        <v>0.49777777777777776</v>
      </c>
      <c r="V142" s="57">
        <f>E142</f>
        <v>0.26</v>
      </c>
      <c r="W142" s="54">
        <v>120</v>
      </c>
      <c r="X142" s="57">
        <f t="shared" si="23"/>
        <v>0.23777777777777775</v>
      </c>
      <c r="Y142" s="46">
        <v>0</v>
      </c>
      <c r="Z142" s="46">
        <v>2.625</v>
      </c>
      <c r="AA142" s="46">
        <f t="shared" si="24"/>
        <v>2.3872222222222224</v>
      </c>
      <c r="AB142" s="48">
        <f>AA142</f>
        <v>2.3872222222222224</v>
      </c>
      <c r="AC142" s="55" t="str">
        <f>IF(AB142&lt;0,"закрыт","открыт")</f>
        <v>открыт</v>
      </c>
      <c r="AD142" s="55">
        <v>0.9</v>
      </c>
      <c r="AE142" s="31"/>
    </row>
    <row r="143" spans="1:31" s="32" customFormat="1" ht="22.5">
      <c r="A143" s="45">
        <v>104</v>
      </c>
      <c r="B143" s="47" t="s">
        <v>150</v>
      </c>
      <c r="C143" s="43" t="s">
        <v>130</v>
      </c>
      <c r="D143" s="64">
        <v>1.51</v>
      </c>
      <c r="E143" s="43">
        <v>0.49</v>
      </c>
      <c r="F143" s="45">
        <v>120</v>
      </c>
      <c r="G143" s="60">
        <f t="shared" si="27"/>
        <v>1.02</v>
      </c>
      <c r="H143" s="43">
        <v>0</v>
      </c>
      <c r="I143" s="43">
        <v>2.625</v>
      </c>
      <c r="J143" s="60">
        <f t="shared" si="28"/>
        <v>1.605</v>
      </c>
      <c r="K143" s="48">
        <f>J143</f>
        <v>1.605</v>
      </c>
      <c r="L143" s="46">
        <f>K143*N143</f>
        <v>1.4124000000000001</v>
      </c>
      <c r="M143" s="55" t="str">
        <f>IF(K143&lt;0,"закрыт","открыт")</f>
        <v>открыт</v>
      </c>
      <c r="N143" s="55">
        <v>0.88</v>
      </c>
      <c r="O143" s="30"/>
      <c r="P143" s="45">
        <v>104</v>
      </c>
      <c r="Q143" s="53" t="s">
        <v>150</v>
      </c>
      <c r="R143" s="43" t="s">
        <v>130</v>
      </c>
      <c r="S143" s="57">
        <f>T143/N143</f>
        <v>0.51136363636363635</v>
      </c>
      <c r="T143" s="57">
        <v>0.45</v>
      </c>
      <c r="U143" s="46">
        <f t="shared" si="25"/>
        <v>2.0213636363636365</v>
      </c>
      <c r="V143" s="57">
        <f>E143</f>
        <v>0.49</v>
      </c>
      <c r="W143" s="54">
        <v>120</v>
      </c>
      <c r="X143" s="57">
        <f t="shared" si="23"/>
        <v>1.5313636363636365</v>
      </c>
      <c r="Y143" s="46">
        <v>0</v>
      </c>
      <c r="Z143" s="46">
        <v>2.625</v>
      </c>
      <c r="AA143" s="46">
        <f t="shared" si="24"/>
        <v>1.0936363636363635</v>
      </c>
      <c r="AB143" s="48">
        <f>AA143</f>
        <v>1.0936363636363635</v>
      </c>
      <c r="AC143" s="55" t="str">
        <f>IF(AB143&lt;0,"закрыт","открыт")</f>
        <v>открыт</v>
      </c>
      <c r="AD143" s="55">
        <v>0.88</v>
      </c>
      <c r="AE143" s="31"/>
    </row>
    <row r="144" spans="1:31" s="32" customFormat="1" ht="22.5">
      <c r="A144" s="113">
        <f>A143+1</f>
        <v>105</v>
      </c>
      <c r="B144" s="47" t="s">
        <v>151</v>
      </c>
      <c r="C144" s="43" t="s">
        <v>119</v>
      </c>
      <c r="D144" s="64">
        <v>5.61</v>
      </c>
      <c r="E144" s="43">
        <f>E145+E146</f>
        <v>1.5</v>
      </c>
      <c r="F144" s="45">
        <v>120</v>
      </c>
      <c r="G144" s="60">
        <f t="shared" si="27"/>
        <v>4.1100000000000003</v>
      </c>
      <c r="H144" s="43">
        <v>0</v>
      </c>
      <c r="I144" s="43">
        <v>10.5</v>
      </c>
      <c r="J144" s="60">
        <f t="shared" si="28"/>
        <v>6.39</v>
      </c>
      <c r="K144" s="97">
        <f>MIN(J144:J146)</f>
        <v>6.39</v>
      </c>
      <c r="L144" s="93">
        <f>K144*N144</f>
        <v>6.0065999999999997</v>
      </c>
      <c r="M144" s="98" t="str">
        <f>IF(K144&lt;0,"закрыт","открыт")</f>
        <v>открыт</v>
      </c>
      <c r="N144" s="138">
        <v>0.94</v>
      </c>
      <c r="O144" s="30"/>
      <c r="P144" s="113">
        <f>P143+1</f>
        <v>105</v>
      </c>
      <c r="Q144" s="53" t="s">
        <v>151</v>
      </c>
      <c r="R144" s="43" t="s">
        <v>119</v>
      </c>
      <c r="S144" s="60">
        <f>T144/N144</f>
        <v>3.4680851063829787</v>
      </c>
      <c r="T144" s="57">
        <v>3.26</v>
      </c>
      <c r="U144" s="46">
        <f t="shared" si="25"/>
        <v>9.0780851063829786</v>
      </c>
      <c r="V144" s="57">
        <f>V145+V146</f>
        <v>1.7978723404255317</v>
      </c>
      <c r="W144" s="54">
        <v>120</v>
      </c>
      <c r="X144" s="57">
        <f t="shared" si="23"/>
        <v>7.2802127659574474</v>
      </c>
      <c r="Y144" s="46">
        <v>0</v>
      </c>
      <c r="Z144" s="46">
        <v>10.5</v>
      </c>
      <c r="AA144" s="46">
        <f t="shared" si="24"/>
        <v>3.2197872340425526</v>
      </c>
      <c r="AB144" s="97">
        <f>MIN(AA144:AA146)</f>
        <v>3.2197872340425526</v>
      </c>
      <c r="AC144" s="98" t="str">
        <f>IF(AB144&lt;0,"закрыт","открыт")</f>
        <v>открыт</v>
      </c>
      <c r="AD144" s="138">
        <v>0.94</v>
      </c>
      <c r="AE144" s="31"/>
    </row>
    <row r="145" spans="1:31" s="32" customFormat="1" ht="12.75" customHeight="1">
      <c r="A145" s="114"/>
      <c r="B145" s="61" t="s">
        <v>45</v>
      </c>
      <c r="C145" s="43" t="s">
        <v>119</v>
      </c>
      <c r="D145" s="64">
        <f>D144-D146</f>
        <v>0.83000000000000007</v>
      </c>
      <c r="E145" s="69">
        <f>D145</f>
        <v>0.83000000000000007</v>
      </c>
      <c r="F145" s="45"/>
      <c r="G145" s="60">
        <f t="shared" si="27"/>
        <v>0</v>
      </c>
      <c r="H145" s="43">
        <v>0</v>
      </c>
      <c r="I145" s="43">
        <v>10.5</v>
      </c>
      <c r="J145" s="60">
        <f t="shared" si="28"/>
        <v>10.5</v>
      </c>
      <c r="K145" s="97"/>
      <c r="L145" s="93"/>
      <c r="M145" s="99"/>
      <c r="N145" s="138"/>
      <c r="O145" s="30"/>
      <c r="P145" s="114"/>
      <c r="Q145" s="61" t="s">
        <v>45</v>
      </c>
      <c r="R145" s="43" t="s">
        <v>119</v>
      </c>
      <c r="S145" s="60">
        <f>S144-S146</f>
        <v>0.29787234042553168</v>
      </c>
      <c r="T145" s="57">
        <v>0.16149999999999995</v>
      </c>
      <c r="U145" s="46">
        <f t="shared" si="25"/>
        <v>1.1278723404255317</v>
      </c>
      <c r="V145" s="57">
        <f>U145</f>
        <v>1.1278723404255317</v>
      </c>
      <c r="W145" s="54">
        <v>120</v>
      </c>
      <c r="X145" s="57">
        <f t="shared" ref="X145:X208" si="35">U145-V145</f>
        <v>0</v>
      </c>
      <c r="Y145" s="46">
        <v>0</v>
      </c>
      <c r="Z145" s="46">
        <v>10.5</v>
      </c>
      <c r="AA145" s="46">
        <f t="shared" ref="AA145:AA208" si="36">Z145-Y145-X145</f>
        <v>10.5</v>
      </c>
      <c r="AB145" s="97"/>
      <c r="AC145" s="99"/>
      <c r="AD145" s="138"/>
      <c r="AE145" s="31"/>
    </row>
    <row r="146" spans="1:31" s="32" customFormat="1" ht="12.75" customHeight="1">
      <c r="A146" s="115"/>
      <c r="B146" s="61" t="s">
        <v>46</v>
      </c>
      <c r="C146" s="43" t="s">
        <v>119</v>
      </c>
      <c r="D146" s="64">
        <v>4.78</v>
      </c>
      <c r="E146" s="56">
        <v>0.67</v>
      </c>
      <c r="F146" s="45">
        <v>120</v>
      </c>
      <c r="G146" s="60">
        <f t="shared" si="27"/>
        <v>4.1100000000000003</v>
      </c>
      <c r="H146" s="43">
        <v>0</v>
      </c>
      <c r="I146" s="43">
        <v>10.5</v>
      </c>
      <c r="J146" s="60">
        <f t="shared" si="28"/>
        <v>6.39</v>
      </c>
      <c r="K146" s="97"/>
      <c r="L146" s="93"/>
      <c r="M146" s="100"/>
      <c r="N146" s="138"/>
      <c r="O146" s="30"/>
      <c r="P146" s="115"/>
      <c r="Q146" s="61" t="s">
        <v>46</v>
      </c>
      <c r="R146" s="43" t="s">
        <v>119</v>
      </c>
      <c r="S146" s="60">
        <f>T146/N144</f>
        <v>3.1702127659574471</v>
      </c>
      <c r="T146" s="57">
        <v>2.98</v>
      </c>
      <c r="U146" s="46">
        <f t="shared" ref="U146:U209" si="37">D146+S146</f>
        <v>7.9502127659574473</v>
      </c>
      <c r="V146" s="57">
        <f>'[1]текущий дефицит'!E144</f>
        <v>0.67</v>
      </c>
      <c r="W146" s="54">
        <v>120</v>
      </c>
      <c r="X146" s="57">
        <f t="shared" si="35"/>
        <v>7.2802127659574474</v>
      </c>
      <c r="Y146" s="46">
        <v>0</v>
      </c>
      <c r="Z146" s="46">
        <v>10.5</v>
      </c>
      <c r="AA146" s="46">
        <f t="shared" si="36"/>
        <v>3.2197872340425526</v>
      </c>
      <c r="AB146" s="97"/>
      <c r="AC146" s="100"/>
      <c r="AD146" s="138"/>
      <c r="AE146" s="31"/>
    </row>
    <row r="147" spans="1:31" s="32" customFormat="1" ht="22.5">
      <c r="A147" s="45">
        <v>106</v>
      </c>
      <c r="B147" s="47" t="s">
        <v>152</v>
      </c>
      <c r="C147" s="43" t="s">
        <v>130</v>
      </c>
      <c r="D147" s="64">
        <v>0.37</v>
      </c>
      <c r="E147" s="43">
        <v>0.09</v>
      </c>
      <c r="F147" s="45">
        <v>120</v>
      </c>
      <c r="G147" s="60">
        <f t="shared" si="27"/>
        <v>0.28000000000000003</v>
      </c>
      <c r="H147" s="43">
        <v>0</v>
      </c>
      <c r="I147" s="43">
        <v>2.625</v>
      </c>
      <c r="J147" s="60">
        <f t="shared" si="28"/>
        <v>2.3449999999999998</v>
      </c>
      <c r="K147" s="48">
        <f>J147</f>
        <v>2.3449999999999998</v>
      </c>
      <c r="L147" s="46">
        <f>K147*N147</f>
        <v>2.3215499999999998</v>
      </c>
      <c r="M147" s="55" t="str">
        <f>IF(K147&lt;0,"закрыт","открыт")</f>
        <v>открыт</v>
      </c>
      <c r="N147" s="55">
        <v>0.99</v>
      </c>
      <c r="O147" s="30"/>
      <c r="P147" s="45">
        <v>106</v>
      </c>
      <c r="Q147" s="53" t="s">
        <v>152</v>
      </c>
      <c r="R147" s="43" t="s">
        <v>130</v>
      </c>
      <c r="S147" s="57">
        <f>T147/N147</f>
        <v>6.0606060606060608E-2</v>
      </c>
      <c r="T147" s="57">
        <v>0.06</v>
      </c>
      <c r="U147" s="46">
        <f t="shared" si="37"/>
        <v>0.4306060606060606</v>
      </c>
      <c r="V147" s="57">
        <f>E147</f>
        <v>0.09</v>
      </c>
      <c r="W147" s="54">
        <v>120</v>
      </c>
      <c r="X147" s="57">
        <f t="shared" si="35"/>
        <v>0.34060606060606058</v>
      </c>
      <c r="Y147" s="46">
        <v>0</v>
      </c>
      <c r="Z147" s="46">
        <v>2.625</v>
      </c>
      <c r="AA147" s="46">
        <f t="shared" si="36"/>
        <v>2.2843939393939392</v>
      </c>
      <c r="AB147" s="48">
        <f>AA147</f>
        <v>2.2843939393939392</v>
      </c>
      <c r="AC147" s="55" t="str">
        <f>IF(AB147&lt;0,"закрыт","открыт")</f>
        <v>открыт</v>
      </c>
      <c r="AD147" s="55">
        <v>0.99</v>
      </c>
      <c r="AE147" s="31"/>
    </row>
    <row r="148" spans="1:31" s="32" customFormat="1" ht="22.5">
      <c r="A148" s="96">
        <v>107</v>
      </c>
      <c r="B148" s="47" t="s">
        <v>153</v>
      </c>
      <c r="C148" s="43" t="s">
        <v>20</v>
      </c>
      <c r="D148" s="64">
        <v>5.78</v>
      </c>
      <c r="E148" s="43">
        <f>E149+E150</f>
        <v>1.47</v>
      </c>
      <c r="F148" s="45">
        <v>120</v>
      </c>
      <c r="G148" s="60">
        <f t="shared" si="27"/>
        <v>4.3100000000000005</v>
      </c>
      <c r="H148" s="43">
        <v>0</v>
      </c>
      <c r="I148" s="43">
        <v>10.5</v>
      </c>
      <c r="J148" s="60">
        <f t="shared" si="28"/>
        <v>6.1899999999999995</v>
      </c>
      <c r="K148" s="97">
        <f>MIN(J148:J150)</f>
        <v>6.1899999999999995</v>
      </c>
      <c r="L148" s="93">
        <f>K148*N148</f>
        <v>5.7566999999999995</v>
      </c>
      <c r="M148" s="98" t="str">
        <f>IF(K148&lt;0,"закрыт","открыт")</f>
        <v>открыт</v>
      </c>
      <c r="N148" s="138">
        <v>0.93</v>
      </c>
      <c r="O148" s="30"/>
      <c r="P148" s="96">
        <v>107</v>
      </c>
      <c r="Q148" s="53" t="s">
        <v>153</v>
      </c>
      <c r="R148" s="43" t="s">
        <v>20</v>
      </c>
      <c r="S148" s="60">
        <f>T148/N148</f>
        <v>1.7526881720430105</v>
      </c>
      <c r="T148" s="57">
        <v>1.63</v>
      </c>
      <c r="U148" s="46">
        <f t="shared" si="37"/>
        <v>7.5326881720430112</v>
      </c>
      <c r="V148" s="57">
        <f>V149+V150</f>
        <v>1.814086021505376</v>
      </c>
      <c r="W148" s="54">
        <v>120</v>
      </c>
      <c r="X148" s="57">
        <f t="shared" si="35"/>
        <v>5.7186021505376354</v>
      </c>
      <c r="Y148" s="46">
        <v>0</v>
      </c>
      <c r="Z148" s="46">
        <v>10.5</v>
      </c>
      <c r="AA148" s="46">
        <f t="shared" si="36"/>
        <v>4.7813978494623646</v>
      </c>
      <c r="AB148" s="97">
        <f>MIN(AA148:AA150)</f>
        <v>4.7813978494623646</v>
      </c>
      <c r="AC148" s="98" t="str">
        <f>IF(AB148&lt;0,"закрыт","открыт")</f>
        <v>открыт</v>
      </c>
      <c r="AD148" s="138">
        <v>0.93</v>
      </c>
      <c r="AE148" s="31"/>
    </row>
    <row r="149" spans="1:31" s="32" customFormat="1" ht="12.75" customHeight="1">
      <c r="A149" s="96"/>
      <c r="B149" s="61" t="s">
        <v>45</v>
      </c>
      <c r="C149" s="43" t="s">
        <v>20</v>
      </c>
      <c r="D149" s="64">
        <f>D148-D150</f>
        <v>1.29</v>
      </c>
      <c r="E149" s="69">
        <f>D149</f>
        <v>1.29</v>
      </c>
      <c r="F149" s="45"/>
      <c r="G149" s="60">
        <f>D149-E149</f>
        <v>0</v>
      </c>
      <c r="H149" s="43">
        <v>0</v>
      </c>
      <c r="I149" s="43">
        <v>10.5</v>
      </c>
      <c r="J149" s="60">
        <f>I149-G149-H149</f>
        <v>10.5</v>
      </c>
      <c r="K149" s="97"/>
      <c r="L149" s="93"/>
      <c r="M149" s="99"/>
      <c r="N149" s="138"/>
      <c r="O149" s="30"/>
      <c r="P149" s="96"/>
      <c r="Q149" s="61" t="s">
        <v>45</v>
      </c>
      <c r="R149" s="43" t="s">
        <v>20</v>
      </c>
      <c r="S149" s="60">
        <f>S148-S150</f>
        <v>0.34408602150537604</v>
      </c>
      <c r="T149" s="57">
        <v>0.37400000000000011</v>
      </c>
      <c r="U149" s="46">
        <f t="shared" si="37"/>
        <v>1.6340860215053761</v>
      </c>
      <c r="V149" s="57">
        <f>U149</f>
        <v>1.6340860215053761</v>
      </c>
      <c r="W149" s="54"/>
      <c r="X149" s="57">
        <f t="shared" si="35"/>
        <v>0</v>
      </c>
      <c r="Y149" s="46">
        <v>0</v>
      </c>
      <c r="Z149" s="46">
        <v>10.5</v>
      </c>
      <c r="AA149" s="46">
        <f t="shared" si="36"/>
        <v>10.5</v>
      </c>
      <c r="AB149" s="97"/>
      <c r="AC149" s="99"/>
      <c r="AD149" s="138"/>
      <c r="AE149" s="31"/>
    </row>
    <row r="150" spans="1:31" s="32" customFormat="1" ht="12.75" customHeight="1">
      <c r="A150" s="96"/>
      <c r="B150" s="61" t="s">
        <v>46</v>
      </c>
      <c r="C150" s="43" t="s">
        <v>20</v>
      </c>
      <c r="D150" s="64">
        <v>4.49</v>
      </c>
      <c r="E150" s="56">
        <v>0.18</v>
      </c>
      <c r="F150" s="45">
        <v>120</v>
      </c>
      <c r="G150" s="60">
        <f>D150-E150</f>
        <v>4.3100000000000005</v>
      </c>
      <c r="H150" s="43">
        <v>0</v>
      </c>
      <c r="I150" s="43">
        <v>10.5</v>
      </c>
      <c r="J150" s="60">
        <f>I150-G150-H150</f>
        <v>6.1899999999999995</v>
      </c>
      <c r="K150" s="97"/>
      <c r="L150" s="93"/>
      <c r="M150" s="100"/>
      <c r="N150" s="138"/>
      <c r="O150" s="30"/>
      <c r="P150" s="96"/>
      <c r="Q150" s="61" t="s">
        <v>46</v>
      </c>
      <c r="R150" s="43" t="s">
        <v>20</v>
      </c>
      <c r="S150" s="60">
        <f>T150/N148</f>
        <v>1.4086021505376345</v>
      </c>
      <c r="T150" s="57">
        <v>1.31</v>
      </c>
      <c r="U150" s="46">
        <f t="shared" si="37"/>
        <v>5.8986021505376343</v>
      </c>
      <c r="V150" s="57">
        <f>'[1]текущий дефицит'!E148</f>
        <v>0.18</v>
      </c>
      <c r="W150" s="54">
        <v>120</v>
      </c>
      <c r="X150" s="57">
        <f t="shared" si="35"/>
        <v>5.7186021505376345</v>
      </c>
      <c r="Y150" s="46">
        <v>0</v>
      </c>
      <c r="Z150" s="46">
        <v>10.5</v>
      </c>
      <c r="AA150" s="46">
        <f t="shared" si="36"/>
        <v>4.7813978494623655</v>
      </c>
      <c r="AB150" s="97"/>
      <c r="AC150" s="100"/>
      <c r="AD150" s="138"/>
      <c r="AE150" s="31"/>
    </row>
    <row r="151" spans="1:31" s="32" customFormat="1" ht="22.5">
      <c r="A151" s="45">
        <v>108</v>
      </c>
      <c r="B151" s="47" t="s">
        <v>154</v>
      </c>
      <c r="C151" s="43" t="s">
        <v>130</v>
      </c>
      <c r="D151" s="64">
        <v>0.4</v>
      </c>
      <c r="E151" s="43">
        <v>0.17</v>
      </c>
      <c r="F151" s="45">
        <v>120</v>
      </c>
      <c r="G151" s="60">
        <f t="shared" si="27"/>
        <v>0.23</v>
      </c>
      <c r="H151" s="43">
        <v>0</v>
      </c>
      <c r="I151" s="43">
        <v>2.625</v>
      </c>
      <c r="J151" s="60">
        <f t="shared" si="28"/>
        <v>2.395</v>
      </c>
      <c r="K151" s="48">
        <f>J151</f>
        <v>2.395</v>
      </c>
      <c r="L151" s="46">
        <f>K151*N151</f>
        <v>2.1794500000000001</v>
      </c>
      <c r="M151" s="55" t="str">
        <f>IF(K151&lt;0,"закрыт","открыт")</f>
        <v>открыт</v>
      </c>
      <c r="N151" s="55">
        <v>0.91</v>
      </c>
      <c r="O151" s="30"/>
      <c r="P151" s="45">
        <v>108</v>
      </c>
      <c r="Q151" s="53" t="s">
        <v>154</v>
      </c>
      <c r="R151" s="43" t="s">
        <v>130</v>
      </c>
      <c r="S151" s="57">
        <f>T151/N151</f>
        <v>0.13186813186813187</v>
      </c>
      <c r="T151" s="57">
        <v>0.12</v>
      </c>
      <c r="U151" s="46">
        <f t="shared" si="37"/>
        <v>0.53186813186813187</v>
      </c>
      <c r="V151" s="57">
        <f>E151</f>
        <v>0.17</v>
      </c>
      <c r="W151" s="54">
        <v>120</v>
      </c>
      <c r="X151" s="57">
        <f t="shared" si="35"/>
        <v>0.36186813186813183</v>
      </c>
      <c r="Y151" s="46">
        <v>0</v>
      </c>
      <c r="Z151" s="46">
        <v>2.625</v>
      </c>
      <c r="AA151" s="46">
        <f t="shared" si="36"/>
        <v>2.2631318681318682</v>
      </c>
      <c r="AB151" s="48">
        <f>AA151</f>
        <v>2.2631318681318682</v>
      </c>
      <c r="AC151" s="55" t="str">
        <f>IF(AB151&lt;0,"закрыт","открыт")</f>
        <v>открыт</v>
      </c>
      <c r="AD151" s="55">
        <v>0.91</v>
      </c>
      <c r="AE151" s="31"/>
    </row>
    <row r="152" spans="1:31" s="32" customFormat="1" ht="22.5">
      <c r="A152" s="45">
        <v>109</v>
      </c>
      <c r="B152" s="47" t="s">
        <v>155</v>
      </c>
      <c r="C152" s="43" t="s">
        <v>130</v>
      </c>
      <c r="D152" s="64">
        <v>0.36</v>
      </c>
      <c r="E152" s="43">
        <v>0</v>
      </c>
      <c r="F152" s="45">
        <v>120</v>
      </c>
      <c r="G152" s="60">
        <f t="shared" si="27"/>
        <v>0.36</v>
      </c>
      <c r="H152" s="43">
        <v>0</v>
      </c>
      <c r="I152" s="43">
        <v>2.625</v>
      </c>
      <c r="J152" s="60">
        <f t="shared" si="28"/>
        <v>2.2650000000000001</v>
      </c>
      <c r="K152" s="48">
        <f>J152</f>
        <v>2.2650000000000001</v>
      </c>
      <c r="L152" s="46">
        <f>K152*N152</f>
        <v>1.20045</v>
      </c>
      <c r="M152" s="55" t="str">
        <f>IF(K152&lt;0,"закрыт","открыт")</f>
        <v>открыт</v>
      </c>
      <c r="N152" s="55">
        <v>0.53</v>
      </c>
      <c r="O152" s="30"/>
      <c r="P152" s="45">
        <v>109</v>
      </c>
      <c r="Q152" s="53" t="s">
        <v>155</v>
      </c>
      <c r="R152" s="43" t="s">
        <v>130</v>
      </c>
      <c r="S152" s="57">
        <f>T152/N152</f>
        <v>0</v>
      </c>
      <c r="T152" s="57">
        <v>0</v>
      </c>
      <c r="U152" s="46">
        <f t="shared" si="37"/>
        <v>0.36</v>
      </c>
      <c r="V152" s="57">
        <f>E152</f>
        <v>0</v>
      </c>
      <c r="W152" s="54">
        <v>120</v>
      </c>
      <c r="X152" s="57">
        <f t="shared" si="35"/>
        <v>0.36</v>
      </c>
      <c r="Y152" s="46">
        <v>0</v>
      </c>
      <c r="Z152" s="46">
        <v>2.625</v>
      </c>
      <c r="AA152" s="46">
        <f t="shared" si="36"/>
        <v>2.2650000000000001</v>
      </c>
      <c r="AB152" s="48">
        <f>AA152</f>
        <v>2.2650000000000001</v>
      </c>
      <c r="AC152" s="55" t="str">
        <f>IF(AB152&lt;0,"закрыт","открыт")</f>
        <v>открыт</v>
      </c>
      <c r="AD152" s="55">
        <v>0.53</v>
      </c>
      <c r="AE152" s="31"/>
    </row>
    <row r="153" spans="1:31" s="32" customFormat="1" ht="22.5">
      <c r="A153" s="45">
        <v>110</v>
      </c>
      <c r="B153" s="47" t="s">
        <v>156</v>
      </c>
      <c r="C153" s="43" t="s">
        <v>24</v>
      </c>
      <c r="D153" s="64">
        <v>0.39</v>
      </c>
      <c r="E153" s="43">
        <v>0.21</v>
      </c>
      <c r="F153" s="45">
        <v>120</v>
      </c>
      <c r="G153" s="60">
        <f t="shared" si="27"/>
        <v>0.18000000000000002</v>
      </c>
      <c r="H153" s="43">
        <v>0</v>
      </c>
      <c r="I153" s="43">
        <v>2.625</v>
      </c>
      <c r="J153" s="60">
        <f t="shared" si="28"/>
        <v>2.4449999999999998</v>
      </c>
      <c r="K153" s="48">
        <f>J153</f>
        <v>2.4449999999999998</v>
      </c>
      <c r="L153" s="46">
        <f>K153*N153</f>
        <v>2.17605</v>
      </c>
      <c r="M153" s="55" t="str">
        <f>IF(K153&lt;0,"закрыт","открыт")</f>
        <v>открыт</v>
      </c>
      <c r="N153" s="55">
        <v>0.89</v>
      </c>
      <c r="O153" s="30"/>
      <c r="P153" s="45">
        <v>110</v>
      </c>
      <c r="Q153" s="53" t="s">
        <v>156</v>
      </c>
      <c r="R153" s="43" t="s">
        <v>24</v>
      </c>
      <c r="S153" s="57">
        <f>T153/N153</f>
        <v>1.9101123595505618E-2</v>
      </c>
      <c r="T153" s="57">
        <v>1.7000000000000001E-2</v>
      </c>
      <c r="U153" s="46">
        <f t="shared" si="37"/>
        <v>0.40910112359550566</v>
      </c>
      <c r="V153" s="57">
        <f>E153</f>
        <v>0.21</v>
      </c>
      <c r="W153" s="54">
        <v>120</v>
      </c>
      <c r="X153" s="57">
        <f t="shared" si="35"/>
        <v>0.19910112359550566</v>
      </c>
      <c r="Y153" s="46">
        <v>0</v>
      </c>
      <c r="Z153" s="46">
        <v>2.625</v>
      </c>
      <c r="AA153" s="46">
        <f t="shared" si="36"/>
        <v>2.4258988764044944</v>
      </c>
      <c r="AB153" s="48">
        <f>AA153</f>
        <v>2.4258988764044944</v>
      </c>
      <c r="AC153" s="55" t="str">
        <f>IF(AB153&lt;0,"закрыт","открыт")</f>
        <v>открыт</v>
      </c>
      <c r="AD153" s="55">
        <v>0.89</v>
      </c>
      <c r="AE153" s="31"/>
    </row>
    <row r="154" spans="1:31" s="32" customFormat="1" ht="22.5">
      <c r="A154" s="96">
        <v>111</v>
      </c>
      <c r="B154" s="47" t="s">
        <v>157</v>
      </c>
      <c r="C154" s="43" t="s">
        <v>119</v>
      </c>
      <c r="D154" s="64">
        <v>2.35</v>
      </c>
      <c r="E154" s="43">
        <f>E155+E156</f>
        <v>1.24</v>
      </c>
      <c r="F154" s="45">
        <v>120</v>
      </c>
      <c r="G154" s="60">
        <f t="shared" si="27"/>
        <v>1.1100000000000001</v>
      </c>
      <c r="H154" s="43">
        <v>0</v>
      </c>
      <c r="I154" s="43">
        <v>10.5</v>
      </c>
      <c r="J154" s="60">
        <f t="shared" si="28"/>
        <v>9.39</v>
      </c>
      <c r="K154" s="97">
        <f>MIN(J154:J156)</f>
        <v>9.39</v>
      </c>
      <c r="L154" s="93">
        <f>K154*N154</f>
        <v>7.7937000000000003</v>
      </c>
      <c r="M154" s="98" t="str">
        <f>IF(K154&lt;0,"закрыт","открыт")</f>
        <v>открыт</v>
      </c>
      <c r="N154" s="138">
        <v>0.83</v>
      </c>
      <c r="O154" s="30"/>
      <c r="P154" s="96">
        <v>111</v>
      </c>
      <c r="Q154" s="53" t="s">
        <v>157</v>
      </c>
      <c r="R154" s="43" t="s">
        <v>119</v>
      </c>
      <c r="S154" s="60">
        <f>T154/N154</f>
        <v>0.83132530120481929</v>
      </c>
      <c r="T154" s="57">
        <v>0.69</v>
      </c>
      <c r="U154" s="46">
        <f t="shared" si="37"/>
        <v>3.1813253012048195</v>
      </c>
      <c r="V154" s="57">
        <f>V155+V156</f>
        <v>1.7339759036144577</v>
      </c>
      <c r="W154" s="54">
        <v>120</v>
      </c>
      <c r="X154" s="57">
        <f t="shared" si="35"/>
        <v>1.4473493975903617</v>
      </c>
      <c r="Y154" s="46">
        <v>0</v>
      </c>
      <c r="Z154" s="46">
        <v>10.5</v>
      </c>
      <c r="AA154" s="46">
        <f t="shared" si="36"/>
        <v>9.0526506024096385</v>
      </c>
      <c r="AB154" s="97">
        <f>MIN(AA154:AA156)</f>
        <v>9.0526506024096385</v>
      </c>
      <c r="AC154" s="98" t="str">
        <f>IF(AB154&lt;0,"закрыт","открыт")</f>
        <v>открыт</v>
      </c>
      <c r="AD154" s="138">
        <v>0.83</v>
      </c>
      <c r="AE154" s="31"/>
    </row>
    <row r="155" spans="1:31" s="32" customFormat="1" ht="12.75" customHeight="1">
      <c r="A155" s="96"/>
      <c r="B155" s="61" t="s">
        <v>45</v>
      </c>
      <c r="C155" s="43" t="s">
        <v>119</v>
      </c>
      <c r="D155" s="64">
        <f>D154-D156</f>
        <v>0.82000000000000006</v>
      </c>
      <c r="E155" s="69">
        <f>D155</f>
        <v>0.82000000000000006</v>
      </c>
      <c r="F155" s="45"/>
      <c r="G155" s="60">
        <f>D155-E155</f>
        <v>0</v>
      </c>
      <c r="H155" s="43">
        <v>0</v>
      </c>
      <c r="I155" s="43">
        <v>10.5</v>
      </c>
      <c r="J155" s="60">
        <f>I155-G155-H155</f>
        <v>10.5</v>
      </c>
      <c r="K155" s="97"/>
      <c r="L155" s="93"/>
      <c r="M155" s="99"/>
      <c r="N155" s="138"/>
      <c r="O155" s="30"/>
      <c r="P155" s="96"/>
      <c r="Q155" s="61" t="s">
        <v>45</v>
      </c>
      <c r="R155" s="43" t="s">
        <v>119</v>
      </c>
      <c r="S155" s="60">
        <f>S154-S156</f>
        <v>0.49397590361445781</v>
      </c>
      <c r="T155" s="57">
        <v>0.51</v>
      </c>
      <c r="U155" s="46">
        <f t="shared" si="37"/>
        <v>1.3139759036144578</v>
      </c>
      <c r="V155" s="57">
        <f>U155</f>
        <v>1.3139759036144578</v>
      </c>
      <c r="W155" s="54">
        <v>120</v>
      </c>
      <c r="X155" s="57">
        <f t="shared" si="35"/>
        <v>0</v>
      </c>
      <c r="Y155" s="46">
        <v>0</v>
      </c>
      <c r="Z155" s="46">
        <v>10.5</v>
      </c>
      <c r="AA155" s="46">
        <f t="shared" si="36"/>
        <v>10.5</v>
      </c>
      <c r="AB155" s="97"/>
      <c r="AC155" s="99"/>
      <c r="AD155" s="138"/>
      <c r="AE155" s="31"/>
    </row>
    <row r="156" spans="1:31" s="32" customFormat="1" ht="12.75" customHeight="1">
      <c r="A156" s="96"/>
      <c r="B156" s="61" t="s">
        <v>46</v>
      </c>
      <c r="C156" s="43" t="s">
        <v>119</v>
      </c>
      <c r="D156" s="64">
        <v>1.53</v>
      </c>
      <c r="E156" s="56">
        <v>0.42</v>
      </c>
      <c r="F156" s="45">
        <v>120</v>
      </c>
      <c r="G156" s="60">
        <f>D156-E156</f>
        <v>1.1100000000000001</v>
      </c>
      <c r="H156" s="43">
        <v>0</v>
      </c>
      <c r="I156" s="43">
        <v>10.5</v>
      </c>
      <c r="J156" s="60">
        <f>I156-G156-H156</f>
        <v>9.39</v>
      </c>
      <c r="K156" s="97"/>
      <c r="L156" s="93"/>
      <c r="M156" s="100"/>
      <c r="N156" s="138"/>
      <c r="O156" s="30"/>
      <c r="P156" s="96"/>
      <c r="Q156" s="61" t="s">
        <v>46</v>
      </c>
      <c r="R156" s="43" t="s">
        <v>119</v>
      </c>
      <c r="S156" s="60">
        <f>T156/N154</f>
        <v>0.33734939759036148</v>
      </c>
      <c r="T156" s="57">
        <v>0.28000000000000003</v>
      </c>
      <c r="U156" s="46">
        <f t="shared" si="37"/>
        <v>1.8673493975903614</v>
      </c>
      <c r="V156" s="57">
        <f>'[1]текущий дефицит'!E154</f>
        <v>0.42</v>
      </c>
      <c r="W156" s="54">
        <v>120</v>
      </c>
      <c r="X156" s="57">
        <f t="shared" si="35"/>
        <v>1.4473493975903615</v>
      </c>
      <c r="Y156" s="46">
        <v>0</v>
      </c>
      <c r="Z156" s="46">
        <v>10.5</v>
      </c>
      <c r="AA156" s="46">
        <f t="shared" si="36"/>
        <v>9.0526506024096385</v>
      </c>
      <c r="AB156" s="97"/>
      <c r="AC156" s="100"/>
      <c r="AD156" s="138"/>
      <c r="AE156" s="31"/>
    </row>
    <row r="157" spans="1:31" s="32" customFormat="1" ht="22.5">
      <c r="A157" s="96">
        <v>112</v>
      </c>
      <c r="B157" s="47" t="s">
        <v>158</v>
      </c>
      <c r="C157" s="43" t="s">
        <v>20</v>
      </c>
      <c r="D157" s="64">
        <v>5.88</v>
      </c>
      <c r="E157" s="43">
        <f>E158+E159</f>
        <v>3.09</v>
      </c>
      <c r="F157" s="45">
        <v>120</v>
      </c>
      <c r="G157" s="60">
        <f t="shared" si="27"/>
        <v>2.79</v>
      </c>
      <c r="H157" s="43">
        <v>0</v>
      </c>
      <c r="I157" s="43">
        <v>10.5</v>
      </c>
      <c r="J157" s="60">
        <f t="shared" si="28"/>
        <v>7.71</v>
      </c>
      <c r="K157" s="97">
        <f>MIN(J157:J159)</f>
        <v>7.71</v>
      </c>
      <c r="L157" s="93">
        <f>K157*N157</f>
        <v>6.9390000000000001</v>
      </c>
      <c r="M157" s="98" t="str">
        <f>IF(K157&lt;0,"закрыт","открыт")</f>
        <v>открыт</v>
      </c>
      <c r="N157" s="138">
        <v>0.9</v>
      </c>
      <c r="O157" s="30"/>
      <c r="P157" s="104">
        <v>112</v>
      </c>
      <c r="Q157" s="73" t="s">
        <v>158</v>
      </c>
      <c r="R157" s="66" t="s">
        <v>20</v>
      </c>
      <c r="S157" s="72">
        <f>T157/N157</f>
        <v>11.550555555555556</v>
      </c>
      <c r="T157" s="57">
        <v>10.3955</v>
      </c>
      <c r="U157" s="67">
        <f t="shared" si="37"/>
        <v>17.430555555555557</v>
      </c>
      <c r="V157" s="67">
        <f>V158+V159</f>
        <v>6.8961111111111126</v>
      </c>
      <c r="W157" s="66">
        <v>120</v>
      </c>
      <c r="X157" s="67">
        <f t="shared" si="35"/>
        <v>10.534444444444444</v>
      </c>
      <c r="Y157" s="67">
        <v>0</v>
      </c>
      <c r="Z157" s="67">
        <v>10.5</v>
      </c>
      <c r="AA157" s="67">
        <f t="shared" si="36"/>
        <v>-3.44444444444445E-2</v>
      </c>
      <c r="AB157" s="105">
        <f>MIN(AA157:AA159)</f>
        <v>-3.44444444444445E-2</v>
      </c>
      <c r="AC157" s="106" t="str">
        <f>IF(AB157&lt;0,"закрыт","открыт")</f>
        <v>закрыт</v>
      </c>
      <c r="AD157" s="138">
        <v>0.9</v>
      </c>
      <c r="AE157" s="31"/>
    </row>
    <row r="158" spans="1:31" s="32" customFormat="1" ht="12.75" customHeight="1">
      <c r="A158" s="96"/>
      <c r="B158" s="61" t="s">
        <v>45</v>
      </c>
      <c r="C158" s="43" t="s">
        <v>20</v>
      </c>
      <c r="D158" s="64">
        <f>D157-D159</f>
        <v>2.4699999999999998</v>
      </c>
      <c r="E158" s="69">
        <f>D158</f>
        <v>2.4699999999999998</v>
      </c>
      <c r="F158" s="45"/>
      <c r="G158" s="60">
        <f>D158-E158</f>
        <v>0</v>
      </c>
      <c r="H158" s="43">
        <v>0</v>
      </c>
      <c r="I158" s="43">
        <v>10.5</v>
      </c>
      <c r="J158" s="60">
        <f>I158-G158-H158</f>
        <v>10.5</v>
      </c>
      <c r="K158" s="97"/>
      <c r="L158" s="93"/>
      <c r="M158" s="99"/>
      <c r="N158" s="138"/>
      <c r="O158" s="30"/>
      <c r="P158" s="104"/>
      <c r="Q158" s="74" t="s">
        <v>45</v>
      </c>
      <c r="R158" s="66" t="s">
        <v>20</v>
      </c>
      <c r="S158" s="72">
        <f>S157-S159</f>
        <v>3.8061111111111128</v>
      </c>
      <c r="T158" s="57">
        <v>3.4</v>
      </c>
      <c r="U158" s="67">
        <f t="shared" si="37"/>
        <v>6.2761111111111125</v>
      </c>
      <c r="V158" s="67">
        <f>U158</f>
        <v>6.2761111111111125</v>
      </c>
      <c r="W158" s="66"/>
      <c r="X158" s="67">
        <f t="shared" si="35"/>
        <v>0</v>
      </c>
      <c r="Y158" s="67">
        <v>0</v>
      </c>
      <c r="Z158" s="67">
        <v>10.5</v>
      </c>
      <c r="AA158" s="67">
        <f t="shared" si="36"/>
        <v>10.5</v>
      </c>
      <c r="AB158" s="105"/>
      <c r="AC158" s="107"/>
      <c r="AD158" s="138"/>
      <c r="AE158" s="31"/>
    </row>
    <row r="159" spans="1:31" s="32" customFormat="1" ht="12.75" customHeight="1">
      <c r="A159" s="96"/>
      <c r="B159" s="61" t="s">
        <v>46</v>
      </c>
      <c r="C159" s="43" t="s">
        <v>20</v>
      </c>
      <c r="D159" s="64">
        <v>3.41</v>
      </c>
      <c r="E159" s="56">
        <v>0.62</v>
      </c>
      <c r="F159" s="45">
        <v>120</v>
      </c>
      <c r="G159" s="60">
        <f>D159-E159</f>
        <v>2.79</v>
      </c>
      <c r="H159" s="43">
        <v>0</v>
      </c>
      <c r="I159" s="43">
        <v>10.5</v>
      </c>
      <c r="J159" s="60">
        <f>I159-G159-H159</f>
        <v>7.71</v>
      </c>
      <c r="K159" s="97"/>
      <c r="L159" s="93"/>
      <c r="M159" s="100"/>
      <c r="N159" s="138"/>
      <c r="O159" s="30"/>
      <c r="P159" s="104"/>
      <c r="Q159" s="74" t="s">
        <v>46</v>
      </c>
      <c r="R159" s="66" t="s">
        <v>20</v>
      </c>
      <c r="S159" s="72">
        <f>T159/N157</f>
        <v>7.7444444444444436</v>
      </c>
      <c r="T159" s="57">
        <v>6.97</v>
      </c>
      <c r="U159" s="67">
        <f t="shared" si="37"/>
        <v>11.154444444444444</v>
      </c>
      <c r="V159" s="67">
        <f>'[1]текущий дефицит'!E157</f>
        <v>0.62</v>
      </c>
      <c r="W159" s="66">
        <v>120</v>
      </c>
      <c r="X159" s="67">
        <f t="shared" si="35"/>
        <v>10.534444444444444</v>
      </c>
      <c r="Y159" s="67">
        <v>0</v>
      </c>
      <c r="Z159" s="67">
        <v>10.5</v>
      </c>
      <c r="AA159" s="67">
        <f t="shared" si="36"/>
        <v>-3.44444444444445E-2</v>
      </c>
      <c r="AB159" s="105"/>
      <c r="AC159" s="108"/>
      <c r="AD159" s="138"/>
      <c r="AE159" s="31"/>
    </row>
    <row r="160" spans="1:31" s="32" customFormat="1" ht="22.5">
      <c r="A160" s="45">
        <v>113</v>
      </c>
      <c r="B160" s="47" t="s">
        <v>159</v>
      </c>
      <c r="C160" s="43" t="s">
        <v>26</v>
      </c>
      <c r="D160" s="64">
        <v>1.54</v>
      </c>
      <c r="E160" s="43">
        <v>0.16</v>
      </c>
      <c r="F160" s="45">
        <v>120</v>
      </c>
      <c r="G160" s="60">
        <f t="shared" si="27"/>
        <v>1.3800000000000001</v>
      </c>
      <c r="H160" s="43">
        <v>0</v>
      </c>
      <c r="I160" s="43">
        <v>2.625</v>
      </c>
      <c r="J160" s="60">
        <f t="shared" si="28"/>
        <v>1.2449999999999999</v>
      </c>
      <c r="K160" s="48">
        <f>J160</f>
        <v>1.2449999999999999</v>
      </c>
      <c r="L160" s="46">
        <f>K160*N160</f>
        <v>1.2325499999999998</v>
      </c>
      <c r="M160" s="55" t="str">
        <f>IF(K160&lt;0,"закрыт","открыт")</f>
        <v>открыт</v>
      </c>
      <c r="N160" s="55">
        <v>0.99</v>
      </c>
      <c r="O160" s="30"/>
      <c r="P160" s="45">
        <v>113</v>
      </c>
      <c r="Q160" s="53" t="s">
        <v>159</v>
      </c>
      <c r="R160" s="43" t="s">
        <v>26</v>
      </c>
      <c r="S160" s="57">
        <f t="shared" ref="S160:S169" si="38">T160/N160</f>
        <v>5.1515151515151514E-2</v>
      </c>
      <c r="T160" s="57">
        <v>5.0999999999999997E-2</v>
      </c>
      <c r="U160" s="46">
        <f t="shared" si="37"/>
        <v>1.5915151515151515</v>
      </c>
      <c r="V160" s="57">
        <f>E160</f>
        <v>0.16</v>
      </c>
      <c r="W160" s="54">
        <v>120</v>
      </c>
      <c r="X160" s="57">
        <f t="shared" si="35"/>
        <v>1.4315151515151516</v>
      </c>
      <c r="Y160" s="46">
        <v>0</v>
      </c>
      <c r="Z160" s="46">
        <v>2.625</v>
      </c>
      <c r="AA160" s="46">
        <f t="shared" si="36"/>
        <v>1.1934848484848484</v>
      </c>
      <c r="AB160" s="48">
        <f>AA160</f>
        <v>1.1934848484848484</v>
      </c>
      <c r="AC160" s="55" t="str">
        <f>IF(AB160&lt;0,"закрыт","открыт")</f>
        <v>открыт</v>
      </c>
      <c r="AD160" s="55">
        <v>0.99</v>
      </c>
      <c r="AE160" s="31"/>
    </row>
    <row r="161" spans="1:31" s="32" customFormat="1" ht="22.5">
      <c r="A161" s="45">
        <v>114</v>
      </c>
      <c r="B161" s="47" t="s">
        <v>160</v>
      </c>
      <c r="C161" s="43" t="s">
        <v>130</v>
      </c>
      <c r="D161" s="64">
        <v>1.56</v>
      </c>
      <c r="E161" s="43">
        <v>0.42</v>
      </c>
      <c r="F161" s="45">
        <v>120</v>
      </c>
      <c r="G161" s="60">
        <f t="shared" si="27"/>
        <v>1.1400000000000001</v>
      </c>
      <c r="H161" s="43">
        <v>0</v>
      </c>
      <c r="I161" s="43">
        <v>2.625</v>
      </c>
      <c r="J161" s="60">
        <f t="shared" si="28"/>
        <v>1.4849999999999999</v>
      </c>
      <c r="K161" s="48">
        <f>J161</f>
        <v>1.4849999999999999</v>
      </c>
      <c r="L161" s="46">
        <f>K161*N161</f>
        <v>1.3810499999999999</v>
      </c>
      <c r="M161" s="55" t="str">
        <f>IF(K161&lt;0,"закрыт","открыт")</f>
        <v>открыт</v>
      </c>
      <c r="N161" s="55">
        <v>0.93</v>
      </c>
      <c r="O161" s="30"/>
      <c r="P161" s="45">
        <v>114</v>
      </c>
      <c r="Q161" s="47" t="s">
        <v>160</v>
      </c>
      <c r="R161" s="43" t="s">
        <v>130</v>
      </c>
      <c r="S161" s="57">
        <f t="shared" si="38"/>
        <v>0.72043010752688175</v>
      </c>
      <c r="T161" s="57">
        <v>0.67</v>
      </c>
      <c r="U161" s="46">
        <f t="shared" si="37"/>
        <v>2.2804301075268816</v>
      </c>
      <c r="V161" s="46">
        <f>E161</f>
        <v>0.42</v>
      </c>
      <c r="W161" s="43">
        <v>120</v>
      </c>
      <c r="X161" s="46">
        <f t="shared" si="35"/>
        <v>1.8604301075268816</v>
      </c>
      <c r="Y161" s="46">
        <v>0</v>
      </c>
      <c r="Z161" s="46">
        <v>2.625</v>
      </c>
      <c r="AA161" s="46">
        <f t="shared" si="36"/>
        <v>0.76456989247311835</v>
      </c>
      <c r="AB161" s="48">
        <f>AA161</f>
        <v>0.76456989247311835</v>
      </c>
      <c r="AC161" s="59" t="str">
        <f>IF(AB161&lt;0,"закрыт","открыт")</f>
        <v>открыт</v>
      </c>
      <c r="AD161" s="55">
        <v>0.93</v>
      </c>
      <c r="AE161" s="31"/>
    </row>
    <row r="162" spans="1:31" s="32" customFormat="1" ht="22.5">
      <c r="A162" s="45">
        <v>115</v>
      </c>
      <c r="B162" s="47" t="s">
        <v>161</v>
      </c>
      <c r="C162" s="43" t="s">
        <v>32</v>
      </c>
      <c r="D162" s="64">
        <v>0.45</v>
      </c>
      <c r="E162" s="43">
        <v>0.04</v>
      </c>
      <c r="F162" s="45">
        <v>120</v>
      </c>
      <c r="G162" s="60">
        <f t="shared" si="27"/>
        <v>0.41000000000000003</v>
      </c>
      <c r="H162" s="43">
        <v>0</v>
      </c>
      <c r="I162" s="43">
        <v>4.2</v>
      </c>
      <c r="J162" s="60">
        <f t="shared" si="28"/>
        <v>3.79</v>
      </c>
      <c r="K162" s="48">
        <f>J162</f>
        <v>3.79</v>
      </c>
      <c r="L162" s="46">
        <f>K162*N162</f>
        <v>3.7521</v>
      </c>
      <c r="M162" s="55" t="str">
        <f>IF(K162&lt;0,"закрыт","открыт")</f>
        <v>открыт</v>
      </c>
      <c r="N162" s="55">
        <v>0.99</v>
      </c>
      <c r="O162" s="30"/>
      <c r="P162" s="45">
        <v>115</v>
      </c>
      <c r="Q162" s="53" t="s">
        <v>161</v>
      </c>
      <c r="R162" s="43" t="s">
        <v>32</v>
      </c>
      <c r="S162" s="57">
        <f t="shared" si="38"/>
        <v>0.18181818181818182</v>
      </c>
      <c r="T162" s="48">
        <v>0.18</v>
      </c>
      <c r="U162" s="46">
        <f t="shared" si="37"/>
        <v>0.63181818181818183</v>
      </c>
      <c r="V162" s="57">
        <f>E162</f>
        <v>0.04</v>
      </c>
      <c r="W162" s="54">
        <v>120</v>
      </c>
      <c r="X162" s="57">
        <f t="shared" si="35"/>
        <v>0.5918181818181818</v>
      </c>
      <c r="Y162" s="46">
        <v>0</v>
      </c>
      <c r="Z162" s="46">
        <v>4.2</v>
      </c>
      <c r="AA162" s="46">
        <f t="shared" si="36"/>
        <v>3.6081818181818184</v>
      </c>
      <c r="AB162" s="48">
        <f>AA162</f>
        <v>3.6081818181818184</v>
      </c>
      <c r="AC162" s="55" t="str">
        <f>IF(AB162&lt;0,"закрыт","открыт")</f>
        <v>открыт</v>
      </c>
      <c r="AD162" s="55">
        <v>0.99</v>
      </c>
      <c r="AE162" s="31"/>
    </row>
    <row r="163" spans="1:31" s="32" customFormat="1" ht="22.5" hidden="1">
      <c r="A163" s="96">
        <v>116</v>
      </c>
      <c r="B163" s="47" t="s">
        <v>335</v>
      </c>
      <c r="C163" s="43" t="s">
        <v>20</v>
      </c>
      <c r="D163" s="64">
        <v>8.56</v>
      </c>
      <c r="E163" s="43">
        <f>E164+E165</f>
        <v>2.3700000000000006</v>
      </c>
      <c r="F163" s="45">
        <v>120</v>
      </c>
      <c r="G163" s="60">
        <f t="shared" si="27"/>
        <v>6.1899999999999995</v>
      </c>
      <c r="H163" s="43">
        <v>0</v>
      </c>
      <c r="I163" s="43">
        <v>10.5</v>
      </c>
      <c r="J163" s="60">
        <f t="shared" si="28"/>
        <v>4.3100000000000005</v>
      </c>
      <c r="K163" s="97">
        <f>MIN(J163:J165)</f>
        <v>4.3099999999999996</v>
      </c>
      <c r="L163" s="93">
        <f>K163*N163</f>
        <v>4.3099999999999996</v>
      </c>
      <c r="M163" s="98" t="str">
        <f>IF(K163&lt;0,"закрыт","открыт")</f>
        <v>открыт</v>
      </c>
      <c r="N163" s="138">
        <v>1</v>
      </c>
      <c r="O163" s="30"/>
      <c r="P163" s="96">
        <v>116</v>
      </c>
      <c r="Q163" s="53" t="s">
        <v>321</v>
      </c>
      <c r="R163" s="43" t="s">
        <v>20</v>
      </c>
      <c r="S163" s="84">
        <f>T163/N163</f>
        <v>2.48</v>
      </c>
      <c r="T163" s="48">
        <v>2.48</v>
      </c>
      <c r="U163" s="46">
        <f t="shared" si="37"/>
        <v>11.040000000000001</v>
      </c>
      <c r="V163" s="57">
        <f>V164+V165</f>
        <v>2.8400000000000007</v>
      </c>
      <c r="W163" s="54">
        <v>120</v>
      </c>
      <c r="X163" s="57">
        <f t="shared" si="35"/>
        <v>8.1999999999999993</v>
      </c>
      <c r="Y163" s="46">
        <v>0</v>
      </c>
      <c r="Z163" s="46">
        <v>10.5</v>
      </c>
      <c r="AA163" s="46">
        <f t="shared" si="36"/>
        <v>2.3000000000000007</v>
      </c>
      <c r="AB163" s="97">
        <f>MIN(AA163:AA165)</f>
        <v>2.3000000000000007</v>
      </c>
      <c r="AC163" s="98" t="str">
        <f>IF(AB163&lt;0,"закрыт","открыт")</f>
        <v>открыт</v>
      </c>
      <c r="AD163" s="138">
        <v>1</v>
      </c>
      <c r="AE163" s="31"/>
    </row>
    <row r="164" spans="1:31" s="32" customFormat="1" ht="12.75" hidden="1" customHeight="1">
      <c r="A164" s="96"/>
      <c r="B164" s="61" t="s">
        <v>45</v>
      </c>
      <c r="C164" s="43" t="s">
        <v>20</v>
      </c>
      <c r="D164" s="64">
        <f>D163-D165</f>
        <v>1.4400000000000004</v>
      </c>
      <c r="E164" s="69">
        <f>D164</f>
        <v>1.4400000000000004</v>
      </c>
      <c r="F164" s="45"/>
      <c r="G164" s="60">
        <f>D164-E164</f>
        <v>0</v>
      </c>
      <c r="H164" s="43">
        <v>0</v>
      </c>
      <c r="I164" s="43">
        <v>10.5</v>
      </c>
      <c r="J164" s="60">
        <f>I164-G164-H164</f>
        <v>10.5</v>
      </c>
      <c r="K164" s="97"/>
      <c r="L164" s="93"/>
      <c r="M164" s="99"/>
      <c r="N164" s="138"/>
      <c r="O164" s="30"/>
      <c r="P164" s="96"/>
      <c r="Q164" s="61" t="s">
        <v>45</v>
      </c>
      <c r="R164" s="43" t="s">
        <v>20</v>
      </c>
      <c r="S164" s="84">
        <f>S163-S165</f>
        <v>0.4700000000000002</v>
      </c>
      <c r="T164" s="48"/>
      <c r="U164" s="46">
        <f t="shared" si="37"/>
        <v>1.9100000000000006</v>
      </c>
      <c r="V164" s="57">
        <f>U164</f>
        <v>1.9100000000000006</v>
      </c>
      <c r="W164" s="54"/>
      <c r="X164" s="57">
        <f t="shared" si="35"/>
        <v>0</v>
      </c>
      <c r="Y164" s="46">
        <v>0</v>
      </c>
      <c r="Z164" s="46">
        <v>10.5</v>
      </c>
      <c r="AA164" s="46">
        <f t="shared" si="36"/>
        <v>10.5</v>
      </c>
      <c r="AB164" s="97"/>
      <c r="AC164" s="99"/>
      <c r="AD164" s="138"/>
      <c r="AE164" s="31"/>
    </row>
    <row r="165" spans="1:31" s="32" customFormat="1" ht="12.75" hidden="1" customHeight="1">
      <c r="A165" s="96"/>
      <c r="B165" s="61" t="s">
        <v>46</v>
      </c>
      <c r="C165" s="43" t="s">
        <v>20</v>
      </c>
      <c r="D165" s="64">
        <v>7.12</v>
      </c>
      <c r="E165" s="56">
        <v>0.93</v>
      </c>
      <c r="F165" s="45">
        <v>120</v>
      </c>
      <c r="G165" s="60">
        <f>D165-E165</f>
        <v>6.19</v>
      </c>
      <c r="H165" s="43">
        <v>0</v>
      </c>
      <c r="I165" s="43">
        <v>10.5</v>
      </c>
      <c r="J165" s="60">
        <f>I165-G165-H165</f>
        <v>4.3099999999999996</v>
      </c>
      <c r="K165" s="97"/>
      <c r="L165" s="93"/>
      <c r="M165" s="100"/>
      <c r="N165" s="138"/>
      <c r="O165" s="30"/>
      <c r="P165" s="96"/>
      <c r="Q165" s="61" t="s">
        <v>46</v>
      </c>
      <c r="R165" s="43" t="s">
        <v>20</v>
      </c>
      <c r="S165" s="84">
        <f>T165/N163</f>
        <v>2.0099999999999998</v>
      </c>
      <c r="T165" s="48">
        <v>2.0099999999999998</v>
      </c>
      <c r="U165" s="46">
        <f t="shared" si="37"/>
        <v>9.129999999999999</v>
      </c>
      <c r="V165" s="57">
        <f>'[1]текущий дефицит'!E163</f>
        <v>0.93</v>
      </c>
      <c r="W165" s="54">
        <v>120</v>
      </c>
      <c r="X165" s="57">
        <f t="shared" si="35"/>
        <v>8.1999999999999993</v>
      </c>
      <c r="Y165" s="46">
        <v>0</v>
      </c>
      <c r="Z165" s="46">
        <v>10.5</v>
      </c>
      <c r="AA165" s="46">
        <f t="shared" si="36"/>
        <v>2.3000000000000007</v>
      </c>
      <c r="AB165" s="97"/>
      <c r="AC165" s="100"/>
      <c r="AD165" s="138"/>
      <c r="AE165" s="31"/>
    </row>
    <row r="166" spans="1:31" s="32" customFormat="1" ht="22.5">
      <c r="A166" s="45">
        <v>117</v>
      </c>
      <c r="B166" s="47" t="s">
        <v>162</v>
      </c>
      <c r="C166" s="43" t="s">
        <v>130</v>
      </c>
      <c r="D166" s="64">
        <v>0.19</v>
      </c>
      <c r="E166" s="43">
        <v>0.75</v>
      </c>
      <c r="F166" s="45">
        <v>120</v>
      </c>
      <c r="G166" s="60">
        <f t="shared" si="27"/>
        <v>-0.56000000000000005</v>
      </c>
      <c r="H166" s="43">
        <v>0</v>
      </c>
      <c r="I166" s="43">
        <v>2.625</v>
      </c>
      <c r="J166" s="60">
        <f t="shared" si="28"/>
        <v>3.1850000000000001</v>
      </c>
      <c r="K166" s="48">
        <f>J166</f>
        <v>3.1850000000000001</v>
      </c>
      <c r="L166" s="46">
        <f>K166*N166</f>
        <v>3.1531500000000001</v>
      </c>
      <c r="M166" s="55" t="str">
        <f>IF(K166&lt;0,"закрыт","открыт")</f>
        <v>открыт</v>
      </c>
      <c r="N166" s="55">
        <v>0.99</v>
      </c>
      <c r="O166" s="30"/>
      <c r="P166" s="45">
        <v>117</v>
      </c>
      <c r="Q166" s="53" t="s">
        <v>162</v>
      </c>
      <c r="R166" s="43" t="s">
        <v>130</v>
      </c>
      <c r="S166" s="57">
        <f t="shared" si="38"/>
        <v>4.2929292929292935E-2</v>
      </c>
      <c r="T166" s="57">
        <v>4.2500000000000003E-2</v>
      </c>
      <c r="U166" s="46">
        <f t="shared" si="37"/>
        <v>0.23292929292929293</v>
      </c>
      <c r="V166" s="57">
        <f>E166</f>
        <v>0.75</v>
      </c>
      <c r="W166" s="54">
        <v>120</v>
      </c>
      <c r="X166" s="57">
        <f t="shared" si="35"/>
        <v>-0.51707070707070701</v>
      </c>
      <c r="Y166" s="46">
        <v>0</v>
      </c>
      <c r="Z166" s="46">
        <v>2.625</v>
      </c>
      <c r="AA166" s="46">
        <f t="shared" si="36"/>
        <v>3.1420707070707072</v>
      </c>
      <c r="AB166" s="48">
        <f>AA166</f>
        <v>3.1420707070707072</v>
      </c>
      <c r="AC166" s="55" t="str">
        <f>IF(AB166&lt;0,"закрыт","открыт")</f>
        <v>открыт</v>
      </c>
      <c r="AD166" s="55">
        <v>0.99</v>
      </c>
      <c r="AE166" s="31"/>
    </row>
    <row r="167" spans="1:31" s="32" customFormat="1" ht="22.5">
      <c r="A167" s="45">
        <v>118</v>
      </c>
      <c r="B167" s="47" t="s">
        <v>163</v>
      </c>
      <c r="C167" s="43" t="s">
        <v>128</v>
      </c>
      <c r="D167" s="64">
        <v>0.98</v>
      </c>
      <c r="E167" s="43">
        <v>1.1000000000000001</v>
      </c>
      <c r="F167" s="45">
        <v>120</v>
      </c>
      <c r="G167" s="60">
        <f t="shared" si="27"/>
        <v>-0.12000000000000011</v>
      </c>
      <c r="H167" s="43">
        <v>0</v>
      </c>
      <c r="I167" s="45">
        <f>1.05*6.3</f>
        <v>6.6150000000000002</v>
      </c>
      <c r="J167" s="60">
        <f t="shared" si="28"/>
        <v>6.7350000000000003</v>
      </c>
      <c r="K167" s="48">
        <f>J167</f>
        <v>6.7350000000000003</v>
      </c>
      <c r="L167" s="46">
        <f>K167*N167</f>
        <v>5.5900499999999997</v>
      </c>
      <c r="M167" s="55" t="str">
        <f>IF(K167&lt;0,"закрыт","открыт")</f>
        <v>открыт</v>
      </c>
      <c r="N167" s="55">
        <v>0.83</v>
      </c>
      <c r="O167" s="30"/>
      <c r="P167" s="45">
        <v>118</v>
      </c>
      <c r="Q167" s="53" t="s">
        <v>163</v>
      </c>
      <c r="R167" s="43" t="s">
        <v>128</v>
      </c>
      <c r="S167" s="57">
        <f t="shared" si="38"/>
        <v>0.26506024096385544</v>
      </c>
      <c r="T167" s="57">
        <v>0.22</v>
      </c>
      <c r="U167" s="46">
        <f t="shared" si="37"/>
        <v>1.2450602409638554</v>
      </c>
      <c r="V167" s="57">
        <f>E167</f>
        <v>1.1000000000000001</v>
      </c>
      <c r="W167" s="54">
        <v>120</v>
      </c>
      <c r="X167" s="57">
        <f t="shared" si="35"/>
        <v>0.14506024096385528</v>
      </c>
      <c r="Y167" s="46">
        <v>0</v>
      </c>
      <c r="Z167" s="60">
        <f>1.05*6.3</f>
        <v>6.6150000000000002</v>
      </c>
      <c r="AA167" s="46">
        <f t="shared" si="36"/>
        <v>6.4699397590361452</v>
      </c>
      <c r="AB167" s="48">
        <f>AA167</f>
        <v>6.4699397590361452</v>
      </c>
      <c r="AC167" s="55" t="str">
        <f>IF(AB167&lt;0,"закрыт","открыт")</f>
        <v>открыт</v>
      </c>
      <c r="AD167" s="55">
        <v>0.83</v>
      </c>
      <c r="AE167" s="31"/>
    </row>
    <row r="168" spans="1:31" s="32" customFormat="1" ht="22.5">
      <c r="A168" s="45">
        <v>119</v>
      </c>
      <c r="B168" s="47" t="s">
        <v>164</v>
      </c>
      <c r="C168" s="43" t="s">
        <v>130</v>
      </c>
      <c r="D168" s="64">
        <v>0.62</v>
      </c>
      <c r="E168" s="43">
        <v>0.74</v>
      </c>
      <c r="F168" s="45">
        <v>120</v>
      </c>
      <c r="G168" s="60">
        <f t="shared" si="27"/>
        <v>-0.12</v>
      </c>
      <c r="H168" s="43">
        <v>0</v>
      </c>
      <c r="I168" s="43">
        <v>2.625</v>
      </c>
      <c r="J168" s="60">
        <f t="shared" si="28"/>
        <v>2.7450000000000001</v>
      </c>
      <c r="K168" s="48">
        <f>J168</f>
        <v>2.7450000000000001</v>
      </c>
      <c r="L168" s="46">
        <f>K168*N168</f>
        <v>2.2234500000000001</v>
      </c>
      <c r="M168" s="55" t="str">
        <f>IF(K168&lt;0,"закрыт","открыт")</f>
        <v>открыт</v>
      </c>
      <c r="N168" s="55">
        <v>0.81</v>
      </c>
      <c r="O168" s="30"/>
      <c r="P168" s="45">
        <v>119</v>
      </c>
      <c r="Q168" s="53" t="s">
        <v>164</v>
      </c>
      <c r="R168" s="43" t="s">
        <v>130</v>
      </c>
      <c r="S168" s="57">
        <f t="shared" si="38"/>
        <v>0.27160493827160492</v>
      </c>
      <c r="T168" s="57">
        <v>0.22</v>
      </c>
      <c r="U168" s="46">
        <f t="shared" si="37"/>
        <v>0.89160493827160492</v>
      </c>
      <c r="V168" s="57">
        <f>E168</f>
        <v>0.74</v>
      </c>
      <c r="W168" s="54">
        <v>120</v>
      </c>
      <c r="X168" s="57">
        <f t="shared" si="35"/>
        <v>0.15160493827160493</v>
      </c>
      <c r="Y168" s="46">
        <v>0</v>
      </c>
      <c r="Z168" s="46">
        <v>2.625</v>
      </c>
      <c r="AA168" s="46">
        <f t="shared" si="36"/>
        <v>2.4733950617283949</v>
      </c>
      <c r="AB168" s="48">
        <f>AA168</f>
        <v>2.4733950617283949</v>
      </c>
      <c r="AC168" s="55" t="str">
        <f>IF(AB168&lt;0,"закрыт","открыт")</f>
        <v>открыт</v>
      </c>
      <c r="AD168" s="55">
        <v>0.81</v>
      </c>
      <c r="AE168" s="31"/>
    </row>
    <row r="169" spans="1:31" s="32" customFormat="1" ht="22.5">
      <c r="A169" s="45">
        <v>120</v>
      </c>
      <c r="B169" s="47" t="s">
        <v>165</v>
      </c>
      <c r="C169" s="43" t="s">
        <v>32</v>
      </c>
      <c r="D169" s="64">
        <v>0.35</v>
      </c>
      <c r="E169" s="43">
        <v>0.02</v>
      </c>
      <c r="F169" s="45">
        <v>120</v>
      </c>
      <c r="G169" s="60">
        <f t="shared" si="27"/>
        <v>0.32999999999999996</v>
      </c>
      <c r="H169" s="43">
        <v>0</v>
      </c>
      <c r="I169" s="43">
        <v>4.2</v>
      </c>
      <c r="J169" s="60">
        <f t="shared" si="28"/>
        <v>3.87</v>
      </c>
      <c r="K169" s="48">
        <f>J169</f>
        <v>3.87</v>
      </c>
      <c r="L169" s="46">
        <f>K169*N169</f>
        <v>3.4443000000000001</v>
      </c>
      <c r="M169" s="55" t="str">
        <f>IF(K169&lt;0,"закрыт","открыт")</f>
        <v>открыт</v>
      </c>
      <c r="N169" s="55">
        <v>0.89</v>
      </c>
      <c r="O169" s="30"/>
      <c r="P169" s="45">
        <v>120</v>
      </c>
      <c r="Q169" s="53" t="s">
        <v>165</v>
      </c>
      <c r="R169" s="43" t="s">
        <v>32</v>
      </c>
      <c r="S169" s="57">
        <f t="shared" si="38"/>
        <v>0</v>
      </c>
      <c r="T169" s="57">
        <v>0</v>
      </c>
      <c r="U169" s="46">
        <f t="shared" si="37"/>
        <v>0.35</v>
      </c>
      <c r="V169" s="57">
        <f>E169</f>
        <v>0.02</v>
      </c>
      <c r="W169" s="54">
        <v>120</v>
      </c>
      <c r="X169" s="57">
        <f t="shared" si="35"/>
        <v>0.32999999999999996</v>
      </c>
      <c r="Y169" s="46">
        <v>0</v>
      </c>
      <c r="Z169" s="46">
        <v>4.2</v>
      </c>
      <c r="AA169" s="46">
        <f t="shared" si="36"/>
        <v>3.87</v>
      </c>
      <c r="AB169" s="48">
        <f>AA169</f>
        <v>3.87</v>
      </c>
      <c r="AC169" s="55" t="str">
        <f>IF(AB169&lt;0,"закрыт","открыт")</f>
        <v>открыт</v>
      </c>
      <c r="AD169" s="55">
        <v>0.89</v>
      </c>
      <c r="AE169" s="31"/>
    </row>
    <row r="170" spans="1:31" s="32" customFormat="1" ht="22.5">
      <c r="A170" s="96">
        <v>121</v>
      </c>
      <c r="B170" s="47" t="s">
        <v>166</v>
      </c>
      <c r="C170" s="43" t="s">
        <v>116</v>
      </c>
      <c r="D170" s="64">
        <v>3.35</v>
      </c>
      <c r="E170" s="43">
        <f>E171+E172</f>
        <v>1.81</v>
      </c>
      <c r="F170" s="45">
        <v>120</v>
      </c>
      <c r="G170" s="60">
        <f t="shared" si="27"/>
        <v>1.54</v>
      </c>
      <c r="H170" s="43">
        <v>0</v>
      </c>
      <c r="I170" s="43">
        <v>26.25</v>
      </c>
      <c r="J170" s="60">
        <f t="shared" si="28"/>
        <v>24.71</v>
      </c>
      <c r="K170" s="97">
        <f>MIN(J170:J172)</f>
        <v>24.71</v>
      </c>
      <c r="L170" s="93">
        <f>K170*N170</f>
        <v>20.2622</v>
      </c>
      <c r="M170" s="98" t="str">
        <f>IF(K170&lt;0,"закрыт","открыт")</f>
        <v>открыт</v>
      </c>
      <c r="N170" s="138">
        <v>0.82</v>
      </c>
      <c r="O170" s="30"/>
      <c r="P170" s="96">
        <v>121</v>
      </c>
      <c r="Q170" s="53" t="s">
        <v>166</v>
      </c>
      <c r="R170" s="43" t="s">
        <v>116</v>
      </c>
      <c r="S170" s="60">
        <f>T170/N170</f>
        <v>6.073170731707318</v>
      </c>
      <c r="T170" s="57">
        <v>4.9800000000000004</v>
      </c>
      <c r="U170" s="46">
        <f t="shared" si="37"/>
        <v>9.4231707317073177</v>
      </c>
      <c r="V170" s="57">
        <f>V171+V172</f>
        <v>7.7276829268292699</v>
      </c>
      <c r="W170" s="54">
        <v>120</v>
      </c>
      <c r="X170" s="57">
        <f t="shared" si="35"/>
        <v>1.6954878048780477</v>
      </c>
      <c r="Y170" s="46">
        <v>0</v>
      </c>
      <c r="Z170" s="46">
        <v>26.25</v>
      </c>
      <c r="AA170" s="46">
        <f t="shared" si="36"/>
        <v>24.554512195121951</v>
      </c>
      <c r="AB170" s="97">
        <f>MIN(AA170:AA172)</f>
        <v>24.554512195121951</v>
      </c>
      <c r="AC170" s="98" t="str">
        <f>IF(AB170&lt;0,"закрыт","открыт")</f>
        <v>открыт</v>
      </c>
      <c r="AD170" s="138">
        <v>0.82</v>
      </c>
      <c r="AE170" s="31"/>
    </row>
    <row r="171" spans="1:31" s="32" customFormat="1" ht="12.75" customHeight="1">
      <c r="A171" s="96"/>
      <c r="B171" s="61" t="s">
        <v>45</v>
      </c>
      <c r="C171" s="43" t="s">
        <v>116</v>
      </c>
      <c r="D171" s="64">
        <f>D170-D172</f>
        <v>1.6500000000000001</v>
      </c>
      <c r="E171" s="69">
        <f>D171</f>
        <v>1.6500000000000001</v>
      </c>
      <c r="F171" s="45"/>
      <c r="G171" s="60">
        <f>D171-E171</f>
        <v>0</v>
      </c>
      <c r="H171" s="43">
        <v>0</v>
      </c>
      <c r="I171" s="43">
        <v>26.25</v>
      </c>
      <c r="J171" s="60">
        <f>I171-G171-H171</f>
        <v>26.25</v>
      </c>
      <c r="K171" s="97"/>
      <c r="L171" s="93"/>
      <c r="M171" s="99"/>
      <c r="N171" s="138"/>
      <c r="O171" s="30"/>
      <c r="P171" s="96"/>
      <c r="Q171" s="61" t="s">
        <v>45</v>
      </c>
      <c r="R171" s="43" t="s">
        <v>116</v>
      </c>
      <c r="S171" s="60">
        <f>S170-S172</f>
        <v>5.9176829268292694</v>
      </c>
      <c r="T171" s="57">
        <v>3.8674999999999997</v>
      </c>
      <c r="U171" s="46">
        <f t="shared" si="37"/>
        <v>7.5676829268292698</v>
      </c>
      <c r="V171" s="57">
        <f>U171</f>
        <v>7.5676829268292698</v>
      </c>
      <c r="W171" s="54"/>
      <c r="X171" s="57">
        <f t="shared" si="35"/>
        <v>0</v>
      </c>
      <c r="Y171" s="46">
        <v>0</v>
      </c>
      <c r="Z171" s="46">
        <v>26.25</v>
      </c>
      <c r="AA171" s="46">
        <f t="shared" si="36"/>
        <v>26.25</v>
      </c>
      <c r="AB171" s="97"/>
      <c r="AC171" s="99"/>
      <c r="AD171" s="138"/>
      <c r="AE171" s="31"/>
    </row>
    <row r="172" spans="1:31" s="32" customFormat="1" ht="12.75" customHeight="1">
      <c r="A172" s="96"/>
      <c r="B172" s="61" t="s">
        <v>46</v>
      </c>
      <c r="C172" s="43" t="s">
        <v>116</v>
      </c>
      <c r="D172" s="64">
        <v>1.7</v>
      </c>
      <c r="E172" s="56">
        <v>0.16</v>
      </c>
      <c r="F172" s="45">
        <v>120</v>
      </c>
      <c r="G172" s="60">
        <f>D172-E172</f>
        <v>1.54</v>
      </c>
      <c r="H172" s="43">
        <v>0</v>
      </c>
      <c r="I172" s="43">
        <v>26.25</v>
      </c>
      <c r="J172" s="60">
        <f>I172-G172-H172</f>
        <v>24.71</v>
      </c>
      <c r="K172" s="97"/>
      <c r="L172" s="93"/>
      <c r="M172" s="100"/>
      <c r="N172" s="138"/>
      <c r="O172" s="30"/>
      <c r="P172" s="96"/>
      <c r="Q172" s="61" t="s">
        <v>46</v>
      </c>
      <c r="R172" s="43" t="s">
        <v>116</v>
      </c>
      <c r="S172" s="60">
        <f>T172/N170</f>
        <v>0.15548780487804878</v>
      </c>
      <c r="T172" s="57">
        <v>0.1275</v>
      </c>
      <c r="U172" s="46">
        <f t="shared" si="37"/>
        <v>1.8554878048780488</v>
      </c>
      <c r="V172" s="57">
        <f>'[1]текущий дефицит'!E170</f>
        <v>0.16</v>
      </c>
      <c r="W172" s="54">
        <v>120</v>
      </c>
      <c r="X172" s="57">
        <f t="shared" si="35"/>
        <v>1.6954878048780488</v>
      </c>
      <c r="Y172" s="46">
        <v>0</v>
      </c>
      <c r="Z172" s="46">
        <v>26.25</v>
      </c>
      <c r="AA172" s="46">
        <f t="shared" si="36"/>
        <v>24.554512195121951</v>
      </c>
      <c r="AB172" s="97"/>
      <c r="AC172" s="100"/>
      <c r="AD172" s="138"/>
      <c r="AE172" s="31"/>
    </row>
    <row r="173" spans="1:31" s="32" customFormat="1" ht="22.5">
      <c r="A173" s="45">
        <v>122</v>
      </c>
      <c r="B173" s="47" t="s">
        <v>167</v>
      </c>
      <c r="C173" s="43" t="s">
        <v>130</v>
      </c>
      <c r="D173" s="64">
        <v>1.78</v>
      </c>
      <c r="E173" s="43">
        <v>0.75</v>
      </c>
      <c r="F173" s="45">
        <v>120</v>
      </c>
      <c r="G173" s="60">
        <f t="shared" si="27"/>
        <v>1.03</v>
      </c>
      <c r="H173" s="43">
        <v>0</v>
      </c>
      <c r="I173" s="43">
        <v>2.625</v>
      </c>
      <c r="J173" s="60">
        <f t="shared" si="28"/>
        <v>1.595</v>
      </c>
      <c r="K173" s="48">
        <f>J173</f>
        <v>1.595</v>
      </c>
      <c r="L173" s="46">
        <f>K173*N173</f>
        <v>1.4992999999999999</v>
      </c>
      <c r="M173" s="55" t="str">
        <f>IF(K173&lt;0,"закрыт","открыт")</f>
        <v>открыт</v>
      </c>
      <c r="N173" s="55">
        <v>0.94</v>
      </c>
      <c r="O173" s="30"/>
      <c r="P173" s="65">
        <v>122</v>
      </c>
      <c r="Q173" s="73" t="s">
        <v>167</v>
      </c>
      <c r="R173" s="66" t="s">
        <v>130</v>
      </c>
      <c r="S173" s="67">
        <f>T173/N173</f>
        <v>4.6489361702127665</v>
      </c>
      <c r="T173" s="57">
        <v>4.37</v>
      </c>
      <c r="U173" s="67">
        <f t="shared" si="37"/>
        <v>6.4289361702127668</v>
      </c>
      <c r="V173" s="67">
        <f>E173</f>
        <v>0.75</v>
      </c>
      <c r="W173" s="66">
        <v>120</v>
      </c>
      <c r="X173" s="67">
        <f t="shared" si="35"/>
        <v>5.6789361702127668</v>
      </c>
      <c r="Y173" s="67">
        <v>0</v>
      </c>
      <c r="Z173" s="67">
        <v>2.625</v>
      </c>
      <c r="AA173" s="67">
        <f t="shared" si="36"/>
        <v>-3.0539361702127668</v>
      </c>
      <c r="AB173" s="72">
        <f>AA173</f>
        <v>-3.0539361702127668</v>
      </c>
      <c r="AC173" s="68" t="str">
        <f>IF(AB173&lt;0,"закрыт","открыт")</f>
        <v>закрыт</v>
      </c>
      <c r="AD173" s="55">
        <v>0.94</v>
      </c>
      <c r="AE173" s="31"/>
    </row>
    <row r="174" spans="1:31" s="32" customFormat="1" ht="22.5">
      <c r="A174" s="96">
        <v>123</v>
      </c>
      <c r="B174" s="47" t="s">
        <v>168</v>
      </c>
      <c r="C174" s="43" t="s">
        <v>128</v>
      </c>
      <c r="D174" s="64">
        <v>3.27</v>
      </c>
      <c r="E174" s="43">
        <f>E175+E176</f>
        <v>2.35</v>
      </c>
      <c r="F174" s="45">
        <v>120</v>
      </c>
      <c r="G174" s="60">
        <f t="shared" si="27"/>
        <v>0.91999999999999993</v>
      </c>
      <c r="H174" s="43">
        <v>0</v>
      </c>
      <c r="I174" s="43">
        <v>6.6150000000000002</v>
      </c>
      <c r="J174" s="60">
        <f t="shared" si="28"/>
        <v>5.6950000000000003</v>
      </c>
      <c r="K174" s="97">
        <f>MIN(J174:J176)</f>
        <v>5.6950000000000003</v>
      </c>
      <c r="L174" s="93">
        <f>K174*N174</f>
        <v>4.8977000000000004</v>
      </c>
      <c r="M174" s="98" t="str">
        <f>IF(K174&lt;0,"закрыт","открыт")</f>
        <v>открыт</v>
      </c>
      <c r="N174" s="138">
        <v>0.86</v>
      </c>
      <c r="O174" s="30"/>
      <c r="P174" s="96">
        <v>123</v>
      </c>
      <c r="Q174" s="53" t="s">
        <v>168</v>
      </c>
      <c r="R174" s="43" t="s">
        <v>128</v>
      </c>
      <c r="S174" s="60">
        <f>T174/N174</f>
        <v>0.31395348837209303</v>
      </c>
      <c r="T174" s="57">
        <v>0.27</v>
      </c>
      <c r="U174" s="46">
        <f t="shared" si="37"/>
        <v>3.5839534883720932</v>
      </c>
      <c r="V174" s="57">
        <f>V175+V176</f>
        <v>2.6639534883720932</v>
      </c>
      <c r="W174" s="54">
        <v>120</v>
      </c>
      <c r="X174" s="57">
        <f t="shared" si="35"/>
        <v>0.91999999999999993</v>
      </c>
      <c r="Y174" s="46">
        <v>0</v>
      </c>
      <c r="Z174" s="46">
        <v>6.6150000000000002</v>
      </c>
      <c r="AA174" s="46">
        <f t="shared" si="36"/>
        <v>5.6950000000000003</v>
      </c>
      <c r="AB174" s="97">
        <f>MIN(AA174:AA176)</f>
        <v>5.6950000000000003</v>
      </c>
      <c r="AC174" s="98" t="str">
        <f>IF(AB174&lt;0,"закрыт","открыт")</f>
        <v>открыт</v>
      </c>
      <c r="AD174" s="138">
        <v>0.86</v>
      </c>
      <c r="AE174" s="31"/>
    </row>
    <row r="175" spans="1:31" s="32" customFormat="1" ht="12.75" customHeight="1">
      <c r="A175" s="96"/>
      <c r="B175" s="61" t="s">
        <v>45</v>
      </c>
      <c r="C175" s="43" t="s">
        <v>128</v>
      </c>
      <c r="D175" s="64">
        <f>D174-D176</f>
        <v>2.29</v>
      </c>
      <c r="E175" s="69">
        <f>D175</f>
        <v>2.29</v>
      </c>
      <c r="F175" s="45"/>
      <c r="G175" s="60">
        <f>D175-E175</f>
        <v>0</v>
      </c>
      <c r="H175" s="43">
        <v>0</v>
      </c>
      <c r="I175" s="43">
        <v>6.6150000000000002</v>
      </c>
      <c r="J175" s="60">
        <f>I175-G175-H175</f>
        <v>6.6150000000000002</v>
      </c>
      <c r="K175" s="97"/>
      <c r="L175" s="93"/>
      <c r="M175" s="99"/>
      <c r="N175" s="138"/>
      <c r="O175" s="30"/>
      <c r="P175" s="96"/>
      <c r="Q175" s="61" t="s">
        <v>45</v>
      </c>
      <c r="R175" s="43" t="s">
        <v>128</v>
      </c>
      <c r="S175" s="60">
        <f>S174-S176</f>
        <v>0.31395348837209303</v>
      </c>
      <c r="T175" s="57">
        <v>0.255</v>
      </c>
      <c r="U175" s="46">
        <f t="shared" si="37"/>
        <v>2.6039534883720932</v>
      </c>
      <c r="V175" s="57">
        <f>U175</f>
        <v>2.6039534883720932</v>
      </c>
      <c r="W175" s="54">
        <v>120</v>
      </c>
      <c r="X175" s="57">
        <f t="shared" si="35"/>
        <v>0</v>
      </c>
      <c r="Y175" s="46">
        <v>0</v>
      </c>
      <c r="Z175" s="46">
        <v>6.6150000000000002</v>
      </c>
      <c r="AA175" s="46">
        <f t="shared" si="36"/>
        <v>6.6150000000000002</v>
      </c>
      <c r="AB175" s="97"/>
      <c r="AC175" s="99"/>
      <c r="AD175" s="138"/>
      <c r="AE175" s="31"/>
    </row>
    <row r="176" spans="1:31" s="32" customFormat="1" ht="12.75" customHeight="1">
      <c r="A176" s="96"/>
      <c r="B176" s="61" t="s">
        <v>46</v>
      </c>
      <c r="C176" s="43" t="s">
        <v>128</v>
      </c>
      <c r="D176" s="64">
        <v>0.98</v>
      </c>
      <c r="E176" s="56">
        <v>0.06</v>
      </c>
      <c r="F176" s="45">
        <v>120</v>
      </c>
      <c r="G176" s="60">
        <f>D176-E176</f>
        <v>0.91999999999999993</v>
      </c>
      <c r="H176" s="43">
        <v>0</v>
      </c>
      <c r="I176" s="43">
        <v>6.6150000000000002</v>
      </c>
      <c r="J176" s="60">
        <f>I176-G176-H176</f>
        <v>5.6950000000000003</v>
      </c>
      <c r="K176" s="97"/>
      <c r="L176" s="93"/>
      <c r="M176" s="100"/>
      <c r="N176" s="138"/>
      <c r="O176" s="30"/>
      <c r="P176" s="96"/>
      <c r="Q176" s="61" t="s">
        <v>46</v>
      </c>
      <c r="R176" s="43" t="s">
        <v>128</v>
      </c>
      <c r="S176" s="60">
        <f>T176/N174</f>
        <v>0</v>
      </c>
      <c r="T176" s="57">
        <v>0</v>
      </c>
      <c r="U176" s="46">
        <f t="shared" si="37"/>
        <v>0.98</v>
      </c>
      <c r="V176" s="57">
        <f>'[1]текущий дефицит'!E174</f>
        <v>0.06</v>
      </c>
      <c r="W176" s="54">
        <v>120</v>
      </c>
      <c r="X176" s="57">
        <f t="shared" si="35"/>
        <v>0.91999999999999993</v>
      </c>
      <c r="Y176" s="46">
        <v>0</v>
      </c>
      <c r="Z176" s="46">
        <v>6.6150000000000002</v>
      </c>
      <c r="AA176" s="46">
        <f t="shared" si="36"/>
        <v>5.6950000000000003</v>
      </c>
      <c r="AB176" s="97"/>
      <c r="AC176" s="100"/>
      <c r="AD176" s="138"/>
      <c r="AE176" s="31"/>
    </row>
    <row r="177" spans="1:31" s="32" customFormat="1" ht="22.5">
      <c r="A177" s="45">
        <v>124</v>
      </c>
      <c r="B177" s="47" t="s">
        <v>169</v>
      </c>
      <c r="C177" s="43" t="s">
        <v>130</v>
      </c>
      <c r="D177" s="64">
        <v>0.35</v>
      </c>
      <c r="E177" s="43">
        <v>0.19</v>
      </c>
      <c r="F177" s="45">
        <v>120</v>
      </c>
      <c r="G177" s="60">
        <f t="shared" si="27"/>
        <v>0.15999999999999998</v>
      </c>
      <c r="H177" s="43">
        <v>0</v>
      </c>
      <c r="I177" s="43">
        <v>2.625</v>
      </c>
      <c r="J177" s="60">
        <f t="shared" si="28"/>
        <v>2.4649999999999999</v>
      </c>
      <c r="K177" s="48">
        <f>J177</f>
        <v>2.4649999999999999</v>
      </c>
      <c r="L177" s="46">
        <f>K177*N177</f>
        <v>2.1445499999999997</v>
      </c>
      <c r="M177" s="55" t="str">
        <f>IF(K177&lt;0,"закрыт","открыт")</f>
        <v>открыт</v>
      </c>
      <c r="N177" s="55">
        <v>0.87</v>
      </c>
      <c r="O177" s="30"/>
      <c r="P177" s="45">
        <v>124</v>
      </c>
      <c r="Q177" s="53" t="s">
        <v>169</v>
      </c>
      <c r="R177" s="43" t="s">
        <v>130</v>
      </c>
      <c r="S177" s="57">
        <f>T177/N177</f>
        <v>0</v>
      </c>
      <c r="T177" s="57">
        <v>0</v>
      </c>
      <c r="U177" s="46">
        <f t="shared" si="37"/>
        <v>0.35</v>
      </c>
      <c r="V177" s="57">
        <f>E177</f>
        <v>0.19</v>
      </c>
      <c r="W177" s="54">
        <v>120</v>
      </c>
      <c r="X177" s="57">
        <f t="shared" si="35"/>
        <v>0.15999999999999998</v>
      </c>
      <c r="Y177" s="46">
        <v>0</v>
      </c>
      <c r="Z177" s="46">
        <v>2.625</v>
      </c>
      <c r="AA177" s="46">
        <f t="shared" si="36"/>
        <v>2.4649999999999999</v>
      </c>
      <c r="AB177" s="48">
        <f>AA177</f>
        <v>2.4649999999999999</v>
      </c>
      <c r="AC177" s="55" t="str">
        <f>IF(AB177&lt;0,"закрыт","открыт")</f>
        <v>открыт</v>
      </c>
      <c r="AD177" s="55">
        <v>0.87</v>
      </c>
      <c r="AE177" s="31"/>
    </row>
    <row r="178" spans="1:31" s="32" customFormat="1" ht="22.5">
      <c r="A178" s="45">
        <v>125</v>
      </c>
      <c r="B178" s="47" t="s">
        <v>170</v>
      </c>
      <c r="C178" s="43" t="s">
        <v>171</v>
      </c>
      <c r="D178" s="64">
        <v>11.46</v>
      </c>
      <c r="E178" s="43">
        <v>0.06</v>
      </c>
      <c r="F178" s="45">
        <v>120</v>
      </c>
      <c r="G178" s="60">
        <f t="shared" si="27"/>
        <v>11.4</v>
      </c>
      <c r="H178" s="43">
        <v>0</v>
      </c>
      <c r="I178" s="45">
        <f>1.05*15</f>
        <v>15.75</v>
      </c>
      <c r="J178" s="60">
        <f t="shared" si="28"/>
        <v>4.3499999999999996</v>
      </c>
      <c r="K178" s="48">
        <f>J178</f>
        <v>4.3499999999999996</v>
      </c>
      <c r="L178" s="46">
        <f>K178*N178</f>
        <v>4.0454999999999997</v>
      </c>
      <c r="M178" s="55" t="str">
        <f>IF(K178&lt;0,"закрыт","открыт")</f>
        <v>открыт</v>
      </c>
      <c r="N178" s="55">
        <v>0.93</v>
      </c>
      <c r="O178" s="30"/>
      <c r="P178" s="45">
        <v>125</v>
      </c>
      <c r="Q178" s="47" t="s">
        <v>170</v>
      </c>
      <c r="R178" s="43" t="s">
        <v>171</v>
      </c>
      <c r="S178" s="57">
        <f>T178/N178</f>
        <v>3.096774193548387</v>
      </c>
      <c r="T178" s="48">
        <v>2.88</v>
      </c>
      <c r="U178" s="46">
        <f t="shared" si="37"/>
        <v>14.556774193548389</v>
      </c>
      <c r="V178" s="46">
        <f>E178</f>
        <v>0.06</v>
      </c>
      <c r="W178" s="43">
        <v>120</v>
      </c>
      <c r="X178" s="46">
        <f t="shared" si="35"/>
        <v>14.496774193548388</v>
      </c>
      <c r="Y178" s="46">
        <v>0</v>
      </c>
      <c r="Z178" s="48">
        <f>1.05*15</f>
        <v>15.75</v>
      </c>
      <c r="AA178" s="46">
        <f t="shared" si="36"/>
        <v>1.2532258064516117</v>
      </c>
      <c r="AB178" s="48">
        <f>AA178</f>
        <v>1.2532258064516117</v>
      </c>
      <c r="AC178" s="59" t="str">
        <f>IF(AB178&lt;0,"закрыт","открыт")</f>
        <v>открыт</v>
      </c>
      <c r="AD178" s="55">
        <v>0.93</v>
      </c>
      <c r="AE178" s="31"/>
    </row>
    <row r="179" spans="1:31" s="32" customFormat="1" ht="22.5">
      <c r="A179" s="96">
        <v>126</v>
      </c>
      <c r="B179" s="47" t="s">
        <v>172</v>
      </c>
      <c r="C179" s="43" t="s">
        <v>116</v>
      </c>
      <c r="D179" s="64">
        <v>16.12</v>
      </c>
      <c r="E179" s="43">
        <f>E180+E181</f>
        <v>15.14</v>
      </c>
      <c r="F179" s="45">
        <v>120</v>
      </c>
      <c r="G179" s="60">
        <f t="shared" si="27"/>
        <v>0.98000000000000043</v>
      </c>
      <c r="H179" s="43">
        <v>0</v>
      </c>
      <c r="I179" s="43">
        <v>26.25</v>
      </c>
      <c r="J179" s="60">
        <f t="shared" si="28"/>
        <v>25.27</v>
      </c>
      <c r="K179" s="97">
        <f>MIN(J179:J181)</f>
        <v>25.27</v>
      </c>
      <c r="L179" s="93">
        <f>K179*N179</f>
        <v>20.721399999999999</v>
      </c>
      <c r="M179" s="98" t="str">
        <f>IF(K179&lt;0,"закрыт","открыт")</f>
        <v>открыт</v>
      </c>
      <c r="N179" s="138">
        <v>0.82</v>
      </c>
      <c r="O179" s="30"/>
      <c r="P179" s="96">
        <v>126</v>
      </c>
      <c r="Q179" s="53" t="s">
        <v>172</v>
      </c>
      <c r="R179" s="43" t="s">
        <v>116</v>
      </c>
      <c r="S179" s="60">
        <f>T179/N179</f>
        <v>4.7317073170731705</v>
      </c>
      <c r="T179" s="48">
        <v>3.88</v>
      </c>
      <c r="U179" s="46">
        <f t="shared" si="37"/>
        <v>20.851707317073171</v>
      </c>
      <c r="V179" s="57">
        <f>V180+V181</f>
        <v>19.566829268292686</v>
      </c>
      <c r="W179" s="54">
        <v>120</v>
      </c>
      <c r="X179" s="57">
        <f t="shared" si="35"/>
        <v>1.2848780487804845</v>
      </c>
      <c r="Y179" s="46">
        <v>0</v>
      </c>
      <c r="Z179" s="46">
        <v>26.25</v>
      </c>
      <c r="AA179" s="46">
        <f t="shared" si="36"/>
        <v>24.965121951219515</v>
      </c>
      <c r="AB179" s="97">
        <f>MIN(AA179:AA181)</f>
        <v>24.965121951219512</v>
      </c>
      <c r="AC179" s="98" t="str">
        <f>IF(AB179&lt;0,"закрыт","открыт")</f>
        <v>открыт</v>
      </c>
      <c r="AD179" s="138">
        <v>0.82</v>
      </c>
      <c r="AE179" s="31"/>
    </row>
    <row r="180" spans="1:31" s="32" customFormat="1" ht="12.75" customHeight="1">
      <c r="A180" s="96"/>
      <c r="B180" s="61" t="s">
        <v>45</v>
      </c>
      <c r="C180" s="43" t="s">
        <v>116</v>
      </c>
      <c r="D180" s="64">
        <f>D179-D181</f>
        <v>10.47</v>
      </c>
      <c r="E180" s="69">
        <f>D180</f>
        <v>10.47</v>
      </c>
      <c r="F180" s="45"/>
      <c r="G180" s="60">
        <f>D180-E180</f>
        <v>0</v>
      </c>
      <c r="H180" s="43">
        <v>0</v>
      </c>
      <c r="I180" s="43">
        <v>26.25</v>
      </c>
      <c r="J180" s="60">
        <f>I180-G180-H180</f>
        <v>26.25</v>
      </c>
      <c r="K180" s="97"/>
      <c r="L180" s="93"/>
      <c r="M180" s="99"/>
      <c r="N180" s="138"/>
      <c r="O180" s="30"/>
      <c r="P180" s="96"/>
      <c r="Q180" s="61" t="s">
        <v>45</v>
      </c>
      <c r="R180" s="43" t="s">
        <v>116</v>
      </c>
      <c r="S180" s="60">
        <f>S179-S181</f>
        <v>4.4268292682926829</v>
      </c>
      <c r="T180" s="48"/>
      <c r="U180" s="46">
        <f t="shared" si="37"/>
        <v>14.896829268292684</v>
      </c>
      <c r="V180" s="57">
        <f>U180</f>
        <v>14.896829268292684</v>
      </c>
      <c r="W180" s="54"/>
      <c r="X180" s="57">
        <f t="shared" si="35"/>
        <v>0</v>
      </c>
      <c r="Y180" s="46">
        <v>0</v>
      </c>
      <c r="Z180" s="46">
        <v>26.25</v>
      </c>
      <c r="AA180" s="46">
        <f t="shared" si="36"/>
        <v>26.25</v>
      </c>
      <c r="AB180" s="97"/>
      <c r="AC180" s="99"/>
      <c r="AD180" s="138"/>
      <c r="AE180" s="31"/>
    </row>
    <row r="181" spans="1:31" s="32" customFormat="1" ht="12.75" customHeight="1">
      <c r="A181" s="96"/>
      <c r="B181" s="61" t="s">
        <v>46</v>
      </c>
      <c r="C181" s="43" t="s">
        <v>116</v>
      </c>
      <c r="D181" s="64">
        <v>5.65</v>
      </c>
      <c r="E181" s="56">
        <v>4.67</v>
      </c>
      <c r="F181" s="45">
        <v>120</v>
      </c>
      <c r="G181" s="60">
        <f>D181-E181</f>
        <v>0.98000000000000043</v>
      </c>
      <c r="H181" s="43">
        <v>0</v>
      </c>
      <c r="I181" s="43">
        <v>26.25</v>
      </c>
      <c r="J181" s="60">
        <f>I181-G181-H181</f>
        <v>25.27</v>
      </c>
      <c r="K181" s="97"/>
      <c r="L181" s="93"/>
      <c r="M181" s="100"/>
      <c r="N181" s="138"/>
      <c r="O181" s="30"/>
      <c r="P181" s="96"/>
      <c r="Q181" s="61" t="s">
        <v>46</v>
      </c>
      <c r="R181" s="43" t="s">
        <v>116</v>
      </c>
      <c r="S181" s="60">
        <f>T181/N179</f>
        <v>0.3048780487804878</v>
      </c>
      <c r="T181" s="60">
        <v>0.25</v>
      </c>
      <c r="U181" s="46">
        <f t="shared" si="37"/>
        <v>5.954878048780488</v>
      </c>
      <c r="V181" s="57">
        <f>'[1]текущий дефицит'!E179</f>
        <v>4.67</v>
      </c>
      <c r="W181" s="54">
        <v>120</v>
      </c>
      <c r="X181" s="57">
        <f t="shared" si="35"/>
        <v>1.2848780487804881</v>
      </c>
      <c r="Y181" s="46">
        <v>0</v>
      </c>
      <c r="Z181" s="46">
        <v>26.25</v>
      </c>
      <c r="AA181" s="46">
        <f t="shared" si="36"/>
        <v>24.965121951219512</v>
      </c>
      <c r="AB181" s="97"/>
      <c r="AC181" s="100"/>
      <c r="AD181" s="138"/>
      <c r="AE181" s="31"/>
    </row>
    <row r="182" spans="1:31" s="32" customFormat="1" ht="22.5">
      <c r="A182" s="45">
        <v>127</v>
      </c>
      <c r="B182" s="47" t="s">
        <v>109</v>
      </c>
      <c r="C182" s="43" t="s">
        <v>33</v>
      </c>
      <c r="D182" s="64">
        <v>3.1</v>
      </c>
      <c r="E182" s="43">
        <v>0.69</v>
      </c>
      <c r="F182" s="45">
        <v>120</v>
      </c>
      <c r="G182" s="60">
        <f t="shared" si="27"/>
        <v>2.41</v>
      </c>
      <c r="H182" s="43">
        <v>0</v>
      </c>
      <c r="I182" s="43">
        <v>4.2</v>
      </c>
      <c r="J182" s="60">
        <f t="shared" si="28"/>
        <v>1.79</v>
      </c>
      <c r="K182" s="48">
        <f t="shared" ref="K182:K187" si="39">J182</f>
        <v>1.79</v>
      </c>
      <c r="L182" s="46">
        <f t="shared" ref="L182:L188" si="40">K182*N182</f>
        <v>1.6289</v>
      </c>
      <c r="M182" s="55" t="str">
        <f t="shared" ref="M182:M188" si="41">IF(K182&lt;0,"закрыт","открыт")</f>
        <v>открыт</v>
      </c>
      <c r="N182" s="55">
        <v>0.91</v>
      </c>
      <c r="O182" s="30"/>
      <c r="P182" s="45">
        <v>127</v>
      </c>
      <c r="Q182" s="53" t="s">
        <v>109</v>
      </c>
      <c r="R182" s="43" t="s">
        <v>33</v>
      </c>
      <c r="S182" s="57">
        <f t="shared" ref="S182:S187" si="42">T182/N182</f>
        <v>0.97802197802197799</v>
      </c>
      <c r="T182" s="60">
        <v>0.89</v>
      </c>
      <c r="U182" s="46">
        <f t="shared" si="37"/>
        <v>4.0780219780219777</v>
      </c>
      <c r="V182" s="57">
        <f t="shared" ref="V182:V187" si="43">E182</f>
        <v>0.69</v>
      </c>
      <c r="W182" s="54">
        <v>120</v>
      </c>
      <c r="X182" s="57">
        <f t="shared" si="35"/>
        <v>3.3880219780219778</v>
      </c>
      <c r="Y182" s="46">
        <v>0</v>
      </c>
      <c r="Z182" s="46">
        <v>4.2</v>
      </c>
      <c r="AA182" s="46">
        <f t="shared" si="36"/>
        <v>0.81197802197802238</v>
      </c>
      <c r="AB182" s="48">
        <f t="shared" ref="AB182:AB187" si="44">AA182</f>
        <v>0.81197802197802238</v>
      </c>
      <c r="AC182" s="55" t="str">
        <f t="shared" ref="AC182:AC188" si="45">IF(AB182&lt;0,"закрыт","открыт")</f>
        <v>открыт</v>
      </c>
      <c r="AD182" s="55">
        <v>0.91</v>
      </c>
      <c r="AE182" s="31"/>
    </row>
    <row r="183" spans="1:31" s="32" customFormat="1" ht="22.5">
      <c r="A183" s="45">
        <v>128</v>
      </c>
      <c r="B183" s="47" t="s">
        <v>173</v>
      </c>
      <c r="C183" s="43" t="s">
        <v>32</v>
      </c>
      <c r="D183" s="64">
        <v>1.78</v>
      </c>
      <c r="E183" s="43">
        <v>0</v>
      </c>
      <c r="F183" s="45">
        <v>120</v>
      </c>
      <c r="G183" s="60">
        <f t="shared" si="27"/>
        <v>1.78</v>
      </c>
      <c r="H183" s="43">
        <v>0</v>
      </c>
      <c r="I183" s="43">
        <v>4.2</v>
      </c>
      <c r="J183" s="60">
        <f t="shared" si="28"/>
        <v>2.42</v>
      </c>
      <c r="K183" s="48">
        <f t="shared" si="39"/>
        <v>2.42</v>
      </c>
      <c r="L183" s="46">
        <f t="shared" si="40"/>
        <v>2.1779999999999999</v>
      </c>
      <c r="M183" s="55" t="str">
        <f t="shared" si="41"/>
        <v>открыт</v>
      </c>
      <c r="N183" s="55">
        <v>0.9</v>
      </c>
      <c r="O183" s="30"/>
      <c r="P183" s="45">
        <v>128</v>
      </c>
      <c r="Q183" s="53" t="s">
        <v>173</v>
      </c>
      <c r="R183" s="43" t="s">
        <v>32</v>
      </c>
      <c r="S183" s="57">
        <f t="shared" si="42"/>
        <v>2.0777777777777779</v>
      </c>
      <c r="T183" s="60">
        <v>1.87</v>
      </c>
      <c r="U183" s="46">
        <f t="shared" si="37"/>
        <v>3.8577777777777778</v>
      </c>
      <c r="V183" s="57">
        <f t="shared" si="43"/>
        <v>0</v>
      </c>
      <c r="W183" s="54">
        <v>120</v>
      </c>
      <c r="X183" s="57">
        <f t="shared" si="35"/>
        <v>3.8577777777777778</v>
      </c>
      <c r="Y183" s="46">
        <v>0</v>
      </c>
      <c r="Z183" s="46">
        <v>4.2</v>
      </c>
      <c r="AA183" s="46">
        <f t="shared" si="36"/>
        <v>0.34222222222222243</v>
      </c>
      <c r="AB183" s="48">
        <f t="shared" si="44"/>
        <v>0.34222222222222243</v>
      </c>
      <c r="AC183" s="55" t="str">
        <f t="shared" si="45"/>
        <v>открыт</v>
      </c>
      <c r="AD183" s="55">
        <v>0.9</v>
      </c>
      <c r="AE183" s="31"/>
    </row>
    <row r="184" spans="1:31" s="32" customFormat="1" ht="22.5">
      <c r="A184" s="45">
        <v>129</v>
      </c>
      <c r="B184" s="47" t="s">
        <v>174</v>
      </c>
      <c r="C184" s="43" t="s">
        <v>32</v>
      </c>
      <c r="D184" s="64">
        <v>1.81</v>
      </c>
      <c r="E184" s="43">
        <v>0.75</v>
      </c>
      <c r="F184" s="45">
        <v>120</v>
      </c>
      <c r="G184" s="60">
        <f t="shared" si="27"/>
        <v>1.06</v>
      </c>
      <c r="H184" s="43">
        <v>0</v>
      </c>
      <c r="I184" s="43">
        <v>4.2</v>
      </c>
      <c r="J184" s="60">
        <f t="shared" si="28"/>
        <v>3.14</v>
      </c>
      <c r="K184" s="48">
        <f t="shared" si="39"/>
        <v>3.14</v>
      </c>
      <c r="L184" s="46">
        <f t="shared" si="40"/>
        <v>2.5434000000000001</v>
      </c>
      <c r="M184" s="55" t="str">
        <f t="shared" si="41"/>
        <v>открыт</v>
      </c>
      <c r="N184" s="55">
        <v>0.81</v>
      </c>
      <c r="O184" s="30"/>
      <c r="P184" s="45">
        <v>129</v>
      </c>
      <c r="Q184" s="53" t="s">
        <v>174</v>
      </c>
      <c r="R184" s="43" t="s">
        <v>32</v>
      </c>
      <c r="S184" s="57">
        <f t="shared" si="42"/>
        <v>1.962962962962963</v>
      </c>
      <c r="T184" s="60">
        <v>1.59</v>
      </c>
      <c r="U184" s="46">
        <f t="shared" si="37"/>
        <v>3.7729629629629633</v>
      </c>
      <c r="V184" s="57">
        <f t="shared" si="43"/>
        <v>0.75</v>
      </c>
      <c r="W184" s="54">
        <v>120</v>
      </c>
      <c r="X184" s="57">
        <f t="shared" si="35"/>
        <v>3.0229629629629633</v>
      </c>
      <c r="Y184" s="46">
        <v>0</v>
      </c>
      <c r="Z184" s="46">
        <v>4.2</v>
      </c>
      <c r="AA184" s="46">
        <f t="shared" si="36"/>
        <v>1.1770370370370369</v>
      </c>
      <c r="AB184" s="48">
        <f t="shared" si="44"/>
        <v>1.1770370370370369</v>
      </c>
      <c r="AC184" s="55" t="str">
        <f t="shared" si="45"/>
        <v>открыт</v>
      </c>
      <c r="AD184" s="55">
        <v>0.81</v>
      </c>
      <c r="AE184" s="31"/>
    </row>
    <row r="185" spans="1:31" s="32" customFormat="1" ht="22.5">
      <c r="A185" s="45">
        <v>130</v>
      </c>
      <c r="B185" s="47" t="s">
        <v>175</v>
      </c>
      <c r="C185" s="43" t="s">
        <v>23</v>
      </c>
      <c r="D185" s="64">
        <v>0.5</v>
      </c>
      <c r="E185" s="43">
        <v>0.05</v>
      </c>
      <c r="F185" s="45">
        <v>120</v>
      </c>
      <c r="G185" s="60">
        <f t="shared" si="27"/>
        <v>0.45</v>
      </c>
      <c r="H185" s="43">
        <v>0</v>
      </c>
      <c r="I185" s="43">
        <v>4.2</v>
      </c>
      <c r="J185" s="60">
        <f t="shared" si="28"/>
        <v>3.75</v>
      </c>
      <c r="K185" s="48">
        <f t="shared" si="39"/>
        <v>3.75</v>
      </c>
      <c r="L185" s="46">
        <f t="shared" si="40"/>
        <v>3.5625</v>
      </c>
      <c r="M185" s="55" t="str">
        <f t="shared" si="41"/>
        <v>открыт</v>
      </c>
      <c r="N185" s="55">
        <v>0.95</v>
      </c>
      <c r="O185" s="30"/>
      <c r="P185" s="45">
        <v>130</v>
      </c>
      <c r="Q185" s="53" t="s">
        <v>175</v>
      </c>
      <c r="R185" s="43" t="s">
        <v>23</v>
      </c>
      <c r="S185" s="57">
        <f t="shared" si="42"/>
        <v>0</v>
      </c>
      <c r="T185" s="60">
        <v>0</v>
      </c>
      <c r="U185" s="46">
        <f t="shared" si="37"/>
        <v>0.5</v>
      </c>
      <c r="V185" s="57">
        <f t="shared" si="43"/>
        <v>0.05</v>
      </c>
      <c r="W185" s="54">
        <v>120</v>
      </c>
      <c r="X185" s="57">
        <f t="shared" si="35"/>
        <v>0.45</v>
      </c>
      <c r="Y185" s="46">
        <v>0</v>
      </c>
      <c r="Z185" s="46">
        <v>4.2</v>
      </c>
      <c r="AA185" s="46">
        <f t="shared" si="36"/>
        <v>3.75</v>
      </c>
      <c r="AB185" s="48">
        <f t="shared" si="44"/>
        <v>3.75</v>
      </c>
      <c r="AC185" s="55" t="str">
        <f t="shared" si="45"/>
        <v>открыт</v>
      </c>
      <c r="AD185" s="55">
        <v>0.95</v>
      </c>
      <c r="AE185" s="31"/>
    </row>
    <row r="186" spans="1:31" s="32" customFormat="1" ht="22.5">
      <c r="A186" s="45">
        <v>131</v>
      </c>
      <c r="B186" s="47" t="s">
        <v>176</v>
      </c>
      <c r="C186" s="43" t="s">
        <v>32</v>
      </c>
      <c r="D186" s="64">
        <v>1.35</v>
      </c>
      <c r="E186" s="43">
        <v>0.22</v>
      </c>
      <c r="F186" s="45">
        <v>120</v>
      </c>
      <c r="G186" s="60">
        <f t="shared" si="27"/>
        <v>1.1300000000000001</v>
      </c>
      <c r="H186" s="43">
        <v>0</v>
      </c>
      <c r="I186" s="43">
        <v>4.2</v>
      </c>
      <c r="J186" s="60">
        <f t="shared" si="28"/>
        <v>3.0700000000000003</v>
      </c>
      <c r="K186" s="48">
        <f t="shared" si="39"/>
        <v>3.0700000000000003</v>
      </c>
      <c r="L186" s="46">
        <f t="shared" si="40"/>
        <v>2.7016000000000004</v>
      </c>
      <c r="M186" s="55" t="str">
        <f t="shared" si="41"/>
        <v>открыт</v>
      </c>
      <c r="N186" s="55">
        <v>0.88</v>
      </c>
      <c r="O186" s="30"/>
      <c r="P186" s="45">
        <v>131</v>
      </c>
      <c r="Q186" s="53" t="s">
        <v>176</v>
      </c>
      <c r="R186" s="43" t="s">
        <v>32</v>
      </c>
      <c r="S186" s="57">
        <f t="shared" si="42"/>
        <v>3.4090909090909088E-2</v>
      </c>
      <c r="T186" s="60">
        <v>0.03</v>
      </c>
      <c r="U186" s="46">
        <f t="shared" si="37"/>
        <v>1.3840909090909093</v>
      </c>
      <c r="V186" s="57">
        <f t="shared" si="43"/>
        <v>0.22</v>
      </c>
      <c r="W186" s="54">
        <v>120</v>
      </c>
      <c r="X186" s="57">
        <f t="shared" si="35"/>
        <v>1.1640909090909093</v>
      </c>
      <c r="Y186" s="46">
        <v>0</v>
      </c>
      <c r="Z186" s="46">
        <v>4.2</v>
      </c>
      <c r="AA186" s="46">
        <f t="shared" si="36"/>
        <v>3.0359090909090911</v>
      </c>
      <c r="AB186" s="48">
        <f t="shared" si="44"/>
        <v>3.0359090909090911</v>
      </c>
      <c r="AC186" s="55" t="str">
        <f t="shared" si="45"/>
        <v>открыт</v>
      </c>
      <c r="AD186" s="55">
        <v>0.88</v>
      </c>
      <c r="AE186" s="31"/>
    </row>
    <row r="187" spans="1:31" s="32" customFormat="1" ht="22.5">
      <c r="A187" s="45">
        <v>132</v>
      </c>
      <c r="B187" s="47" t="s">
        <v>177</v>
      </c>
      <c r="C187" s="43" t="s">
        <v>130</v>
      </c>
      <c r="D187" s="64">
        <v>0.67</v>
      </c>
      <c r="E187" s="43">
        <v>0</v>
      </c>
      <c r="F187" s="45">
        <v>120</v>
      </c>
      <c r="G187" s="60">
        <f t="shared" ref="G187:G284" si="46">D187-E187</f>
        <v>0.67</v>
      </c>
      <c r="H187" s="43">
        <v>0</v>
      </c>
      <c r="I187" s="43">
        <v>2.625</v>
      </c>
      <c r="J187" s="60">
        <f t="shared" ref="J187:J284" si="47">I187-G187-H187</f>
        <v>1.9550000000000001</v>
      </c>
      <c r="K187" s="48">
        <f t="shared" si="39"/>
        <v>1.9550000000000001</v>
      </c>
      <c r="L187" s="46">
        <f t="shared" si="40"/>
        <v>1.70085</v>
      </c>
      <c r="M187" s="55" t="str">
        <f t="shared" si="41"/>
        <v>открыт</v>
      </c>
      <c r="N187" s="55">
        <v>0.87</v>
      </c>
      <c r="O187" s="30"/>
      <c r="P187" s="45">
        <v>132</v>
      </c>
      <c r="Q187" s="53" t="s">
        <v>177</v>
      </c>
      <c r="R187" s="43" t="s">
        <v>130</v>
      </c>
      <c r="S187" s="57">
        <f t="shared" si="42"/>
        <v>1.1494252873563218E-2</v>
      </c>
      <c r="T187" s="60">
        <v>0.01</v>
      </c>
      <c r="U187" s="46">
        <f t="shared" si="37"/>
        <v>0.68149425287356324</v>
      </c>
      <c r="V187" s="57">
        <f t="shared" si="43"/>
        <v>0</v>
      </c>
      <c r="W187" s="54">
        <v>120</v>
      </c>
      <c r="X187" s="57">
        <f t="shared" si="35"/>
        <v>0.68149425287356324</v>
      </c>
      <c r="Y187" s="46">
        <v>0</v>
      </c>
      <c r="Z187" s="46">
        <v>2.625</v>
      </c>
      <c r="AA187" s="46">
        <f t="shared" si="36"/>
        <v>1.9435057471264368</v>
      </c>
      <c r="AB187" s="48">
        <f t="shared" si="44"/>
        <v>1.9435057471264368</v>
      </c>
      <c r="AC187" s="55" t="str">
        <f t="shared" si="45"/>
        <v>открыт</v>
      </c>
      <c r="AD187" s="55">
        <v>0.87</v>
      </c>
      <c r="AE187" s="31"/>
    </row>
    <row r="188" spans="1:31" s="32" customFormat="1" ht="22.5">
      <c r="A188" s="96">
        <v>133</v>
      </c>
      <c r="B188" s="47" t="s">
        <v>178</v>
      </c>
      <c r="C188" s="43" t="s">
        <v>27</v>
      </c>
      <c r="D188" s="64">
        <v>4.8</v>
      </c>
      <c r="E188" s="43">
        <f>E189+E190</f>
        <v>2.63</v>
      </c>
      <c r="F188" s="45">
        <v>120</v>
      </c>
      <c r="G188" s="60">
        <f t="shared" si="46"/>
        <v>2.17</v>
      </c>
      <c r="H188" s="43">
        <v>0</v>
      </c>
      <c r="I188" s="45">
        <f>1.05*5.6</f>
        <v>5.88</v>
      </c>
      <c r="J188" s="60">
        <f t="shared" si="47"/>
        <v>3.71</v>
      </c>
      <c r="K188" s="97">
        <f>MIN(J188:J190)</f>
        <v>3.71</v>
      </c>
      <c r="L188" s="93">
        <f t="shared" si="40"/>
        <v>2.7824999999999998</v>
      </c>
      <c r="M188" s="98" t="str">
        <f t="shared" si="41"/>
        <v>открыт</v>
      </c>
      <c r="N188" s="138">
        <v>0.75</v>
      </c>
      <c r="O188" s="30"/>
      <c r="P188" s="96">
        <v>133</v>
      </c>
      <c r="Q188" s="53" t="s">
        <v>178</v>
      </c>
      <c r="R188" s="43" t="s">
        <v>27</v>
      </c>
      <c r="S188" s="60">
        <f>T188/N188</f>
        <v>1.8533333333333333</v>
      </c>
      <c r="T188" s="60">
        <v>1.39</v>
      </c>
      <c r="U188" s="46">
        <f t="shared" si="37"/>
        <v>6.6533333333333333</v>
      </c>
      <c r="V188" s="57">
        <f>V189+V190</f>
        <v>3.63</v>
      </c>
      <c r="W188" s="54">
        <v>120</v>
      </c>
      <c r="X188" s="57">
        <f t="shared" si="35"/>
        <v>3.0233333333333334</v>
      </c>
      <c r="Y188" s="46">
        <v>0</v>
      </c>
      <c r="Z188" s="60">
        <f>1.05*5.6</f>
        <v>5.88</v>
      </c>
      <c r="AA188" s="46">
        <f t="shared" si="36"/>
        <v>2.8566666666666665</v>
      </c>
      <c r="AB188" s="97">
        <f>MIN(AA188:AA190)</f>
        <v>2.8566666666666665</v>
      </c>
      <c r="AC188" s="98" t="str">
        <f t="shared" si="45"/>
        <v>открыт</v>
      </c>
      <c r="AD188" s="138">
        <v>0.75</v>
      </c>
      <c r="AE188" s="31"/>
    </row>
    <row r="189" spans="1:31" s="32" customFormat="1" ht="12.75" customHeight="1">
      <c r="A189" s="96"/>
      <c r="B189" s="61" t="s">
        <v>45</v>
      </c>
      <c r="C189" s="43" t="s">
        <v>27</v>
      </c>
      <c r="D189" s="64">
        <f>D188-D190</f>
        <v>2.1999999999999997</v>
      </c>
      <c r="E189" s="69">
        <f>D189</f>
        <v>2.1999999999999997</v>
      </c>
      <c r="F189" s="45"/>
      <c r="G189" s="60">
        <f>D189-E189</f>
        <v>0</v>
      </c>
      <c r="H189" s="43">
        <v>0</v>
      </c>
      <c r="I189" s="45">
        <f>1.05*5.6</f>
        <v>5.88</v>
      </c>
      <c r="J189" s="60">
        <f>I189-G189-H189</f>
        <v>5.88</v>
      </c>
      <c r="K189" s="97"/>
      <c r="L189" s="93"/>
      <c r="M189" s="99"/>
      <c r="N189" s="138"/>
      <c r="O189" s="30"/>
      <c r="P189" s="96"/>
      <c r="Q189" s="61" t="s">
        <v>45</v>
      </c>
      <c r="R189" s="43" t="s">
        <v>27</v>
      </c>
      <c r="S189" s="60">
        <f>S188-S190</f>
        <v>0.99999999999999989</v>
      </c>
      <c r="T189" s="60"/>
      <c r="U189" s="46">
        <f t="shared" si="37"/>
        <v>3.1999999999999997</v>
      </c>
      <c r="V189" s="57">
        <f>U189</f>
        <v>3.1999999999999997</v>
      </c>
      <c r="W189" s="54"/>
      <c r="X189" s="57">
        <f t="shared" si="35"/>
        <v>0</v>
      </c>
      <c r="Y189" s="46">
        <v>0</v>
      </c>
      <c r="Z189" s="60">
        <f>1.05*5.6</f>
        <v>5.88</v>
      </c>
      <c r="AA189" s="46">
        <f t="shared" si="36"/>
        <v>5.88</v>
      </c>
      <c r="AB189" s="97"/>
      <c r="AC189" s="99"/>
      <c r="AD189" s="138"/>
      <c r="AE189" s="31"/>
    </row>
    <row r="190" spans="1:31" s="32" customFormat="1" ht="12.75" customHeight="1">
      <c r="A190" s="96"/>
      <c r="B190" s="61" t="s">
        <v>46</v>
      </c>
      <c r="C190" s="43" t="s">
        <v>27</v>
      </c>
      <c r="D190" s="64">
        <v>2.6</v>
      </c>
      <c r="E190" s="56">
        <v>0.43</v>
      </c>
      <c r="F190" s="45">
        <v>120</v>
      </c>
      <c r="G190" s="60">
        <f>D190-E190</f>
        <v>2.17</v>
      </c>
      <c r="H190" s="43">
        <v>0</v>
      </c>
      <c r="I190" s="45">
        <f>1.05*5.6</f>
        <v>5.88</v>
      </c>
      <c r="J190" s="60">
        <f>I190-G190-H190</f>
        <v>3.71</v>
      </c>
      <c r="K190" s="97"/>
      <c r="L190" s="93"/>
      <c r="M190" s="100"/>
      <c r="N190" s="138"/>
      <c r="O190" s="30"/>
      <c r="P190" s="96"/>
      <c r="Q190" s="61" t="s">
        <v>46</v>
      </c>
      <c r="R190" s="43" t="s">
        <v>27</v>
      </c>
      <c r="S190" s="60">
        <f>T190/N188</f>
        <v>0.85333333333333339</v>
      </c>
      <c r="T190" s="60">
        <v>0.64</v>
      </c>
      <c r="U190" s="46">
        <f t="shared" si="37"/>
        <v>3.4533333333333336</v>
      </c>
      <c r="V190" s="57">
        <f>'[1]текущий дефицит'!E188</f>
        <v>0.43</v>
      </c>
      <c r="W190" s="54">
        <v>120</v>
      </c>
      <c r="X190" s="57">
        <f t="shared" si="35"/>
        <v>3.0233333333333334</v>
      </c>
      <c r="Y190" s="46">
        <v>0</v>
      </c>
      <c r="Z190" s="60">
        <f>1.05*5.6</f>
        <v>5.88</v>
      </c>
      <c r="AA190" s="46">
        <f>Z190-Y190-X190</f>
        <v>2.8566666666666665</v>
      </c>
      <c r="AB190" s="97"/>
      <c r="AC190" s="100"/>
      <c r="AD190" s="138"/>
      <c r="AE190" s="31"/>
    </row>
    <row r="191" spans="1:31" s="32" customFormat="1" ht="22.5">
      <c r="A191" s="45">
        <v>134</v>
      </c>
      <c r="B191" s="47" t="s">
        <v>179</v>
      </c>
      <c r="C191" s="45" t="s">
        <v>130</v>
      </c>
      <c r="D191" s="64">
        <v>0.75</v>
      </c>
      <c r="E191" s="43">
        <v>0.2</v>
      </c>
      <c r="F191" s="45">
        <v>120</v>
      </c>
      <c r="G191" s="60">
        <f t="shared" si="46"/>
        <v>0.55000000000000004</v>
      </c>
      <c r="H191" s="43">
        <v>0</v>
      </c>
      <c r="I191" s="43">
        <v>2.625</v>
      </c>
      <c r="J191" s="60">
        <f t="shared" si="47"/>
        <v>2.0750000000000002</v>
      </c>
      <c r="K191" s="48">
        <f>J191</f>
        <v>2.0750000000000002</v>
      </c>
      <c r="L191" s="46">
        <f>K191*N191</f>
        <v>1.5562500000000001</v>
      </c>
      <c r="M191" s="55" t="str">
        <f>IF(K191&lt;0,"закрыт","открыт")</f>
        <v>открыт</v>
      </c>
      <c r="N191" s="55">
        <v>0.75</v>
      </c>
      <c r="O191" s="30"/>
      <c r="P191" s="45">
        <v>134</v>
      </c>
      <c r="Q191" s="53" t="s">
        <v>179</v>
      </c>
      <c r="R191" s="45" t="s">
        <v>130</v>
      </c>
      <c r="S191" s="57">
        <f>T191/N191</f>
        <v>0.16</v>
      </c>
      <c r="T191" s="60">
        <v>0.12</v>
      </c>
      <c r="U191" s="46">
        <f t="shared" si="37"/>
        <v>0.91</v>
      </c>
      <c r="V191" s="57">
        <f>E191</f>
        <v>0.2</v>
      </c>
      <c r="W191" s="54">
        <f>F191</f>
        <v>120</v>
      </c>
      <c r="X191" s="57">
        <f t="shared" si="35"/>
        <v>0.71</v>
      </c>
      <c r="Y191" s="46">
        <v>0</v>
      </c>
      <c r="Z191" s="46">
        <v>2.625</v>
      </c>
      <c r="AA191" s="46">
        <f t="shared" si="36"/>
        <v>1.915</v>
      </c>
      <c r="AB191" s="48">
        <f>AA191</f>
        <v>1.915</v>
      </c>
      <c r="AC191" s="55" t="str">
        <f>IF(AB191&lt;0,"закрыт","открыт")</f>
        <v>открыт</v>
      </c>
      <c r="AD191" s="55">
        <v>0.75</v>
      </c>
      <c r="AE191" s="31"/>
    </row>
    <row r="192" spans="1:31" s="32" customFormat="1" ht="22.5">
      <c r="A192" s="45">
        <v>135</v>
      </c>
      <c r="B192" s="47" t="s">
        <v>180</v>
      </c>
      <c r="C192" s="45" t="s">
        <v>130</v>
      </c>
      <c r="D192" s="64">
        <v>0.33</v>
      </c>
      <c r="E192" s="43">
        <v>0</v>
      </c>
      <c r="F192" s="45">
        <v>120</v>
      </c>
      <c r="G192" s="60">
        <f t="shared" si="46"/>
        <v>0.33</v>
      </c>
      <c r="H192" s="43">
        <v>0</v>
      </c>
      <c r="I192" s="43">
        <v>2.625</v>
      </c>
      <c r="J192" s="60">
        <f t="shared" si="47"/>
        <v>2.2949999999999999</v>
      </c>
      <c r="K192" s="48">
        <f>J192</f>
        <v>2.2949999999999999</v>
      </c>
      <c r="L192" s="46">
        <f>K192*N192</f>
        <v>1.7901</v>
      </c>
      <c r="M192" s="55" t="str">
        <f>IF(K192&lt;0,"закрыт","открыт")</f>
        <v>открыт</v>
      </c>
      <c r="N192" s="55">
        <v>0.78</v>
      </c>
      <c r="O192" s="30"/>
      <c r="P192" s="45">
        <v>135</v>
      </c>
      <c r="Q192" s="53" t="s">
        <v>180</v>
      </c>
      <c r="R192" s="45" t="s">
        <v>130</v>
      </c>
      <c r="S192" s="57">
        <f>T192/N192</f>
        <v>0</v>
      </c>
      <c r="T192" s="60">
        <v>0</v>
      </c>
      <c r="U192" s="46">
        <f t="shared" si="37"/>
        <v>0.33</v>
      </c>
      <c r="V192" s="57">
        <f>E192</f>
        <v>0</v>
      </c>
      <c r="W192" s="54">
        <v>120</v>
      </c>
      <c r="X192" s="57">
        <f t="shared" si="35"/>
        <v>0.33</v>
      </c>
      <c r="Y192" s="46">
        <v>0</v>
      </c>
      <c r="Z192" s="46">
        <v>2.625</v>
      </c>
      <c r="AA192" s="46">
        <f t="shared" si="36"/>
        <v>2.2949999999999999</v>
      </c>
      <c r="AB192" s="48">
        <f>AA192</f>
        <v>2.2949999999999999</v>
      </c>
      <c r="AC192" s="55" t="str">
        <f>IF(AB192&lt;0,"закрыт","открыт")</f>
        <v>открыт</v>
      </c>
      <c r="AD192" s="55">
        <v>0.78</v>
      </c>
      <c r="AE192" s="31"/>
    </row>
    <row r="193" spans="1:31" s="32" customFormat="1" ht="22.5">
      <c r="A193" s="45">
        <v>136</v>
      </c>
      <c r="B193" s="47" t="s">
        <v>181</v>
      </c>
      <c r="C193" s="43" t="s">
        <v>182</v>
      </c>
      <c r="D193" s="64">
        <v>0.6</v>
      </c>
      <c r="E193" s="43">
        <v>0.15</v>
      </c>
      <c r="F193" s="45">
        <v>120</v>
      </c>
      <c r="G193" s="60">
        <f t="shared" si="46"/>
        <v>0.44999999999999996</v>
      </c>
      <c r="H193" s="43">
        <v>0</v>
      </c>
      <c r="I193" s="45">
        <f>1.05*1.6</f>
        <v>1.6800000000000002</v>
      </c>
      <c r="J193" s="60">
        <f t="shared" si="47"/>
        <v>1.2300000000000002</v>
      </c>
      <c r="K193" s="48">
        <f>J193</f>
        <v>1.2300000000000002</v>
      </c>
      <c r="L193" s="46">
        <f>K193*N193</f>
        <v>1.1931000000000003</v>
      </c>
      <c r="M193" s="55" t="str">
        <f>IF(K193&lt;0,"закрыт","открыт")</f>
        <v>открыт</v>
      </c>
      <c r="N193" s="55">
        <v>0.97</v>
      </c>
      <c r="O193" s="30"/>
      <c r="P193" s="45">
        <v>136</v>
      </c>
      <c r="Q193" s="53" t="s">
        <v>181</v>
      </c>
      <c r="R193" s="43" t="s">
        <v>182</v>
      </c>
      <c r="S193" s="57">
        <f>T193/N193</f>
        <v>0.59793814432989689</v>
      </c>
      <c r="T193" s="60">
        <v>0.57999999999999996</v>
      </c>
      <c r="U193" s="46">
        <f t="shared" si="37"/>
        <v>1.1979381443298969</v>
      </c>
      <c r="V193" s="57">
        <f>E193</f>
        <v>0.15</v>
      </c>
      <c r="W193" s="54">
        <v>120</v>
      </c>
      <c r="X193" s="57">
        <f t="shared" si="35"/>
        <v>1.047938144329897</v>
      </c>
      <c r="Y193" s="46">
        <v>0</v>
      </c>
      <c r="Z193" s="60">
        <f>1.05*1.6</f>
        <v>1.6800000000000002</v>
      </c>
      <c r="AA193" s="46">
        <f t="shared" si="36"/>
        <v>0.6320618556701032</v>
      </c>
      <c r="AB193" s="48">
        <f>AA193</f>
        <v>0.6320618556701032</v>
      </c>
      <c r="AC193" s="55" t="str">
        <f>IF(AB193&lt;0,"закрыт","открыт")</f>
        <v>открыт</v>
      </c>
      <c r="AD193" s="55">
        <v>0.97</v>
      </c>
      <c r="AE193" s="31"/>
    </row>
    <row r="194" spans="1:31" s="32" customFormat="1" ht="22.5">
      <c r="A194" s="96">
        <v>137</v>
      </c>
      <c r="B194" s="47" t="s">
        <v>183</v>
      </c>
      <c r="C194" s="43" t="s">
        <v>28</v>
      </c>
      <c r="D194" s="64">
        <v>2.13</v>
      </c>
      <c r="E194" s="43">
        <f>E195+E196</f>
        <v>0.55999999999999994</v>
      </c>
      <c r="F194" s="45">
        <v>120</v>
      </c>
      <c r="G194" s="60">
        <f t="shared" si="46"/>
        <v>1.5699999999999998</v>
      </c>
      <c r="H194" s="43">
        <v>0</v>
      </c>
      <c r="I194" s="45">
        <f>1.05*6.3</f>
        <v>6.6150000000000002</v>
      </c>
      <c r="J194" s="60">
        <f t="shared" si="47"/>
        <v>5.0449999999999999</v>
      </c>
      <c r="K194" s="97">
        <f>MIN(J194:J196)</f>
        <v>5.0449999999999999</v>
      </c>
      <c r="L194" s="93">
        <f>K194*N194</f>
        <v>4.5404999999999998</v>
      </c>
      <c r="M194" s="98" t="str">
        <f>IF(K194&lt;0,"закрыт","открыт")</f>
        <v>открыт</v>
      </c>
      <c r="N194" s="138">
        <v>0.9</v>
      </c>
      <c r="O194" s="30"/>
      <c r="P194" s="96">
        <v>137</v>
      </c>
      <c r="Q194" s="53" t="s">
        <v>183</v>
      </c>
      <c r="R194" s="43" t="s">
        <v>28</v>
      </c>
      <c r="S194" s="60">
        <f>T194/N194</f>
        <v>0.43333333333333335</v>
      </c>
      <c r="T194" s="60">
        <v>0.39</v>
      </c>
      <c r="U194" s="46">
        <f t="shared" si="37"/>
        <v>2.5633333333333335</v>
      </c>
      <c r="V194" s="57">
        <f>V195+V196</f>
        <v>0.91555555555555557</v>
      </c>
      <c r="W194" s="54">
        <v>120</v>
      </c>
      <c r="X194" s="57">
        <f t="shared" si="35"/>
        <v>1.6477777777777778</v>
      </c>
      <c r="Y194" s="46">
        <v>0</v>
      </c>
      <c r="Z194" s="60">
        <f>1.05*6.3</f>
        <v>6.6150000000000002</v>
      </c>
      <c r="AA194" s="46">
        <f t="shared" si="36"/>
        <v>4.9672222222222224</v>
      </c>
      <c r="AB194" s="97">
        <f>MIN(AA194:AA196)</f>
        <v>4.9672222222222224</v>
      </c>
      <c r="AC194" s="98" t="str">
        <f>IF(AB194&lt;0,"закрыт","открыт")</f>
        <v>открыт</v>
      </c>
      <c r="AD194" s="138">
        <v>0.9</v>
      </c>
      <c r="AE194" s="31"/>
    </row>
    <row r="195" spans="1:31" s="32" customFormat="1" ht="12.75" customHeight="1">
      <c r="A195" s="96"/>
      <c r="B195" s="61" t="s">
        <v>45</v>
      </c>
      <c r="C195" s="43" t="s">
        <v>28</v>
      </c>
      <c r="D195" s="64">
        <f>D194-D196</f>
        <v>0.44999999999999996</v>
      </c>
      <c r="E195" s="69">
        <f>D195</f>
        <v>0.44999999999999996</v>
      </c>
      <c r="F195" s="45"/>
      <c r="G195" s="60">
        <f>D195-E195</f>
        <v>0</v>
      </c>
      <c r="H195" s="43">
        <v>0</v>
      </c>
      <c r="I195" s="45">
        <f>1.05*6.3</f>
        <v>6.6150000000000002</v>
      </c>
      <c r="J195" s="60">
        <f>I195-G195-H195</f>
        <v>6.6150000000000002</v>
      </c>
      <c r="K195" s="97"/>
      <c r="L195" s="93"/>
      <c r="M195" s="99"/>
      <c r="N195" s="138"/>
      <c r="O195" s="30"/>
      <c r="P195" s="96"/>
      <c r="Q195" s="61" t="s">
        <v>45</v>
      </c>
      <c r="R195" s="43" t="s">
        <v>28</v>
      </c>
      <c r="S195" s="60">
        <f>S194-S196</f>
        <v>0.35555555555555557</v>
      </c>
      <c r="T195" s="60"/>
      <c r="U195" s="46">
        <f t="shared" si="37"/>
        <v>0.80555555555555558</v>
      </c>
      <c r="V195" s="57">
        <f>U195</f>
        <v>0.80555555555555558</v>
      </c>
      <c r="W195" s="54"/>
      <c r="X195" s="57">
        <f t="shared" si="35"/>
        <v>0</v>
      </c>
      <c r="Y195" s="46">
        <v>0</v>
      </c>
      <c r="Z195" s="60">
        <f>1.05*6.3</f>
        <v>6.6150000000000002</v>
      </c>
      <c r="AA195" s="46">
        <f t="shared" si="36"/>
        <v>6.6150000000000002</v>
      </c>
      <c r="AB195" s="97"/>
      <c r="AC195" s="99"/>
      <c r="AD195" s="138"/>
      <c r="AE195" s="31"/>
    </row>
    <row r="196" spans="1:31" s="32" customFormat="1" ht="12.75" customHeight="1">
      <c r="A196" s="96"/>
      <c r="B196" s="61" t="s">
        <v>46</v>
      </c>
      <c r="C196" s="43" t="s">
        <v>28</v>
      </c>
      <c r="D196" s="64">
        <v>1.68</v>
      </c>
      <c r="E196" s="56">
        <v>0.11</v>
      </c>
      <c r="F196" s="45">
        <v>120</v>
      </c>
      <c r="G196" s="60">
        <f>D196-E196</f>
        <v>1.5699999999999998</v>
      </c>
      <c r="H196" s="43">
        <v>0</v>
      </c>
      <c r="I196" s="45">
        <f>1.05*6.3</f>
        <v>6.6150000000000002</v>
      </c>
      <c r="J196" s="60">
        <f>I196-G196-H196</f>
        <v>5.0449999999999999</v>
      </c>
      <c r="K196" s="97"/>
      <c r="L196" s="93"/>
      <c r="M196" s="100"/>
      <c r="N196" s="138"/>
      <c r="O196" s="30"/>
      <c r="P196" s="96"/>
      <c r="Q196" s="61" t="s">
        <v>46</v>
      </c>
      <c r="R196" s="43" t="s">
        <v>28</v>
      </c>
      <c r="S196" s="60">
        <f>T196/N194</f>
        <v>7.7777777777777779E-2</v>
      </c>
      <c r="T196" s="60">
        <v>7.0000000000000007E-2</v>
      </c>
      <c r="U196" s="46">
        <f t="shared" si="37"/>
        <v>1.7577777777777777</v>
      </c>
      <c r="V196" s="57">
        <f>'[1]текущий дефицит'!E194</f>
        <v>0.11</v>
      </c>
      <c r="W196" s="54">
        <v>120</v>
      </c>
      <c r="X196" s="57">
        <f t="shared" si="35"/>
        <v>1.6477777777777776</v>
      </c>
      <c r="Y196" s="46">
        <v>0</v>
      </c>
      <c r="Z196" s="60">
        <f>1.05*6.3</f>
        <v>6.6150000000000002</v>
      </c>
      <c r="AA196" s="46">
        <f t="shared" si="36"/>
        <v>4.9672222222222224</v>
      </c>
      <c r="AB196" s="97"/>
      <c r="AC196" s="100"/>
      <c r="AD196" s="138"/>
      <c r="AE196" s="31"/>
    </row>
    <row r="197" spans="1:31" s="32" customFormat="1" ht="22.5">
      <c r="A197" s="45">
        <v>138</v>
      </c>
      <c r="B197" s="47" t="s">
        <v>184</v>
      </c>
      <c r="C197" s="43" t="s">
        <v>130</v>
      </c>
      <c r="D197" s="64">
        <v>0.25</v>
      </c>
      <c r="E197" s="43">
        <v>0</v>
      </c>
      <c r="F197" s="45">
        <v>120</v>
      </c>
      <c r="G197" s="60">
        <f t="shared" si="46"/>
        <v>0.25</v>
      </c>
      <c r="H197" s="43">
        <v>0</v>
      </c>
      <c r="I197" s="43">
        <v>2.625</v>
      </c>
      <c r="J197" s="60">
        <f t="shared" si="47"/>
        <v>2.375</v>
      </c>
      <c r="K197" s="48">
        <f>J197</f>
        <v>2.375</v>
      </c>
      <c r="L197" s="46">
        <f>K197*N197</f>
        <v>2.2799999999999998</v>
      </c>
      <c r="M197" s="55" t="str">
        <f>IF(K197&lt;0,"закрыт","открыт")</f>
        <v>открыт</v>
      </c>
      <c r="N197" s="55">
        <v>0.96</v>
      </c>
      <c r="O197" s="30"/>
      <c r="P197" s="45">
        <v>138</v>
      </c>
      <c r="Q197" s="53" t="s">
        <v>184</v>
      </c>
      <c r="R197" s="43" t="s">
        <v>130</v>
      </c>
      <c r="S197" s="57">
        <f>T197/N197</f>
        <v>0.125</v>
      </c>
      <c r="T197" s="60">
        <v>0.12</v>
      </c>
      <c r="U197" s="46">
        <f t="shared" si="37"/>
        <v>0.375</v>
      </c>
      <c r="V197" s="57">
        <f>E197</f>
        <v>0</v>
      </c>
      <c r="W197" s="54">
        <v>120</v>
      </c>
      <c r="X197" s="57">
        <f t="shared" si="35"/>
        <v>0.375</v>
      </c>
      <c r="Y197" s="46">
        <v>0</v>
      </c>
      <c r="Z197" s="46">
        <v>2.625</v>
      </c>
      <c r="AA197" s="46">
        <f t="shared" si="36"/>
        <v>2.25</v>
      </c>
      <c r="AB197" s="48">
        <f>AA197</f>
        <v>2.25</v>
      </c>
      <c r="AC197" s="55" t="str">
        <f>IF(AB197&lt;0,"закрыт","открыт")</f>
        <v>открыт</v>
      </c>
      <c r="AD197" s="55">
        <v>0.96</v>
      </c>
      <c r="AE197" s="31"/>
    </row>
    <row r="198" spans="1:31" s="32" customFormat="1" ht="22.5">
      <c r="A198" s="45">
        <v>139</v>
      </c>
      <c r="B198" s="47" t="s">
        <v>185</v>
      </c>
      <c r="C198" s="45" t="s">
        <v>182</v>
      </c>
      <c r="D198" s="64">
        <v>0.18</v>
      </c>
      <c r="E198" s="43">
        <v>0</v>
      </c>
      <c r="F198" s="45">
        <v>120</v>
      </c>
      <c r="G198" s="60">
        <f t="shared" si="46"/>
        <v>0.18</v>
      </c>
      <c r="H198" s="43">
        <v>0</v>
      </c>
      <c r="I198" s="43">
        <v>1.68</v>
      </c>
      <c r="J198" s="60">
        <f t="shared" si="47"/>
        <v>1.5</v>
      </c>
      <c r="K198" s="48">
        <f>J198</f>
        <v>1.5</v>
      </c>
      <c r="L198" s="46">
        <f>K198*N198</f>
        <v>1.4849999999999999</v>
      </c>
      <c r="M198" s="55" t="str">
        <f>IF(K198&lt;0,"закрыт","открыт")</f>
        <v>открыт</v>
      </c>
      <c r="N198" s="55">
        <v>0.99</v>
      </c>
      <c r="O198" s="30"/>
      <c r="P198" s="45">
        <v>139</v>
      </c>
      <c r="Q198" s="53" t="s">
        <v>185</v>
      </c>
      <c r="R198" s="45" t="s">
        <v>182</v>
      </c>
      <c r="S198" s="57">
        <f>T198/N198</f>
        <v>8.0808080808080815E-2</v>
      </c>
      <c r="T198" s="60">
        <v>0.08</v>
      </c>
      <c r="U198" s="46">
        <f t="shared" si="37"/>
        <v>0.26080808080808082</v>
      </c>
      <c r="V198" s="57">
        <f>E198</f>
        <v>0</v>
      </c>
      <c r="W198" s="54">
        <v>120</v>
      </c>
      <c r="X198" s="57">
        <f t="shared" si="35"/>
        <v>0.26080808080808082</v>
      </c>
      <c r="Y198" s="46">
        <v>0</v>
      </c>
      <c r="Z198" s="46">
        <v>1.68</v>
      </c>
      <c r="AA198" s="46">
        <f t="shared" si="36"/>
        <v>1.4191919191919191</v>
      </c>
      <c r="AB198" s="48">
        <f>AA198</f>
        <v>1.4191919191919191</v>
      </c>
      <c r="AC198" s="55" t="str">
        <f>IF(AB198&lt;0,"закрыт","открыт")</f>
        <v>открыт</v>
      </c>
      <c r="AD198" s="55">
        <v>0.99</v>
      </c>
      <c r="AE198" s="31"/>
    </row>
    <row r="199" spans="1:31" s="32" customFormat="1" ht="22.5">
      <c r="A199" s="96">
        <v>140</v>
      </c>
      <c r="B199" s="47" t="s">
        <v>186</v>
      </c>
      <c r="C199" s="43" t="s">
        <v>119</v>
      </c>
      <c r="D199" s="64">
        <v>3.65</v>
      </c>
      <c r="E199" s="43">
        <f>E200+E201</f>
        <v>1.99</v>
      </c>
      <c r="F199" s="45">
        <v>120</v>
      </c>
      <c r="G199" s="60">
        <f t="shared" si="46"/>
        <v>1.66</v>
      </c>
      <c r="H199" s="43">
        <v>0</v>
      </c>
      <c r="I199" s="43">
        <v>10.5</v>
      </c>
      <c r="J199" s="60">
        <f t="shared" si="47"/>
        <v>8.84</v>
      </c>
      <c r="K199" s="97">
        <f>MIN(J199:J201)</f>
        <v>8.84</v>
      </c>
      <c r="L199" s="93">
        <f>K199*N199</f>
        <v>7.7792000000000003</v>
      </c>
      <c r="M199" s="98" t="str">
        <f>IF(K199&lt;0,"закрыт","открыт")</f>
        <v>открыт</v>
      </c>
      <c r="N199" s="138">
        <v>0.88</v>
      </c>
      <c r="O199" s="30"/>
      <c r="P199" s="96">
        <v>140</v>
      </c>
      <c r="Q199" s="53" t="s">
        <v>186</v>
      </c>
      <c r="R199" s="43" t="s">
        <v>119</v>
      </c>
      <c r="S199" s="60">
        <f>T199/N199</f>
        <v>1.9204545454545454</v>
      </c>
      <c r="T199" s="60">
        <v>1.69</v>
      </c>
      <c r="U199" s="46">
        <f t="shared" si="37"/>
        <v>5.5704545454545453</v>
      </c>
      <c r="V199" s="57">
        <f>V200+V201</f>
        <v>2.8990909090909085</v>
      </c>
      <c r="W199" s="54">
        <v>120</v>
      </c>
      <c r="X199" s="57">
        <f t="shared" si="35"/>
        <v>2.6713636363636368</v>
      </c>
      <c r="Y199" s="46">
        <v>0</v>
      </c>
      <c r="Z199" s="46">
        <v>10.5</v>
      </c>
      <c r="AA199" s="46">
        <f t="shared" si="36"/>
        <v>7.8286363636363632</v>
      </c>
      <c r="AB199" s="97">
        <f>MIN(AA199:AA201)</f>
        <v>7.8286363636363632</v>
      </c>
      <c r="AC199" s="98" t="str">
        <f>IF(AB199&lt;0,"закрыт","открыт")</f>
        <v>открыт</v>
      </c>
      <c r="AD199" s="138">
        <v>0.88</v>
      </c>
      <c r="AE199" s="31"/>
    </row>
    <row r="200" spans="1:31" s="32" customFormat="1" ht="12.75" customHeight="1">
      <c r="A200" s="96"/>
      <c r="B200" s="61" t="s">
        <v>45</v>
      </c>
      <c r="C200" s="43" t="s">
        <v>119</v>
      </c>
      <c r="D200" s="64">
        <f>D199-D201</f>
        <v>1.73</v>
      </c>
      <c r="E200" s="69">
        <f>D200</f>
        <v>1.73</v>
      </c>
      <c r="F200" s="45"/>
      <c r="G200" s="60">
        <f>D200-E200</f>
        <v>0</v>
      </c>
      <c r="H200" s="43">
        <v>0</v>
      </c>
      <c r="I200" s="43">
        <v>10.5</v>
      </c>
      <c r="J200" s="60">
        <f>I200-G200-H200</f>
        <v>10.5</v>
      </c>
      <c r="K200" s="97"/>
      <c r="L200" s="93"/>
      <c r="M200" s="99"/>
      <c r="N200" s="138"/>
      <c r="O200" s="30"/>
      <c r="P200" s="96"/>
      <c r="Q200" s="61" t="s">
        <v>45</v>
      </c>
      <c r="R200" s="43" t="s">
        <v>119</v>
      </c>
      <c r="S200" s="60">
        <f>S199-S201</f>
        <v>0.90909090909090895</v>
      </c>
      <c r="T200" s="60"/>
      <c r="U200" s="46">
        <f t="shared" si="37"/>
        <v>2.6390909090909087</v>
      </c>
      <c r="V200" s="57">
        <f>U200</f>
        <v>2.6390909090909087</v>
      </c>
      <c r="W200" s="54"/>
      <c r="X200" s="57">
        <f t="shared" si="35"/>
        <v>0</v>
      </c>
      <c r="Y200" s="46">
        <v>0</v>
      </c>
      <c r="Z200" s="46">
        <v>10.5</v>
      </c>
      <c r="AA200" s="46">
        <f t="shared" si="36"/>
        <v>10.5</v>
      </c>
      <c r="AB200" s="97"/>
      <c r="AC200" s="99"/>
      <c r="AD200" s="138"/>
      <c r="AE200" s="31"/>
    </row>
    <row r="201" spans="1:31" s="32" customFormat="1" ht="12.75" customHeight="1">
      <c r="A201" s="96"/>
      <c r="B201" s="61" t="s">
        <v>46</v>
      </c>
      <c r="C201" s="43" t="s">
        <v>119</v>
      </c>
      <c r="D201" s="64">
        <v>1.92</v>
      </c>
      <c r="E201" s="56">
        <v>0.26</v>
      </c>
      <c r="F201" s="45">
        <v>120</v>
      </c>
      <c r="G201" s="60">
        <f>D201-E201</f>
        <v>1.66</v>
      </c>
      <c r="H201" s="43">
        <v>0</v>
      </c>
      <c r="I201" s="43">
        <v>10.5</v>
      </c>
      <c r="J201" s="60">
        <f>I201-G201-H201</f>
        <v>8.84</v>
      </c>
      <c r="K201" s="97"/>
      <c r="L201" s="93"/>
      <c r="M201" s="100"/>
      <c r="N201" s="138"/>
      <c r="O201" s="30"/>
      <c r="P201" s="96"/>
      <c r="Q201" s="61" t="s">
        <v>46</v>
      </c>
      <c r="R201" s="43" t="s">
        <v>119</v>
      </c>
      <c r="S201" s="60">
        <f>T201/N199</f>
        <v>1.0113636363636365</v>
      </c>
      <c r="T201" s="60">
        <v>0.89</v>
      </c>
      <c r="U201" s="46">
        <f t="shared" si="37"/>
        <v>2.9313636363636366</v>
      </c>
      <c r="V201" s="57">
        <f>'[1]текущий дефицит'!E199</f>
        <v>0.26</v>
      </c>
      <c r="W201" s="54">
        <v>120</v>
      </c>
      <c r="X201" s="57">
        <f t="shared" si="35"/>
        <v>2.6713636363636368</v>
      </c>
      <c r="Y201" s="46">
        <v>0</v>
      </c>
      <c r="Z201" s="46">
        <v>10.5</v>
      </c>
      <c r="AA201" s="46">
        <f t="shared" si="36"/>
        <v>7.8286363636363632</v>
      </c>
      <c r="AB201" s="97"/>
      <c r="AC201" s="100"/>
      <c r="AD201" s="138"/>
      <c r="AE201" s="31"/>
    </row>
    <row r="202" spans="1:31" s="32" customFormat="1" ht="22.5">
      <c r="A202" s="45">
        <v>141</v>
      </c>
      <c r="B202" s="47" t="s">
        <v>187</v>
      </c>
      <c r="C202" s="43" t="s">
        <v>32</v>
      </c>
      <c r="D202" s="64">
        <v>0.2</v>
      </c>
      <c r="E202" s="43">
        <v>0.06</v>
      </c>
      <c r="F202" s="45">
        <v>120</v>
      </c>
      <c r="G202" s="60">
        <f t="shared" si="46"/>
        <v>0.14000000000000001</v>
      </c>
      <c r="H202" s="43">
        <v>0</v>
      </c>
      <c r="I202" s="43">
        <v>4.2</v>
      </c>
      <c r="J202" s="60">
        <f t="shared" si="47"/>
        <v>4.0600000000000005</v>
      </c>
      <c r="K202" s="48">
        <f>J202</f>
        <v>4.0600000000000005</v>
      </c>
      <c r="L202" s="46">
        <f>K202*N202</f>
        <v>3.3292000000000002</v>
      </c>
      <c r="M202" s="55" t="str">
        <f>IF(K202&lt;0,"закрыт","открыт")</f>
        <v>открыт</v>
      </c>
      <c r="N202" s="55">
        <v>0.82</v>
      </c>
      <c r="O202" s="30"/>
      <c r="P202" s="45">
        <v>141</v>
      </c>
      <c r="Q202" s="53" t="s">
        <v>187</v>
      </c>
      <c r="R202" s="43" t="s">
        <v>32</v>
      </c>
      <c r="S202" s="57">
        <f>T202/N202</f>
        <v>0</v>
      </c>
      <c r="T202" s="60">
        <v>0</v>
      </c>
      <c r="U202" s="46">
        <f t="shared" si="37"/>
        <v>0.2</v>
      </c>
      <c r="V202" s="57">
        <f>E202</f>
        <v>0.06</v>
      </c>
      <c r="W202" s="54">
        <v>120</v>
      </c>
      <c r="X202" s="57">
        <f>U202-V202</f>
        <v>0.14000000000000001</v>
      </c>
      <c r="Y202" s="46">
        <v>0</v>
      </c>
      <c r="Z202" s="46">
        <v>4.2</v>
      </c>
      <c r="AA202" s="46">
        <f t="shared" si="36"/>
        <v>4.0600000000000005</v>
      </c>
      <c r="AB202" s="48">
        <f>AA202</f>
        <v>4.0600000000000005</v>
      </c>
      <c r="AC202" s="55" t="str">
        <f>IF(AB202&lt;0,"закрыт","открыт")</f>
        <v>открыт</v>
      </c>
      <c r="AD202" s="55">
        <v>0.82</v>
      </c>
      <c r="AE202" s="31"/>
    </row>
    <row r="203" spans="1:31" s="32" customFormat="1" ht="22.5">
      <c r="A203" s="45">
        <v>142</v>
      </c>
      <c r="B203" s="47" t="s">
        <v>188</v>
      </c>
      <c r="C203" s="43" t="s">
        <v>182</v>
      </c>
      <c r="D203" s="64">
        <v>0.53</v>
      </c>
      <c r="E203" s="43">
        <v>0.01</v>
      </c>
      <c r="F203" s="45">
        <v>120</v>
      </c>
      <c r="G203" s="60">
        <f t="shared" si="46"/>
        <v>0.52</v>
      </c>
      <c r="H203" s="43">
        <v>0</v>
      </c>
      <c r="I203" s="43">
        <v>1.68</v>
      </c>
      <c r="J203" s="60">
        <f t="shared" si="47"/>
        <v>1.1599999999999999</v>
      </c>
      <c r="K203" s="48">
        <f>J203</f>
        <v>1.1599999999999999</v>
      </c>
      <c r="L203" s="46">
        <f>K203*N203</f>
        <v>1.0903999999999998</v>
      </c>
      <c r="M203" s="55" t="str">
        <f>IF(K203&lt;0,"закрыт","открыт")</f>
        <v>открыт</v>
      </c>
      <c r="N203" s="55">
        <v>0.94</v>
      </c>
      <c r="O203" s="30"/>
      <c r="P203" s="45">
        <v>142</v>
      </c>
      <c r="Q203" s="53" t="s">
        <v>188</v>
      </c>
      <c r="R203" s="43" t="s">
        <v>182</v>
      </c>
      <c r="S203" s="57">
        <f>T203/N203</f>
        <v>1.0638297872340426E-3</v>
      </c>
      <c r="T203" s="60">
        <v>1E-3</v>
      </c>
      <c r="U203" s="46">
        <f t="shared" si="37"/>
        <v>0.5310638297872341</v>
      </c>
      <c r="V203" s="57">
        <f>E203</f>
        <v>0.01</v>
      </c>
      <c r="W203" s="54">
        <v>120</v>
      </c>
      <c r="X203" s="57">
        <f>U203-V203</f>
        <v>0.52106382978723409</v>
      </c>
      <c r="Y203" s="46">
        <v>0</v>
      </c>
      <c r="Z203" s="46">
        <v>1.68</v>
      </c>
      <c r="AA203" s="46">
        <f t="shared" si="36"/>
        <v>1.1589361702127658</v>
      </c>
      <c r="AB203" s="48">
        <f>AA203</f>
        <v>1.1589361702127658</v>
      </c>
      <c r="AC203" s="55" t="str">
        <f>IF(AB203&lt;0,"закрыт","открыт")</f>
        <v>открыт</v>
      </c>
      <c r="AD203" s="55">
        <v>0.94</v>
      </c>
      <c r="AE203" s="31"/>
    </row>
    <row r="204" spans="1:31" s="32" customFormat="1" ht="27.75" customHeight="1">
      <c r="A204" s="96">
        <v>143</v>
      </c>
      <c r="B204" s="47" t="s">
        <v>189</v>
      </c>
      <c r="C204" s="43" t="s">
        <v>128</v>
      </c>
      <c r="D204" s="64">
        <v>2.02</v>
      </c>
      <c r="E204" s="43">
        <f>E205+E206</f>
        <v>0.14000000000000001</v>
      </c>
      <c r="F204" s="45">
        <v>120</v>
      </c>
      <c r="G204" s="60">
        <f t="shared" si="46"/>
        <v>1.88</v>
      </c>
      <c r="H204" s="43">
        <v>0</v>
      </c>
      <c r="I204" s="43">
        <v>6.6150000000000002</v>
      </c>
      <c r="J204" s="60">
        <f t="shared" si="47"/>
        <v>4.7350000000000003</v>
      </c>
      <c r="K204" s="97">
        <f>MIN(J204:J206)</f>
        <v>4.7350000000000003</v>
      </c>
      <c r="L204" s="93">
        <f>K204*N204</f>
        <v>4.1194500000000005</v>
      </c>
      <c r="M204" s="98" t="str">
        <f>IF(K204&lt;0,"закрыт","открыт")</f>
        <v>открыт</v>
      </c>
      <c r="N204" s="138">
        <v>0.87</v>
      </c>
      <c r="O204" s="30"/>
      <c r="P204" s="96">
        <v>143</v>
      </c>
      <c r="Q204" s="53" t="s">
        <v>189</v>
      </c>
      <c r="R204" s="43" t="s">
        <v>128</v>
      </c>
      <c r="S204" s="60">
        <f>T204/N204</f>
        <v>0.47126436781609193</v>
      </c>
      <c r="T204" s="60">
        <v>0.41</v>
      </c>
      <c r="U204" s="46">
        <f t="shared" si="37"/>
        <v>2.491264367816092</v>
      </c>
      <c r="V204" s="57">
        <f>V205+V206</f>
        <v>0.14000000000000001</v>
      </c>
      <c r="W204" s="54">
        <v>120</v>
      </c>
      <c r="X204" s="57">
        <f t="shared" si="35"/>
        <v>2.3512643678160918</v>
      </c>
      <c r="Y204" s="46">
        <v>0</v>
      </c>
      <c r="Z204" s="46">
        <v>6.6150000000000002</v>
      </c>
      <c r="AA204" s="46">
        <f t="shared" si="36"/>
        <v>4.2637356321839084</v>
      </c>
      <c r="AB204" s="97">
        <f>MIN(AA204:AA206)</f>
        <v>4.2637356321839084</v>
      </c>
      <c r="AC204" s="98" t="str">
        <f>IF(AB204&lt;0,"закрыт","открыт")</f>
        <v>открыт</v>
      </c>
      <c r="AD204" s="138">
        <v>0.87</v>
      </c>
      <c r="AE204" s="31"/>
    </row>
    <row r="205" spans="1:31" s="32" customFormat="1" ht="12.75" customHeight="1">
      <c r="A205" s="96"/>
      <c r="B205" s="61" t="s">
        <v>45</v>
      </c>
      <c r="C205" s="43" t="s">
        <v>128</v>
      </c>
      <c r="D205" s="64">
        <f>D204-D206</f>
        <v>1.5</v>
      </c>
      <c r="E205" s="56">
        <v>0</v>
      </c>
      <c r="F205" s="45"/>
      <c r="G205" s="60">
        <f>D205-E205</f>
        <v>1.5</v>
      </c>
      <c r="H205" s="43">
        <v>0</v>
      </c>
      <c r="I205" s="43">
        <v>6.6150000000000002</v>
      </c>
      <c r="J205" s="60">
        <f>I205-G205-H205</f>
        <v>5.1150000000000002</v>
      </c>
      <c r="K205" s="97"/>
      <c r="L205" s="93"/>
      <c r="M205" s="99"/>
      <c r="N205" s="138"/>
      <c r="O205" s="30"/>
      <c r="P205" s="96"/>
      <c r="Q205" s="61" t="s">
        <v>45</v>
      </c>
      <c r="R205" s="43" t="s">
        <v>128</v>
      </c>
      <c r="S205" s="60">
        <f>S204-S206</f>
        <v>0.36781609195402298</v>
      </c>
      <c r="T205" s="60"/>
      <c r="U205" s="46">
        <f t="shared" si="37"/>
        <v>1.867816091954023</v>
      </c>
      <c r="V205" s="57">
        <v>0</v>
      </c>
      <c r="W205" s="54"/>
      <c r="X205" s="57">
        <f t="shared" si="35"/>
        <v>1.867816091954023</v>
      </c>
      <c r="Y205" s="46">
        <v>0</v>
      </c>
      <c r="Z205" s="46">
        <v>6.6150000000000002</v>
      </c>
      <c r="AA205" s="46">
        <f t="shared" si="36"/>
        <v>4.7471839080459777</v>
      </c>
      <c r="AB205" s="97"/>
      <c r="AC205" s="99"/>
      <c r="AD205" s="138"/>
      <c r="AE205" s="31"/>
    </row>
    <row r="206" spans="1:31" s="32" customFormat="1" ht="12.75" customHeight="1">
      <c r="A206" s="96"/>
      <c r="B206" s="61" t="s">
        <v>46</v>
      </c>
      <c r="C206" s="43" t="s">
        <v>128</v>
      </c>
      <c r="D206" s="64">
        <v>0.52</v>
      </c>
      <c r="E206" s="56">
        <v>0.14000000000000001</v>
      </c>
      <c r="F206" s="45">
        <v>120</v>
      </c>
      <c r="G206" s="60">
        <f>D206-E206</f>
        <v>0.38</v>
      </c>
      <c r="H206" s="43">
        <v>0</v>
      </c>
      <c r="I206" s="43">
        <v>6.6150000000000002</v>
      </c>
      <c r="J206" s="60">
        <f>I206-G206-H206</f>
        <v>6.2350000000000003</v>
      </c>
      <c r="K206" s="97"/>
      <c r="L206" s="93"/>
      <c r="M206" s="100"/>
      <c r="N206" s="138"/>
      <c r="O206" s="30"/>
      <c r="P206" s="96"/>
      <c r="Q206" s="61" t="s">
        <v>46</v>
      </c>
      <c r="R206" s="43" t="s">
        <v>128</v>
      </c>
      <c r="S206" s="60">
        <f>T206/N204</f>
        <v>0.10344827586206896</v>
      </c>
      <c r="T206" s="60">
        <v>0.09</v>
      </c>
      <c r="U206" s="46">
        <f t="shared" si="37"/>
        <v>0.62344827586206897</v>
      </c>
      <c r="V206" s="57">
        <f>'[1]текущий дефицит'!E204</f>
        <v>0.14000000000000001</v>
      </c>
      <c r="W206" s="54">
        <v>120</v>
      </c>
      <c r="X206" s="57">
        <f t="shared" si="35"/>
        <v>0.48344827586206895</v>
      </c>
      <c r="Y206" s="46">
        <v>0</v>
      </c>
      <c r="Z206" s="46">
        <v>6.6150000000000002</v>
      </c>
      <c r="AA206" s="46">
        <f t="shared" si="36"/>
        <v>6.1315517241379309</v>
      </c>
      <c r="AB206" s="97"/>
      <c r="AC206" s="100"/>
      <c r="AD206" s="138"/>
      <c r="AE206" s="31"/>
    </row>
    <row r="207" spans="1:31" s="32" customFormat="1" ht="22.5">
      <c r="A207" s="45">
        <v>144</v>
      </c>
      <c r="B207" s="47" t="s">
        <v>190</v>
      </c>
      <c r="C207" s="43" t="s">
        <v>130</v>
      </c>
      <c r="D207" s="64">
        <v>0.24</v>
      </c>
      <c r="E207" s="43">
        <v>7.0000000000000007E-2</v>
      </c>
      <c r="F207" s="45">
        <v>120</v>
      </c>
      <c r="G207" s="60">
        <f t="shared" si="46"/>
        <v>0.16999999999999998</v>
      </c>
      <c r="H207" s="43">
        <v>0</v>
      </c>
      <c r="I207" s="43">
        <v>2.625</v>
      </c>
      <c r="J207" s="60">
        <f t="shared" si="47"/>
        <v>2.4550000000000001</v>
      </c>
      <c r="K207" s="48">
        <f>J207</f>
        <v>2.4550000000000001</v>
      </c>
      <c r="L207" s="46">
        <f>K207*N207</f>
        <v>1.9640000000000002</v>
      </c>
      <c r="M207" s="55" t="str">
        <f>IF(K207&lt;0,"закрыт","открыт")</f>
        <v>открыт</v>
      </c>
      <c r="N207" s="55">
        <v>0.8</v>
      </c>
      <c r="O207" s="30"/>
      <c r="P207" s="45">
        <v>144</v>
      </c>
      <c r="Q207" s="53" t="s">
        <v>190</v>
      </c>
      <c r="R207" s="43" t="s">
        <v>130</v>
      </c>
      <c r="S207" s="57">
        <f>T207/N207</f>
        <v>3.125E-2</v>
      </c>
      <c r="T207" s="60">
        <v>2.5000000000000001E-2</v>
      </c>
      <c r="U207" s="46">
        <f t="shared" si="37"/>
        <v>0.27124999999999999</v>
      </c>
      <c r="V207" s="57">
        <f>E207</f>
        <v>7.0000000000000007E-2</v>
      </c>
      <c r="W207" s="54">
        <v>120</v>
      </c>
      <c r="X207" s="57">
        <f t="shared" si="35"/>
        <v>0.20124999999999998</v>
      </c>
      <c r="Y207" s="46">
        <v>0</v>
      </c>
      <c r="Z207" s="46">
        <v>2.625</v>
      </c>
      <c r="AA207" s="46">
        <f t="shared" si="36"/>
        <v>2.4237500000000001</v>
      </c>
      <c r="AB207" s="48">
        <f>AA207</f>
        <v>2.4237500000000001</v>
      </c>
      <c r="AC207" s="55" t="str">
        <f>IF(AB207&lt;0,"закрыт","открыт")</f>
        <v>открыт</v>
      </c>
      <c r="AD207" s="55">
        <v>0.8</v>
      </c>
      <c r="AE207" s="31"/>
    </row>
    <row r="208" spans="1:31" s="32" customFormat="1" ht="27.75" customHeight="1">
      <c r="A208" s="45">
        <v>145</v>
      </c>
      <c r="B208" s="47" t="s">
        <v>191</v>
      </c>
      <c r="C208" s="43" t="s">
        <v>128</v>
      </c>
      <c r="D208" s="64">
        <v>1.58</v>
      </c>
      <c r="E208" s="43">
        <v>0.01</v>
      </c>
      <c r="F208" s="45">
        <v>120</v>
      </c>
      <c r="G208" s="60">
        <f t="shared" si="46"/>
        <v>1.57</v>
      </c>
      <c r="H208" s="43">
        <v>0</v>
      </c>
      <c r="I208" s="43">
        <v>6.6150000000000002</v>
      </c>
      <c r="J208" s="60">
        <f t="shared" si="47"/>
        <v>5.0449999999999999</v>
      </c>
      <c r="K208" s="48">
        <f>J208</f>
        <v>5.0449999999999999</v>
      </c>
      <c r="L208" s="46">
        <f>K208*N208</f>
        <v>4.6918500000000005</v>
      </c>
      <c r="M208" s="55" t="str">
        <f>IF(K208&lt;0,"закрыт","открыт")</f>
        <v>открыт</v>
      </c>
      <c r="N208" s="55">
        <v>0.93</v>
      </c>
      <c r="O208" s="30"/>
      <c r="P208" s="45">
        <v>145</v>
      </c>
      <c r="Q208" s="53" t="s">
        <v>191</v>
      </c>
      <c r="R208" s="43" t="s">
        <v>128</v>
      </c>
      <c r="S208" s="57">
        <f>T208/N208</f>
        <v>0.32258064516129031</v>
      </c>
      <c r="T208" s="60">
        <v>0.3</v>
      </c>
      <c r="U208" s="46">
        <f t="shared" si="37"/>
        <v>1.9025806451612903</v>
      </c>
      <c r="V208" s="57">
        <f>E208</f>
        <v>0.01</v>
      </c>
      <c r="W208" s="54">
        <v>120</v>
      </c>
      <c r="X208" s="57">
        <f t="shared" si="35"/>
        <v>1.8925806451612903</v>
      </c>
      <c r="Y208" s="46">
        <v>0</v>
      </c>
      <c r="Z208" s="46">
        <v>6.6150000000000002</v>
      </c>
      <c r="AA208" s="46">
        <f t="shared" si="36"/>
        <v>4.7224193548387099</v>
      </c>
      <c r="AB208" s="48">
        <f>AA208</f>
        <v>4.7224193548387099</v>
      </c>
      <c r="AC208" s="55" t="str">
        <f>IF(AB208&lt;0,"закрыт","открыт")</f>
        <v>открыт</v>
      </c>
      <c r="AD208" s="55">
        <v>0.93</v>
      </c>
      <c r="AE208" s="31"/>
    </row>
    <row r="209" spans="1:31" s="32" customFormat="1" ht="27.75" customHeight="1">
      <c r="A209" s="45">
        <v>146</v>
      </c>
      <c r="B209" s="47" t="s">
        <v>192</v>
      </c>
      <c r="C209" s="43" t="s">
        <v>119</v>
      </c>
      <c r="D209" s="64">
        <v>7.93</v>
      </c>
      <c r="E209" s="43">
        <v>0</v>
      </c>
      <c r="F209" s="45">
        <v>120</v>
      </c>
      <c r="G209" s="60">
        <f t="shared" si="46"/>
        <v>7.93</v>
      </c>
      <c r="H209" s="43">
        <v>0</v>
      </c>
      <c r="I209" s="43">
        <v>10.5</v>
      </c>
      <c r="J209" s="60">
        <f t="shared" si="47"/>
        <v>2.5700000000000003</v>
      </c>
      <c r="K209" s="48">
        <f>J209</f>
        <v>2.5700000000000003</v>
      </c>
      <c r="L209" s="46">
        <f>K209*N209</f>
        <v>2.2359000000000004</v>
      </c>
      <c r="M209" s="55" t="str">
        <f>IF(K209&lt;0,"закрыт","открыт")</f>
        <v>открыт</v>
      </c>
      <c r="N209" s="55">
        <v>0.87</v>
      </c>
      <c r="O209" s="30"/>
      <c r="P209" s="45">
        <v>146</v>
      </c>
      <c r="Q209" s="53" t="s">
        <v>192</v>
      </c>
      <c r="R209" s="43" t="s">
        <v>119</v>
      </c>
      <c r="S209" s="57">
        <f>T209/N209</f>
        <v>0.22988505747126439</v>
      </c>
      <c r="T209" s="60">
        <v>0.2</v>
      </c>
      <c r="U209" s="46">
        <f t="shared" si="37"/>
        <v>8.1598850574712642</v>
      </c>
      <c r="V209" s="57">
        <f>E209</f>
        <v>0</v>
      </c>
      <c r="W209" s="54">
        <v>120</v>
      </c>
      <c r="X209" s="57">
        <f t="shared" ref="X209:X272" si="48">U209-V209</f>
        <v>8.1598850574712642</v>
      </c>
      <c r="Y209" s="46">
        <v>0</v>
      </c>
      <c r="Z209" s="46">
        <v>10.5</v>
      </c>
      <c r="AA209" s="46">
        <f t="shared" ref="AA209:AA272" si="49">Z209-Y209-X209</f>
        <v>2.3401149425287358</v>
      </c>
      <c r="AB209" s="48">
        <f>AA209</f>
        <v>2.3401149425287358</v>
      </c>
      <c r="AC209" s="55" t="str">
        <f>IF(AB209&lt;0,"закрыт","открыт")</f>
        <v>открыт</v>
      </c>
      <c r="AD209" s="55">
        <v>0.87</v>
      </c>
      <c r="AE209" s="31"/>
    </row>
    <row r="210" spans="1:31" s="32" customFormat="1" ht="27.75" customHeight="1">
      <c r="A210" s="96">
        <v>147</v>
      </c>
      <c r="B210" s="47" t="s">
        <v>193</v>
      </c>
      <c r="C210" s="43" t="s">
        <v>27</v>
      </c>
      <c r="D210" s="64">
        <v>3.4</v>
      </c>
      <c r="E210" s="43">
        <v>1.68</v>
      </c>
      <c r="F210" s="45">
        <v>120</v>
      </c>
      <c r="G210" s="60">
        <f t="shared" si="46"/>
        <v>1.72</v>
      </c>
      <c r="H210" s="43">
        <v>0</v>
      </c>
      <c r="I210" s="43">
        <v>5.88</v>
      </c>
      <c r="J210" s="60">
        <f t="shared" si="47"/>
        <v>4.16</v>
      </c>
      <c r="K210" s="97">
        <f>MIN(J210:J212)</f>
        <v>4.16</v>
      </c>
      <c r="L210" s="93">
        <f>K210*N210</f>
        <v>3.6608000000000001</v>
      </c>
      <c r="M210" s="98" t="str">
        <f>IF(K210&lt;0,"закрыт","открыт")</f>
        <v>открыт</v>
      </c>
      <c r="N210" s="138">
        <v>0.88</v>
      </c>
      <c r="O210" s="30"/>
      <c r="P210" s="96">
        <v>147</v>
      </c>
      <c r="Q210" s="53" t="s">
        <v>193</v>
      </c>
      <c r="R210" s="43" t="s">
        <v>27</v>
      </c>
      <c r="S210" s="60">
        <f>T210/N210</f>
        <v>1.5568181818181819</v>
      </c>
      <c r="T210" s="60">
        <v>1.37</v>
      </c>
      <c r="U210" s="46">
        <f t="shared" ref="U210:U273" si="50">D210+S210</f>
        <v>4.956818181818182</v>
      </c>
      <c r="V210" s="57">
        <f>V211+V212</f>
        <v>4.7568181818181818</v>
      </c>
      <c r="W210" s="54">
        <v>120</v>
      </c>
      <c r="X210" s="57">
        <f t="shared" si="48"/>
        <v>0.20000000000000018</v>
      </c>
      <c r="Y210" s="46">
        <v>0</v>
      </c>
      <c r="Z210" s="46">
        <v>5.88</v>
      </c>
      <c r="AA210" s="46">
        <f t="shared" si="49"/>
        <v>5.68</v>
      </c>
      <c r="AB210" s="97">
        <f>MIN(AA210:AA212)</f>
        <v>5.68</v>
      </c>
      <c r="AC210" s="98" t="str">
        <f>IF(AB210&lt;0,"закрыт","открыт")</f>
        <v>открыт</v>
      </c>
      <c r="AD210" s="138">
        <v>0.88</v>
      </c>
      <c r="AE210" s="31"/>
    </row>
    <row r="211" spans="1:31" s="32" customFormat="1" ht="12.75" customHeight="1">
      <c r="A211" s="96"/>
      <c r="B211" s="61" t="s">
        <v>45</v>
      </c>
      <c r="C211" s="43" t="s">
        <v>27</v>
      </c>
      <c r="D211" s="64">
        <f>D210-D212</f>
        <v>2.9899999999999998</v>
      </c>
      <c r="E211" s="69">
        <f>D211</f>
        <v>2.9899999999999998</v>
      </c>
      <c r="F211" s="45"/>
      <c r="G211" s="60">
        <f>D211-E211</f>
        <v>0</v>
      </c>
      <c r="H211" s="43">
        <v>0</v>
      </c>
      <c r="I211" s="43">
        <v>5.88</v>
      </c>
      <c r="J211" s="60">
        <f>I211-G211-H211</f>
        <v>5.88</v>
      </c>
      <c r="K211" s="97"/>
      <c r="L211" s="93"/>
      <c r="M211" s="99"/>
      <c r="N211" s="138"/>
      <c r="O211" s="30"/>
      <c r="P211" s="96"/>
      <c r="Q211" s="61" t="s">
        <v>45</v>
      </c>
      <c r="R211" s="43" t="s">
        <v>27</v>
      </c>
      <c r="S211" s="60">
        <f>S210-S212</f>
        <v>1.5568181818181819</v>
      </c>
      <c r="T211" s="60"/>
      <c r="U211" s="46">
        <f t="shared" si="50"/>
        <v>4.5468181818181819</v>
      </c>
      <c r="V211" s="57">
        <f>U211</f>
        <v>4.5468181818181819</v>
      </c>
      <c r="W211" s="54"/>
      <c r="X211" s="57">
        <f t="shared" si="48"/>
        <v>0</v>
      </c>
      <c r="Y211" s="46">
        <v>0</v>
      </c>
      <c r="Z211" s="46">
        <v>5.88</v>
      </c>
      <c r="AA211" s="46">
        <f t="shared" si="49"/>
        <v>5.88</v>
      </c>
      <c r="AB211" s="97"/>
      <c r="AC211" s="99"/>
      <c r="AD211" s="138"/>
      <c r="AE211" s="31"/>
    </row>
    <row r="212" spans="1:31" s="32" customFormat="1" ht="12.75" customHeight="1">
      <c r="A212" s="96"/>
      <c r="B212" s="61" t="s">
        <v>46</v>
      </c>
      <c r="C212" s="43" t="s">
        <v>27</v>
      </c>
      <c r="D212" s="64">
        <v>0.41</v>
      </c>
      <c r="E212" s="56">
        <v>0.21</v>
      </c>
      <c r="F212" s="45">
        <v>120</v>
      </c>
      <c r="G212" s="60">
        <f>D212-E212</f>
        <v>0.19999999999999998</v>
      </c>
      <c r="H212" s="43">
        <v>0</v>
      </c>
      <c r="I212" s="43">
        <v>5.88</v>
      </c>
      <c r="J212" s="60">
        <f>I212-G212-H212</f>
        <v>5.68</v>
      </c>
      <c r="K212" s="97"/>
      <c r="L212" s="93"/>
      <c r="M212" s="100"/>
      <c r="N212" s="138"/>
      <c r="O212" s="30"/>
      <c r="P212" s="96"/>
      <c r="Q212" s="61" t="s">
        <v>46</v>
      </c>
      <c r="R212" s="43" t="s">
        <v>27</v>
      </c>
      <c r="S212" s="60">
        <f>T212/N210</f>
        <v>0</v>
      </c>
      <c r="T212" s="60">
        <v>0</v>
      </c>
      <c r="U212" s="46">
        <f t="shared" si="50"/>
        <v>0.41</v>
      </c>
      <c r="V212" s="57">
        <f>'[1]текущий дефицит'!E210</f>
        <v>0.21</v>
      </c>
      <c r="W212" s="54">
        <v>120</v>
      </c>
      <c r="X212" s="57">
        <f t="shared" si="48"/>
        <v>0.19999999999999998</v>
      </c>
      <c r="Y212" s="46">
        <v>0</v>
      </c>
      <c r="Z212" s="46">
        <v>5.88</v>
      </c>
      <c r="AA212" s="46">
        <f t="shared" si="49"/>
        <v>5.68</v>
      </c>
      <c r="AB212" s="97"/>
      <c r="AC212" s="100"/>
      <c r="AD212" s="138"/>
      <c r="AE212" s="31"/>
    </row>
    <row r="213" spans="1:31" s="32" customFormat="1" ht="22.5">
      <c r="A213" s="45">
        <v>148</v>
      </c>
      <c r="B213" s="47" t="s">
        <v>194</v>
      </c>
      <c r="C213" s="43" t="s">
        <v>130</v>
      </c>
      <c r="D213" s="64">
        <v>1.1100000000000001</v>
      </c>
      <c r="E213" s="43">
        <v>0.25</v>
      </c>
      <c r="F213" s="45">
        <v>120</v>
      </c>
      <c r="G213" s="60">
        <f t="shared" si="46"/>
        <v>0.8600000000000001</v>
      </c>
      <c r="H213" s="43">
        <v>0</v>
      </c>
      <c r="I213" s="43">
        <v>2.625</v>
      </c>
      <c r="J213" s="60">
        <f t="shared" si="47"/>
        <v>1.7649999999999999</v>
      </c>
      <c r="K213" s="48">
        <f>J213</f>
        <v>1.7649999999999999</v>
      </c>
      <c r="L213" s="46">
        <f>K213*N213</f>
        <v>1.4119999999999999</v>
      </c>
      <c r="M213" s="55" t="str">
        <f>IF(K213&lt;0,"закрыт","открыт")</f>
        <v>открыт</v>
      </c>
      <c r="N213" s="55">
        <v>0.8</v>
      </c>
      <c r="O213" s="30"/>
      <c r="P213" s="45">
        <v>148</v>
      </c>
      <c r="Q213" s="53" t="s">
        <v>194</v>
      </c>
      <c r="R213" s="43" t="s">
        <v>130</v>
      </c>
      <c r="S213" s="57">
        <f>T213/N213</f>
        <v>6.25E-2</v>
      </c>
      <c r="T213" s="60">
        <v>0.05</v>
      </c>
      <c r="U213" s="46">
        <f t="shared" si="50"/>
        <v>1.1725000000000001</v>
      </c>
      <c r="V213" s="57">
        <f>E213</f>
        <v>0.25</v>
      </c>
      <c r="W213" s="54">
        <v>120</v>
      </c>
      <c r="X213" s="57">
        <f>U213-V213</f>
        <v>0.9225000000000001</v>
      </c>
      <c r="Y213" s="46">
        <v>0</v>
      </c>
      <c r="Z213" s="46">
        <v>2.625</v>
      </c>
      <c r="AA213" s="46">
        <f t="shared" si="49"/>
        <v>1.7024999999999999</v>
      </c>
      <c r="AB213" s="48">
        <f>AA213</f>
        <v>1.7024999999999999</v>
      </c>
      <c r="AC213" s="55" t="str">
        <f>IF(AB213&lt;0,"закрыт","открыт")</f>
        <v>открыт</v>
      </c>
      <c r="AD213" s="55">
        <v>0.8</v>
      </c>
      <c r="AE213" s="31"/>
    </row>
    <row r="214" spans="1:31" s="32" customFormat="1" ht="22.5">
      <c r="A214" s="42">
        <v>149</v>
      </c>
      <c r="B214" s="47" t="s">
        <v>195</v>
      </c>
      <c r="C214" s="43" t="s">
        <v>25</v>
      </c>
      <c r="D214" s="64">
        <v>2.73</v>
      </c>
      <c r="E214" s="43">
        <v>0.5</v>
      </c>
      <c r="F214" s="42">
        <v>120</v>
      </c>
      <c r="G214" s="48">
        <f t="shared" si="46"/>
        <v>2.23</v>
      </c>
      <c r="H214" s="43">
        <v>0</v>
      </c>
      <c r="I214" s="43">
        <v>2.625</v>
      </c>
      <c r="J214" s="48">
        <f t="shared" si="47"/>
        <v>0.39500000000000002</v>
      </c>
      <c r="K214" s="48">
        <f>J214</f>
        <v>0.39500000000000002</v>
      </c>
      <c r="L214" s="46">
        <f>K214*N214</f>
        <v>0.35155000000000003</v>
      </c>
      <c r="M214" s="59" t="str">
        <f>IF(K214&lt;0,"закрыт","открыт")</f>
        <v>открыт</v>
      </c>
      <c r="N214" s="59">
        <v>0.89</v>
      </c>
      <c r="O214" s="30"/>
      <c r="P214" s="65">
        <v>149</v>
      </c>
      <c r="Q214" s="73" t="s">
        <v>195</v>
      </c>
      <c r="R214" s="66" t="s">
        <v>25</v>
      </c>
      <c r="S214" s="67">
        <f>T214/N214</f>
        <v>1.4831460674157304</v>
      </c>
      <c r="T214" s="72">
        <v>1.32</v>
      </c>
      <c r="U214" s="67">
        <f t="shared" si="50"/>
        <v>4.2131460674157299</v>
      </c>
      <c r="V214" s="67">
        <f>E214</f>
        <v>0.5</v>
      </c>
      <c r="W214" s="66">
        <v>120</v>
      </c>
      <c r="X214" s="67">
        <f>U214-V214</f>
        <v>3.7131460674157299</v>
      </c>
      <c r="Y214" s="67">
        <v>0</v>
      </c>
      <c r="Z214" s="67">
        <v>2.625</v>
      </c>
      <c r="AA214" s="67">
        <f t="shared" si="49"/>
        <v>-1.0881460674157299</v>
      </c>
      <c r="AB214" s="72">
        <f>AA214</f>
        <v>-1.0881460674157299</v>
      </c>
      <c r="AC214" s="68" t="str">
        <f>IF(AB214&lt;0,"закрыт","открыт")</f>
        <v>закрыт</v>
      </c>
      <c r="AD214" s="59">
        <v>0.89</v>
      </c>
      <c r="AE214" s="31"/>
    </row>
    <row r="215" spans="1:31" s="32" customFormat="1" ht="27.75" customHeight="1">
      <c r="A215" s="96">
        <v>150</v>
      </c>
      <c r="B215" s="47" t="s">
        <v>196</v>
      </c>
      <c r="C215" s="43" t="s">
        <v>22</v>
      </c>
      <c r="D215" s="64">
        <v>10.38</v>
      </c>
      <c r="E215" s="43">
        <f>E216+E217</f>
        <v>4.870000000000001</v>
      </c>
      <c r="F215" s="45">
        <v>120</v>
      </c>
      <c r="G215" s="60">
        <f t="shared" si="46"/>
        <v>5.51</v>
      </c>
      <c r="H215" s="43">
        <v>0</v>
      </c>
      <c r="I215" s="43">
        <v>16.8</v>
      </c>
      <c r="J215" s="60">
        <f t="shared" si="47"/>
        <v>11.290000000000001</v>
      </c>
      <c r="K215" s="97">
        <f>MIN(J215:J217)</f>
        <v>11.290000000000001</v>
      </c>
      <c r="L215" s="93">
        <f>K215*N215</f>
        <v>9.3707000000000011</v>
      </c>
      <c r="M215" s="98" t="str">
        <f>IF(K215&lt;0,"закрыт","открыт")</f>
        <v>открыт</v>
      </c>
      <c r="N215" s="138">
        <v>0.83</v>
      </c>
      <c r="O215" s="30"/>
      <c r="P215" s="96">
        <v>150</v>
      </c>
      <c r="Q215" s="53" t="s">
        <v>196</v>
      </c>
      <c r="R215" s="43" t="s">
        <v>22</v>
      </c>
      <c r="S215" s="60">
        <f>T215/N215</f>
        <v>2</v>
      </c>
      <c r="T215" s="60">
        <v>1.66</v>
      </c>
      <c r="U215" s="46">
        <f t="shared" si="50"/>
        <v>12.38</v>
      </c>
      <c r="V215" s="57">
        <f>V216+V217</f>
        <v>5.3398795180722889</v>
      </c>
      <c r="W215" s="54">
        <v>120</v>
      </c>
      <c r="X215" s="57">
        <f t="shared" si="48"/>
        <v>7.0401204819277119</v>
      </c>
      <c r="Y215" s="46">
        <v>0</v>
      </c>
      <c r="Z215" s="46">
        <v>16.8</v>
      </c>
      <c r="AA215" s="46">
        <f t="shared" si="49"/>
        <v>9.7598795180722888</v>
      </c>
      <c r="AB215" s="97">
        <f>MIN(AA215:AA217)</f>
        <v>9.7598795180722888</v>
      </c>
      <c r="AC215" s="98" t="str">
        <f>IF(AB215&lt;0,"закрыт","открыт")</f>
        <v>открыт</v>
      </c>
      <c r="AD215" s="138">
        <v>0.83</v>
      </c>
      <c r="AE215" s="31"/>
    </row>
    <row r="216" spans="1:31" s="32" customFormat="1" ht="12.75" customHeight="1">
      <c r="A216" s="96"/>
      <c r="B216" s="61" t="s">
        <v>45</v>
      </c>
      <c r="C216" s="43" t="s">
        <v>22</v>
      </c>
      <c r="D216" s="64">
        <f>D215-D217</f>
        <v>4.3500000000000005</v>
      </c>
      <c r="E216" s="69">
        <f>D216</f>
        <v>4.3500000000000005</v>
      </c>
      <c r="F216" s="45"/>
      <c r="G216" s="60">
        <f>D216-E216</f>
        <v>0</v>
      </c>
      <c r="H216" s="43">
        <v>0</v>
      </c>
      <c r="I216" s="43">
        <v>16.8</v>
      </c>
      <c r="J216" s="60">
        <f>I216-G216-H216</f>
        <v>16.8</v>
      </c>
      <c r="K216" s="97"/>
      <c r="L216" s="93"/>
      <c r="M216" s="99"/>
      <c r="N216" s="138"/>
      <c r="O216" s="30"/>
      <c r="P216" s="96"/>
      <c r="Q216" s="61" t="s">
        <v>45</v>
      </c>
      <c r="R216" s="43" t="s">
        <v>22</v>
      </c>
      <c r="S216" s="60">
        <f>S215-S217</f>
        <v>0.469879518072289</v>
      </c>
      <c r="T216" s="60"/>
      <c r="U216" s="46">
        <f t="shared" si="50"/>
        <v>4.8198795180722893</v>
      </c>
      <c r="V216" s="57">
        <f>U216</f>
        <v>4.8198795180722893</v>
      </c>
      <c r="W216" s="54"/>
      <c r="X216" s="57">
        <f t="shared" si="48"/>
        <v>0</v>
      </c>
      <c r="Y216" s="46">
        <v>0</v>
      </c>
      <c r="Z216" s="46">
        <v>16.8</v>
      </c>
      <c r="AA216" s="46">
        <f t="shared" si="49"/>
        <v>16.8</v>
      </c>
      <c r="AB216" s="97"/>
      <c r="AC216" s="99"/>
      <c r="AD216" s="138"/>
      <c r="AE216" s="31"/>
    </row>
    <row r="217" spans="1:31" s="32" customFormat="1" ht="12.75" customHeight="1">
      <c r="A217" s="96"/>
      <c r="B217" s="61" t="s">
        <v>46</v>
      </c>
      <c r="C217" s="43" t="s">
        <v>22</v>
      </c>
      <c r="D217" s="64">
        <v>6.03</v>
      </c>
      <c r="E217" s="56">
        <v>0.52</v>
      </c>
      <c r="F217" s="45">
        <v>120</v>
      </c>
      <c r="G217" s="60">
        <f>D217-E217</f>
        <v>5.51</v>
      </c>
      <c r="H217" s="43">
        <v>0</v>
      </c>
      <c r="I217" s="43">
        <v>16.8</v>
      </c>
      <c r="J217" s="60">
        <f>I217-G217-H217</f>
        <v>11.290000000000001</v>
      </c>
      <c r="K217" s="97"/>
      <c r="L217" s="93"/>
      <c r="M217" s="100"/>
      <c r="N217" s="138"/>
      <c r="O217" s="30"/>
      <c r="P217" s="96"/>
      <c r="Q217" s="61" t="s">
        <v>46</v>
      </c>
      <c r="R217" s="43" t="s">
        <v>22</v>
      </c>
      <c r="S217" s="60">
        <f>T217/N215</f>
        <v>1.530120481927711</v>
      </c>
      <c r="T217" s="60">
        <v>1.27</v>
      </c>
      <c r="U217" s="46">
        <f t="shared" si="50"/>
        <v>7.5601204819277115</v>
      </c>
      <c r="V217" s="57">
        <f>'[1]текущий дефицит'!E215</f>
        <v>0.52</v>
      </c>
      <c r="W217" s="54">
        <v>120</v>
      </c>
      <c r="X217" s="57">
        <f t="shared" si="48"/>
        <v>7.0401204819277119</v>
      </c>
      <c r="Y217" s="46">
        <v>0</v>
      </c>
      <c r="Z217" s="46">
        <v>16.8</v>
      </c>
      <c r="AA217" s="46">
        <f t="shared" si="49"/>
        <v>9.7598795180722888</v>
      </c>
      <c r="AB217" s="97"/>
      <c r="AC217" s="100"/>
      <c r="AD217" s="138"/>
    </row>
    <row r="218" spans="1:31" s="32" customFormat="1" ht="22.5">
      <c r="A218" s="45">
        <v>151</v>
      </c>
      <c r="B218" s="47" t="s">
        <v>197</v>
      </c>
      <c r="C218" s="43" t="s">
        <v>198</v>
      </c>
      <c r="D218" s="64">
        <v>0.84</v>
      </c>
      <c r="E218" s="43">
        <v>0.09</v>
      </c>
      <c r="F218" s="45">
        <v>120</v>
      </c>
      <c r="G218" s="60">
        <f t="shared" si="46"/>
        <v>0.75</v>
      </c>
      <c r="H218" s="43">
        <v>0</v>
      </c>
      <c r="I218" s="43">
        <v>1.68</v>
      </c>
      <c r="J218" s="60">
        <f t="shared" si="47"/>
        <v>0.92999999999999994</v>
      </c>
      <c r="K218" s="48">
        <f>J218</f>
        <v>0.92999999999999994</v>
      </c>
      <c r="L218" s="46">
        <f t="shared" ref="L218:L223" si="51">K218*N218</f>
        <v>0.81839999999999991</v>
      </c>
      <c r="M218" s="55" t="str">
        <f t="shared" ref="M218:M223" si="52">IF(K218&lt;0,"закрыт","открыт")</f>
        <v>открыт</v>
      </c>
      <c r="N218" s="55">
        <v>0.88</v>
      </c>
      <c r="O218" s="30"/>
      <c r="P218" s="45">
        <v>151</v>
      </c>
      <c r="Q218" s="53" t="s">
        <v>197</v>
      </c>
      <c r="R218" s="43" t="s">
        <v>198</v>
      </c>
      <c r="S218" s="57">
        <f t="shared" ref="S218:S223" si="53">T218/N218</f>
        <v>0.18181818181818182</v>
      </c>
      <c r="T218" s="60">
        <v>0.16</v>
      </c>
      <c r="U218" s="46">
        <f t="shared" si="50"/>
        <v>1.0218181818181817</v>
      </c>
      <c r="V218" s="57">
        <f>E218</f>
        <v>0.09</v>
      </c>
      <c r="W218" s="54">
        <v>120</v>
      </c>
      <c r="X218" s="57">
        <f t="shared" si="48"/>
        <v>0.93181818181818177</v>
      </c>
      <c r="Y218" s="46">
        <v>0</v>
      </c>
      <c r="Z218" s="46">
        <v>1.68</v>
      </c>
      <c r="AA218" s="46">
        <f t="shared" si="49"/>
        <v>0.74818181818181817</v>
      </c>
      <c r="AB218" s="48">
        <f>AA218</f>
        <v>0.74818181818181817</v>
      </c>
      <c r="AC218" s="55" t="str">
        <f t="shared" ref="AC218:AC223" si="54">IF(AB218&lt;0,"закрыт","открыт")</f>
        <v>открыт</v>
      </c>
      <c r="AD218" s="55">
        <v>0.88</v>
      </c>
    </row>
    <row r="219" spans="1:31" s="32" customFormat="1" ht="22.5">
      <c r="A219" s="45">
        <v>152</v>
      </c>
      <c r="B219" s="47" t="s">
        <v>199</v>
      </c>
      <c r="C219" s="43" t="s">
        <v>25</v>
      </c>
      <c r="D219" s="64">
        <v>0.79</v>
      </c>
      <c r="E219" s="43">
        <v>0</v>
      </c>
      <c r="F219" s="45">
        <v>120</v>
      </c>
      <c r="G219" s="60">
        <f t="shared" si="46"/>
        <v>0.79</v>
      </c>
      <c r="H219" s="43">
        <v>0</v>
      </c>
      <c r="I219" s="43">
        <v>2.625</v>
      </c>
      <c r="J219" s="60">
        <f t="shared" si="47"/>
        <v>1.835</v>
      </c>
      <c r="K219" s="48">
        <f>J219</f>
        <v>1.835</v>
      </c>
      <c r="L219" s="46">
        <f t="shared" si="51"/>
        <v>1.4313</v>
      </c>
      <c r="M219" s="55" t="str">
        <f t="shared" si="52"/>
        <v>открыт</v>
      </c>
      <c r="N219" s="55">
        <v>0.78</v>
      </c>
      <c r="O219" s="30"/>
      <c r="P219" s="45">
        <v>152</v>
      </c>
      <c r="Q219" s="53" t="s">
        <v>199</v>
      </c>
      <c r="R219" s="43" t="s">
        <v>25</v>
      </c>
      <c r="S219" s="57">
        <f t="shared" si="53"/>
        <v>3.8461538461538457E-2</v>
      </c>
      <c r="T219" s="60">
        <v>0.03</v>
      </c>
      <c r="U219" s="46">
        <f t="shared" si="50"/>
        <v>0.82846153846153847</v>
      </c>
      <c r="V219" s="57">
        <f>E219</f>
        <v>0</v>
      </c>
      <c r="W219" s="54">
        <v>120</v>
      </c>
      <c r="X219" s="57">
        <f t="shared" si="48"/>
        <v>0.82846153846153847</v>
      </c>
      <c r="Y219" s="46">
        <v>0</v>
      </c>
      <c r="Z219" s="46">
        <v>2.625</v>
      </c>
      <c r="AA219" s="46">
        <f t="shared" si="49"/>
        <v>1.7965384615384616</v>
      </c>
      <c r="AB219" s="48">
        <f>AA219</f>
        <v>1.7965384615384616</v>
      </c>
      <c r="AC219" s="55" t="str">
        <f t="shared" si="54"/>
        <v>открыт</v>
      </c>
      <c r="AD219" s="55">
        <v>0.78</v>
      </c>
    </row>
    <row r="220" spans="1:31" s="32" customFormat="1" ht="22.5">
      <c r="A220" s="45">
        <v>153</v>
      </c>
      <c r="B220" s="47" t="s">
        <v>200</v>
      </c>
      <c r="C220" s="43" t="s">
        <v>24</v>
      </c>
      <c r="D220" s="64">
        <v>0.84</v>
      </c>
      <c r="E220" s="43">
        <v>0</v>
      </c>
      <c r="F220" s="45">
        <v>120</v>
      </c>
      <c r="G220" s="60">
        <f t="shared" si="46"/>
        <v>0.84</v>
      </c>
      <c r="H220" s="43">
        <v>0</v>
      </c>
      <c r="I220" s="43">
        <v>1.68</v>
      </c>
      <c r="J220" s="60">
        <f t="shared" si="47"/>
        <v>0.84</v>
      </c>
      <c r="K220" s="48">
        <f>J220</f>
        <v>0.84</v>
      </c>
      <c r="L220" s="46">
        <f t="shared" si="51"/>
        <v>0.78959999999999997</v>
      </c>
      <c r="M220" s="55" t="str">
        <f t="shared" si="52"/>
        <v>открыт</v>
      </c>
      <c r="N220" s="55">
        <v>0.94</v>
      </c>
      <c r="O220" s="30"/>
      <c r="P220" s="45">
        <v>153</v>
      </c>
      <c r="Q220" s="53" t="s">
        <v>200</v>
      </c>
      <c r="R220" s="43" t="s">
        <v>24</v>
      </c>
      <c r="S220" s="57">
        <f t="shared" si="53"/>
        <v>2.1276595744680854E-2</v>
      </c>
      <c r="T220" s="60">
        <v>0.02</v>
      </c>
      <c r="U220" s="46">
        <f t="shared" si="50"/>
        <v>0.86127659574468085</v>
      </c>
      <c r="V220" s="57">
        <f>E220</f>
        <v>0</v>
      </c>
      <c r="W220" s="54">
        <v>120</v>
      </c>
      <c r="X220" s="57">
        <f t="shared" si="48"/>
        <v>0.86127659574468085</v>
      </c>
      <c r="Y220" s="46">
        <v>0</v>
      </c>
      <c r="Z220" s="46">
        <v>1.68</v>
      </c>
      <c r="AA220" s="46">
        <f t="shared" si="49"/>
        <v>0.81872340425531909</v>
      </c>
      <c r="AB220" s="48">
        <f>AA220</f>
        <v>0.81872340425531909</v>
      </c>
      <c r="AC220" s="55" t="str">
        <f t="shared" si="54"/>
        <v>открыт</v>
      </c>
      <c r="AD220" s="55">
        <v>0.94</v>
      </c>
    </row>
    <row r="221" spans="1:31" s="34" customFormat="1" ht="22.5">
      <c r="A221" s="45">
        <v>154</v>
      </c>
      <c r="B221" s="47" t="s">
        <v>324</v>
      </c>
      <c r="C221" s="43" t="s">
        <v>32</v>
      </c>
      <c r="D221" s="64">
        <v>0</v>
      </c>
      <c r="E221" s="43">
        <v>0</v>
      </c>
      <c r="F221" s="45">
        <v>120</v>
      </c>
      <c r="G221" s="60">
        <f t="shared" si="46"/>
        <v>0</v>
      </c>
      <c r="H221" s="43">
        <v>0</v>
      </c>
      <c r="I221" s="43">
        <v>4.2</v>
      </c>
      <c r="J221" s="60">
        <f t="shared" si="47"/>
        <v>4.2</v>
      </c>
      <c r="K221" s="48">
        <f>J221</f>
        <v>4.2</v>
      </c>
      <c r="L221" s="46">
        <f t="shared" si="51"/>
        <v>4.2</v>
      </c>
      <c r="M221" s="55" t="str">
        <f t="shared" si="52"/>
        <v>открыт</v>
      </c>
      <c r="N221" s="55">
        <v>1</v>
      </c>
      <c r="O221" s="30"/>
      <c r="P221" s="45">
        <v>154</v>
      </c>
      <c r="Q221" s="53" t="s">
        <v>201</v>
      </c>
      <c r="R221" s="43" t="s">
        <v>32</v>
      </c>
      <c r="S221" s="57">
        <f t="shared" si="53"/>
        <v>0</v>
      </c>
      <c r="T221" s="60">
        <v>0</v>
      </c>
      <c r="U221" s="46">
        <f t="shared" si="50"/>
        <v>0</v>
      </c>
      <c r="V221" s="57">
        <f>E221</f>
        <v>0</v>
      </c>
      <c r="W221" s="54">
        <v>120</v>
      </c>
      <c r="X221" s="57">
        <f t="shared" si="48"/>
        <v>0</v>
      </c>
      <c r="Y221" s="46">
        <v>0</v>
      </c>
      <c r="Z221" s="46">
        <v>4.2</v>
      </c>
      <c r="AA221" s="46">
        <f t="shared" si="49"/>
        <v>4.2</v>
      </c>
      <c r="AB221" s="48">
        <f>AA221</f>
        <v>4.2</v>
      </c>
      <c r="AC221" s="55" t="str">
        <f t="shared" si="54"/>
        <v>открыт</v>
      </c>
      <c r="AD221" s="55">
        <v>1</v>
      </c>
    </row>
    <row r="222" spans="1:31" s="34" customFormat="1" ht="28.5" customHeight="1">
      <c r="A222" s="45">
        <v>155</v>
      </c>
      <c r="B222" s="47" t="s">
        <v>202</v>
      </c>
      <c r="C222" s="43" t="s">
        <v>128</v>
      </c>
      <c r="D222" s="64">
        <v>0.2</v>
      </c>
      <c r="E222" s="43">
        <v>0.04</v>
      </c>
      <c r="F222" s="45">
        <v>120</v>
      </c>
      <c r="G222" s="60">
        <f t="shared" si="46"/>
        <v>0.16</v>
      </c>
      <c r="H222" s="43">
        <v>0</v>
      </c>
      <c r="I222" s="43">
        <v>6.6150000000000002</v>
      </c>
      <c r="J222" s="60">
        <f t="shared" si="47"/>
        <v>6.4550000000000001</v>
      </c>
      <c r="K222" s="48">
        <f>J222</f>
        <v>6.4550000000000001</v>
      </c>
      <c r="L222" s="46">
        <f t="shared" si="51"/>
        <v>6.13225</v>
      </c>
      <c r="M222" s="55" t="str">
        <f t="shared" si="52"/>
        <v>открыт</v>
      </c>
      <c r="N222" s="55">
        <v>0.95</v>
      </c>
      <c r="O222" s="30"/>
      <c r="P222" s="45">
        <v>155</v>
      </c>
      <c r="Q222" s="53" t="s">
        <v>202</v>
      </c>
      <c r="R222" s="43" t="s">
        <v>128</v>
      </c>
      <c r="S222" s="57">
        <f t="shared" si="53"/>
        <v>0</v>
      </c>
      <c r="T222" s="60">
        <v>0</v>
      </c>
      <c r="U222" s="46">
        <f t="shared" si="50"/>
        <v>0.2</v>
      </c>
      <c r="V222" s="57">
        <f>E222</f>
        <v>0.04</v>
      </c>
      <c r="W222" s="54">
        <v>120</v>
      </c>
      <c r="X222" s="57">
        <f t="shared" si="48"/>
        <v>0.16</v>
      </c>
      <c r="Y222" s="46">
        <v>0</v>
      </c>
      <c r="Z222" s="46">
        <v>6.6150000000000002</v>
      </c>
      <c r="AA222" s="46">
        <f t="shared" si="49"/>
        <v>6.4550000000000001</v>
      </c>
      <c r="AB222" s="48">
        <f>AA222</f>
        <v>6.4550000000000001</v>
      </c>
      <c r="AC222" s="55" t="str">
        <f t="shared" si="54"/>
        <v>открыт</v>
      </c>
      <c r="AD222" s="55">
        <v>0.95</v>
      </c>
    </row>
    <row r="223" spans="1:31" s="34" customFormat="1" ht="29.25" customHeight="1">
      <c r="A223" s="96">
        <v>156</v>
      </c>
      <c r="B223" s="47" t="s">
        <v>203</v>
      </c>
      <c r="C223" s="43" t="s">
        <v>22</v>
      </c>
      <c r="D223" s="64">
        <v>5.88</v>
      </c>
      <c r="E223" s="43">
        <f>E224+E225</f>
        <v>2.12</v>
      </c>
      <c r="F223" s="45">
        <v>120</v>
      </c>
      <c r="G223" s="60">
        <f t="shared" si="46"/>
        <v>3.76</v>
      </c>
      <c r="H223" s="43">
        <v>0</v>
      </c>
      <c r="I223" s="43">
        <v>16.8</v>
      </c>
      <c r="J223" s="60">
        <f t="shared" si="47"/>
        <v>13.040000000000001</v>
      </c>
      <c r="K223" s="97">
        <f>MIN(J223:J225)</f>
        <v>13.040000000000001</v>
      </c>
      <c r="L223" s="93">
        <f t="shared" si="51"/>
        <v>12.127200000000002</v>
      </c>
      <c r="M223" s="98" t="str">
        <f t="shared" si="52"/>
        <v>открыт</v>
      </c>
      <c r="N223" s="138">
        <v>0.93</v>
      </c>
      <c r="O223" s="30"/>
      <c r="P223" s="96">
        <v>156</v>
      </c>
      <c r="Q223" s="53" t="s">
        <v>203</v>
      </c>
      <c r="R223" s="43" t="s">
        <v>22</v>
      </c>
      <c r="S223" s="60">
        <f t="shared" si="53"/>
        <v>0.95698924731182788</v>
      </c>
      <c r="T223" s="60">
        <v>0.89</v>
      </c>
      <c r="U223" s="46">
        <f t="shared" si="50"/>
        <v>6.8369892473118279</v>
      </c>
      <c r="V223" s="57">
        <f>V224+V225</f>
        <v>2.7866666666666666</v>
      </c>
      <c r="W223" s="54">
        <v>120</v>
      </c>
      <c r="X223" s="57">
        <f t="shared" si="48"/>
        <v>4.0503225806451617</v>
      </c>
      <c r="Y223" s="46">
        <v>0</v>
      </c>
      <c r="Z223" s="46">
        <v>16.8</v>
      </c>
      <c r="AA223" s="46">
        <f t="shared" si="49"/>
        <v>12.749677419354839</v>
      </c>
      <c r="AB223" s="97">
        <f>MIN(AA223:AA225)</f>
        <v>12.749677419354839</v>
      </c>
      <c r="AC223" s="98" t="str">
        <f t="shared" si="54"/>
        <v>открыт</v>
      </c>
      <c r="AD223" s="138">
        <v>0.93</v>
      </c>
    </row>
    <row r="224" spans="1:31" s="34" customFormat="1" ht="14.25" customHeight="1">
      <c r="A224" s="96"/>
      <c r="B224" s="61" t="s">
        <v>45</v>
      </c>
      <c r="C224" s="43" t="s">
        <v>22</v>
      </c>
      <c r="D224" s="64">
        <f>D223-D225</f>
        <v>1.58</v>
      </c>
      <c r="E224" s="69">
        <f>D224</f>
        <v>1.58</v>
      </c>
      <c r="F224" s="45"/>
      <c r="G224" s="60">
        <f>D224-E224</f>
        <v>0</v>
      </c>
      <c r="H224" s="43">
        <v>0</v>
      </c>
      <c r="I224" s="43">
        <v>16.8</v>
      </c>
      <c r="J224" s="60">
        <f>I224-G224-H224</f>
        <v>16.8</v>
      </c>
      <c r="K224" s="97"/>
      <c r="L224" s="93"/>
      <c r="M224" s="99"/>
      <c r="N224" s="138"/>
      <c r="O224" s="30"/>
      <c r="P224" s="96"/>
      <c r="Q224" s="61" t="s">
        <v>45</v>
      </c>
      <c r="R224" s="43" t="s">
        <v>22</v>
      </c>
      <c r="S224" s="60">
        <f>S223-S225</f>
        <v>0.66666666666666652</v>
      </c>
      <c r="T224" s="60"/>
      <c r="U224" s="46">
        <f t="shared" si="50"/>
        <v>2.2466666666666666</v>
      </c>
      <c r="V224" s="57">
        <f>U224</f>
        <v>2.2466666666666666</v>
      </c>
      <c r="W224" s="54"/>
      <c r="X224" s="57">
        <f t="shared" si="48"/>
        <v>0</v>
      </c>
      <c r="Y224" s="46">
        <v>0</v>
      </c>
      <c r="Z224" s="46">
        <v>16.8</v>
      </c>
      <c r="AA224" s="46">
        <f t="shared" si="49"/>
        <v>16.8</v>
      </c>
      <c r="AB224" s="97"/>
      <c r="AC224" s="99"/>
      <c r="AD224" s="138"/>
    </row>
    <row r="225" spans="1:30" s="34" customFormat="1" ht="11.25">
      <c r="A225" s="96"/>
      <c r="B225" s="61" t="s">
        <v>46</v>
      </c>
      <c r="C225" s="43" t="s">
        <v>22</v>
      </c>
      <c r="D225" s="64">
        <v>4.3</v>
      </c>
      <c r="E225" s="56">
        <v>0.54</v>
      </c>
      <c r="F225" s="45">
        <v>10</v>
      </c>
      <c r="G225" s="60">
        <f>D225-E225</f>
        <v>3.76</v>
      </c>
      <c r="H225" s="43">
        <v>0</v>
      </c>
      <c r="I225" s="43">
        <v>16.8</v>
      </c>
      <c r="J225" s="60">
        <f>I225-G225-H225</f>
        <v>13.040000000000001</v>
      </c>
      <c r="K225" s="97"/>
      <c r="L225" s="93"/>
      <c r="M225" s="100"/>
      <c r="N225" s="138"/>
      <c r="O225" s="30"/>
      <c r="P225" s="96"/>
      <c r="Q225" s="61" t="s">
        <v>46</v>
      </c>
      <c r="R225" s="43" t="s">
        <v>22</v>
      </c>
      <c r="S225" s="60">
        <f>T225/N223</f>
        <v>0.29032258064516131</v>
      </c>
      <c r="T225" s="60">
        <v>0.27</v>
      </c>
      <c r="U225" s="46">
        <f t="shared" si="50"/>
        <v>4.5903225806451609</v>
      </c>
      <c r="V225" s="57">
        <f>'[1]текущий дефицит'!E223</f>
        <v>0.54</v>
      </c>
      <c r="W225" s="54">
        <v>120</v>
      </c>
      <c r="X225" s="57">
        <f t="shared" si="48"/>
        <v>4.0503225806451608</v>
      </c>
      <c r="Y225" s="46">
        <v>0</v>
      </c>
      <c r="Z225" s="46">
        <v>16.8</v>
      </c>
      <c r="AA225" s="46">
        <f t="shared" si="49"/>
        <v>12.749677419354839</v>
      </c>
      <c r="AB225" s="97"/>
      <c r="AC225" s="100"/>
      <c r="AD225" s="138"/>
    </row>
    <row r="226" spans="1:30" s="34" customFormat="1" ht="30.75" customHeight="1">
      <c r="A226" s="45">
        <v>157</v>
      </c>
      <c r="B226" s="47" t="s">
        <v>204</v>
      </c>
      <c r="C226" s="43" t="s">
        <v>130</v>
      </c>
      <c r="D226" s="64">
        <v>0.22</v>
      </c>
      <c r="E226" s="56">
        <v>0</v>
      </c>
      <c r="F226" s="45">
        <v>120</v>
      </c>
      <c r="G226" s="60">
        <f t="shared" si="46"/>
        <v>0.22</v>
      </c>
      <c r="H226" s="43">
        <v>0</v>
      </c>
      <c r="I226" s="43">
        <v>2.625</v>
      </c>
      <c r="J226" s="60">
        <f t="shared" si="47"/>
        <v>2.4049999999999998</v>
      </c>
      <c r="K226" s="48">
        <f>J226</f>
        <v>2.4049999999999998</v>
      </c>
      <c r="L226" s="46">
        <f>K226*N226</f>
        <v>2.14045</v>
      </c>
      <c r="M226" s="55" t="str">
        <f>IF(K226&lt;0,"закрыт","открыт")</f>
        <v>открыт</v>
      </c>
      <c r="N226" s="55">
        <v>0.89</v>
      </c>
      <c r="O226" s="30"/>
      <c r="P226" s="45">
        <v>157</v>
      </c>
      <c r="Q226" s="53" t="s">
        <v>204</v>
      </c>
      <c r="R226" s="43" t="s">
        <v>130</v>
      </c>
      <c r="S226" s="57">
        <f>T226/N226</f>
        <v>0</v>
      </c>
      <c r="T226" s="60">
        <v>0</v>
      </c>
      <c r="U226" s="46">
        <f t="shared" si="50"/>
        <v>0.22</v>
      </c>
      <c r="V226" s="57">
        <f>E226</f>
        <v>0</v>
      </c>
      <c r="W226" s="54">
        <v>120</v>
      </c>
      <c r="X226" s="57">
        <f t="shared" si="48"/>
        <v>0.22</v>
      </c>
      <c r="Y226" s="46">
        <v>0</v>
      </c>
      <c r="Z226" s="46">
        <v>2.625</v>
      </c>
      <c r="AA226" s="46">
        <f t="shared" si="49"/>
        <v>2.4049999999999998</v>
      </c>
      <c r="AB226" s="48">
        <f>AA226</f>
        <v>2.4049999999999998</v>
      </c>
      <c r="AC226" s="55" t="str">
        <f>IF(AB226&lt;0,"закрыт","открыт")</f>
        <v>открыт</v>
      </c>
      <c r="AD226" s="55">
        <v>0.89</v>
      </c>
    </row>
    <row r="227" spans="1:30" s="34" customFormat="1" ht="22.5">
      <c r="A227" s="45">
        <v>158</v>
      </c>
      <c r="B227" s="47" t="s">
        <v>205</v>
      </c>
      <c r="C227" s="43" t="s">
        <v>32</v>
      </c>
      <c r="D227" s="64">
        <v>0.48</v>
      </c>
      <c r="E227" s="43">
        <v>1</v>
      </c>
      <c r="F227" s="45">
        <v>120</v>
      </c>
      <c r="G227" s="60">
        <f t="shared" si="46"/>
        <v>-0.52</v>
      </c>
      <c r="H227" s="43">
        <v>0</v>
      </c>
      <c r="I227" s="43">
        <v>4.2</v>
      </c>
      <c r="J227" s="60">
        <f t="shared" si="47"/>
        <v>4.7200000000000006</v>
      </c>
      <c r="K227" s="48">
        <f>J227</f>
        <v>4.7200000000000006</v>
      </c>
      <c r="L227" s="46">
        <f>K227*N227</f>
        <v>3.5872000000000006</v>
      </c>
      <c r="M227" s="55" t="str">
        <f>IF(K227&lt;0,"закрыт","открыт")</f>
        <v>открыт</v>
      </c>
      <c r="N227" s="55">
        <v>0.76</v>
      </c>
      <c r="O227" s="30"/>
      <c r="P227" s="45">
        <v>158</v>
      </c>
      <c r="Q227" s="53" t="s">
        <v>205</v>
      </c>
      <c r="R227" s="43" t="s">
        <v>32</v>
      </c>
      <c r="S227" s="57">
        <f>T227/N227</f>
        <v>3.9473684210526317E-3</v>
      </c>
      <c r="T227" s="60">
        <v>3.0000000000000001E-3</v>
      </c>
      <c r="U227" s="46">
        <f t="shared" si="50"/>
        <v>0.48394736842105263</v>
      </c>
      <c r="V227" s="57">
        <f>E227</f>
        <v>1</v>
      </c>
      <c r="W227" s="54">
        <v>120</v>
      </c>
      <c r="X227" s="57">
        <f t="shared" si="48"/>
        <v>-0.51605263157894732</v>
      </c>
      <c r="Y227" s="46">
        <v>0</v>
      </c>
      <c r="Z227" s="46">
        <v>4.2</v>
      </c>
      <c r="AA227" s="46">
        <f t="shared" si="49"/>
        <v>4.7160526315789477</v>
      </c>
      <c r="AB227" s="48">
        <f>AA227</f>
        <v>4.7160526315789477</v>
      </c>
      <c r="AC227" s="55" t="str">
        <f>IF(AB227&lt;0,"закрыт","открыт")</f>
        <v>открыт</v>
      </c>
      <c r="AD227" s="55">
        <v>0.76</v>
      </c>
    </row>
    <row r="228" spans="1:30" s="34" customFormat="1" ht="22.5">
      <c r="A228" s="45">
        <v>159</v>
      </c>
      <c r="B228" s="47" t="s">
        <v>206</v>
      </c>
      <c r="C228" s="43" t="s">
        <v>130</v>
      </c>
      <c r="D228" s="64">
        <v>1.08</v>
      </c>
      <c r="E228" s="43">
        <v>0.17</v>
      </c>
      <c r="F228" s="45">
        <v>120</v>
      </c>
      <c r="G228" s="60">
        <f t="shared" si="46"/>
        <v>0.91</v>
      </c>
      <c r="H228" s="43">
        <v>0</v>
      </c>
      <c r="I228" s="43">
        <v>2.625</v>
      </c>
      <c r="J228" s="60">
        <f t="shared" si="47"/>
        <v>1.7149999999999999</v>
      </c>
      <c r="K228" s="48">
        <f>J228</f>
        <v>1.7149999999999999</v>
      </c>
      <c r="L228" s="46">
        <f>K228*N228</f>
        <v>1.6978499999999999</v>
      </c>
      <c r="M228" s="55" t="str">
        <f>IF(K228&lt;0,"закрыт","открыт")</f>
        <v>открыт</v>
      </c>
      <c r="N228" s="55">
        <v>0.99</v>
      </c>
      <c r="O228" s="30"/>
      <c r="P228" s="45">
        <v>159</v>
      </c>
      <c r="Q228" s="53" t="s">
        <v>206</v>
      </c>
      <c r="R228" s="43" t="s">
        <v>130</v>
      </c>
      <c r="S228" s="57">
        <f>T228/N228</f>
        <v>0</v>
      </c>
      <c r="T228" s="60">
        <v>0</v>
      </c>
      <c r="U228" s="46">
        <f t="shared" si="50"/>
        <v>1.08</v>
      </c>
      <c r="V228" s="57">
        <f>E228</f>
        <v>0.17</v>
      </c>
      <c r="W228" s="54">
        <v>120</v>
      </c>
      <c r="X228" s="57">
        <f t="shared" si="48"/>
        <v>0.91</v>
      </c>
      <c r="Y228" s="46">
        <v>0</v>
      </c>
      <c r="Z228" s="46">
        <v>2.625</v>
      </c>
      <c r="AA228" s="46">
        <f t="shared" si="49"/>
        <v>1.7149999999999999</v>
      </c>
      <c r="AB228" s="48">
        <f>AA228</f>
        <v>1.7149999999999999</v>
      </c>
      <c r="AC228" s="55" t="str">
        <f>IF(AB228&lt;0,"закрыт","открыт")</f>
        <v>открыт</v>
      </c>
      <c r="AD228" s="55">
        <v>0.99</v>
      </c>
    </row>
    <row r="229" spans="1:30" s="34" customFormat="1" ht="22.5">
      <c r="A229" s="45">
        <v>160</v>
      </c>
      <c r="B229" s="47" t="s">
        <v>310</v>
      </c>
      <c r="C229" s="43" t="s">
        <v>130</v>
      </c>
      <c r="D229" s="64">
        <v>0.54</v>
      </c>
      <c r="E229" s="43">
        <v>0</v>
      </c>
      <c r="F229" s="45">
        <v>120</v>
      </c>
      <c r="G229" s="60">
        <f t="shared" si="46"/>
        <v>0.54</v>
      </c>
      <c r="H229" s="43">
        <v>0</v>
      </c>
      <c r="I229" s="43">
        <v>2.625</v>
      </c>
      <c r="J229" s="60">
        <f t="shared" si="47"/>
        <v>2.085</v>
      </c>
      <c r="K229" s="48">
        <f>J229</f>
        <v>2.085</v>
      </c>
      <c r="L229" s="46">
        <f>K229*N229</f>
        <v>1.5846</v>
      </c>
      <c r="M229" s="55" t="str">
        <f>IF(K229&lt;0,"закрыт","открыт")</f>
        <v>открыт</v>
      </c>
      <c r="N229" s="55">
        <v>0.76</v>
      </c>
      <c r="O229" s="30"/>
      <c r="P229" s="45">
        <v>160</v>
      </c>
      <c r="Q229" s="53" t="s">
        <v>310</v>
      </c>
      <c r="R229" s="43" t="s">
        <v>130</v>
      </c>
      <c r="S229" s="57">
        <f>T229/N229</f>
        <v>0.14473684210526316</v>
      </c>
      <c r="T229" s="60">
        <v>0.11</v>
      </c>
      <c r="U229" s="46">
        <f t="shared" si="50"/>
        <v>0.6847368421052632</v>
      </c>
      <c r="V229" s="57">
        <f>E229</f>
        <v>0</v>
      </c>
      <c r="W229" s="54">
        <v>120</v>
      </c>
      <c r="X229" s="57">
        <f t="shared" si="48"/>
        <v>0.6847368421052632</v>
      </c>
      <c r="Y229" s="46">
        <v>0</v>
      </c>
      <c r="Z229" s="46">
        <v>2.625</v>
      </c>
      <c r="AA229" s="46">
        <f t="shared" si="49"/>
        <v>1.9402631578947367</v>
      </c>
      <c r="AB229" s="48">
        <f>AA229</f>
        <v>1.9402631578947367</v>
      </c>
      <c r="AC229" s="55" t="str">
        <f>IF(AB229&lt;0,"закрыт","открыт")</f>
        <v>открыт</v>
      </c>
      <c r="AD229" s="55">
        <v>0.76</v>
      </c>
    </row>
    <row r="230" spans="1:30" s="34" customFormat="1" ht="22.5">
      <c r="A230" s="96">
        <v>161</v>
      </c>
      <c r="B230" s="47" t="s">
        <v>207</v>
      </c>
      <c r="C230" s="43" t="s">
        <v>208</v>
      </c>
      <c r="D230" s="64">
        <v>1.1299999999999999</v>
      </c>
      <c r="E230" s="43">
        <f>E231+E232</f>
        <v>0.72</v>
      </c>
      <c r="F230" s="45">
        <v>120</v>
      </c>
      <c r="G230" s="60">
        <f t="shared" si="46"/>
        <v>0.40999999999999992</v>
      </c>
      <c r="H230" s="43">
        <v>0</v>
      </c>
      <c r="I230" s="43">
        <v>5.88</v>
      </c>
      <c r="J230" s="60">
        <f t="shared" si="47"/>
        <v>5.47</v>
      </c>
      <c r="K230" s="97">
        <f>MIN(J230:J232)</f>
        <v>5.47</v>
      </c>
      <c r="L230" s="93">
        <f>K230*N230</f>
        <v>5.3605999999999998</v>
      </c>
      <c r="M230" s="98" t="str">
        <f>IF(K230&lt;0,"закрыт","открыт")</f>
        <v>открыт</v>
      </c>
      <c r="N230" s="138">
        <v>0.98</v>
      </c>
      <c r="O230" s="30"/>
      <c r="P230" s="96">
        <v>161</v>
      </c>
      <c r="Q230" s="53" t="s">
        <v>207</v>
      </c>
      <c r="R230" s="43" t="s">
        <v>208</v>
      </c>
      <c r="S230" s="60">
        <f>T230/N230</f>
        <v>1.6326530612244899E-2</v>
      </c>
      <c r="T230" s="60">
        <v>1.6E-2</v>
      </c>
      <c r="U230" s="46">
        <f t="shared" si="50"/>
        <v>1.1463265306122448</v>
      </c>
      <c r="V230" s="57">
        <f>V231+V232</f>
        <v>0.72612244897959177</v>
      </c>
      <c r="W230" s="54">
        <v>120</v>
      </c>
      <c r="X230" s="57">
        <f t="shared" si="48"/>
        <v>0.42020408163265299</v>
      </c>
      <c r="Y230" s="46">
        <v>0</v>
      </c>
      <c r="Z230" s="46">
        <v>5.88</v>
      </c>
      <c r="AA230" s="46">
        <f t="shared" si="49"/>
        <v>5.4597959183673472</v>
      </c>
      <c r="AB230" s="97">
        <f>MIN(AA230:AA232)</f>
        <v>5.4597959183673472</v>
      </c>
      <c r="AC230" s="98" t="str">
        <f>IF(AB230&lt;0,"закрыт","открыт")</f>
        <v>открыт</v>
      </c>
      <c r="AD230" s="138">
        <v>0.98</v>
      </c>
    </row>
    <row r="231" spans="1:30" s="34" customFormat="1" ht="11.25">
      <c r="A231" s="96"/>
      <c r="B231" s="61" t="s">
        <v>45</v>
      </c>
      <c r="C231" s="43" t="s">
        <v>208</v>
      </c>
      <c r="D231" s="64">
        <f>D230-D232</f>
        <v>0.72</v>
      </c>
      <c r="E231" s="69">
        <f>D231</f>
        <v>0.72</v>
      </c>
      <c r="F231" s="45"/>
      <c r="G231" s="60">
        <f>D231-E231</f>
        <v>0</v>
      </c>
      <c r="H231" s="43">
        <v>0</v>
      </c>
      <c r="I231" s="43">
        <v>5.88</v>
      </c>
      <c r="J231" s="60">
        <f>I231-G231-H231</f>
        <v>5.88</v>
      </c>
      <c r="K231" s="97"/>
      <c r="L231" s="93"/>
      <c r="M231" s="99"/>
      <c r="N231" s="138"/>
      <c r="O231" s="30"/>
      <c r="P231" s="96"/>
      <c r="Q231" s="61" t="s">
        <v>45</v>
      </c>
      <c r="R231" s="43" t="s">
        <v>208</v>
      </c>
      <c r="S231" s="60">
        <f>S230-S232</f>
        <v>6.1224489795918373E-3</v>
      </c>
      <c r="T231" s="60"/>
      <c r="U231" s="46">
        <f t="shared" si="50"/>
        <v>0.72612244897959177</v>
      </c>
      <c r="V231" s="57">
        <f>U231</f>
        <v>0.72612244897959177</v>
      </c>
      <c r="W231" s="54"/>
      <c r="X231" s="57">
        <f t="shared" si="48"/>
        <v>0</v>
      </c>
      <c r="Y231" s="46">
        <v>0</v>
      </c>
      <c r="Z231" s="46">
        <v>5.88</v>
      </c>
      <c r="AA231" s="46">
        <f t="shared" si="49"/>
        <v>5.88</v>
      </c>
      <c r="AB231" s="97"/>
      <c r="AC231" s="99"/>
      <c r="AD231" s="138"/>
    </row>
    <row r="232" spans="1:30" s="34" customFormat="1" ht="11.25">
      <c r="A232" s="96"/>
      <c r="B232" s="61" t="s">
        <v>46</v>
      </c>
      <c r="C232" s="43" t="s">
        <v>208</v>
      </c>
      <c r="D232" s="64">
        <v>0.41</v>
      </c>
      <c r="E232" s="56">
        <v>0</v>
      </c>
      <c r="F232" s="45">
        <v>120</v>
      </c>
      <c r="G232" s="60">
        <f>D232-E232</f>
        <v>0.41</v>
      </c>
      <c r="H232" s="43">
        <v>0</v>
      </c>
      <c r="I232" s="43">
        <v>5.88</v>
      </c>
      <c r="J232" s="60">
        <f>I232-G232-H232</f>
        <v>5.47</v>
      </c>
      <c r="K232" s="97"/>
      <c r="L232" s="93"/>
      <c r="M232" s="100"/>
      <c r="N232" s="138"/>
      <c r="O232" s="30"/>
      <c r="P232" s="96"/>
      <c r="Q232" s="61" t="s">
        <v>46</v>
      </c>
      <c r="R232" s="43" t="s">
        <v>208</v>
      </c>
      <c r="S232" s="60">
        <f>T232/N230</f>
        <v>1.0204081632653062E-2</v>
      </c>
      <c r="T232" s="60">
        <v>0.01</v>
      </c>
      <c r="U232" s="46">
        <f t="shared" si="50"/>
        <v>0.42020408163265305</v>
      </c>
      <c r="V232" s="57">
        <f>'[1]текущий дефицит'!E230</f>
        <v>0</v>
      </c>
      <c r="W232" s="54">
        <v>120</v>
      </c>
      <c r="X232" s="57">
        <f t="shared" si="48"/>
        <v>0.42020408163265305</v>
      </c>
      <c r="Y232" s="46">
        <v>0</v>
      </c>
      <c r="Z232" s="46">
        <v>5.88</v>
      </c>
      <c r="AA232" s="46">
        <f t="shared" si="49"/>
        <v>5.4597959183673472</v>
      </c>
      <c r="AB232" s="97"/>
      <c r="AC232" s="100"/>
      <c r="AD232" s="138"/>
    </row>
    <row r="233" spans="1:30" s="34" customFormat="1" ht="22.5">
      <c r="A233" s="45">
        <v>162</v>
      </c>
      <c r="B233" s="47" t="s">
        <v>209</v>
      </c>
      <c r="C233" s="43" t="s">
        <v>24</v>
      </c>
      <c r="D233" s="64">
        <v>0.22</v>
      </c>
      <c r="E233" s="43">
        <v>0.08</v>
      </c>
      <c r="F233" s="45">
        <v>120</v>
      </c>
      <c r="G233" s="60">
        <f t="shared" si="46"/>
        <v>0.14000000000000001</v>
      </c>
      <c r="H233" s="43">
        <v>0</v>
      </c>
      <c r="I233" s="43">
        <v>1.68</v>
      </c>
      <c r="J233" s="60">
        <f t="shared" si="47"/>
        <v>1.54</v>
      </c>
      <c r="K233" s="48">
        <f>J233</f>
        <v>1.54</v>
      </c>
      <c r="L233" s="46">
        <f>K233*N233</f>
        <v>1.3706</v>
      </c>
      <c r="M233" s="55" t="str">
        <f>IF(K233&lt;0,"закрыт","открыт")</f>
        <v>открыт</v>
      </c>
      <c r="N233" s="55">
        <v>0.89</v>
      </c>
      <c r="O233" s="30"/>
      <c r="P233" s="45">
        <v>162</v>
      </c>
      <c r="Q233" s="53" t="s">
        <v>209</v>
      </c>
      <c r="R233" s="43" t="s">
        <v>24</v>
      </c>
      <c r="S233" s="57">
        <f>T233/N233</f>
        <v>0</v>
      </c>
      <c r="T233" s="60">
        <v>0</v>
      </c>
      <c r="U233" s="46">
        <f t="shared" si="50"/>
        <v>0.22</v>
      </c>
      <c r="V233" s="57">
        <f>E233</f>
        <v>0.08</v>
      </c>
      <c r="W233" s="54">
        <v>120</v>
      </c>
      <c r="X233" s="57">
        <f t="shared" si="48"/>
        <v>0.14000000000000001</v>
      </c>
      <c r="Y233" s="46">
        <v>0</v>
      </c>
      <c r="Z233" s="46">
        <v>1.68</v>
      </c>
      <c r="AA233" s="46">
        <f t="shared" si="49"/>
        <v>1.54</v>
      </c>
      <c r="AB233" s="48">
        <f>AA233</f>
        <v>1.54</v>
      </c>
      <c r="AC233" s="55" t="str">
        <f>IF(AB233&lt;0,"закрыт","открыт")</f>
        <v>открыт</v>
      </c>
      <c r="AD233" s="55">
        <v>0.89</v>
      </c>
    </row>
    <row r="234" spans="1:30" s="34" customFormat="1" ht="22.5">
      <c r="A234" s="96">
        <v>163</v>
      </c>
      <c r="B234" s="47" t="s">
        <v>210</v>
      </c>
      <c r="C234" s="43" t="s">
        <v>128</v>
      </c>
      <c r="D234" s="64">
        <v>3.12</v>
      </c>
      <c r="E234" s="43">
        <f>E235+E236</f>
        <v>2.33</v>
      </c>
      <c r="F234" s="45">
        <v>120</v>
      </c>
      <c r="G234" s="60">
        <f t="shared" si="46"/>
        <v>0.79</v>
      </c>
      <c r="H234" s="43">
        <v>0</v>
      </c>
      <c r="I234" s="43">
        <v>6.6150000000000002</v>
      </c>
      <c r="J234" s="60">
        <f t="shared" si="47"/>
        <v>5.8250000000000002</v>
      </c>
      <c r="K234" s="97">
        <f>MIN(J234:J236)</f>
        <v>5.8250000000000002</v>
      </c>
      <c r="L234" s="93">
        <f>K234*N234</f>
        <v>4.8347499999999997</v>
      </c>
      <c r="M234" s="98" t="str">
        <f>IF(K234&lt;0,"закрыт","открыт")</f>
        <v>открыт</v>
      </c>
      <c r="N234" s="138">
        <v>0.83</v>
      </c>
      <c r="O234" s="30"/>
      <c r="P234" s="96">
        <v>163</v>
      </c>
      <c r="Q234" s="53" t="s">
        <v>210</v>
      </c>
      <c r="R234" s="43" t="s">
        <v>128</v>
      </c>
      <c r="S234" s="60">
        <f>T234/N234</f>
        <v>1.4819277108433735</v>
      </c>
      <c r="T234" s="60">
        <v>1.23</v>
      </c>
      <c r="U234" s="46">
        <f t="shared" si="50"/>
        <v>4.6019277108433734</v>
      </c>
      <c r="V234" s="57">
        <f>V235+V236</f>
        <v>3.7034939759036147</v>
      </c>
      <c r="W234" s="54">
        <v>120</v>
      </c>
      <c r="X234" s="57">
        <f t="shared" si="48"/>
        <v>0.89843373493975864</v>
      </c>
      <c r="Y234" s="46">
        <v>0</v>
      </c>
      <c r="Z234" s="46">
        <v>6.6150000000000002</v>
      </c>
      <c r="AA234" s="46">
        <f t="shared" si="49"/>
        <v>5.7165662650602416</v>
      </c>
      <c r="AB234" s="97">
        <f>MIN(AA234:AA236)</f>
        <v>5.7165662650602407</v>
      </c>
      <c r="AC234" s="98" t="str">
        <f>IF(AB234&lt;0,"закрыт","открыт")</f>
        <v>открыт</v>
      </c>
      <c r="AD234" s="138">
        <v>0.83</v>
      </c>
    </row>
    <row r="235" spans="1:30" s="34" customFormat="1" ht="11.25">
      <c r="A235" s="96"/>
      <c r="B235" s="61" t="s">
        <v>45</v>
      </c>
      <c r="C235" s="43" t="s">
        <v>128</v>
      </c>
      <c r="D235" s="64">
        <f>D234-D236</f>
        <v>1.75</v>
      </c>
      <c r="E235" s="69">
        <f>D235</f>
        <v>1.75</v>
      </c>
      <c r="F235" s="45"/>
      <c r="G235" s="60">
        <f>D235-E235</f>
        <v>0</v>
      </c>
      <c r="H235" s="43">
        <v>0</v>
      </c>
      <c r="I235" s="43">
        <v>6.6150000000000002</v>
      </c>
      <c r="J235" s="60">
        <f>I235-G235-H235</f>
        <v>6.6150000000000002</v>
      </c>
      <c r="K235" s="97"/>
      <c r="L235" s="93"/>
      <c r="M235" s="99"/>
      <c r="N235" s="138"/>
      <c r="O235" s="30"/>
      <c r="P235" s="96"/>
      <c r="Q235" s="61" t="s">
        <v>45</v>
      </c>
      <c r="R235" s="43" t="s">
        <v>128</v>
      </c>
      <c r="S235" s="60">
        <f>S234-S236</f>
        <v>1.3734939759036144</v>
      </c>
      <c r="T235" s="60"/>
      <c r="U235" s="46">
        <f t="shared" si="50"/>
        <v>3.1234939759036147</v>
      </c>
      <c r="V235" s="57">
        <f>U235</f>
        <v>3.1234939759036147</v>
      </c>
      <c r="W235" s="54"/>
      <c r="X235" s="57">
        <f t="shared" si="48"/>
        <v>0</v>
      </c>
      <c r="Y235" s="46">
        <v>0</v>
      </c>
      <c r="Z235" s="46">
        <v>6.6150000000000002</v>
      </c>
      <c r="AA235" s="46">
        <f t="shared" si="49"/>
        <v>6.6150000000000002</v>
      </c>
      <c r="AB235" s="97"/>
      <c r="AC235" s="99"/>
      <c r="AD235" s="138"/>
    </row>
    <row r="236" spans="1:30" s="34" customFormat="1" ht="11.25">
      <c r="A236" s="96"/>
      <c r="B236" s="61" t="s">
        <v>46</v>
      </c>
      <c r="C236" s="43" t="s">
        <v>128</v>
      </c>
      <c r="D236" s="64">
        <v>1.37</v>
      </c>
      <c r="E236" s="56">
        <v>0.57999999999999996</v>
      </c>
      <c r="F236" s="45">
        <v>120</v>
      </c>
      <c r="G236" s="60">
        <f>D236-E236</f>
        <v>0.79000000000000015</v>
      </c>
      <c r="H236" s="43">
        <v>0</v>
      </c>
      <c r="I236" s="43">
        <v>6.6150000000000002</v>
      </c>
      <c r="J236" s="60">
        <f>I236-G236-H236</f>
        <v>5.8250000000000002</v>
      </c>
      <c r="K236" s="97"/>
      <c r="L236" s="93"/>
      <c r="M236" s="100"/>
      <c r="N236" s="138"/>
      <c r="O236" s="30"/>
      <c r="P236" s="96"/>
      <c r="Q236" s="61" t="s">
        <v>46</v>
      </c>
      <c r="R236" s="43" t="s">
        <v>128</v>
      </c>
      <c r="S236" s="60">
        <f>T236/N234</f>
        <v>0.10843373493975904</v>
      </c>
      <c r="T236" s="60">
        <v>0.09</v>
      </c>
      <c r="U236" s="46">
        <f t="shared" si="50"/>
        <v>1.4784337349397592</v>
      </c>
      <c r="V236" s="57">
        <f>'[1]текущий дефицит'!E234</f>
        <v>0.57999999999999996</v>
      </c>
      <c r="W236" s="54">
        <v>120</v>
      </c>
      <c r="X236" s="57">
        <f t="shared" si="48"/>
        <v>0.8984337349397592</v>
      </c>
      <c r="Y236" s="46">
        <v>0</v>
      </c>
      <c r="Z236" s="46">
        <v>6.6150000000000002</v>
      </c>
      <c r="AA236" s="46">
        <f t="shared" si="49"/>
        <v>5.7165662650602407</v>
      </c>
      <c r="AB236" s="97"/>
      <c r="AC236" s="100"/>
      <c r="AD236" s="138"/>
    </row>
    <row r="237" spans="1:30" s="34" customFormat="1" ht="22.5">
      <c r="A237" s="45">
        <v>164</v>
      </c>
      <c r="B237" s="47" t="s">
        <v>211</v>
      </c>
      <c r="C237" s="43" t="s">
        <v>130</v>
      </c>
      <c r="D237" s="64">
        <v>0.97</v>
      </c>
      <c r="E237" s="43">
        <v>0.04</v>
      </c>
      <c r="F237" s="45">
        <v>120</v>
      </c>
      <c r="G237" s="60">
        <f t="shared" si="46"/>
        <v>0.92999999999999994</v>
      </c>
      <c r="H237" s="43">
        <v>0</v>
      </c>
      <c r="I237" s="43">
        <v>2.625</v>
      </c>
      <c r="J237" s="60">
        <f t="shared" si="47"/>
        <v>1.6950000000000001</v>
      </c>
      <c r="K237" s="48">
        <f>J237</f>
        <v>1.6950000000000001</v>
      </c>
      <c r="L237" s="46">
        <f>K237*N237</f>
        <v>1.6272</v>
      </c>
      <c r="M237" s="55" t="str">
        <f>IF(K237&lt;0,"закрыт","открыт")</f>
        <v>открыт</v>
      </c>
      <c r="N237" s="55">
        <v>0.96</v>
      </c>
      <c r="O237" s="30"/>
      <c r="P237" s="45">
        <v>164</v>
      </c>
      <c r="Q237" s="53" t="s">
        <v>211</v>
      </c>
      <c r="R237" s="43" t="s">
        <v>130</v>
      </c>
      <c r="S237" s="57">
        <f>T237/N237</f>
        <v>1.0833333333333335</v>
      </c>
      <c r="T237" s="60">
        <v>1.04</v>
      </c>
      <c r="U237" s="46">
        <f t="shared" si="50"/>
        <v>2.0533333333333337</v>
      </c>
      <c r="V237" s="57">
        <f>E237</f>
        <v>0.04</v>
      </c>
      <c r="W237" s="54">
        <v>120</v>
      </c>
      <c r="X237" s="57">
        <f t="shared" si="48"/>
        <v>2.0133333333333336</v>
      </c>
      <c r="Y237" s="46">
        <v>0</v>
      </c>
      <c r="Z237" s="46">
        <v>2.625</v>
      </c>
      <c r="AA237" s="46">
        <f t="shared" si="49"/>
        <v>0.61166666666666636</v>
      </c>
      <c r="AB237" s="48">
        <f>AA237</f>
        <v>0.61166666666666636</v>
      </c>
      <c r="AC237" s="55" t="str">
        <f>IF(AB237&lt;0,"закрыт","открыт")</f>
        <v>открыт</v>
      </c>
      <c r="AD237" s="55">
        <v>0.96</v>
      </c>
    </row>
    <row r="238" spans="1:30" s="34" customFormat="1" ht="22.5">
      <c r="A238" s="45">
        <v>165</v>
      </c>
      <c r="B238" s="47" t="s">
        <v>212</v>
      </c>
      <c r="C238" s="43" t="s">
        <v>108</v>
      </c>
      <c r="D238" s="64">
        <v>17.989999999999998</v>
      </c>
      <c r="E238" s="43">
        <v>5.34</v>
      </c>
      <c r="F238" s="45">
        <v>120</v>
      </c>
      <c r="G238" s="60">
        <f t="shared" si="46"/>
        <v>12.649999999999999</v>
      </c>
      <c r="H238" s="43">
        <v>0</v>
      </c>
      <c r="I238" s="43">
        <v>42</v>
      </c>
      <c r="J238" s="60">
        <f t="shared" si="47"/>
        <v>29.35</v>
      </c>
      <c r="K238" s="48">
        <f>J238</f>
        <v>29.35</v>
      </c>
      <c r="L238" s="46">
        <f>K238*N238</f>
        <v>27.295500000000004</v>
      </c>
      <c r="M238" s="55" t="str">
        <f>IF(K238&lt;0,"закрыт","открыт")</f>
        <v>открыт</v>
      </c>
      <c r="N238" s="55">
        <v>0.93</v>
      </c>
      <c r="O238" s="30"/>
      <c r="P238" s="45">
        <v>165</v>
      </c>
      <c r="Q238" s="53" t="s">
        <v>212</v>
      </c>
      <c r="R238" s="43" t="s">
        <v>108</v>
      </c>
      <c r="S238" s="57">
        <f>T238/N238</f>
        <v>2.3440860215053765</v>
      </c>
      <c r="T238" s="60">
        <v>2.1800000000000002</v>
      </c>
      <c r="U238" s="46">
        <f t="shared" si="50"/>
        <v>20.334086021505374</v>
      </c>
      <c r="V238" s="57">
        <f>E238</f>
        <v>5.34</v>
      </c>
      <c r="W238" s="54">
        <v>120</v>
      </c>
      <c r="X238" s="57">
        <f t="shared" si="48"/>
        <v>14.994086021505375</v>
      </c>
      <c r="Y238" s="46">
        <v>0</v>
      </c>
      <c r="Z238" s="46">
        <v>42</v>
      </c>
      <c r="AA238" s="46">
        <f t="shared" si="49"/>
        <v>27.005913978494625</v>
      </c>
      <c r="AB238" s="48">
        <f>AA238</f>
        <v>27.005913978494625</v>
      </c>
      <c r="AC238" s="55" t="str">
        <f>IF(AB238&lt;0,"закрыт","открыт")</f>
        <v>открыт</v>
      </c>
      <c r="AD238" s="55">
        <v>0.93</v>
      </c>
    </row>
    <row r="239" spans="1:30" s="34" customFormat="1" ht="22.5">
      <c r="A239" s="45">
        <v>166</v>
      </c>
      <c r="B239" s="47" t="s">
        <v>213</v>
      </c>
      <c r="C239" s="43" t="s">
        <v>22</v>
      </c>
      <c r="D239" s="64">
        <v>12.7</v>
      </c>
      <c r="E239" s="43">
        <v>0.75</v>
      </c>
      <c r="F239" s="45">
        <v>120</v>
      </c>
      <c r="G239" s="60">
        <f t="shared" si="46"/>
        <v>11.95</v>
      </c>
      <c r="H239" s="43">
        <v>0</v>
      </c>
      <c r="I239" s="43">
        <v>16.8</v>
      </c>
      <c r="J239" s="60">
        <f t="shared" si="47"/>
        <v>4.8500000000000014</v>
      </c>
      <c r="K239" s="48">
        <f>J239</f>
        <v>4.8500000000000014</v>
      </c>
      <c r="L239" s="46">
        <f>K239*N239</f>
        <v>4.3165000000000013</v>
      </c>
      <c r="M239" s="55" t="str">
        <f>IF(K239&lt;0,"закрыт","открыт")</f>
        <v>открыт</v>
      </c>
      <c r="N239" s="55">
        <v>0.89</v>
      </c>
      <c r="O239" s="30"/>
      <c r="P239" s="65">
        <v>166</v>
      </c>
      <c r="Q239" s="73" t="s">
        <v>213</v>
      </c>
      <c r="R239" s="66" t="s">
        <v>22</v>
      </c>
      <c r="S239" s="67">
        <f>T239/N239</f>
        <v>10.269662921348315</v>
      </c>
      <c r="T239" s="72">
        <v>9.14</v>
      </c>
      <c r="U239" s="67">
        <f t="shared" si="50"/>
        <v>22.969662921348316</v>
      </c>
      <c r="V239" s="67">
        <f>E239</f>
        <v>0.75</v>
      </c>
      <c r="W239" s="66">
        <v>120</v>
      </c>
      <c r="X239" s="67">
        <f t="shared" si="48"/>
        <v>22.219662921348316</v>
      </c>
      <c r="Y239" s="67">
        <v>0</v>
      </c>
      <c r="Z239" s="67">
        <v>16.8</v>
      </c>
      <c r="AA239" s="67">
        <f t="shared" si="49"/>
        <v>-5.4196629213483156</v>
      </c>
      <c r="AB239" s="72">
        <f>AA239</f>
        <v>-5.4196629213483156</v>
      </c>
      <c r="AC239" s="68" t="str">
        <f>IF(AB239&lt;0,"закрыт","открыт")</f>
        <v>закрыт</v>
      </c>
      <c r="AD239" s="55">
        <v>0.89</v>
      </c>
    </row>
    <row r="240" spans="1:30" s="34" customFormat="1" ht="22.5">
      <c r="A240" s="96">
        <v>167</v>
      </c>
      <c r="B240" s="47" t="s">
        <v>214</v>
      </c>
      <c r="C240" s="43" t="s">
        <v>128</v>
      </c>
      <c r="D240" s="64">
        <v>1.72</v>
      </c>
      <c r="E240" s="54">
        <f>E241+E242</f>
        <v>0.87</v>
      </c>
      <c r="F240" s="45">
        <v>120</v>
      </c>
      <c r="G240" s="60">
        <f t="shared" si="46"/>
        <v>0.85</v>
      </c>
      <c r="H240" s="43">
        <v>0</v>
      </c>
      <c r="I240" s="43">
        <v>6.6150000000000002</v>
      </c>
      <c r="J240" s="60">
        <f t="shared" si="47"/>
        <v>5.7650000000000006</v>
      </c>
      <c r="K240" s="97">
        <f>MIN(J240:J242)</f>
        <v>5.7650000000000006</v>
      </c>
      <c r="L240" s="93">
        <f>K240*N240</f>
        <v>4.7273000000000005</v>
      </c>
      <c r="M240" s="98" t="str">
        <f>IF(K240&lt;0,"закрыт","открыт")</f>
        <v>открыт</v>
      </c>
      <c r="N240" s="138">
        <v>0.82</v>
      </c>
      <c r="O240" s="30"/>
      <c r="P240" s="96">
        <v>167</v>
      </c>
      <c r="Q240" s="53" t="s">
        <v>214</v>
      </c>
      <c r="R240" s="43" t="s">
        <v>128</v>
      </c>
      <c r="S240" s="60">
        <f>T240/N240</f>
        <v>0.26829268292682928</v>
      </c>
      <c r="T240" s="60">
        <v>0.22</v>
      </c>
      <c r="U240" s="46">
        <f t="shared" si="50"/>
        <v>1.9882926829268293</v>
      </c>
      <c r="V240" s="57">
        <f>V241+V242</f>
        <v>0.87</v>
      </c>
      <c r="W240" s="54">
        <v>120</v>
      </c>
      <c r="X240" s="57">
        <f t="shared" si="48"/>
        <v>1.1182926829268292</v>
      </c>
      <c r="Y240" s="46">
        <v>0</v>
      </c>
      <c r="Z240" s="46">
        <v>6.6150000000000002</v>
      </c>
      <c r="AA240" s="46">
        <f t="shared" si="49"/>
        <v>5.4967073170731711</v>
      </c>
      <c r="AB240" s="97">
        <f>MIN(AA240:AA242)</f>
        <v>5.4967073170731711</v>
      </c>
      <c r="AC240" s="98" t="str">
        <f>IF(AB240&lt;0,"закрыт","открыт")</f>
        <v>открыт</v>
      </c>
      <c r="AD240" s="138">
        <v>0.82</v>
      </c>
    </row>
    <row r="241" spans="1:30" s="34" customFormat="1" ht="11.25">
      <c r="A241" s="96"/>
      <c r="B241" s="61" t="s">
        <v>45</v>
      </c>
      <c r="C241" s="43" t="s">
        <v>128</v>
      </c>
      <c r="D241" s="64">
        <f>D240-D242</f>
        <v>0.47</v>
      </c>
      <c r="E241" s="69">
        <f>D241</f>
        <v>0.47</v>
      </c>
      <c r="F241" s="45"/>
      <c r="G241" s="60">
        <f>D241-E241</f>
        <v>0</v>
      </c>
      <c r="H241" s="43">
        <v>0</v>
      </c>
      <c r="I241" s="43">
        <v>6.6150000000000002</v>
      </c>
      <c r="J241" s="60">
        <f>I241-G241-H241</f>
        <v>6.6150000000000002</v>
      </c>
      <c r="K241" s="97"/>
      <c r="L241" s="93"/>
      <c r="M241" s="99"/>
      <c r="N241" s="138"/>
      <c r="O241" s="30"/>
      <c r="P241" s="96"/>
      <c r="Q241" s="61" t="s">
        <v>45</v>
      </c>
      <c r="R241" s="43" t="s">
        <v>128</v>
      </c>
      <c r="S241" s="60">
        <f>S240-S242</f>
        <v>0</v>
      </c>
      <c r="T241" s="60"/>
      <c r="U241" s="46">
        <f t="shared" si="50"/>
        <v>0.47</v>
      </c>
      <c r="V241" s="57">
        <f>U241</f>
        <v>0.47</v>
      </c>
      <c r="W241" s="54"/>
      <c r="X241" s="57">
        <f t="shared" si="48"/>
        <v>0</v>
      </c>
      <c r="Y241" s="46">
        <v>0</v>
      </c>
      <c r="Z241" s="46">
        <v>6.6150000000000002</v>
      </c>
      <c r="AA241" s="46">
        <f t="shared" si="49"/>
        <v>6.6150000000000002</v>
      </c>
      <c r="AB241" s="97"/>
      <c r="AC241" s="99"/>
      <c r="AD241" s="138"/>
    </row>
    <row r="242" spans="1:30" s="34" customFormat="1" ht="11.25">
      <c r="A242" s="96"/>
      <c r="B242" s="61" t="s">
        <v>46</v>
      </c>
      <c r="C242" s="43" t="s">
        <v>128</v>
      </c>
      <c r="D242" s="64">
        <v>1.25</v>
      </c>
      <c r="E242" s="56">
        <v>0.4</v>
      </c>
      <c r="F242" s="45">
        <v>120</v>
      </c>
      <c r="G242" s="60">
        <f>D242-E242</f>
        <v>0.85</v>
      </c>
      <c r="H242" s="43">
        <v>0</v>
      </c>
      <c r="I242" s="43">
        <v>6.6150000000000002</v>
      </c>
      <c r="J242" s="60">
        <f>I242-G242-H242</f>
        <v>5.7650000000000006</v>
      </c>
      <c r="K242" s="97"/>
      <c r="L242" s="93"/>
      <c r="M242" s="100"/>
      <c r="N242" s="138"/>
      <c r="O242" s="30"/>
      <c r="P242" s="96"/>
      <c r="Q242" s="61" t="s">
        <v>46</v>
      </c>
      <c r="R242" s="43" t="s">
        <v>128</v>
      </c>
      <c r="S242" s="60">
        <f>T242/N240</f>
        <v>0.26829268292682928</v>
      </c>
      <c r="T242" s="60">
        <v>0.22</v>
      </c>
      <c r="U242" s="46">
        <f t="shared" si="50"/>
        <v>1.5182926829268293</v>
      </c>
      <c r="V242" s="57">
        <f>'[1]текущий дефицит'!E240</f>
        <v>0.4</v>
      </c>
      <c r="W242" s="54">
        <v>120</v>
      </c>
      <c r="X242" s="57">
        <f t="shared" si="48"/>
        <v>1.1182926829268292</v>
      </c>
      <c r="Y242" s="46">
        <v>0</v>
      </c>
      <c r="Z242" s="46">
        <v>6.6150000000000002</v>
      </c>
      <c r="AA242" s="46">
        <f t="shared" si="49"/>
        <v>5.4967073170731711</v>
      </c>
      <c r="AB242" s="97"/>
      <c r="AC242" s="100"/>
      <c r="AD242" s="138"/>
    </row>
    <row r="243" spans="1:30" s="34" customFormat="1" ht="22.5">
      <c r="A243" s="45">
        <v>168</v>
      </c>
      <c r="B243" s="47" t="s">
        <v>215</v>
      </c>
      <c r="C243" s="43" t="s">
        <v>128</v>
      </c>
      <c r="D243" s="64">
        <v>2.87</v>
      </c>
      <c r="E243" s="43">
        <v>0</v>
      </c>
      <c r="F243" s="45">
        <v>120</v>
      </c>
      <c r="G243" s="60">
        <f t="shared" si="46"/>
        <v>2.87</v>
      </c>
      <c r="H243" s="43">
        <v>0</v>
      </c>
      <c r="I243" s="43">
        <v>6.6150000000000002</v>
      </c>
      <c r="J243" s="60">
        <f t="shared" si="47"/>
        <v>3.7450000000000001</v>
      </c>
      <c r="K243" s="48">
        <f>J243</f>
        <v>3.7450000000000001</v>
      </c>
      <c r="L243" s="46">
        <f>K243*N243</f>
        <v>3.3330500000000001</v>
      </c>
      <c r="M243" s="55" t="str">
        <f>IF(K243&lt;0,"закрыт","открыт")</f>
        <v>открыт</v>
      </c>
      <c r="N243" s="55">
        <v>0.89</v>
      </c>
      <c r="O243" s="30"/>
      <c r="P243" s="45">
        <v>168</v>
      </c>
      <c r="Q243" s="53" t="s">
        <v>215</v>
      </c>
      <c r="R243" s="43" t="s">
        <v>128</v>
      </c>
      <c r="S243" s="57">
        <f>T243/N243</f>
        <v>0.8089887640449438</v>
      </c>
      <c r="T243" s="60">
        <v>0.72</v>
      </c>
      <c r="U243" s="46">
        <f t="shared" si="50"/>
        <v>3.6789887640449441</v>
      </c>
      <c r="V243" s="57">
        <f>E243</f>
        <v>0</v>
      </c>
      <c r="W243" s="54">
        <v>120</v>
      </c>
      <c r="X243" s="57">
        <f t="shared" si="48"/>
        <v>3.6789887640449441</v>
      </c>
      <c r="Y243" s="46">
        <v>0</v>
      </c>
      <c r="Z243" s="46">
        <v>6.6150000000000002</v>
      </c>
      <c r="AA243" s="46">
        <f t="shared" si="49"/>
        <v>2.9360112359550561</v>
      </c>
      <c r="AB243" s="48">
        <f>AA243</f>
        <v>2.9360112359550561</v>
      </c>
      <c r="AC243" s="55" t="str">
        <f>IF(AB243&lt;0,"закрыт","открыт")</f>
        <v>открыт</v>
      </c>
      <c r="AD243" s="55">
        <v>0.89</v>
      </c>
    </row>
    <row r="244" spans="1:30" s="34" customFormat="1" ht="22.5">
      <c r="A244" s="45">
        <v>169</v>
      </c>
      <c r="B244" s="47" t="s">
        <v>216</v>
      </c>
      <c r="C244" s="43" t="s">
        <v>128</v>
      </c>
      <c r="D244" s="64">
        <v>5.39</v>
      </c>
      <c r="E244" s="43">
        <v>0</v>
      </c>
      <c r="F244" s="45">
        <v>120</v>
      </c>
      <c r="G244" s="60">
        <f t="shared" si="46"/>
        <v>5.39</v>
      </c>
      <c r="H244" s="43">
        <v>0</v>
      </c>
      <c r="I244" s="43">
        <v>6.6150000000000002</v>
      </c>
      <c r="J244" s="60">
        <f t="shared" si="47"/>
        <v>1.2250000000000005</v>
      </c>
      <c r="K244" s="48">
        <f>J244</f>
        <v>1.2250000000000005</v>
      </c>
      <c r="L244" s="46">
        <f>K244*N244</f>
        <v>1.1515000000000004</v>
      </c>
      <c r="M244" s="55" t="str">
        <f>IF(K244&lt;0,"закрыт","открыт")</f>
        <v>открыт</v>
      </c>
      <c r="N244" s="55">
        <v>0.94</v>
      </c>
      <c r="O244" s="30"/>
      <c r="P244" s="42">
        <v>169</v>
      </c>
      <c r="Q244" s="47" t="s">
        <v>216</v>
      </c>
      <c r="R244" s="43" t="s">
        <v>128</v>
      </c>
      <c r="S244" s="57">
        <f>T244/N244</f>
        <v>0.4042553191489362</v>
      </c>
      <c r="T244" s="48">
        <v>0.38</v>
      </c>
      <c r="U244" s="46">
        <f t="shared" si="50"/>
        <v>5.7942553191489363</v>
      </c>
      <c r="V244" s="46">
        <f>E244</f>
        <v>0</v>
      </c>
      <c r="W244" s="43">
        <v>120</v>
      </c>
      <c r="X244" s="46">
        <f t="shared" si="48"/>
        <v>5.7942553191489363</v>
      </c>
      <c r="Y244" s="46">
        <v>0</v>
      </c>
      <c r="Z244" s="46">
        <v>6.6150000000000002</v>
      </c>
      <c r="AA244" s="46">
        <f t="shared" si="49"/>
        <v>0.82074468085106389</v>
      </c>
      <c r="AB244" s="48">
        <f>AA244</f>
        <v>0.82074468085106389</v>
      </c>
      <c r="AC244" s="59" t="str">
        <f>IF(AB244&lt;0,"закрыт","открыт")</f>
        <v>открыт</v>
      </c>
      <c r="AD244" s="55">
        <v>0.94</v>
      </c>
    </row>
    <row r="245" spans="1:30" s="34" customFormat="1" ht="22.5">
      <c r="A245" s="45">
        <v>170</v>
      </c>
      <c r="B245" s="47" t="s">
        <v>217</v>
      </c>
      <c r="C245" s="43" t="s">
        <v>24</v>
      </c>
      <c r="D245" s="64">
        <v>0.65</v>
      </c>
      <c r="E245" s="43">
        <v>0.13</v>
      </c>
      <c r="F245" s="45">
        <v>120</v>
      </c>
      <c r="G245" s="60">
        <f t="shared" si="46"/>
        <v>0.52</v>
      </c>
      <c r="H245" s="43">
        <v>0</v>
      </c>
      <c r="I245" s="43">
        <v>1.68</v>
      </c>
      <c r="J245" s="60">
        <f t="shared" si="47"/>
        <v>1.1599999999999999</v>
      </c>
      <c r="K245" s="48">
        <f>J245</f>
        <v>1.1599999999999999</v>
      </c>
      <c r="L245" s="46">
        <f>K245*N245</f>
        <v>1.0671999999999999</v>
      </c>
      <c r="M245" s="55" t="str">
        <f>IF(K245&lt;0,"закрыт","открыт")</f>
        <v>открыт</v>
      </c>
      <c r="N245" s="55">
        <v>0.92</v>
      </c>
      <c r="O245" s="30"/>
      <c r="P245" s="45">
        <v>170</v>
      </c>
      <c r="Q245" s="53" t="s">
        <v>217</v>
      </c>
      <c r="R245" s="43" t="s">
        <v>24</v>
      </c>
      <c r="S245" s="57">
        <f>T245/N245</f>
        <v>0.23913043478260868</v>
      </c>
      <c r="T245" s="60">
        <v>0.22</v>
      </c>
      <c r="U245" s="46">
        <f t="shared" si="50"/>
        <v>0.88913043478260867</v>
      </c>
      <c r="V245" s="57">
        <f>E245</f>
        <v>0.13</v>
      </c>
      <c r="W245" s="54">
        <v>120</v>
      </c>
      <c r="X245" s="57">
        <f t="shared" si="48"/>
        <v>0.75913043478260867</v>
      </c>
      <c r="Y245" s="46">
        <v>0</v>
      </c>
      <c r="Z245" s="46">
        <v>1.68</v>
      </c>
      <c r="AA245" s="46">
        <f t="shared" si="49"/>
        <v>0.92086956521739127</v>
      </c>
      <c r="AB245" s="48">
        <f>AA245</f>
        <v>0.92086956521739127</v>
      </c>
      <c r="AC245" s="55" t="str">
        <f>IF(AB245&lt;0,"закрыт","открыт")</f>
        <v>открыт</v>
      </c>
      <c r="AD245" s="55">
        <v>0.92</v>
      </c>
    </row>
    <row r="246" spans="1:30" s="34" customFormat="1" ht="22.5">
      <c r="A246" s="96">
        <v>171</v>
      </c>
      <c r="B246" s="47" t="s">
        <v>218</v>
      </c>
      <c r="C246" s="43" t="s">
        <v>219</v>
      </c>
      <c r="D246" s="64">
        <v>24.09</v>
      </c>
      <c r="E246" s="43">
        <f>E247+E248</f>
        <v>1.4</v>
      </c>
      <c r="F246" s="45">
        <v>120</v>
      </c>
      <c r="G246" s="60">
        <f t="shared" si="46"/>
        <v>22.69</v>
      </c>
      <c r="H246" s="43">
        <v>0</v>
      </c>
      <c r="I246" s="43">
        <v>26.25</v>
      </c>
      <c r="J246" s="60">
        <f t="shared" si="47"/>
        <v>3.5599999999999987</v>
      </c>
      <c r="K246" s="97">
        <f>MIN(J246:J248)</f>
        <v>3.5599999999999987</v>
      </c>
      <c r="L246" s="93">
        <f>K246*N246</f>
        <v>3.1683999999999988</v>
      </c>
      <c r="M246" s="98" t="str">
        <f>IF(K246&lt;0,"закрыт","открыт")</f>
        <v>открыт</v>
      </c>
      <c r="N246" s="138">
        <v>0.89</v>
      </c>
      <c r="O246" s="30"/>
      <c r="P246" s="109">
        <v>171</v>
      </c>
      <c r="Q246" s="47" t="s">
        <v>218</v>
      </c>
      <c r="R246" s="43" t="s">
        <v>219</v>
      </c>
      <c r="S246" s="60">
        <f>T246/N246</f>
        <v>4.4943820224719104</v>
      </c>
      <c r="T246" s="48">
        <v>4</v>
      </c>
      <c r="U246" s="46">
        <f t="shared" si="50"/>
        <v>28.58438202247191</v>
      </c>
      <c r="V246" s="46">
        <f>V247+V248</f>
        <v>4.0697416020671833</v>
      </c>
      <c r="W246" s="43">
        <v>120</v>
      </c>
      <c r="X246" s="46">
        <f t="shared" si="48"/>
        <v>24.514640420404728</v>
      </c>
      <c r="Y246" s="46">
        <v>0</v>
      </c>
      <c r="Z246" s="46">
        <v>26.25</v>
      </c>
      <c r="AA246" s="46">
        <f t="shared" si="49"/>
        <v>1.7353595795952721</v>
      </c>
      <c r="AB246" s="97">
        <f>MIN(AA246:AA248)</f>
        <v>1.7353595795952721</v>
      </c>
      <c r="AC246" s="110" t="str">
        <f>IF(AB246&lt;0,"закрыт","открыт")</f>
        <v>открыт</v>
      </c>
      <c r="AD246" s="138">
        <v>0.89</v>
      </c>
    </row>
    <row r="247" spans="1:30" s="34" customFormat="1" ht="11.25">
      <c r="A247" s="96"/>
      <c r="B247" s="61" t="s">
        <v>45</v>
      </c>
      <c r="C247" s="43" t="s">
        <v>219</v>
      </c>
      <c r="D247" s="64">
        <f>D246-D248</f>
        <v>11.48</v>
      </c>
      <c r="E247" s="56">
        <v>1.4</v>
      </c>
      <c r="F247" s="45"/>
      <c r="G247" s="60">
        <f>D247-E247</f>
        <v>10.08</v>
      </c>
      <c r="H247" s="43">
        <v>0</v>
      </c>
      <c r="I247" s="43">
        <v>26.25</v>
      </c>
      <c r="J247" s="60">
        <f>I247-G247-H247</f>
        <v>16.170000000000002</v>
      </c>
      <c r="K247" s="97"/>
      <c r="L247" s="93"/>
      <c r="M247" s="99"/>
      <c r="N247" s="138"/>
      <c r="O247" s="30"/>
      <c r="P247" s="109"/>
      <c r="Q247" s="61" t="s">
        <v>45</v>
      </c>
      <c r="R247" s="43" t="s">
        <v>219</v>
      </c>
      <c r="S247" s="60">
        <f>S246-S248</f>
        <v>1.808988764044944</v>
      </c>
      <c r="T247" s="48">
        <f>T246-T248</f>
        <v>1.6099999999999999</v>
      </c>
      <c r="U247" s="46">
        <f t="shared" si="50"/>
        <v>13.288988764044944</v>
      </c>
      <c r="V247" s="46">
        <f>U251+U252+U253</f>
        <v>4.0697416020671833</v>
      </c>
      <c r="W247" s="43"/>
      <c r="X247" s="46">
        <f t="shared" si="48"/>
        <v>9.2192471619777621</v>
      </c>
      <c r="Y247" s="46">
        <v>0</v>
      </c>
      <c r="Z247" s="46">
        <v>26.25</v>
      </c>
      <c r="AA247" s="46">
        <f t="shared" si="49"/>
        <v>17.030752838022238</v>
      </c>
      <c r="AB247" s="97"/>
      <c r="AC247" s="111"/>
      <c r="AD247" s="138"/>
    </row>
    <row r="248" spans="1:30" s="34" customFormat="1" ht="11.25">
      <c r="A248" s="96"/>
      <c r="B248" s="61" t="s">
        <v>46</v>
      </c>
      <c r="C248" s="43" t="s">
        <v>219</v>
      </c>
      <c r="D248" s="64">
        <v>12.61</v>
      </c>
      <c r="E248" s="56">
        <v>0</v>
      </c>
      <c r="F248" s="45">
        <v>120</v>
      </c>
      <c r="G248" s="60">
        <f>D248-E248</f>
        <v>12.61</v>
      </c>
      <c r="H248" s="43">
        <v>0</v>
      </c>
      <c r="I248" s="43">
        <v>26.25</v>
      </c>
      <c r="J248" s="60">
        <f>I248-G248-H248</f>
        <v>13.64</v>
      </c>
      <c r="K248" s="97"/>
      <c r="L248" s="93"/>
      <c r="M248" s="100"/>
      <c r="N248" s="138"/>
      <c r="O248" s="30"/>
      <c r="P248" s="109"/>
      <c r="Q248" s="61" t="s">
        <v>46</v>
      </c>
      <c r="R248" s="43" t="s">
        <v>219</v>
      </c>
      <c r="S248" s="60">
        <f>T248/N246</f>
        <v>2.6853932584269664</v>
      </c>
      <c r="T248" s="48">
        <v>2.39</v>
      </c>
      <c r="U248" s="46">
        <f t="shared" si="50"/>
        <v>15.295393258426966</v>
      </c>
      <c r="V248" s="46">
        <f>'[1]текущий дефицит'!E246</f>
        <v>0</v>
      </c>
      <c r="W248" s="43">
        <v>120</v>
      </c>
      <c r="X248" s="46">
        <f t="shared" si="48"/>
        <v>15.295393258426966</v>
      </c>
      <c r="Y248" s="46">
        <v>0</v>
      </c>
      <c r="Z248" s="46">
        <v>26.25</v>
      </c>
      <c r="AA248" s="46">
        <f t="shared" si="49"/>
        <v>10.954606741573034</v>
      </c>
      <c r="AB248" s="97"/>
      <c r="AC248" s="112"/>
      <c r="AD248" s="138"/>
    </row>
    <row r="249" spans="1:30" s="34" customFormat="1" ht="22.5">
      <c r="A249" s="45">
        <v>172</v>
      </c>
      <c r="B249" s="47" t="s">
        <v>220</v>
      </c>
      <c r="C249" s="43" t="s">
        <v>128</v>
      </c>
      <c r="D249" s="64">
        <v>1.98</v>
      </c>
      <c r="E249" s="43">
        <v>0</v>
      </c>
      <c r="F249" s="45">
        <v>120</v>
      </c>
      <c r="G249" s="60">
        <f t="shared" si="46"/>
        <v>1.98</v>
      </c>
      <c r="H249" s="43">
        <v>0</v>
      </c>
      <c r="I249" s="43">
        <v>6.6150000000000002</v>
      </c>
      <c r="J249" s="60">
        <f t="shared" si="47"/>
        <v>4.6349999999999998</v>
      </c>
      <c r="K249" s="48">
        <f>J249</f>
        <v>4.6349999999999998</v>
      </c>
      <c r="L249" s="46">
        <f t="shared" ref="L249:L254" si="55">K249*N249</f>
        <v>4.0324499999999999</v>
      </c>
      <c r="M249" s="55" t="str">
        <f t="shared" ref="M249:M254" si="56">IF(K249&lt;0,"закрыт","открыт")</f>
        <v>открыт</v>
      </c>
      <c r="N249" s="55">
        <v>0.87</v>
      </c>
      <c r="O249" s="30"/>
      <c r="P249" s="45">
        <v>172</v>
      </c>
      <c r="Q249" s="53" t="s">
        <v>220</v>
      </c>
      <c r="R249" s="43" t="s">
        <v>128</v>
      </c>
      <c r="S249" s="57">
        <f t="shared" ref="S249:S254" si="57">T249/N249</f>
        <v>9.1954022988505746E-2</v>
      </c>
      <c r="T249" s="60">
        <v>0.08</v>
      </c>
      <c r="U249" s="46">
        <f t="shared" si="50"/>
        <v>2.0719540229885056</v>
      </c>
      <c r="V249" s="57">
        <f>E249</f>
        <v>0</v>
      </c>
      <c r="W249" s="54">
        <v>120</v>
      </c>
      <c r="X249" s="57">
        <f t="shared" si="48"/>
        <v>2.0719540229885056</v>
      </c>
      <c r="Y249" s="46">
        <v>0</v>
      </c>
      <c r="Z249" s="46">
        <v>6.6150000000000002</v>
      </c>
      <c r="AA249" s="46">
        <f t="shared" si="49"/>
        <v>4.543045977011495</v>
      </c>
      <c r="AB249" s="48">
        <f>AA249</f>
        <v>4.543045977011495</v>
      </c>
      <c r="AC249" s="55" t="str">
        <f t="shared" ref="AC249:AC254" si="58">IF(AB249&lt;0,"закрыт","открыт")</f>
        <v>открыт</v>
      </c>
      <c r="AD249" s="55">
        <v>0.87</v>
      </c>
    </row>
    <row r="250" spans="1:30" s="34" customFormat="1" ht="22.5">
      <c r="A250" s="45">
        <v>173</v>
      </c>
      <c r="B250" s="47" t="s">
        <v>221</v>
      </c>
      <c r="C250" s="43" t="s">
        <v>32</v>
      </c>
      <c r="D250" s="64">
        <v>0.59</v>
      </c>
      <c r="E250" s="43">
        <v>0</v>
      </c>
      <c r="F250" s="45">
        <v>120</v>
      </c>
      <c r="G250" s="60">
        <f t="shared" si="46"/>
        <v>0.59</v>
      </c>
      <c r="H250" s="43">
        <v>0</v>
      </c>
      <c r="I250" s="43">
        <v>4.2</v>
      </c>
      <c r="J250" s="60">
        <f t="shared" si="47"/>
        <v>3.6100000000000003</v>
      </c>
      <c r="K250" s="48">
        <f>J250</f>
        <v>3.6100000000000003</v>
      </c>
      <c r="L250" s="46">
        <f t="shared" si="55"/>
        <v>3.4295</v>
      </c>
      <c r="M250" s="55" t="str">
        <f t="shared" si="56"/>
        <v>открыт</v>
      </c>
      <c r="N250" s="55">
        <v>0.95</v>
      </c>
      <c r="O250" s="30"/>
      <c r="P250" s="45">
        <v>173</v>
      </c>
      <c r="Q250" s="53" t="s">
        <v>221</v>
      </c>
      <c r="R250" s="43" t="s">
        <v>32</v>
      </c>
      <c r="S250" s="57">
        <f t="shared" si="57"/>
        <v>1.0526315789473686E-2</v>
      </c>
      <c r="T250" s="60">
        <v>0.01</v>
      </c>
      <c r="U250" s="46">
        <f t="shared" si="50"/>
        <v>0.60052631578947369</v>
      </c>
      <c r="V250" s="57">
        <f>E250</f>
        <v>0</v>
      </c>
      <c r="W250" s="54">
        <v>120</v>
      </c>
      <c r="X250" s="57">
        <f t="shared" si="48"/>
        <v>0.60052631578947369</v>
      </c>
      <c r="Y250" s="46">
        <v>0</v>
      </c>
      <c r="Z250" s="46">
        <v>4.2</v>
      </c>
      <c r="AA250" s="46">
        <f t="shared" si="49"/>
        <v>3.5994736842105266</v>
      </c>
      <c r="AB250" s="48">
        <f>AA250</f>
        <v>3.5994736842105266</v>
      </c>
      <c r="AC250" s="55" t="str">
        <f t="shared" si="58"/>
        <v>открыт</v>
      </c>
      <c r="AD250" s="55">
        <v>0.95</v>
      </c>
    </row>
    <row r="251" spans="1:30" s="34" customFormat="1" ht="22.5">
      <c r="A251" s="45">
        <v>174</v>
      </c>
      <c r="B251" s="47" t="s">
        <v>222</v>
      </c>
      <c r="C251" s="43" t="s">
        <v>25</v>
      </c>
      <c r="D251" s="64">
        <v>1.22</v>
      </c>
      <c r="E251" s="43">
        <v>0</v>
      </c>
      <c r="F251" s="45">
        <v>120</v>
      </c>
      <c r="G251" s="60">
        <f t="shared" si="46"/>
        <v>1.22</v>
      </c>
      <c r="H251" s="43">
        <v>0</v>
      </c>
      <c r="I251" s="43">
        <v>2.625</v>
      </c>
      <c r="J251" s="60">
        <f t="shared" si="47"/>
        <v>1.405</v>
      </c>
      <c r="K251" s="48">
        <f>J251</f>
        <v>1.405</v>
      </c>
      <c r="L251" s="46">
        <f t="shared" si="55"/>
        <v>1.2645</v>
      </c>
      <c r="M251" s="55" t="str">
        <f t="shared" si="56"/>
        <v>открыт</v>
      </c>
      <c r="N251" s="55">
        <v>0.9</v>
      </c>
      <c r="O251" s="30"/>
      <c r="P251" s="45">
        <v>174</v>
      </c>
      <c r="Q251" s="53" t="s">
        <v>222</v>
      </c>
      <c r="R251" s="43" t="s">
        <v>25</v>
      </c>
      <c r="S251" s="57">
        <f t="shared" si="57"/>
        <v>0.7055555555555556</v>
      </c>
      <c r="T251" s="60">
        <v>0.63500000000000001</v>
      </c>
      <c r="U251" s="46">
        <f t="shared" si="50"/>
        <v>1.9255555555555555</v>
      </c>
      <c r="V251" s="57">
        <f>E251</f>
        <v>0</v>
      </c>
      <c r="W251" s="54">
        <v>120</v>
      </c>
      <c r="X251" s="57">
        <f t="shared" si="48"/>
        <v>1.9255555555555555</v>
      </c>
      <c r="Y251" s="46">
        <v>0</v>
      </c>
      <c r="Z251" s="46">
        <v>2.625</v>
      </c>
      <c r="AA251" s="46">
        <f t="shared" si="49"/>
        <v>0.69944444444444454</v>
      </c>
      <c r="AB251" s="48">
        <f>AA251</f>
        <v>0.69944444444444454</v>
      </c>
      <c r="AC251" s="55" t="str">
        <f t="shared" si="58"/>
        <v>открыт</v>
      </c>
      <c r="AD251" s="55">
        <v>0.9</v>
      </c>
    </row>
    <row r="252" spans="1:30" s="34" customFormat="1" ht="22.5">
      <c r="A252" s="45">
        <v>175</v>
      </c>
      <c r="B252" s="47" t="s">
        <v>223</v>
      </c>
      <c r="C252" s="43" t="s">
        <v>130</v>
      </c>
      <c r="D252" s="64">
        <v>0.56999999999999995</v>
      </c>
      <c r="E252" s="43">
        <v>0</v>
      </c>
      <c r="F252" s="45">
        <v>120</v>
      </c>
      <c r="G252" s="60">
        <f t="shared" si="46"/>
        <v>0.56999999999999995</v>
      </c>
      <c r="H252" s="43">
        <v>0</v>
      </c>
      <c r="I252" s="43">
        <v>2.625</v>
      </c>
      <c r="J252" s="60">
        <f t="shared" si="47"/>
        <v>2.0550000000000002</v>
      </c>
      <c r="K252" s="48">
        <f>J252</f>
        <v>2.0550000000000002</v>
      </c>
      <c r="L252" s="46">
        <f t="shared" si="55"/>
        <v>1.21245</v>
      </c>
      <c r="M252" s="55" t="str">
        <f t="shared" si="56"/>
        <v>открыт</v>
      </c>
      <c r="N252" s="55">
        <v>0.59</v>
      </c>
      <c r="O252" s="30"/>
      <c r="P252" s="45">
        <v>175</v>
      </c>
      <c r="Q252" s="53" t="s">
        <v>223</v>
      </c>
      <c r="R252" s="43" t="s">
        <v>130</v>
      </c>
      <c r="S252" s="57">
        <f t="shared" si="57"/>
        <v>0</v>
      </c>
      <c r="T252" s="60">
        <v>0</v>
      </c>
      <c r="U252" s="46">
        <f t="shared" si="50"/>
        <v>0.56999999999999995</v>
      </c>
      <c r="V252" s="57">
        <f>E252</f>
        <v>0</v>
      </c>
      <c r="W252" s="54">
        <v>120</v>
      </c>
      <c r="X252" s="57">
        <f t="shared" si="48"/>
        <v>0.56999999999999995</v>
      </c>
      <c r="Y252" s="46">
        <v>0</v>
      </c>
      <c r="Z252" s="46">
        <v>2.625</v>
      </c>
      <c r="AA252" s="46">
        <f t="shared" si="49"/>
        <v>2.0550000000000002</v>
      </c>
      <c r="AB252" s="48">
        <f>AA252</f>
        <v>2.0550000000000002</v>
      </c>
      <c r="AC252" s="55" t="str">
        <f t="shared" si="58"/>
        <v>открыт</v>
      </c>
      <c r="AD252" s="55">
        <v>0.59</v>
      </c>
    </row>
    <row r="253" spans="1:30" s="34" customFormat="1" ht="22.5">
      <c r="A253" s="45">
        <v>176</v>
      </c>
      <c r="B253" s="47" t="s">
        <v>224</v>
      </c>
      <c r="C253" s="43" t="s">
        <v>130</v>
      </c>
      <c r="D253" s="64">
        <v>0.83</v>
      </c>
      <c r="E253" s="43">
        <v>0</v>
      </c>
      <c r="F253" s="45">
        <v>120</v>
      </c>
      <c r="G253" s="60">
        <f t="shared" si="46"/>
        <v>0.83</v>
      </c>
      <c r="H253" s="43">
        <v>0</v>
      </c>
      <c r="I253" s="43">
        <v>2.625</v>
      </c>
      <c r="J253" s="60">
        <f t="shared" si="47"/>
        <v>1.7949999999999999</v>
      </c>
      <c r="K253" s="48">
        <f>J253</f>
        <v>1.7949999999999999</v>
      </c>
      <c r="L253" s="46">
        <f t="shared" si="55"/>
        <v>1.5436999999999999</v>
      </c>
      <c r="M253" s="55" t="str">
        <f t="shared" si="56"/>
        <v>открыт</v>
      </c>
      <c r="N253" s="55">
        <v>0.86</v>
      </c>
      <c r="O253" s="30"/>
      <c r="P253" s="45">
        <v>176</v>
      </c>
      <c r="Q253" s="53" t="s">
        <v>224</v>
      </c>
      <c r="R253" s="43" t="s">
        <v>130</v>
      </c>
      <c r="S253" s="57">
        <f t="shared" si="57"/>
        <v>0.7441860465116279</v>
      </c>
      <c r="T253" s="60">
        <v>0.64</v>
      </c>
      <c r="U253" s="46">
        <f t="shared" si="50"/>
        <v>1.574186046511628</v>
      </c>
      <c r="V253" s="57">
        <f>E253</f>
        <v>0</v>
      </c>
      <c r="W253" s="54">
        <v>120</v>
      </c>
      <c r="X253" s="57">
        <f t="shared" si="48"/>
        <v>1.574186046511628</v>
      </c>
      <c r="Y253" s="46">
        <v>0</v>
      </c>
      <c r="Z253" s="46">
        <v>2.625</v>
      </c>
      <c r="AA253" s="46">
        <f t="shared" si="49"/>
        <v>1.050813953488372</v>
      </c>
      <c r="AB253" s="48">
        <f>AA253</f>
        <v>1.050813953488372</v>
      </c>
      <c r="AC253" s="55" t="str">
        <f t="shared" si="58"/>
        <v>открыт</v>
      </c>
      <c r="AD253" s="55">
        <v>0.86</v>
      </c>
    </row>
    <row r="254" spans="1:30" s="34" customFormat="1" ht="22.5">
      <c r="A254" s="96">
        <v>177</v>
      </c>
      <c r="B254" s="47" t="s">
        <v>225</v>
      </c>
      <c r="C254" s="43" t="s">
        <v>116</v>
      </c>
      <c r="D254" s="64">
        <v>19.62</v>
      </c>
      <c r="E254" s="43">
        <f>E255+E256</f>
        <v>6.3400000000000016</v>
      </c>
      <c r="F254" s="45">
        <v>120</v>
      </c>
      <c r="G254" s="60">
        <f t="shared" si="46"/>
        <v>13.28</v>
      </c>
      <c r="H254" s="43">
        <v>0</v>
      </c>
      <c r="I254" s="43">
        <v>26.25</v>
      </c>
      <c r="J254" s="60">
        <f t="shared" si="47"/>
        <v>12.97</v>
      </c>
      <c r="K254" s="97">
        <f>MIN(J254:J256)</f>
        <v>12.97</v>
      </c>
      <c r="L254" s="93">
        <f t="shared" si="55"/>
        <v>11.673</v>
      </c>
      <c r="M254" s="98" t="str">
        <f t="shared" si="56"/>
        <v>открыт</v>
      </c>
      <c r="N254" s="138">
        <v>0.9</v>
      </c>
      <c r="O254" s="30"/>
      <c r="P254" s="96">
        <v>177</v>
      </c>
      <c r="Q254" s="53" t="s">
        <v>225</v>
      </c>
      <c r="R254" s="43" t="s">
        <v>116</v>
      </c>
      <c r="S254" s="60">
        <f t="shared" si="57"/>
        <v>1.2444444444444445</v>
      </c>
      <c r="T254" s="60">
        <v>1.1200000000000001</v>
      </c>
      <c r="U254" s="46">
        <f t="shared" si="50"/>
        <v>20.864444444444445</v>
      </c>
      <c r="V254" s="57">
        <f>V255+V256</f>
        <v>3.16</v>
      </c>
      <c r="W254" s="54">
        <v>120</v>
      </c>
      <c r="X254" s="57">
        <f t="shared" si="48"/>
        <v>17.704444444444444</v>
      </c>
      <c r="Y254" s="46">
        <v>0</v>
      </c>
      <c r="Z254" s="46">
        <v>26.25</v>
      </c>
      <c r="AA254" s="46">
        <f t="shared" si="49"/>
        <v>8.5455555555555556</v>
      </c>
      <c r="AB254" s="97">
        <f>MIN(AA254:AA256)</f>
        <v>8.5455555555555556</v>
      </c>
      <c r="AC254" s="98" t="str">
        <f t="shared" si="58"/>
        <v>открыт</v>
      </c>
      <c r="AD254" s="138">
        <v>0.9</v>
      </c>
    </row>
    <row r="255" spans="1:30" s="34" customFormat="1" ht="11.25">
      <c r="A255" s="96"/>
      <c r="B255" s="61" t="s">
        <v>45</v>
      </c>
      <c r="C255" s="43" t="s">
        <v>116</v>
      </c>
      <c r="D255" s="64">
        <f>D254-D256</f>
        <v>6.3400000000000016</v>
      </c>
      <c r="E255" s="69">
        <f>D255</f>
        <v>6.3400000000000016</v>
      </c>
      <c r="F255" s="45"/>
      <c r="G255" s="60">
        <f>D255-E255</f>
        <v>0</v>
      </c>
      <c r="H255" s="43">
        <v>0</v>
      </c>
      <c r="I255" s="43">
        <v>26.25</v>
      </c>
      <c r="J255" s="60">
        <f>I255-G255-H255</f>
        <v>26.25</v>
      </c>
      <c r="K255" s="97"/>
      <c r="L255" s="93"/>
      <c r="M255" s="99"/>
      <c r="N255" s="138"/>
      <c r="O255" s="30"/>
      <c r="P255" s="96"/>
      <c r="Q255" s="61" t="s">
        <v>45</v>
      </c>
      <c r="R255" s="43" t="s">
        <v>116</v>
      </c>
      <c r="S255" s="60">
        <f>S254-S256</f>
        <v>1.2411111111111111</v>
      </c>
      <c r="T255" s="60"/>
      <c r="U255" s="46">
        <f t="shared" si="50"/>
        <v>7.5811111111111131</v>
      </c>
      <c r="V255" s="57">
        <v>3.16</v>
      </c>
      <c r="W255" s="54"/>
      <c r="X255" s="57">
        <f t="shared" si="48"/>
        <v>4.421111111111113</v>
      </c>
      <c r="Y255" s="46">
        <v>0</v>
      </c>
      <c r="Z255" s="46">
        <v>26.25</v>
      </c>
      <c r="AA255" s="46">
        <f t="shared" si="49"/>
        <v>21.828888888888887</v>
      </c>
      <c r="AB255" s="97"/>
      <c r="AC255" s="99"/>
      <c r="AD255" s="138"/>
    </row>
    <row r="256" spans="1:30" s="34" customFormat="1" ht="11.25">
      <c r="A256" s="96"/>
      <c r="B256" s="61" t="s">
        <v>46</v>
      </c>
      <c r="C256" s="43" t="s">
        <v>116</v>
      </c>
      <c r="D256" s="64">
        <v>13.28</v>
      </c>
      <c r="E256" s="56">
        <v>0</v>
      </c>
      <c r="F256" s="45">
        <v>120</v>
      </c>
      <c r="G256" s="60">
        <f>D256-E256</f>
        <v>13.28</v>
      </c>
      <c r="H256" s="43">
        <v>0</v>
      </c>
      <c r="I256" s="43">
        <v>26.25</v>
      </c>
      <c r="J256" s="60">
        <f>I256-G256-H256</f>
        <v>12.97</v>
      </c>
      <c r="K256" s="97"/>
      <c r="L256" s="93"/>
      <c r="M256" s="100"/>
      <c r="N256" s="138"/>
      <c r="O256" s="30"/>
      <c r="P256" s="96"/>
      <c r="Q256" s="61" t="s">
        <v>46</v>
      </c>
      <c r="R256" s="43" t="s">
        <v>116</v>
      </c>
      <c r="S256" s="60">
        <f>T256/N254</f>
        <v>3.3333333333333331E-3</v>
      </c>
      <c r="T256" s="60">
        <v>3.0000000000000001E-3</v>
      </c>
      <c r="U256" s="46">
        <f t="shared" si="50"/>
        <v>13.283333333333333</v>
      </c>
      <c r="V256" s="57">
        <f>'[1]текущий дефицит'!E254</f>
        <v>0</v>
      </c>
      <c r="W256" s="54">
        <v>120</v>
      </c>
      <c r="X256" s="57">
        <f t="shared" si="48"/>
        <v>13.283333333333333</v>
      </c>
      <c r="Y256" s="46">
        <v>0</v>
      </c>
      <c r="Z256" s="46">
        <v>26.25</v>
      </c>
      <c r="AA256" s="46">
        <f t="shared" si="49"/>
        <v>12.966666666666667</v>
      </c>
      <c r="AB256" s="97"/>
      <c r="AC256" s="100"/>
      <c r="AD256" s="138"/>
    </row>
    <row r="257" spans="1:30" s="34" customFormat="1" ht="22.5">
      <c r="A257" s="45">
        <v>178</v>
      </c>
      <c r="B257" s="47" t="s">
        <v>226</v>
      </c>
      <c r="C257" s="43" t="s">
        <v>32</v>
      </c>
      <c r="D257" s="64">
        <v>2.2999999999999998</v>
      </c>
      <c r="E257" s="43">
        <v>0.24</v>
      </c>
      <c r="F257" s="45">
        <v>120</v>
      </c>
      <c r="G257" s="60">
        <f t="shared" si="46"/>
        <v>2.0599999999999996</v>
      </c>
      <c r="H257" s="43">
        <v>0</v>
      </c>
      <c r="I257" s="43">
        <v>4.2</v>
      </c>
      <c r="J257" s="60">
        <f t="shared" si="47"/>
        <v>2.1400000000000006</v>
      </c>
      <c r="K257" s="48">
        <f>J257</f>
        <v>2.1400000000000006</v>
      </c>
      <c r="L257" s="46">
        <f>K257*N257</f>
        <v>2.0544000000000007</v>
      </c>
      <c r="M257" s="55" t="str">
        <f>IF(K257&lt;0,"закрыт","открыт")</f>
        <v>открыт</v>
      </c>
      <c r="N257" s="55">
        <v>0.96</v>
      </c>
      <c r="O257" s="30"/>
      <c r="P257" s="45">
        <v>178</v>
      </c>
      <c r="Q257" s="53" t="s">
        <v>226</v>
      </c>
      <c r="R257" s="43" t="s">
        <v>32</v>
      </c>
      <c r="S257" s="57">
        <f>T257/N257</f>
        <v>0.39583333333333337</v>
      </c>
      <c r="T257" s="60">
        <v>0.38</v>
      </c>
      <c r="U257" s="46">
        <f t="shared" si="50"/>
        <v>2.6958333333333333</v>
      </c>
      <c r="V257" s="57">
        <f>E257</f>
        <v>0.24</v>
      </c>
      <c r="W257" s="54">
        <v>120</v>
      </c>
      <c r="X257" s="57">
        <f t="shared" si="48"/>
        <v>2.4558333333333335</v>
      </c>
      <c r="Y257" s="46">
        <v>0</v>
      </c>
      <c r="Z257" s="46">
        <v>4.2</v>
      </c>
      <c r="AA257" s="46">
        <f t="shared" si="49"/>
        <v>1.7441666666666666</v>
      </c>
      <c r="AB257" s="48">
        <f>AA257</f>
        <v>1.7441666666666666</v>
      </c>
      <c r="AC257" s="55" t="str">
        <f>IF(AB257&lt;0,"закрыт","открыт")</f>
        <v>открыт</v>
      </c>
      <c r="AD257" s="55">
        <v>0.96</v>
      </c>
    </row>
    <row r="258" spans="1:30" s="34" customFormat="1" ht="22.5">
      <c r="A258" s="45">
        <v>179</v>
      </c>
      <c r="B258" s="47" t="s">
        <v>227</v>
      </c>
      <c r="C258" s="43" t="s">
        <v>130</v>
      </c>
      <c r="D258" s="64">
        <v>0.27</v>
      </c>
      <c r="E258" s="43">
        <v>7.0000000000000007E-2</v>
      </c>
      <c r="F258" s="45">
        <v>120</v>
      </c>
      <c r="G258" s="60">
        <f t="shared" si="46"/>
        <v>0.2</v>
      </c>
      <c r="H258" s="43">
        <v>0</v>
      </c>
      <c r="I258" s="43">
        <v>2.625</v>
      </c>
      <c r="J258" s="60">
        <f t="shared" si="47"/>
        <v>2.4249999999999998</v>
      </c>
      <c r="K258" s="48">
        <f>J258</f>
        <v>2.4249999999999998</v>
      </c>
      <c r="L258" s="46">
        <f>K258*N258</f>
        <v>2.1582499999999998</v>
      </c>
      <c r="M258" s="55" t="str">
        <f>IF(K258&lt;0,"закрыт","открыт")</f>
        <v>открыт</v>
      </c>
      <c r="N258" s="55">
        <v>0.89</v>
      </c>
      <c r="O258" s="30"/>
      <c r="P258" s="45">
        <v>179</v>
      </c>
      <c r="Q258" s="53" t="s">
        <v>227</v>
      </c>
      <c r="R258" s="43" t="s">
        <v>130</v>
      </c>
      <c r="S258" s="57">
        <f>T258/N258</f>
        <v>0</v>
      </c>
      <c r="T258" s="60">
        <v>0</v>
      </c>
      <c r="U258" s="46">
        <f t="shared" si="50"/>
        <v>0.27</v>
      </c>
      <c r="V258" s="57">
        <f>E258</f>
        <v>7.0000000000000007E-2</v>
      </c>
      <c r="W258" s="54">
        <v>120</v>
      </c>
      <c r="X258" s="57">
        <f t="shared" si="48"/>
        <v>0.2</v>
      </c>
      <c r="Y258" s="46">
        <v>0</v>
      </c>
      <c r="Z258" s="46">
        <v>2.625</v>
      </c>
      <c r="AA258" s="46">
        <f t="shared" si="49"/>
        <v>2.4249999999999998</v>
      </c>
      <c r="AB258" s="48">
        <f>AA258</f>
        <v>2.4249999999999998</v>
      </c>
      <c r="AC258" s="55" t="str">
        <f>IF(AB258&lt;0,"закрыт","открыт")</f>
        <v>открыт</v>
      </c>
      <c r="AD258" s="55">
        <v>0.89</v>
      </c>
    </row>
    <row r="259" spans="1:30" s="34" customFormat="1" ht="22.5">
      <c r="A259" s="45">
        <v>180</v>
      </c>
      <c r="B259" s="47" t="s">
        <v>228</v>
      </c>
      <c r="C259" s="43" t="s">
        <v>182</v>
      </c>
      <c r="D259" s="64">
        <v>0.38</v>
      </c>
      <c r="E259" s="43">
        <v>0.09</v>
      </c>
      <c r="F259" s="45">
        <v>120</v>
      </c>
      <c r="G259" s="60">
        <f t="shared" si="46"/>
        <v>0.29000000000000004</v>
      </c>
      <c r="H259" s="43">
        <v>0</v>
      </c>
      <c r="I259" s="43">
        <v>1.68</v>
      </c>
      <c r="J259" s="60">
        <f t="shared" si="47"/>
        <v>1.39</v>
      </c>
      <c r="K259" s="48">
        <f>J259</f>
        <v>1.39</v>
      </c>
      <c r="L259" s="46">
        <f>K259*N259</f>
        <v>1.3482999999999998</v>
      </c>
      <c r="M259" s="55" t="str">
        <f>IF(K259&lt;0,"закрыт","открыт")</f>
        <v>открыт</v>
      </c>
      <c r="N259" s="55">
        <v>0.97</v>
      </c>
      <c r="O259" s="30"/>
      <c r="P259" s="45">
        <v>180</v>
      </c>
      <c r="Q259" s="53" t="s">
        <v>228</v>
      </c>
      <c r="R259" s="43" t="s">
        <v>182</v>
      </c>
      <c r="S259" s="57">
        <f>T259/N259</f>
        <v>6.1855670103092789E-3</v>
      </c>
      <c r="T259" s="60">
        <v>6.0000000000000001E-3</v>
      </c>
      <c r="U259" s="46">
        <f t="shared" si="50"/>
        <v>0.38618556701030926</v>
      </c>
      <c r="V259" s="57">
        <f>E259</f>
        <v>0.09</v>
      </c>
      <c r="W259" s="54">
        <v>120</v>
      </c>
      <c r="X259" s="57">
        <f t="shared" si="48"/>
        <v>0.29618556701030929</v>
      </c>
      <c r="Y259" s="46">
        <v>0</v>
      </c>
      <c r="Z259" s="46">
        <v>1.68</v>
      </c>
      <c r="AA259" s="46">
        <f t="shared" si="49"/>
        <v>1.3838144329896906</v>
      </c>
      <c r="AB259" s="48">
        <f>AA259</f>
        <v>1.3838144329896906</v>
      </c>
      <c r="AC259" s="55" t="str">
        <f>IF(AB259&lt;0,"закрыт","открыт")</f>
        <v>открыт</v>
      </c>
      <c r="AD259" s="55">
        <v>0.97</v>
      </c>
    </row>
    <row r="260" spans="1:30" s="34" customFormat="1" ht="22.5">
      <c r="A260" s="45">
        <v>181</v>
      </c>
      <c r="B260" s="47" t="s">
        <v>229</v>
      </c>
      <c r="C260" s="43" t="s">
        <v>32</v>
      </c>
      <c r="D260" s="64">
        <v>0.39</v>
      </c>
      <c r="E260" s="43">
        <v>0</v>
      </c>
      <c r="F260" s="45">
        <v>120</v>
      </c>
      <c r="G260" s="60">
        <f t="shared" si="46"/>
        <v>0.39</v>
      </c>
      <c r="H260" s="43">
        <v>0</v>
      </c>
      <c r="I260" s="43">
        <v>4.2</v>
      </c>
      <c r="J260" s="60">
        <f t="shared" si="47"/>
        <v>3.81</v>
      </c>
      <c r="K260" s="48">
        <f>J260</f>
        <v>3.81</v>
      </c>
      <c r="L260" s="46">
        <f>K260*N260</f>
        <v>3.5052000000000003</v>
      </c>
      <c r="M260" s="55" t="str">
        <f>IF(K260&lt;0,"закрыт","открыт")</f>
        <v>открыт</v>
      </c>
      <c r="N260" s="55">
        <v>0.92</v>
      </c>
      <c r="O260" s="30"/>
      <c r="P260" s="45">
        <v>181</v>
      </c>
      <c r="Q260" s="53" t="s">
        <v>229</v>
      </c>
      <c r="R260" s="43" t="s">
        <v>32</v>
      </c>
      <c r="S260" s="57">
        <f>T260/N260</f>
        <v>1.0869565217391304E-2</v>
      </c>
      <c r="T260" s="60">
        <v>0.01</v>
      </c>
      <c r="U260" s="46">
        <f t="shared" si="50"/>
        <v>0.40086956521739131</v>
      </c>
      <c r="V260" s="57">
        <f>E260</f>
        <v>0</v>
      </c>
      <c r="W260" s="54">
        <v>120</v>
      </c>
      <c r="X260" s="57">
        <f t="shared" si="48"/>
        <v>0.40086956521739131</v>
      </c>
      <c r="Y260" s="46">
        <v>0</v>
      </c>
      <c r="Z260" s="46">
        <v>4.2</v>
      </c>
      <c r="AA260" s="46">
        <f t="shared" si="49"/>
        <v>3.7991304347826089</v>
      </c>
      <c r="AB260" s="48">
        <f>AA260</f>
        <v>3.7991304347826089</v>
      </c>
      <c r="AC260" s="55" t="str">
        <f>IF(AB260&lt;0,"закрыт","открыт")</f>
        <v>открыт</v>
      </c>
      <c r="AD260" s="55">
        <v>0.92</v>
      </c>
    </row>
    <row r="261" spans="1:30" s="34" customFormat="1" ht="22.5">
      <c r="A261" s="96">
        <v>182</v>
      </c>
      <c r="B261" s="47" t="s">
        <v>230</v>
      </c>
      <c r="C261" s="43" t="s">
        <v>22</v>
      </c>
      <c r="D261" s="64">
        <v>4.62</v>
      </c>
      <c r="E261" s="43">
        <f>E262+E263</f>
        <v>1.33</v>
      </c>
      <c r="F261" s="45">
        <v>120</v>
      </c>
      <c r="G261" s="60">
        <f t="shared" si="46"/>
        <v>3.29</v>
      </c>
      <c r="H261" s="43">
        <v>0</v>
      </c>
      <c r="I261" s="43">
        <v>16.8</v>
      </c>
      <c r="J261" s="60">
        <f t="shared" si="47"/>
        <v>13.510000000000002</v>
      </c>
      <c r="K261" s="97">
        <f>MIN(J261:J263)</f>
        <v>5.5650000000000004</v>
      </c>
      <c r="L261" s="93">
        <f>K261*N261</f>
        <v>4.9528500000000006</v>
      </c>
      <c r="M261" s="98" t="str">
        <f>IF(K261&lt;0,"закрыт","открыт")</f>
        <v>открыт</v>
      </c>
      <c r="N261" s="138">
        <v>0.89</v>
      </c>
      <c r="O261" s="30"/>
      <c r="P261" s="96">
        <v>182</v>
      </c>
      <c r="Q261" s="53" t="s">
        <v>230</v>
      </c>
      <c r="R261" s="43" t="s">
        <v>22</v>
      </c>
      <c r="S261" s="60">
        <f>T261/N261</f>
        <v>1.943820224719101</v>
      </c>
      <c r="T261" s="60">
        <v>1.73</v>
      </c>
      <c r="U261" s="46">
        <f t="shared" si="50"/>
        <v>6.5638202247191009</v>
      </c>
      <c r="V261" s="57">
        <f>V262+V263</f>
        <v>1.4535955056179775</v>
      </c>
      <c r="W261" s="54">
        <v>120</v>
      </c>
      <c r="X261" s="57">
        <f t="shared" si="48"/>
        <v>5.1102247191011232</v>
      </c>
      <c r="Y261" s="46">
        <v>0</v>
      </c>
      <c r="Z261" s="46">
        <v>16.8</v>
      </c>
      <c r="AA261" s="46">
        <f t="shared" si="49"/>
        <v>11.689775280898878</v>
      </c>
      <c r="AB261" s="97">
        <f>MIN(AA261:AA263)</f>
        <v>5.5650000000000004</v>
      </c>
      <c r="AC261" s="98" t="str">
        <f>IF(AB261&lt;0,"закрыт","открыт")</f>
        <v>открыт</v>
      </c>
      <c r="AD261" s="138">
        <v>0.89</v>
      </c>
    </row>
    <row r="262" spans="1:30" s="34" customFormat="1" ht="11.25">
      <c r="A262" s="96"/>
      <c r="B262" s="61" t="s">
        <v>45</v>
      </c>
      <c r="C262" s="43" t="s">
        <v>231</v>
      </c>
      <c r="D262" s="64">
        <f>D261-D263</f>
        <v>1.33</v>
      </c>
      <c r="E262" s="69">
        <f>D262</f>
        <v>1.33</v>
      </c>
      <c r="F262" s="45"/>
      <c r="G262" s="60">
        <f>D262-E262</f>
        <v>0</v>
      </c>
      <c r="H262" s="43">
        <v>0</v>
      </c>
      <c r="I262" s="43">
        <f>1.05*5.3</f>
        <v>5.5650000000000004</v>
      </c>
      <c r="J262" s="60">
        <f t="shared" si="47"/>
        <v>5.5650000000000004</v>
      </c>
      <c r="K262" s="97"/>
      <c r="L262" s="93"/>
      <c r="M262" s="99"/>
      <c r="N262" s="138"/>
      <c r="O262" s="30"/>
      <c r="P262" s="96"/>
      <c r="Q262" s="61" t="s">
        <v>45</v>
      </c>
      <c r="R262" s="43" t="s">
        <v>231</v>
      </c>
      <c r="S262" s="60">
        <f>S261-S263</f>
        <v>0.12359550561797739</v>
      </c>
      <c r="T262" s="60"/>
      <c r="U262" s="46">
        <f t="shared" si="50"/>
        <v>1.4535955056179775</v>
      </c>
      <c r="V262" s="57">
        <f>U262</f>
        <v>1.4535955056179775</v>
      </c>
      <c r="W262" s="54"/>
      <c r="X262" s="57">
        <f t="shared" si="48"/>
        <v>0</v>
      </c>
      <c r="Y262" s="46">
        <v>0</v>
      </c>
      <c r="Z262" s="46">
        <f>1.05*5.3</f>
        <v>5.5650000000000004</v>
      </c>
      <c r="AA262" s="46">
        <f t="shared" si="49"/>
        <v>5.5650000000000004</v>
      </c>
      <c r="AB262" s="97"/>
      <c r="AC262" s="99"/>
      <c r="AD262" s="138"/>
    </row>
    <row r="263" spans="1:30" s="34" customFormat="1" ht="11.25">
      <c r="A263" s="96"/>
      <c r="B263" s="61" t="s">
        <v>46</v>
      </c>
      <c r="C263" s="43" t="s">
        <v>232</v>
      </c>
      <c r="D263" s="64">
        <v>3.29</v>
      </c>
      <c r="E263" s="56">
        <v>0</v>
      </c>
      <c r="F263" s="45">
        <v>120</v>
      </c>
      <c r="G263" s="60">
        <f>D263-E263</f>
        <v>3.29</v>
      </c>
      <c r="H263" s="43">
        <v>0</v>
      </c>
      <c r="I263" s="43">
        <f>1.05*10.7</f>
        <v>11.234999999999999</v>
      </c>
      <c r="J263" s="60">
        <f t="shared" si="47"/>
        <v>7.9449999999999994</v>
      </c>
      <c r="K263" s="97"/>
      <c r="L263" s="93"/>
      <c r="M263" s="100"/>
      <c r="N263" s="138"/>
      <c r="O263" s="30"/>
      <c r="P263" s="96"/>
      <c r="Q263" s="61" t="s">
        <v>46</v>
      </c>
      <c r="R263" s="43" t="s">
        <v>232</v>
      </c>
      <c r="S263" s="60">
        <f>T263/N261</f>
        <v>1.8202247191011236</v>
      </c>
      <c r="T263" s="60">
        <v>1.62</v>
      </c>
      <c r="U263" s="46">
        <f t="shared" si="50"/>
        <v>5.1102247191011241</v>
      </c>
      <c r="V263" s="57">
        <f>'[1]текущий дефицит'!E261</f>
        <v>0</v>
      </c>
      <c r="W263" s="54">
        <v>120</v>
      </c>
      <c r="X263" s="57">
        <f t="shared" si="48"/>
        <v>5.1102247191011241</v>
      </c>
      <c r="Y263" s="46">
        <v>0</v>
      </c>
      <c r="Z263" s="46">
        <f>1.05*10.7</f>
        <v>11.234999999999999</v>
      </c>
      <c r="AA263" s="46">
        <f t="shared" si="49"/>
        <v>6.1247752808988754</v>
      </c>
      <c r="AB263" s="97"/>
      <c r="AC263" s="100"/>
      <c r="AD263" s="138"/>
    </row>
    <row r="264" spans="1:30" s="34" customFormat="1" ht="22.5">
      <c r="A264" s="45">
        <v>183</v>
      </c>
      <c r="B264" s="47" t="s">
        <v>233</v>
      </c>
      <c r="C264" s="43" t="s">
        <v>130</v>
      </c>
      <c r="D264" s="64">
        <v>0.83</v>
      </c>
      <c r="E264" s="43">
        <v>0</v>
      </c>
      <c r="F264" s="45">
        <v>120</v>
      </c>
      <c r="G264" s="60">
        <f t="shared" si="46"/>
        <v>0.83</v>
      </c>
      <c r="H264" s="43">
        <v>0</v>
      </c>
      <c r="I264" s="43">
        <v>2.625</v>
      </c>
      <c r="J264" s="60">
        <f t="shared" si="47"/>
        <v>1.7949999999999999</v>
      </c>
      <c r="K264" s="48">
        <f>J264</f>
        <v>1.7949999999999999</v>
      </c>
      <c r="L264" s="46">
        <f>K264*N264</f>
        <v>1.5436999999999999</v>
      </c>
      <c r="M264" s="55" t="str">
        <f>IF(K264&lt;0,"закрыт","открыт")</f>
        <v>открыт</v>
      </c>
      <c r="N264" s="55">
        <v>0.86</v>
      </c>
      <c r="O264" s="30"/>
      <c r="P264" s="45">
        <v>183</v>
      </c>
      <c r="Q264" s="53" t="s">
        <v>233</v>
      </c>
      <c r="R264" s="43" t="s">
        <v>130</v>
      </c>
      <c r="S264" s="57">
        <f>T264/N264</f>
        <v>6.9767441860465115E-2</v>
      </c>
      <c r="T264" s="60">
        <v>0.06</v>
      </c>
      <c r="U264" s="46">
        <f t="shared" si="50"/>
        <v>0.89976744186046509</v>
      </c>
      <c r="V264" s="57">
        <f>E264</f>
        <v>0</v>
      </c>
      <c r="W264" s="54">
        <v>120</v>
      </c>
      <c r="X264" s="57">
        <f t="shared" si="48"/>
        <v>0.89976744186046509</v>
      </c>
      <c r="Y264" s="46">
        <v>0</v>
      </c>
      <c r="Z264" s="46">
        <v>2.625</v>
      </c>
      <c r="AA264" s="46">
        <f t="shared" si="49"/>
        <v>1.7252325581395349</v>
      </c>
      <c r="AB264" s="48">
        <f>AA264</f>
        <v>1.7252325581395349</v>
      </c>
      <c r="AC264" s="55" t="str">
        <f>IF(AB264&lt;0,"закрыт","открыт")</f>
        <v>открыт</v>
      </c>
      <c r="AD264" s="55">
        <v>0.86</v>
      </c>
    </row>
    <row r="265" spans="1:30" s="34" customFormat="1" ht="22.5">
      <c r="A265" s="96">
        <v>184</v>
      </c>
      <c r="B265" s="47" t="s">
        <v>234</v>
      </c>
      <c r="C265" s="43" t="s">
        <v>128</v>
      </c>
      <c r="D265" s="64">
        <v>1.1399999999999999</v>
      </c>
      <c r="E265" s="43">
        <f>E266+E267</f>
        <v>0.85999999999999988</v>
      </c>
      <c r="F265" s="45">
        <v>120</v>
      </c>
      <c r="G265" s="60">
        <f t="shared" si="46"/>
        <v>0.28000000000000003</v>
      </c>
      <c r="H265" s="43">
        <v>0</v>
      </c>
      <c r="I265" s="43">
        <v>6.6150000000000002</v>
      </c>
      <c r="J265" s="60">
        <f t="shared" si="47"/>
        <v>6.335</v>
      </c>
      <c r="K265" s="97">
        <f>MIN(J265:J267)</f>
        <v>6.335</v>
      </c>
      <c r="L265" s="93">
        <f>K265*N265</f>
        <v>5.6381500000000004</v>
      </c>
      <c r="M265" s="98" t="str">
        <f>IF(K265&lt;0,"закрыт","открыт")</f>
        <v>открыт</v>
      </c>
      <c r="N265" s="138">
        <v>0.89</v>
      </c>
      <c r="O265" s="30"/>
      <c r="P265" s="96">
        <v>184</v>
      </c>
      <c r="Q265" s="53" t="s">
        <v>234</v>
      </c>
      <c r="R265" s="43" t="s">
        <v>128</v>
      </c>
      <c r="S265" s="60">
        <f>T265/N265</f>
        <v>8.4269662921348312E-2</v>
      </c>
      <c r="T265" s="60">
        <v>7.4999999999999997E-2</v>
      </c>
      <c r="U265" s="46">
        <f t="shared" si="50"/>
        <v>1.2242696629213483</v>
      </c>
      <c r="V265" s="57">
        <f>V266+V267</f>
        <v>0.94426966292134817</v>
      </c>
      <c r="W265" s="54">
        <v>120</v>
      </c>
      <c r="X265" s="57">
        <f t="shared" si="48"/>
        <v>0.28000000000000014</v>
      </c>
      <c r="Y265" s="46">
        <v>0</v>
      </c>
      <c r="Z265" s="46">
        <v>6.6150000000000002</v>
      </c>
      <c r="AA265" s="46">
        <f t="shared" si="49"/>
        <v>6.335</v>
      </c>
      <c r="AB265" s="97">
        <f>MIN(AA265:AA267)</f>
        <v>6.335</v>
      </c>
      <c r="AC265" s="98" t="str">
        <f>IF(AB265&lt;0,"закрыт","открыт")</f>
        <v>открыт</v>
      </c>
      <c r="AD265" s="138">
        <v>0.89</v>
      </c>
    </row>
    <row r="266" spans="1:30" s="34" customFormat="1" ht="11.25">
      <c r="A266" s="96"/>
      <c r="B266" s="61" t="s">
        <v>45</v>
      </c>
      <c r="C266" s="43" t="s">
        <v>128</v>
      </c>
      <c r="D266" s="64">
        <f>D265-D267</f>
        <v>0.85999999999999988</v>
      </c>
      <c r="E266" s="69">
        <f>D266</f>
        <v>0.85999999999999988</v>
      </c>
      <c r="F266" s="45"/>
      <c r="G266" s="60">
        <f>D266-E266</f>
        <v>0</v>
      </c>
      <c r="H266" s="43">
        <v>0</v>
      </c>
      <c r="I266" s="43">
        <v>6.6150000000000002</v>
      </c>
      <c r="J266" s="60">
        <f>I266-G266-H266</f>
        <v>6.6150000000000002</v>
      </c>
      <c r="K266" s="97"/>
      <c r="L266" s="93"/>
      <c r="M266" s="99"/>
      <c r="N266" s="138"/>
      <c r="O266" s="30"/>
      <c r="P266" s="96"/>
      <c r="Q266" s="61" t="s">
        <v>45</v>
      </c>
      <c r="R266" s="43" t="s">
        <v>128</v>
      </c>
      <c r="S266" s="60">
        <f>S265-S267</f>
        <v>8.4269662921348312E-2</v>
      </c>
      <c r="T266" s="60"/>
      <c r="U266" s="46">
        <f t="shared" si="50"/>
        <v>0.94426966292134817</v>
      </c>
      <c r="V266" s="57">
        <f>U266</f>
        <v>0.94426966292134817</v>
      </c>
      <c r="W266" s="54"/>
      <c r="X266" s="57">
        <f t="shared" si="48"/>
        <v>0</v>
      </c>
      <c r="Y266" s="46">
        <v>0</v>
      </c>
      <c r="Z266" s="46">
        <v>6.6150000000000002</v>
      </c>
      <c r="AA266" s="46">
        <f t="shared" si="49"/>
        <v>6.6150000000000002</v>
      </c>
      <c r="AB266" s="97"/>
      <c r="AC266" s="99"/>
      <c r="AD266" s="138"/>
    </row>
    <row r="267" spans="1:30" s="34" customFormat="1" ht="11.25">
      <c r="A267" s="96"/>
      <c r="B267" s="61" t="s">
        <v>46</v>
      </c>
      <c r="C267" s="43" t="s">
        <v>128</v>
      </c>
      <c r="D267" s="64">
        <v>0.28000000000000003</v>
      </c>
      <c r="E267" s="56">
        <v>0</v>
      </c>
      <c r="F267" s="45">
        <v>120</v>
      </c>
      <c r="G267" s="60">
        <f>D267-E267</f>
        <v>0.28000000000000003</v>
      </c>
      <c r="H267" s="43">
        <v>0</v>
      </c>
      <c r="I267" s="43">
        <v>6.6150000000000002</v>
      </c>
      <c r="J267" s="60">
        <f>I267-G267-H267</f>
        <v>6.335</v>
      </c>
      <c r="K267" s="97"/>
      <c r="L267" s="93"/>
      <c r="M267" s="100"/>
      <c r="N267" s="138"/>
      <c r="O267" s="30"/>
      <c r="P267" s="96"/>
      <c r="Q267" s="61" t="s">
        <v>46</v>
      </c>
      <c r="R267" s="43" t="s">
        <v>128</v>
      </c>
      <c r="S267" s="60">
        <f>T267/N265</f>
        <v>0</v>
      </c>
      <c r="T267" s="60">
        <v>0</v>
      </c>
      <c r="U267" s="46">
        <f t="shared" si="50"/>
        <v>0.28000000000000003</v>
      </c>
      <c r="V267" s="57">
        <f>'[1]текущий дефицит'!E265</f>
        <v>0</v>
      </c>
      <c r="W267" s="54">
        <v>120</v>
      </c>
      <c r="X267" s="57">
        <f t="shared" si="48"/>
        <v>0.28000000000000003</v>
      </c>
      <c r="Y267" s="46">
        <v>0</v>
      </c>
      <c r="Z267" s="46">
        <v>6.6150000000000002</v>
      </c>
      <c r="AA267" s="46">
        <f t="shared" si="49"/>
        <v>6.335</v>
      </c>
      <c r="AB267" s="97"/>
      <c r="AC267" s="100"/>
      <c r="AD267" s="138"/>
    </row>
    <row r="268" spans="1:30" s="34" customFormat="1" ht="22.5">
      <c r="A268" s="45">
        <v>185</v>
      </c>
      <c r="B268" s="47" t="s">
        <v>235</v>
      </c>
      <c r="C268" s="43" t="s">
        <v>32</v>
      </c>
      <c r="D268" s="64">
        <v>0.44</v>
      </c>
      <c r="E268" s="43">
        <v>0</v>
      </c>
      <c r="F268" s="45">
        <v>120</v>
      </c>
      <c r="G268" s="60">
        <f t="shared" si="46"/>
        <v>0.44</v>
      </c>
      <c r="H268" s="43">
        <v>0</v>
      </c>
      <c r="I268" s="43">
        <v>4.2</v>
      </c>
      <c r="J268" s="60">
        <f t="shared" si="47"/>
        <v>3.7600000000000002</v>
      </c>
      <c r="K268" s="48">
        <f>J268</f>
        <v>3.7600000000000002</v>
      </c>
      <c r="L268" s="46">
        <f>K268*N268</f>
        <v>3.3840000000000003</v>
      </c>
      <c r="M268" s="55" t="str">
        <f>IF(K268&lt;0,"закрыт","открыт")</f>
        <v>открыт</v>
      </c>
      <c r="N268" s="55">
        <v>0.9</v>
      </c>
      <c r="O268" s="30"/>
      <c r="P268" s="45">
        <v>185</v>
      </c>
      <c r="Q268" s="53" t="s">
        <v>235</v>
      </c>
      <c r="R268" s="43" t="s">
        <v>32</v>
      </c>
      <c r="S268" s="57">
        <f>T268/N268</f>
        <v>7.7777777777777779E-2</v>
      </c>
      <c r="T268" s="60">
        <v>7.0000000000000007E-2</v>
      </c>
      <c r="U268" s="46">
        <f t="shared" si="50"/>
        <v>0.51777777777777778</v>
      </c>
      <c r="V268" s="57">
        <f>E268</f>
        <v>0</v>
      </c>
      <c r="W268" s="54">
        <v>120</v>
      </c>
      <c r="X268" s="57">
        <f t="shared" si="48"/>
        <v>0.51777777777777778</v>
      </c>
      <c r="Y268" s="46">
        <v>0</v>
      </c>
      <c r="Z268" s="46">
        <v>4.2</v>
      </c>
      <c r="AA268" s="46">
        <f t="shared" si="49"/>
        <v>3.6822222222222223</v>
      </c>
      <c r="AB268" s="48">
        <f>AA268</f>
        <v>3.6822222222222223</v>
      </c>
      <c r="AC268" s="55" t="str">
        <f>IF(AB268&lt;0,"закрыт","открыт")</f>
        <v>открыт</v>
      </c>
      <c r="AD268" s="55">
        <v>0.9</v>
      </c>
    </row>
    <row r="269" spans="1:30" s="34" customFormat="1" ht="22.5">
      <c r="A269" s="96">
        <v>186</v>
      </c>
      <c r="B269" s="47" t="s">
        <v>236</v>
      </c>
      <c r="C269" s="43" t="s">
        <v>237</v>
      </c>
      <c r="D269" s="64">
        <v>0.99</v>
      </c>
      <c r="E269" s="43">
        <f>E270+E271</f>
        <v>0.42000000000000004</v>
      </c>
      <c r="F269" s="45">
        <v>120</v>
      </c>
      <c r="G269" s="60">
        <f t="shared" si="46"/>
        <v>0.56999999999999995</v>
      </c>
      <c r="H269" s="43">
        <v>0</v>
      </c>
      <c r="I269" s="43">
        <v>2.625</v>
      </c>
      <c r="J269" s="60">
        <f t="shared" si="47"/>
        <v>2.0550000000000002</v>
      </c>
      <c r="K269" s="97">
        <f>MIN(J269:J271)</f>
        <v>2.0550000000000002</v>
      </c>
      <c r="L269" s="93">
        <f>K269*N269</f>
        <v>1.74675</v>
      </c>
      <c r="M269" s="98" t="str">
        <f>IF(K269&lt;0,"закрыт","открыт")</f>
        <v>открыт</v>
      </c>
      <c r="N269" s="138">
        <v>0.85</v>
      </c>
      <c r="O269" s="30"/>
      <c r="P269" s="96">
        <v>186</v>
      </c>
      <c r="Q269" s="53" t="s">
        <v>236</v>
      </c>
      <c r="R269" s="43" t="s">
        <v>237</v>
      </c>
      <c r="S269" s="60">
        <f>T269/N269</f>
        <v>0</v>
      </c>
      <c r="T269" s="60">
        <v>0</v>
      </c>
      <c r="U269" s="46">
        <f t="shared" si="50"/>
        <v>0.99</v>
      </c>
      <c r="V269" s="57">
        <f>V270+V271</f>
        <v>0.42000000000000004</v>
      </c>
      <c r="W269" s="54">
        <v>120</v>
      </c>
      <c r="X269" s="57">
        <f t="shared" si="48"/>
        <v>0.56999999999999995</v>
      </c>
      <c r="Y269" s="46">
        <v>0</v>
      </c>
      <c r="Z269" s="46">
        <v>2.625</v>
      </c>
      <c r="AA269" s="46">
        <f t="shared" si="49"/>
        <v>2.0550000000000002</v>
      </c>
      <c r="AB269" s="97">
        <f>MIN(AA269:AA271)</f>
        <v>2.0550000000000002</v>
      </c>
      <c r="AC269" s="98" t="str">
        <f>IF(AB269&lt;0,"закрыт","открыт")</f>
        <v>открыт</v>
      </c>
      <c r="AD269" s="138">
        <v>0.85</v>
      </c>
    </row>
    <row r="270" spans="1:30" s="34" customFormat="1" ht="11.25">
      <c r="A270" s="96"/>
      <c r="B270" s="61" t="s">
        <v>45</v>
      </c>
      <c r="C270" s="43" t="s">
        <v>237</v>
      </c>
      <c r="D270" s="64">
        <f>D269-D271</f>
        <v>0.42000000000000004</v>
      </c>
      <c r="E270" s="69">
        <f>D270</f>
        <v>0.42000000000000004</v>
      </c>
      <c r="F270" s="45"/>
      <c r="G270" s="60">
        <f>D270-E270</f>
        <v>0</v>
      </c>
      <c r="H270" s="43">
        <v>0</v>
      </c>
      <c r="I270" s="43">
        <v>2.625</v>
      </c>
      <c r="J270" s="60">
        <f>I270-G270-H270</f>
        <v>2.625</v>
      </c>
      <c r="K270" s="97"/>
      <c r="L270" s="93"/>
      <c r="M270" s="99"/>
      <c r="N270" s="138"/>
      <c r="O270" s="30"/>
      <c r="P270" s="96"/>
      <c r="Q270" s="61" t="s">
        <v>45</v>
      </c>
      <c r="R270" s="43" t="s">
        <v>237</v>
      </c>
      <c r="S270" s="60">
        <f>S269-S271</f>
        <v>0</v>
      </c>
      <c r="T270" s="60"/>
      <c r="U270" s="46">
        <f t="shared" si="50"/>
        <v>0.42000000000000004</v>
      </c>
      <c r="V270" s="57">
        <f>U270</f>
        <v>0.42000000000000004</v>
      </c>
      <c r="W270" s="54"/>
      <c r="X270" s="57">
        <f t="shared" si="48"/>
        <v>0</v>
      </c>
      <c r="Y270" s="46">
        <v>0</v>
      </c>
      <c r="Z270" s="46">
        <v>2.625</v>
      </c>
      <c r="AA270" s="46">
        <f t="shared" si="49"/>
        <v>2.625</v>
      </c>
      <c r="AB270" s="97"/>
      <c r="AC270" s="99"/>
      <c r="AD270" s="138"/>
    </row>
    <row r="271" spans="1:30" s="34" customFormat="1" ht="11.25">
      <c r="A271" s="96"/>
      <c r="B271" s="61" t="s">
        <v>46</v>
      </c>
      <c r="C271" s="43" t="s">
        <v>237</v>
      </c>
      <c r="D271" s="64">
        <v>0.56999999999999995</v>
      </c>
      <c r="E271" s="56">
        <v>0</v>
      </c>
      <c r="F271" s="45">
        <v>120</v>
      </c>
      <c r="G271" s="60">
        <f>D271-E271</f>
        <v>0.56999999999999995</v>
      </c>
      <c r="H271" s="43">
        <v>0</v>
      </c>
      <c r="I271" s="43">
        <v>2.625</v>
      </c>
      <c r="J271" s="60">
        <f>I271-G271-H271</f>
        <v>2.0550000000000002</v>
      </c>
      <c r="K271" s="97"/>
      <c r="L271" s="93"/>
      <c r="M271" s="100"/>
      <c r="N271" s="138"/>
      <c r="O271" s="30"/>
      <c r="P271" s="96"/>
      <c r="Q271" s="61" t="s">
        <v>46</v>
      </c>
      <c r="R271" s="43" t="s">
        <v>237</v>
      </c>
      <c r="S271" s="60">
        <f>T271/N269</f>
        <v>0</v>
      </c>
      <c r="T271" s="60">
        <v>0</v>
      </c>
      <c r="U271" s="46">
        <f t="shared" si="50"/>
        <v>0.56999999999999995</v>
      </c>
      <c r="V271" s="57">
        <f>'[1]текущий дефицит'!E269</f>
        <v>0</v>
      </c>
      <c r="W271" s="54">
        <v>120</v>
      </c>
      <c r="X271" s="57">
        <f t="shared" si="48"/>
        <v>0.56999999999999995</v>
      </c>
      <c r="Y271" s="46">
        <v>0</v>
      </c>
      <c r="Z271" s="46">
        <v>2.625</v>
      </c>
      <c r="AA271" s="46">
        <f t="shared" si="49"/>
        <v>2.0550000000000002</v>
      </c>
      <c r="AB271" s="97"/>
      <c r="AC271" s="100"/>
      <c r="AD271" s="138"/>
    </row>
    <row r="272" spans="1:30" s="34" customFormat="1" ht="22.5">
      <c r="A272" s="45">
        <v>187</v>
      </c>
      <c r="B272" s="47" t="s">
        <v>238</v>
      </c>
      <c r="C272" s="43" t="s">
        <v>130</v>
      </c>
      <c r="D272" s="64">
        <v>0.34</v>
      </c>
      <c r="E272" s="43">
        <v>0</v>
      </c>
      <c r="F272" s="45">
        <v>120</v>
      </c>
      <c r="G272" s="60">
        <f t="shared" si="46"/>
        <v>0.34</v>
      </c>
      <c r="H272" s="43">
        <v>0</v>
      </c>
      <c r="I272" s="43">
        <v>2.625</v>
      </c>
      <c r="J272" s="60">
        <f t="shared" si="47"/>
        <v>2.2850000000000001</v>
      </c>
      <c r="K272" s="48">
        <f>J272</f>
        <v>2.2850000000000001</v>
      </c>
      <c r="L272" s="46">
        <f>K272*N272</f>
        <v>1.89655</v>
      </c>
      <c r="M272" s="55" t="str">
        <f>IF(K272&lt;0,"закрыт","открыт")</f>
        <v>открыт</v>
      </c>
      <c r="N272" s="55">
        <v>0.83</v>
      </c>
      <c r="O272" s="30"/>
      <c r="P272" s="45">
        <v>187</v>
      </c>
      <c r="Q272" s="53" t="s">
        <v>238</v>
      </c>
      <c r="R272" s="43" t="s">
        <v>130</v>
      </c>
      <c r="S272" s="57">
        <f>T272/N272</f>
        <v>0</v>
      </c>
      <c r="T272" s="60">
        <v>0</v>
      </c>
      <c r="U272" s="46">
        <f t="shared" si="50"/>
        <v>0.34</v>
      </c>
      <c r="V272" s="57">
        <f>E272</f>
        <v>0</v>
      </c>
      <c r="W272" s="54">
        <v>120</v>
      </c>
      <c r="X272" s="57">
        <f t="shared" si="48"/>
        <v>0.34</v>
      </c>
      <c r="Y272" s="46">
        <v>0</v>
      </c>
      <c r="Z272" s="46">
        <v>2.625</v>
      </c>
      <c r="AA272" s="46">
        <f t="shared" si="49"/>
        <v>2.2850000000000001</v>
      </c>
      <c r="AB272" s="48">
        <f>AA272</f>
        <v>2.2850000000000001</v>
      </c>
      <c r="AC272" s="55" t="str">
        <f>IF(AB272&lt;0,"закрыт","открыт")</f>
        <v>открыт</v>
      </c>
      <c r="AD272" s="55">
        <v>0.83</v>
      </c>
    </row>
    <row r="273" spans="1:30" s="34" customFormat="1" ht="22.5">
      <c r="A273" s="96">
        <v>188</v>
      </c>
      <c r="B273" s="47" t="s">
        <v>239</v>
      </c>
      <c r="C273" s="43" t="s">
        <v>20</v>
      </c>
      <c r="D273" s="64">
        <v>9.02</v>
      </c>
      <c r="E273" s="43">
        <f>E274+E275</f>
        <v>3.1199999999999992</v>
      </c>
      <c r="F273" s="45">
        <v>120</v>
      </c>
      <c r="G273" s="60">
        <f t="shared" si="46"/>
        <v>5.9</v>
      </c>
      <c r="H273" s="43">
        <v>0</v>
      </c>
      <c r="I273" s="43">
        <v>10.5</v>
      </c>
      <c r="J273" s="60">
        <f t="shared" si="47"/>
        <v>4.5999999999999996</v>
      </c>
      <c r="K273" s="97">
        <f>MIN(J273:J275)</f>
        <v>4.5999999999999996</v>
      </c>
      <c r="L273" s="93">
        <f>K273*N273</f>
        <v>4.0939999999999994</v>
      </c>
      <c r="M273" s="98" t="str">
        <f>IF(K273&lt;0,"закрыт","открыт")</f>
        <v>открыт</v>
      </c>
      <c r="N273" s="138">
        <v>0.89</v>
      </c>
      <c r="O273" s="30"/>
      <c r="P273" s="96">
        <v>188</v>
      </c>
      <c r="Q273" s="53" t="s">
        <v>239</v>
      </c>
      <c r="R273" s="43" t="s">
        <v>20</v>
      </c>
      <c r="S273" s="60">
        <f>T273/N273</f>
        <v>3.7865168539325844</v>
      </c>
      <c r="T273" s="60">
        <v>3.37</v>
      </c>
      <c r="U273" s="46">
        <f t="shared" si="50"/>
        <v>12.806516853932584</v>
      </c>
      <c r="V273" s="57">
        <f>V274+V275</f>
        <v>3.794157303370786</v>
      </c>
      <c r="W273" s="54">
        <v>120</v>
      </c>
      <c r="X273" s="57">
        <f t="shared" ref="X273:X336" si="59">U273-V273</f>
        <v>9.0123595505617971</v>
      </c>
      <c r="Y273" s="46">
        <v>0</v>
      </c>
      <c r="Z273" s="46">
        <v>10.5</v>
      </c>
      <c r="AA273" s="46">
        <f t="shared" ref="AA273:AA336" si="60">Z273-Y273-X273</f>
        <v>1.4876404494382029</v>
      </c>
      <c r="AB273" s="97">
        <f>MIN(AA273:AA275)</f>
        <v>1.4876404494382012</v>
      </c>
      <c r="AC273" s="98" t="str">
        <f>IF(AB273&lt;0,"закрыт","открыт")</f>
        <v>открыт</v>
      </c>
      <c r="AD273" s="138">
        <v>0.89</v>
      </c>
    </row>
    <row r="274" spans="1:30" s="34" customFormat="1" ht="11.25">
      <c r="A274" s="96"/>
      <c r="B274" s="61" t="s">
        <v>45</v>
      </c>
      <c r="C274" s="43" t="s">
        <v>20</v>
      </c>
      <c r="D274" s="64">
        <f>D273-D275</f>
        <v>3.0399999999999991</v>
      </c>
      <c r="E274" s="69">
        <f>D274</f>
        <v>3.0399999999999991</v>
      </c>
      <c r="F274" s="45"/>
      <c r="G274" s="60">
        <f>D274-E274</f>
        <v>0</v>
      </c>
      <c r="H274" s="43">
        <v>0</v>
      </c>
      <c r="I274" s="43">
        <v>10.5</v>
      </c>
      <c r="J274" s="60">
        <f>I274-G274-H274</f>
        <v>10.5</v>
      </c>
      <c r="K274" s="97"/>
      <c r="L274" s="93"/>
      <c r="M274" s="99"/>
      <c r="N274" s="138"/>
      <c r="O274" s="30"/>
      <c r="P274" s="96"/>
      <c r="Q274" s="61" t="s">
        <v>45</v>
      </c>
      <c r="R274" s="43" t="s">
        <v>20</v>
      </c>
      <c r="S274" s="60">
        <f>S273-S275</f>
        <v>0.67415730337078683</v>
      </c>
      <c r="T274" s="60"/>
      <c r="U274" s="46">
        <f t="shared" ref="U274:U337" si="61">D274+S274</f>
        <v>3.714157303370786</v>
      </c>
      <c r="V274" s="57">
        <f>U274</f>
        <v>3.714157303370786</v>
      </c>
      <c r="W274" s="54"/>
      <c r="X274" s="57">
        <f t="shared" si="59"/>
        <v>0</v>
      </c>
      <c r="Y274" s="46">
        <v>0</v>
      </c>
      <c r="Z274" s="46">
        <v>10.5</v>
      </c>
      <c r="AA274" s="46">
        <f t="shared" si="60"/>
        <v>10.5</v>
      </c>
      <c r="AB274" s="97"/>
      <c r="AC274" s="99"/>
      <c r="AD274" s="138"/>
    </row>
    <row r="275" spans="1:30" s="34" customFormat="1" ht="11.25">
      <c r="A275" s="96"/>
      <c r="B275" s="61" t="s">
        <v>46</v>
      </c>
      <c r="C275" s="43" t="s">
        <v>20</v>
      </c>
      <c r="D275" s="64">
        <v>5.98</v>
      </c>
      <c r="E275" s="56">
        <v>0.08</v>
      </c>
      <c r="F275" s="45">
        <v>120</v>
      </c>
      <c r="G275" s="60">
        <f>D275-E275</f>
        <v>5.9</v>
      </c>
      <c r="H275" s="43">
        <v>0</v>
      </c>
      <c r="I275" s="43">
        <v>10.5</v>
      </c>
      <c r="J275" s="60">
        <f>I275-G275-H275</f>
        <v>4.5999999999999996</v>
      </c>
      <c r="K275" s="97"/>
      <c r="L275" s="93"/>
      <c r="M275" s="100"/>
      <c r="N275" s="138"/>
      <c r="O275" s="30"/>
      <c r="P275" s="96"/>
      <c r="Q275" s="61" t="s">
        <v>46</v>
      </c>
      <c r="R275" s="43" t="s">
        <v>20</v>
      </c>
      <c r="S275" s="60">
        <f>T275/N273</f>
        <v>3.1123595505617976</v>
      </c>
      <c r="T275" s="60">
        <v>2.77</v>
      </c>
      <c r="U275" s="46">
        <f t="shared" si="61"/>
        <v>9.0923595505617989</v>
      </c>
      <c r="V275" s="57">
        <f>'[1]текущий дефицит'!E273</f>
        <v>0.08</v>
      </c>
      <c r="W275" s="54">
        <v>120</v>
      </c>
      <c r="X275" s="57">
        <f t="shared" si="59"/>
        <v>9.0123595505617988</v>
      </c>
      <c r="Y275" s="46">
        <v>0</v>
      </c>
      <c r="Z275" s="46">
        <v>10.5</v>
      </c>
      <c r="AA275" s="46">
        <f t="shared" si="60"/>
        <v>1.4876404494382012</v>
      </c>
      <c r="AB275" s="97"/>
      <c r="AC275" s="100"/>
      <c r="AD275" s="138"/>
    </row>
    <row r="276" spans="1:30" s="34" customFormat="1" ht="22.5">
      <c r="A276" s="45">
        <v>189</v>
      </c>
      <c r="B276" s="47" t="s">
        <v>240</v>
      </c>
      <c r="C276" s="43" t="s">
        <v>32</v>
      </c>
      <c r="D276" s="64">
        <v>1.19</v>
      </c>
      <c r="E276" s="43">
        <v>0.17</v>
      </c>
      <c r="F276" s="45">
        <v>120</v>
      </c>
      <c r="G276" s="60">
        <f t="shared" si="46"/>
        <v>1.02</v>
      </c>
      <c r="H276" s="43">
        <v>0</v>
      </c>
      <c r="I276" s="43">
        <v>4.2</v>
      </c>
      <c r="J276" s="60">
        <f t="shared" si="47"/>
        <v>3.18</v>
      </c>
      <c r="K276" s="48">
        <f>J276</f>
        <v>3.18</v>
      </c>
      <c r="L276" s="46">
        <f>K276*N276</f>
        <v>2.5122000000000004</v>
      </c>
      <c r="M276" s="55" t="str">
        <f>IF(K276&lt;0,"закрыт","открыт")</f>
        <v>открыт</v>
      </c>
      <c r="N276" s="55">
        <v>0.79</v>
      </c>
      <c r="O276" s="30"/>
      <c r="P276" s="45">
        <v>189</v>
      </c>
      <c r="Q276" s="53" t="s">
        <v>240</v>
      </c>
      <c r="R276" s="43" t="s">
        <v>32</v>
      </c>
      <c r="S276" s="57">
        <f>T276/N276</f>
        <v>0.17721518987341772</v>
      </c>
      <c r="T276" s="60">
        <v>0.14000000000000001</v>
      </c>
      <c r="U276" s="46">
        <f t="shared" si="61"/>
        <v>1.3672151898734177</v>
      </c>
      <c r="V276" s="57">
        <f>E276</f>
        <v>0.17</v>
      </c>
      <c r="W276" s="54">
        <v>120</v>
      </c>
      <c r="X276" s="57">
        <f t="shared" si="59"/>
        <v>1.1972151898734178</v>
      </c>
      <c r="Y276" s="46">
        <v>0</v>
      </c>
      <c r="Z276" s="46">
        <v>4.2</v>
      </c>
      <c r="AA276" s="46">
        <f t="shared" si="60"/>
        <v>3.0027848101265824</v>
      </c>
      <c r="AB276" s="48">
        <f>AA276</f>
        <v>3.0027848101265824</v>
      </c>
      <c r="AC276" s="55" t="str">
        <f>IF(AB276&lt;0,"закрыт","открыт")</f>
        <v>открыт</v>
      </c>
      <c r="AD276" s="55">
        <v>0.79</v>
      </c>
    </row>
    <row r="277" spans="1:30" s="34" customFormat="1" ht="22.5">
      <c r="A277" s="45">
        <v>190</v>
      </c>
      <c r="B277" s="47" t="s">
        <v>241</v>
      </c>
      <c r="C277" s="43" t="s">
        <v>130</v>
      </c>
      <c r="D277" s="64">
        <v>1.42</v>
      </c>
      <c r="E277" s="43">
        <v>0</v>
      </c>
      <c r="F277" s="45">
        <v>120</v>
      </c>
      <c r="G277" s="60">
        <f t="shared" si="46"/>
        <v>1.42</v>
      </c>
      <c r="H277" s="43">
        <v>0</v>
      </c>
      <c r="I277" s="43">
        <v>2.625</v>
      </c>
      <c r="J277" s="60">
        <f t="shared" si="47"/>
        <v>1.2050000000000001</v>
      </c>
      <c r="K277" s="48">
        <f>J277</f>
        <v>1.2050000000000001</v>
      </c>
      <c r="L277" s="46">
        <f>K277*N277</f>
        <v>1.1327</v>
      </c>
      <c r="M277" s="55" t="str">
        <f>IF(K277&lt;0,"закрыт","открыт")</f>
        <v>открыт</v>
      </c>
      <c r="N277" s="55">
        <v>0.94</v>
      </c>
      <c r="O277" s="30"/>
      <c r="P277" s="45">
        <v>190</v>
      </c>
      <c r="Q277" s="53" t="s">
        <v>241</v>
      </c>
      <c r="R277" s="43" t="s">
        <v>130</v>
      </c>
      <c r="S277" s="57">
        <f>T277/N277</f>
        <v>0</v>
      </c>
      <c r="T277" s="60">
        <v>0</v>
      </c>
      <c r="U277" s="46">
        <f t="shared" si="61"/>
        <v>1.42</v>
      </c>
      <c r="V277" s="57">
        <f>E277</f>
        <v>0</v>
      </c>
      <c r="W277" s="54">
        <v>120</v>
      </c>
      <c r="X277" s="57">
        <f t="shared" si="59"/>
        <v>1.42</v>
      </c>
      <c r="Y277" s="46">
        <v>0</v>
      </c>
      <c r="Z277" s="46">
        <v>2.625</v>
      </c>
      <c r="AA277" s="46">
        <f t="shared" si="60"/>
        <v>1.2050000000000001</v>
      </c>
      <c r="AB277" s="48">
        <f>AA277</f>
        <v>1.2050000000000001</v>
      </c>
      <c r="AC277" s="55" t="str">
        <f>IF(AB277&lt;0,"закрыт","открыт")</f>
        <v>открыт</v>
      </c>
      <c r="AD277" s="55">
        <v>0.94</v>
      </c>
    </row>
    <row r="278" spans="1:30" s="34" customFormat="1" ht="22.5">
      <c r="A278" s="45">
        <v>191</v>
      </c>
      <c r="B278" s="47" t="s">
        <v>242</v>
      </c>
      <c r="C278" s="43" t="s">
        <v>128</v>
      </c>
      <c r="D278" s="64">
        <v>1.36</v>
      </c>
      <c r="E278" s="43">
        <v>0</v>
      </c>
      <c r="F278" s="45">
        <v>120</v>
      </c>
      <c r="G278" s="60">
        <f t="shared" si="46"/>
        <v>1.36</v>
      </c>
      <c r="H278" s="43">
        <v>0</v>
      </c>
      <c r="I278" s="43">
        <v>6.6150000000000002</v>
      </c>
      <c r="J278" s="60">
        <f t="shared" si="47"/>
        <v>5.2549999999999999</v>
      </c>
      <c r="K278" s="48">
        <f>J278</f>
        <v>5.2549999999999999</v>
      </c>
      <c r="L278" s="46">
        <f>K278*N278</f>
        <v>4.1514500000000005</v>
      </c>
      <c r="M278" s="55" t="str">
        <f>IF(K278&lt;0,"закрыт","открыт")</f>
        <v>открыт</v>
      </c>
      <c r="N278" s="55">
        <v>0.79</v>
      </c>
      <c r="O278" s="30"/>
      <c r="P278" s="45">
        <v>191</v>
      </c>
      <c r="Q278" s="53" t="s">
        <v>242</v>
      </c>
      <c r="R278" s="43" t="s">
        <v>128</v>
      </c>
      <c r="S278" s="57">
        <f>T278/N278</f>
        <v>0.57721518987341769</v>
      </c>
      <c r="T278" s="60">
        <v>0.45600000000000002</v>
      </c>
      <c r="U278" s="46">
        <f t="shared" si="61"/>
        <v>1.9372151898734178</v>
      </c>
      <c r="V278" s="57">
        <f>E278</f>
        <v>0</v>
      </c>
      <c r="W278" s="54">
        <v>120</v>
      </c>
      <c r="X278" s="57">
        <f t="shared" si="59"/>
        <v>1.9372151898734178</v>
      </c>
      <c r="Y278" s="46">
        <v>0</v>
      </c>
      <c r="Z278" s="46">
        <v>6.6150000000000002</v>
      </c>
      <c r="AA278" s="46">
        <f t="shared" si="60"/>
        <v>4.6777848101265826</v>
      </c>
      <c r="AB278" s="48">
        <f>AA278</f>
        <v>4.6777848101265826</v>
      </c>
      <c r="AC278" s="55" t="str">
        <f>IF(AB278&lt;0,"закрыт","открыт")</f>
        <v>открыт</v>
      </c>
      <c r="AD278" s="55">
        <v>0.79</v>
      </c>
    </row>
    <row r="279" spans="1:30" s="34" customFormat="1" ht="22.5">
      <c r="A279" s="96">
        <v>192</v>
      </c>
      <c r="B279" s="47" t="s">
        <v>243</v>
      </c>
      <c r="C279" s="43" t="s">
        <v>128</v>
      </c>
      <c r="D279" s="64">
        <v>3.41</v>
      </c>
      <c r="E279" s="43">
        <f>E280+E281</f>
        <v>1.82</v>
      </c>
      <c r="F279" s="45">
        <v>120</v>
      </c>
      <c r="G279" s="60">
        <f t="shared" si="46"/>
        <v>1.59</v>
      </c>
      <c r="H279" s="43">
        <v>0</v>
      </c>
      <c r="I279" s="43">
        <v>6.6150000000000002</v>
      </c>
      <c r="J279" s="60">
        <f t="shared" si="47"/>
        <v>5.0250000000000004</v>
      </c>
      <c r="K279" s="97">
        <f>MIN(J279:J281)</f>
        <v>5.0250000000000004</v>
      </c>
      <c r="L279" s="93">
        <f>K279*N279</f>
        <v>4.17075</v>
      </c>
      <c r="M279" s="98" t="str">
        <f>IF(K279&lt;0,"закрыт","открыт")</f>
        <v>открыт</v>
      </c>
      <c r="N279" s="138">
        <v>0.83</v>
      </c>
      <c r="O279" s="30"/>
      <c r="P279" s="96">
        <v>192</v>
      </c>
      <c r="Q279" s="53" t="s">
        <v>243</v>
      </c>
      <c r="R279" s="43" t="s">
        <v>128</v>
      </c>
      <c r="S279" s="60">
        <f>T279/N279</f>
        <v>2.8192771084337349</v>
      </c>
      <c r="T279" s="60">
        <v>2.34</v>
      </c>
      <c r="U279" s="46">
        <f t="shared" si="61"/>
        <v>6.2292771084337346</v>
      </c>
      <c r="V279" s="57">
        <f>V280+V281</f>
        <v>2.0248192771084339</v>
      </c>
      <c r="W279" s="54">
        <v>120</v>
      </c>
      <c r="X279" s="57">
        <f t="shared" si="59"/>
        <v>4.2044578313253007</v>
      </c>
      <c r="Y279" s="46">
        <v>0</v>
      </c>
      <c r="Z279" s="46">
        <v>6.6150000000000002</v>
      </c>
      <c r="AA279" s="46">
        <f t="shared" si="60"/>
        <v>2.4105421686746995</v>
      </c>
      <c r="AB279" s="97">
        <f>MIN(AA279:AA281)</f>
        <v>2.4105421686746995</v>
      </c>
      <c r="AC279" s="98" t="str">
        <f>IF(AB279&lt;0,"закрыт","открыт")</f>
        <v>открыт</v>
      </c>
      <c r="AD279" s="138">
        <v>0.83</v>
      </c>
    </row>
    <row r="280" spans="1:30" s="34" customFormat="1" ht="11.25">
      <c r="A280" s="96"/>
      <c r="B280" s="61" t="s">
        <v>45</v>
      </c>
      <c r="C280" s="43" t="s">
        <v>128</v>
      </c>
      <c r="D280" s="64">
        <f>D279-D281</f>
        <v>1.37</v>
      </c>
      <c r="E280" s="69">
        <f>D280</f>
        <v>1.37</v>
      </c>
      <c r="F280" s="45"/>
      <c r="G280" s="60">
        <f>D280-E280</f>
        <v>0</v>
      </c>
      <c r="H280" s="43">
        <v>0</v>
      </c>
      <c r="I280" s="43">
        <v>6.6150000000000002</v>
      </c>
      <c r="J280" s="60">
        <f>I280-G280-H280</f>
        <v>6.6150000000000002</v>
      </c>
      <c r="K280" s="97"/>
      <c r="L280" s="93"/>
      <c r="M280" s="99"/>
      <c r="N280" s="138"/>
      <c r="O280" s="30"/>
      <c r="P280" s="96"/>
      <c r="Q280" s="61" t="s">
        <v>45</v>
      </c>
      <c r="R280" s="43" t="s">
        <v>128</v>
      </c>
      <c r="S280" s="60">
        <f>S279-S281</f>
        <v>0.20481927710843362</v>
      </c>
      <c r="T280" s="60"/>
      <c r="U280" s="46">
        <f t="shared" si="61"/>
        <v>1.5748192771084337</v>
      </c>
      <c r="V280" s="57">
        <f>U280</f>
        <v>1.5748192771084337</v>
      </c>
      <c r="W280" s="54"/>
      <c r="X280" s="57">
        <f t="shared" si="59"/>
        <v>0</v>
      </c>
      <c r="Y280" s="46">
        <v>0</v>
      </c>
      <c r="Z280" s="46">
        <v>6.6150000000000002</v>
      </c>
      <c r="AA280" s="46">
        <f t="shared" si="60"/>
        <v>6.6150000000000002</v>
      </c>
      <c r="AB280" s="97"/>
      <c r="AC280" s="99"/>
      <c r="AD280" s="138"/>
    </row>
    <row r="281" spans="1:30" s="34" customFormat="1" ht="11.25">
      <c r="A281" s="96"/>
      <c r="B281" s="61" t="s">
        <v>46</v>
      </c>
      <c r="C281" s="43" t="s">
        <v>128</v>
      </c>
      <c r="D281" s="64">
        <v>2.04</v>
      </c>
      <c r="E281" s="56">
        <v>0.45</v>
      </c>
      <c r="F281" s="45">
        <v>120</v>
      </c>
      <c r="G281" s="60">
        <f>D281-E281</f>
        <v>1.59</v>
      </c>
      <c r="H281" s="43">
        <v>0</v>
      </c>
      <c r="I281" s="43">
        <v>6.6150000000000002</v>
      </c>
      <c r="J281" s="60">
        <f>I281-G281-H281</f>
        <v>5.0250000000000004</v>
      </c>
      <c r="K281" s="97"/>
      <c r="L281" s="93"/>
      <c r="M281" s="100"/>
      <c r="N281" s="138"/>
      <c r="O281" s="30"/>
      <c r="P281" s="96"/>
      <c r="Q281" s="61" t="s">
        <v>46</v>
      </c>
      <c r="R281" s="43" t="s">
        <v>128</v>
      </c>
      <c r="S281" s="60">
        <f>T281/N279</f>
        <v>2.6144578313253013</v>
      </c>
      <c r="T281" s="60">
        <v>2.17</v>
      </c>
      <c r="U281" s="46">
        <f t="shared" si="61"/>
        <v>4.6544578313253009</v>
      </c>
      <c r="V281" s="57">
        <f>'[1]текущий дефицит'!E279</f>
        <v>0.45</v>
      </c>
      <c r="W281" s="54">
        <v>120</v>
      </c>
      <c r="X281" s="57">
        <f t="shared" si="59"/>
        <v>4.2044578313253007</v>
      </c>
      <c r="Y281" s="46">
        <v>0</v>
      </c>
      <c r="Z281" s="46">
        <v>6.6150000000000002</v>
      </c>
      <c r="AA281" s="46">
        <f t="shared" si="60"/>
        <v>2.4105421686746995</v>
      </c>
      <c r="AB281" s="97"/>
      <c r="AC281" s="100"/>
      <c r="AD281" s="138"/>
    </row>
    <row r="282" spans="1:30" s="34" customFormat="1" ht="30" customHeight="1">
      <c r="A282" s="45">
        <v>193</v>
      </c>
      <c r="B282" s="47" t="s">
        <v>244</v>
      </c>
      <c r="C282" s="43" t="s">
        <v>130</v>
      </c>
      <c r="D282" s="64">
        <v>0.16</v>
      </c>
      <c r="E282" s="43">
        <v>0.33</v>
      </c>
      <c r="F282" s="45">
        <v>120</v>
      </c>
      <c r="G282" s="60">
        <f t="shared" si="46"/>
        <v>-0.17</v>
      </c>
      <c r="H282" s="43">
        <v>0</v>
      </c>
      <c r="I282" s="43">
        <v>2.625</v>
      </c>
      <c r="J282" s="60">
        <f t="shared" si="47"/>
        <v>2.7949999999999999</v>
      </c>
      <c r="K282" s="48">
        <f>J282</f>
        <v>2.7949999999999999</v>
      </c>
      <c r="L282" s="46">
        <f>K282*N282</f>
        <v>2.0403500000000001</v>
      </c>
      <c r="M282" s="55" t="str">
        <f>IF(K282&lt;0,"закрыт","открыт")</f>
        <v>открыт</v>
      </c>
      <c r="N282" s="55">
        <v>0.73</v>
      </c>
      <c r="O282" s="30"/>
      <c r="P282" s="45">
        <v>193</v>
      </c>
      <c r="Q282" s="53" t="s">
        <v>244</v>
      </c>
      <c r="R282" s="43" t="s">
        <v>130</v>
      </c>
      <c r="S282" s="57">
        <f>T282/N282</f>
        <v>0</v>
      </c>
      <c r="T282" s="60">
        <v>0</v>
      </c>
      <c r="U282" s="46">
        <f t="shared" si="61"/>
        <v>0.16</v>
      </c>
      <c r="V282" s="57">
        <f>E282</f>
        <v>0.33</v>
      </c>
      <c r="W282" s="54">
        <v>120</v>
      </c>
      <c r="X282" s="57">
        <f t="shared" si="59"/>
        <v>-0.17</v>
      </c>
      <c r="Y282" s="46">
        <v>0</v>
      </c>
      <c r="Z282" s="46">
        <v>2.625</v>
      </c>
      <c r="AA282" s="46">
        <f t="shared" si="60"/>
        <v>2.7949999999999999</v>
      </c>
      <c r="AB282" s="48">
        <f>AA282</f>
        <v>2.7949999999999999</v>
      </c>
      <c r="AC282" s="55" t="str">
        <f>IF(AB282&lt;0,"закрыт","открыт")</f>
        <v>открыт</v>
      </c>
      <c r="AD282" s="55">
        <v>0.73</v>
      </c>
    </row>
    <row r="283" spans="1:30" s="34" customFormat="1" ht="22.5">
      <c r="A283" s="45">
        <v>194</v>
      </c>
      <c r="B283" s="47" t="s">
        <v>245</v>
      </c>
      <c r="C283" s="43" t="s">
        <v>32</v>
      </c>
      <c r="D283" s="64">
        <v>1.52</v>
      </c>
      <c r="E283" s="43">
        <v>0</v>
      </c>
      <c r="F283" s="45">
        <v>120</v>
      </c>
      <c r="G283" s="60">
        <f t="shared" si="46"/>
        <v>1.52</v>
      </c>
      <c r="H283" s="43">
        <v>0</v>
      </c>
      <c r="I283" s="43">
        <v>4.2</v>
      </c>
      <c r="J283" s="60">
        <f t="shared" si="47"/>
        <v>2.68</v>
      </c>
      <c r="K283" s="48">
        <f>J283</f>
        <v>2.68</v>
      </c>
      <c r="L283" s="46">
        <f>K283*N283</f>
        <v>2.0904000000000003</v>
      </c>
      <c r="M283" s="55" t="str">
        <f>IF(K283&lt;0,"закрыт","открыт")</f>
        <v>открыт</v>
      </c>
      <c r="N283" s="55">
        <v>0.78</v>
      </c>
      <c r="O283" s="30"/>
      <c r="P283" s="45">
        <v>194</v>
      </c>
      <c r="Q283" s="53" t="s">
        <v>245</v>
      </c>
      <c r="R283" s="43" t="s">
        <v>32</v>
      </c>
      <c r="S283" s="57">
        <f>T283/N283</f>
        <v>0.12820512820512822</v>
      </c>
      <c r="T283" s="60">
        <v>0.1</v>
      </c>
      <c r="U283" s="46">
        <f t="shared" si="61"/>
        <v>1.6482051282051282</v>
      </c>
      <c r="V283" s="57">
        <f>E283</f>
        <v>0</v>
      </c>
      <c r="W283" s="54">
        <v>120</v>
      </c>
      <c r="X283" s="57">
        <f t="shared" si="59"/>
        <v>1.6482051282051282</v>
      </c>
      <c r="Y283" s="46">
        <v>0</v>
      </c>
      <c r="Z283" s="46">
        <v>4.2</v>
      </c>
      <c r="AA283" s="46">
        <f t="shared" si="60"/>
        <v>2.551794871794872</v>
      </c>
      <c r="AB283" s="48">
        <f>AA283</f>
        <v>2.551794871794872</v>
      </c>
      <c r="AC283" s="55" t="str">
        <f>IF(AB283&lt;0,"закрыт","открыт")</f>
        <v>открыт</v>
      </c>
      <c r="AD283" s="55">
        <v>0.78</v>
      </c>
    </row>
    <row r="284" spans="1:30" s="34" customFormat="1" ht="22.5">
      <c r="A284" s="96">
        <v>195</v>
      </c>
      <c r="B284" s="47" t="s">
        <v>246</v>
      </c>
      <c r="C284" s="43" t="s">
        <v>128</v>
      </c>
      <c r="D284" s="64">
        <v>1.85</v>
      </c>
      <c r="E284" s="43">
        <v>2.0699999999999998</v>
      </c>
      <c r="F284" s="45">
        <v>120</v>
      </c>
      <c r="G284" s="60">
        <f t="shared" si="46"/>
        <v>-0.21999999999999975</v>
      </c>
      <c r="H284" s="43">
        <v>0</v>
      </c>
      <c r="I284" s="43">
        <v>6.6150000000000002</v>
      </c>
      <c r="J284" s="60">
        <f t="shared" si="47"/>
        <v>6.835</v>
      </c>
      <c r="K284" s="97">
        <f>MIN(J284:J286)</f>
        <v>6.3550000000000004</v>
      </c>
      <c r="L284" s="93">
        <f>K284*N284</f>
        <v>5.3382000000000005</v>
      </c>
      <c r="M284" s="98" t="str">
        <f>IF(K284&lt;0,"закрыт","открыт")</f>
        <v>открыт</v>
      </c>
      <c r="N284" s="138">
        <v>0.84</v>
      </c>
      <c r="O284" s="30"/>
      <c r="P284" s="96">
        <v>195</v>
      </c>
      <c r="Q284" s="53" t="s">
        <v>246</v>
      </c>
      <c r="R284" s="43" t="s">
        <v>128</v>
      </c>
      <c r="S284" s="60">
        <f>T284/N284</f>
        <v>2.4166666666666665</v>
      </c>
      <c r="T284" s="60">
        <v>2.0299999999999998</v>
      </c>
      <c r="U284" s="46">
        <f t="shared" si="61"/>
        <v>4.2666666666666666</v>
      </c>
      <c r="V284" s="57">
        <f>V285+V286</f>
        <v>3.994761904761905</v>
      </c>
      <c r="W284" s="54">
        <v>120</v>
      </c>
      <c r="X284" s="57">
        <f t="shared" si="59"/>
        <v>0.27190476190476165</v>
      </c>
      <c r="Y284" s="46">
        <v>0</v>
      </c>
      <c r="Z284" s="46">
        <v>6.6150000000000002</v>
      </c>
      <c r="AA284" s="46">
        <f t="shared" si="60"/>
        <v>6.3430952380952386</v>
      </c>
      <c r="AB284" s="97">
        <f>MIN(AA284:AA286)</f>
        <v>6.3430952380952386</v>
      </c>
      <c r="AC284" s="98" t="str">
        <f>IF(AB284&lt;0,"закрыт","открыт")</f>
        <v>открыт</v>
      </c>
      <c r="AD284" s="138">
        <v>0.84</v>
      </c>
    </row>
    <row r="285" spans="1:30" s="34" customFormat="1" ht="11.25">
      <c r="A285" s="96"/>
      <c r="B285" s="61" t="s">
        <v>45</v>
      </c>
      <c r="C285" s="43" t="s">
        <v>128</v>
      </c>
      <c r="D285" s="64">
        <f>D284-D286</f>
        <v>1.3800000000000001</v>
      </c>
      <c r="E285" s="69">
        <f>D285</f>
        <v>1.3800000000000001</v>
      </c>
      <c r="F285" s="45"/>
      <c r="G285" s="60">
        <f>D285-E285</f>
        <v>0</v>
      </c>
      <c r="H285" s="43">
        <v>0</v>
      </c>
      <c r="I285" s="43">
        <v>6.6150000000000002</v>
      </c>
      <c r="J285" s="60">
        <f>I285-G285-H285</f>
        <v>6.6150000000000002</v>
      </c>
      <c r="K285" s="97"/>
      <c r="L285" s="93"/>
      <c r="M285" s="99"/>
      <c r="N285" s="138"/>
      <c r="O285" s="30"/>
      <c r="P285" s="96"/>
      <c r="Q285" s="61" t="s">
        <v>45</v>
      </c>
      <c r="R285" s="43" t="s">
        <v>128</v>
      </c>
      <c r="S285" s="60">
        <f>S284-S286</f>
        <v>2.4047619047619047</v>
      </c>
      <c r="T285" s="60"/>
      <c r="U285" s="46">
        <f t="shared" si="61"/>
        <v>3.784761904761905</v>
      </c>
      <c r="V285" s="57">
        <f>U285</f>
        <v>3.784761904761905</v>
      </c>
      <c r="W285" s="54"/>
      <c r="X285" s="57">
        <f t="shared" si="59"/>
        <v>0</v>
      </c>
      <c r="Y285" s="46">
        <v>0</v>
      </c>
      <c r="Z285" s="46">
        <v>6.6150000000000002</v>
      </c>
      <c r="AA285" s="46">
        <f t="shared" si="60"/>
        <v>6.6150000000000002</v>
      </c>
      <c r="AB285" s="97"/>
      <c r="AC285" s="99"/>
      <c r="AD285" s="138"/>
    </row>
    <row r="286" spans="1:30" s="34" customFormat="1" ht="11.25">
      <c r="A286" s="96"/>
      <c r="B286" s="61" t="s">
        <v>46</v>
      </c>
      <c r="C286" s="43" t="s">
        <v>128</v>
      </c>
      <c r="D286" s="64">
        <v>0.47</v>
      </c>
      <c r="E286" s="56">
        <v>0.21</v>
      </c>
      <c r="F286" s="45">
        <v>120</v>
      </c>
      <c r="G286" s="60">
        <f>D286-E286</f>
        <v>0.26</v>
      </c>
      <c r="H286" s="43">
        <v>0</v>
      </c>
      <c r="I286" s="43">
        <v>6.6150000000000002</v>
      </c>
      <c r="J286" s="60">
        <f>I286-G286-H286</f>
        <v>6.3550000000000004</v>
      </c>
      <c r="K286" s="97"/>
      <c r="L286" s="93"/>
      <c r="M286" s="100"/>
      <c r="N286" s="138"/>
      <c r="O286" s="30"/>
      <c r="P286" s="96"/>
      <c r="Q286" s="61" t="s">
        <v>46</v>
      </c>
      <c r="R286" s="43" t="s">
        <v>128</v>
      </c>
      <c r="S286" s="60">
        <f>T286/N284</f>
        <v>1.1904761904761906E-2</v>
      </c>
      <c r="T286" s="60">
        <v>0.01</v>
      </c>
      <c r="U286" s="46">
        <f t="shared" si="61"/>
        <v>0.48190476190476189</v>
      </c>
      <c r="V286" s="57">
        <f>'[1]текущий дефицит'!E284</f>
        <v>0.21</v>
      </c>
      <c r="W286" s="54">
        <v>120</v>
      </c>
      <c r="X286" s="57">
        <f t="shared" si="59"/>
        <v>0.27190476190476187</v>
      </c>
      <c r="Y286" s="46">
        <v>0</v>
      </c>
      <c r="Z286" s="46">
        <v>6.6150000000000002</v>
      </c>
      <c r="AA286" s="46">
        <f t="shared" si="60"/>
        <v>6.3430952380952386</v>
      </c>
      <c r="AB286" s="97"/>
      <c r="AC286" s="100"/>
      <c r="AD286" s="138"/>
    </row>
    <row r="287" spans="1:30" s="34" customFormat="1" ht="22.5">
      <c r="A287" s="45">
        <v>196</v>
      </c>
      <c r="B287" s="47" t="s">
        <v>247</v>
      </c>
      <c r="C287" s="43" t="s">
        <v>130</v>
      </c>
      <c r="D287" s="64">
        <v>0.21</v>
      </c>
      <c r="E287" s="43">
        <v>0</v>
      </c>
      <c r="F287" s="45">
        <v>120</v>
      </c>
      <c r="G287" s="60">
        <f t="shared" ref="G287:G374" si="62">D287-E287</f>
        <v>0.21</v>
      </c>
      <c r="H287" s="43">
        <v>0</v>
      </c>
      <c r="I287" s="43">
        <v>2.625</v>
      </c>
      <c r="J287" s="60">
        <f t="shared" ref="J287:J374" si="63">I287-G287-H287</f>
        <v>2.415</v>
      </c>
      <c r="K287" s="48">
        <f>J287</f>
        <v>2.415</v>
      </c>
      <c r="L287" s="46">
        <f>K287*N287</f>
        <v>1.85955</v>
      </c>
      <c r="M287" s="55" t="str">
        <f>IF(K287&lt;0,"закрыт","открыт")</f>
        <v>открыт</v>
      </c>
      <c r="N287" s="55">
        <v>0.77</v>
      </c>
      <c r="O287" s="30"/>
      <c r="P287" s="45">
        <v>196</v>
      </c>
      <c r="Q287" s="53" t="s">
        <v>247</v>
      </c>
      <c r="R287" s="43" t="s">
        <v>130</v>
      </c>
      <c r="S287" s="57">
        <f>T287/N287</f>
        <v>1.5909090909090911</v>
      </c>
      <c r="T287" s="60">
        <v>1.2250000000000001</v>
      </c>
      <c r="U287" s="46">
        <f t="shared" si="61"/>
        <v>1.800909090909091</v>
      </c>
      <c r="V287" s="57">
        <f>E287</f>
        <v>0</v>
      </c>
      <c r="W287" s="54">
        <v>120</v>
      </c>
      <c r="X287" s="57">
        <f t="shared" si="59"/>
        <v>1.800909090909091</v>
      </c>
      <c r="Y287" s="46">
        <v>0</v>
      </c>
      <c r="Z287" s="46">
        <v>2.625</v>
      </c>
      <c r="AA287" s="46">
        <f t="shared" si="60"/>
        <v>0.82409090909090899</v>
      </c>
      <c r="AB287" s="48">
        <f t="shared" ref="AB287:AB373" si="64">AA287</f>
        <v>0.82409090909090899</v>
      </c>
      <c r="AC287" s="55" t="str">
        <f>IF(AB287&lt;0,"закрыт","открыт")</f>
        <v>открыт</v>
      </c>
      <c r="AD287" s="55">
        <v>0.77</v>
      </c>
    </row>
    <row r="288" spans="1:30" s="34" customFormat="1" ht="22.5">
      <c r="A288" s="45">
        <v>197</v>
      </c>
      <c r="B288" s="47" t="s">
        <v>248</v>
      </c>
      <c r="C288" s="43" t="s">
        <v>130</v>
      </c>
      <c r="D288" s="64">
        <v>0.4</v>
      </c>
      <c r="E288" s="43">
        <v>0</v>
      </c>
      <c r="F288" s="45">
        <v>120</v>
      </c>
      <c r="G288" s="60">
        <f t="shared" si="62"/>
        <v>0.4</v>
      </c>
      <c r="H288" s="43">
        <v>0</v>
      </c>
      <c r="I288" s="43">
        <v>2.625</v>
      </c>
      <c r="J288" s="60">
        <f t="shared" si="63"/>
        <v>2.2250000000000001</v>
      </c>
      <c r="K288" s="48">
        <f>J288</f>
        <v>2.2250000000000001</v>
      </c>
      <c r="L288" s="46">
        <f>K288*N288</f>
        <v>1.7800000000000002</v>
      </c>
      <c r="M288" s="55" t="str">
        <f>IF(K288&lt;0,"закрыт","открыт")</f>
        <v>открыт</v>
      </c>
      <c r="N288" s="55">
        <v>0.8</v>
      </c>
      <c r="O288" s="30"/>
      <c r="P288" s="45">
        <v>197</v>
      </c>
      <c r="Q288" s="53" t="s">
        <v>248</v>
      </c>
      <c r="R288" s="43" t="s">
        <v>130</v>
      </c>
      <c r="S288" s="57">
        <f>T288/N288</f>
        <v>1.4637499999999999</v>
      </c>
      <c r="T288" s="60">
        <v>1.171</v>
      </c>
      <c r="U288" s="46">
        <f t="shared" si="61"/>
        <v>1.86375</v>
      </c>
      <c r="V288" s="57">
        <f>E288</f>
        <v>0</v>
      </c>
      <c r="W288" s="54">
        <v>120</v>
      </c>
      <c r="X288" s="57">
        <f t="shared" si="59"/>
        <v>1.86375</v>
      </c>
      <c r="Y288" s="46">
        <v>0</v>
      </c>
      <c r="Z288" s="46">
        <v>2.625</v>
      </c>
      <c r="AA288" s="46">
        <f t="shared" si="60"/>
        <v>0.76124999999999998</v>
      </c>
      <c r="AB288" s="48">
        <f t="shared" si="64"/>
        <v>0.76124999999999998</v>
      </c>
      <c r="AC288" s="55" t="str">
        <f>IF(AB288&lt;0,"закрыт","открыт")</f>
        <v>открыт</v>
      </c>
      <c r="AD288" s="55">
        <v>0.8</v>
      </c>
    </row>
    <row r="289" spans="1:30" s="34" customFormat="1" ht="27.75" customHeight="1">
      <c r="A289" s="96">
        <v>198</v>
      </c>
      <c r="B289" s="47" t="s">
        <v>249</v>
      </c>
      <c r="C289" s="43" t="s">
        <v>119</v>
      </c>
      <c r="D289" s="64">
        <v>6.21</v>
      </c>
      <c r="E289" s="43">
        <f>E290+E291</f>
        <v>1.7699999999999996</v>
      </c>
      <c r="F289" s="45">
        <v>120</v>
      </c>
      <c r="G289" s="60">
        <f t="shared" si="62"/>
        <v>4.4400000000000004</v>
      </c>
      <c r="H289" s="43">
        <v>0</v>
      </c>
      <c r="I289" s="43">
        <v>10.5</v>
      </c>
      <c r="J289" s="60">
        <f t="shared" si="63"/>
        <v>6.06</v>
      </c>
      <c r="K289" s="97">
        <f>MIN(J289:J291)</f>
        <v>6.06</v>
      </c>
      <c r="L289" s="93">
        <f>K289*N289</f>
        <v>5.2115999999999998</v>
      </c>
      <c r="M289" s="98" t="str">
        <f>IF(K289&lt;0,"закрыт","открыт")</f>
        <v>открыт</v>
      </c>
      <c r="N289" s="138">
        <v>0.86</v>
      </c>
      <c r="O289" s="30"/>
      <c r="P289" s="96">
        <v>198</v>
      </c>
      <c r="Q289" s="53" t="s">
        <v>249</v>
      </c>
      <c r="R289" s="43" t="s">
        <v>119</v>
      </c>
      <c r="S289" s="60">
        <f>T289/N289</f>
        <v>0.26744186046511631</v>
      </c>
      <c r="T289" s="60">
        <v>0.23</v>
      </c>
      <c r="U289" s="46">
        <f t="shared" si="61"/>
        <v>6.4774418604651167</v>
      </c>
      <c r="V289" s="57">
        <f>V290+V291</f>
        <v>1.921162790697674</v>
      </c>
      <c r="W289" s="54">
        <v>120</v>
      </c>
      <c r="X289" s="57">
        <f t="shared" si="59"/>
        <v>4.5562790697674425</v>
      </c>
      <c r="Y289" s="46">
        <v>0</v>
      </c>
      <c r="Z289" s="46">
        <v>10.5</v>
      </c>
      <c r="AA289" s="46">
        <f t="shared" si="60"/>
        <v>5.9437209302325575</v>
      </c>
      <c r="AB289" s="97">
        <f>MIN(AA289:AA291)</f>
        <v>5.9437209302325575</v>
      </c>
      <c r="AC289" s="98" t="str">
        <f>IF(AB289&lt;0,"закрыт","открыт")</f>
        <v>открыт</v>
      </c>
      <c r="AD289" s="138">
        <v>0.86</v>
      </c>
    </row>
    <row r="290" spans="1:30" s="34" customFormat="1" ht="11.25">
      <c r="A290" s="96"/>
      <c r="B290" s="61" t="s">
        <v>45</v>
      </c>
      <c r="C290" s="43" t="s">
        <v>119</v>
      </c>
      <c r="D290" s="64">
        <f>D289-D291</f>
        <v>1.7699999999999996</v>
      </c>
      <c r="E290" s="69">
        <f>D290</f>
        <v>1.7699999999999996</v>
      </c>
      <c r="F290" s="45"/>
      <c r="G290" s="60">
        <f>D290-E290</f>
        <v>0</v>
      </c>
      <c r="H290" s="43">
        <v>0</v>
      </c>
      <c r="I290" s="43">
        <v>10.5</v>
      </c>
      <c r="J290" s="60">
        <f>I290-G290-H290</f>
        <v>10.5</v>
      </c>
      <c r="K290" s="97"/>
      <c r="L290" s="93"/>
      <c r="M290" s="99"/>
      <c r="N290" s="138"/>
      <c r="O290" s="30"/>
      <c r="P290" s="96"/>
      <c r="Q290" s="61" t="s">
        <v>45</v>
      </c>
      <c r="R290" s="43" t="s">
        <v>119</v>
      </c>
      <c r="S290" s="60">
        <f>S289-S291</f>
        <v>0.15116279069767444</v>
      </c>
      <c r="T290" s="60"/>
      <c r="U290" s="46">
        <f t="shared" si="61"/>
        <v>1.921162790697674</v>
      </c>
      <c r="V290" s="57">
        <f>U290</f>
        <v>1.921162790697674</v>
      </c>
      <c r="W290" s="54"/>
      <c r="X290" s="57">
        <f t="shared" si="59"/>
        <v>0</v>
      </c>
      <c r="Y290" s="46">
        <v>0</v>
      </c>
      <c r="Z290" s="46">
        <v>10.5</v>
      </c>
      <c r="AA290" s="46">
        <f t="shared" si="60"/>
        <v>10.5</v>
      </c>
      <c r="AB290" s="97"/>
      <c r="AC290" s="99"/>
      <c r="AD290" s="138"/>
    </row>
    <row r="291" spans="1:30" s="34" customFormat="1" ht="11.25">
      <c r="A291" s="96"/>
      <c r="B291" s="61" t="s">
        <v>46</v>
      </c>
      <c r="C291" s="43" t="s">
        <v>119</v>
      </c>
      <c r="D291" s="64">
        <v>4.4400000000000004</v>
      </c>
      <c r="E291" s="56">
        <v>0</v>
      </c>
      <c r="F291" s="45">
        <v>120</v>
      </c>
      <c r="G291" s="60">
        <f>D291-E291</f>
        <v>4.4400000000000004</v>
      </c>
      <c r="H291" s="43">
        <v>0</v>
      </c>
      <c r="I291" s="43">
        <v>10.5</v>
      </c>
      <c r="J291" s="60">
        <f>I291-G291-H291</f>
        <v>6.06</v>
      </c>
      <c r="K291" s="97"/>
      <c r="L291" s="93"/>
      <c r="M291" s="100"/>
      <c r="N291" s="138"/>
      <c r="O291" s="30"/>
      <c r="P291" s="96"/>
      <c r="Q291" s="61" t="s">
        <v>46</v>
      </c>
      <c r="R291" s="43" t="s">
        <v>119</v>
      </c>
      <c r="S291" s="60">
        <f>T291/N289</f>
        <v>0.11627906976744187</v>
      </c>
      <c r="T291" s="60">
        <v>0.1</v>
      </c>
      <c r="U291" s="46">
        <f t="shared" si="61"/>
        <v>4.5562790697674425</v>
      </c>
      <c r="V291" s="57">
        <f>'[1]текущий дефицит'!E289</f>
        <v>0</v>
      </c>
      <c r="W291" s="54">
        <v>120</v>
      </c>
      <c r="X291" s="57">
        <f t="shared" si="59"/>
        <v>4.5562790697674425</v>
      </c>
      <c r="Y291" s="46">
        <v>0</v>
      </c>
      <c r="Z291" s="46">
        <v>10.5</v>
      </c>
      <c r="AA291" s="46">
        <f t="shared" si="60"/>
        <v>5.9437209302325575</v>
      </c>
      <c r="AB291" s="97"/>
      <c r="AC291" s="100"/>
      <c r="AD291" s="138"/>
    </row>
    <row r="292" spans="1:30" s="34" customFormat="1" ht="22.5">
      <c r="A292" s="45">
        <v>199</v>
      </c>
      <c r="B292" s="47" t="s">
        <v>250</v>
      </c>
      <c r="C292" s="43" t="s">
        <v>32</v>
      </c>
      <c r="D292" s="64">
        <v>0.56999999999999995</v>
      </c>
      <c r="E292" s="43">
        <v>0</v>
      </c>
      <c r="F292" s="45">
        <v>120</v>
      </c>
      <c r="G292" s="60">
        <f t="shared" si="62"/>
        <v>0.56999999999999995</v>
      </c>
      <c r="H292" s="43">
        <v>0</v>
      </c>
      <c r="I292" s="43">
        <v>4.2</v>
      </c>
      <c r="J292" s="60">
        <f t="shared" si="63"/>
        <v>3.6300000000000003</v>
      </c>
      <c r="K292" s="48">
        <f>J292</f>
        <v>3.6300000000000003</v>
      </c>
      <c r="L292" s="46">
        <f>K292*N292</f>
        <v>3.3396000000000003</v>
      </c>
      <c r="M292" s="55" t="str">
        <f>IF(K292&lt;0,"закрыт","открыт")</f>
        <v>открыт</v>
      </c>
      <c r="N292" s="55">
        <v>0.92</v>
      </c>
      <c r="O292" s="30"/>
      <c r="P292" s="45">
        <v>199</v>
      </c>
      <c r="Q292" s="53" t="s">
        <v>250</v>
      </c>
      <c r="R292" s="43" t="s">
        <v>32</v>
      </c>
      <c r="S292" s="57">
        <f>T292/N292</f>
        <v>1.6304347826086956E-2</v>
      </c>
      <c r="T292" s="60">
        <v>1.4999999999999999E-2</v>
      </c>
      <c r="U292" s="46">
        <f t="shared" si="61"/>
        <v>0.58630434782608687</v>
      </c>
      <c r="V292" s="57">
        <f>E292</f>
        <v>0</v>
      </c>
      <c r="W292" s="54">
        <v>120</v>
      </c>
      <c r="X292" s="57">
        <f t="shared" si="59"/>
        <v>0.58630434782608687</v>
      </c>
      <c r="Y292" s="46">
        <v>0</v>
      </c>
      <c r="Z292" s="46">
        <v>4.2</v>
      </c>
      <c r="AA292" s="46">
        <f t="shared" si="60"/>
        <v>3.6136956521739134</v>
      </c>
      <c r="AB292" s="48">
        <f t="shared" si="64"/>
        <v>3.6136956521739134</v>
      </c>
      <c r="AC292" s="55" t="str">
        <f>IF(AB292&lt;0,"закрыт","открыт")</f>
        <v>открыт</v>
      </c>
      <c r="AD292" s="55">
        <v>0.92</v>
      </c>
    </row>
    <row r="293" spans="1:30" s="34" customFormat="1" ht="22.5">
      <c r="A293" s="45">
        <v>200</v>
      </c>
      <c r="B293" s="47" t="s">
        <v>251</v>
      </c>
      <c r="C293" s="43" t="s">
        <v>252</v>
      </c>
      <c r="D293" s="64">
        <v>0.94</v>
      </c>
      <c r="E293" s="43">
        <v>0</v>
      </c>
      <c r="F293" s="45">
        <v>120</v>
      </c>
      <c r="G293" s="60">
        <f t="shared" si="62"/>
        <v>0.94</v>
      </c>
      <c r="H293" s="43">
        <v>0</v>
      </c>
      <c r="I293" s="45">
        <f>1.05*3.2</f>
        <v>3.3600000000000003</v>
      </c>
      <c r="J293" s="60">
        <f t="shared" si="63"/>
        <v>2.4200000000000004</v>
      </c>
      <c r="K293" s="48">
        <f>J293</f>
        <v>2.4200000000000004</v>
      </c>
      <c r="L293" s="46">
        <f>K293*N293</f>
        <v>1.6940000000000002</v>
      </c>
      <c r="M293" s="55" t="str">
        <f>IF(K293&lt;0,"закрыт","открыт")</f>
        <v>открыт</v>
      </c>
      <c r="N293" s="55">
        <v>0.7</v>
      </c>
      <c r="O293" s="30"/>
      <c r="P293" s="45">
        <v>200</v>
      </c>
      <c r="Q293" s="53" t="s">
        <v>251</v>
      </c>
      <c r="R293" s="43" t="s">
        <v>252</v>
      </c>
      <c r="S293" s="57">
        <f>T293/N293</f>
        <v>9.285714285714286E-2</v>
      </c>
      <c r="T293" s="60">
        <v>6.5000000000000002E-2</v>
      </c>
      <c r="U293" s="46">
        <f t="shared" si="61"/>
        <v>1.0328571428571429</v>
      </c>
      <c r="V293" s="57">
        <f>E293</f>
        <v>0</v>
      </c>
      <c r="W293" s="54">
        <v>120</v>
      </c>
      <c r="X293" s="57">
        <f t="shared" si="59"/>
        <v>1.0328571428571429</v>
      </c>
      <c r="Y293" s="46">
        <v>0</v>
      </c>
      <c r="Z293" s="60">
        <f>1.05*3.2</f>
        <v>3.3600000000000003</v>
      </c>
      <c r="AA293" s="46">
        <f t="shared" si="60"/>
        <v>2.3271428571428574</v>
      </c>
      <c r="AB293" s="48">
        <f t="shared" si="64"/>
        <v>2.3271428571428574</v>
      </c>
      <c r="AC293" s="55" t="str">
        <f>IF(AB293&lt;0,"закрыт","открыт")</f>
        <v>открыт</v>
      </c>
      <c r="AD293" s="55">
        <v>0.7</v>
      </c>
    </row>
    <row r="294" spans="1:30" s="34" customFormat="1" ht="22.5">
      <c r="A294" s="45">
        <v>201</v>
      </c>
      <c r="B294" s="47" t="s">
        <v>253</v>
      </c>
      <c r="C294" s="43" t="s">
        <v>182</v>
      </c>
      <c r="D294" s="64">
        <v>0.17</v>
      </c>
      <c r="E294" s="43">
        <v>0</v>
      </c>
      <c r="F294" s="45">
        <v>120</v>
      </c>
      <c r="G294" s="60">
        <f t="shared" si="62"/>
        <v>0.17</v>
      </c>
      <c r="H294" s="43">
        <v>0</v>
      </c>
      <c r="I294" s="43">
        <v>1.68</v>
      </c>
      <c r="J294" s="60">
        <f t="shared" si="63"/>
        <v>1.51</v>
      </c>
      <c r="K294" s="48">
        <f>J294</f>
        <v>1.51</v>
      </c>
      <c r="L294" s="46">
        <f>K294*N294</f>
        <v>0.77010000000000001</v>
      </c>
      <c r="M294" s="55" t="str">
        <f>IF(K294&lt;0,"закрыт","открыт")</f>
        <v>открыт</v>
      </c>
      <c r="N294" s="55">
        <v>0.51</v>
      </c>
      <c r="O294" s="30"/>
      <c r="P294" s="45">
        <v>201</v>
      </c>
      <c r="Q294" s="53" t="s">
        <v>253</v>
      </c>
      <c r="R294" s="43" t="s">
        <v>182</v>
      </c>
      <c r="S294" s="57">
        <f>T294/N294</f>
        <v>0</v>
      </c>
      <c r="T294" s="60">
        <v>0</v>
      </c>
      <c r="U294" s="46">
        <f t="shared" si="61"/>
        <v>0.17</v>
      </c>
      <c r="V294" s="57">
        <f>E294</f>
        <v>0</v>
      </c>
      <c r="W294" s="54">
        <v>120</v>
      </c>
      <c r="X294" s="57">
        <f t="shared" si="59"/>
        <v>0.17</v>
      </c>
      <c r="Y294" s="46">
        <v>0</v>
      </c>
      <c r="Z294" s="46">
        <v>1.68</v>
      </c>
      <c r="AA294" s="46">
        <f t="shared" si="60"/>
        <v>1.51</v>
      </c>
      <c r="AB294" s="48">
        <f t="shared" si="64"/>
        <v>1.51</v>
      </c>
      <c r="AC294" s="55" t="str">
        <f>IF(AB294&lt;0,"закрыт","открыт")</f>
        <v>открыт</v>
      </c>
      <c r="AD294" s="55">
        <v>0.51</v>
      </c>
    </row>
    <row r="295" spans="1:30" s="34" customFormat="1" ht="22.5">
      <c r="A295" s="45">
        <v>202</v>
      </c>
      <c r="B295" s="47" t="s">
        <v>254</v>
      </c>
      <c r="C295" s="43" t="s">
        <v>32</v>
      </c>
      <c r="D295" s="64">
        <v>0.47</v>
      </c>
      <c r="E295" s="43">
        <v>0</v>
      </c>
      <c r="F295" s="45">
        <v>120</v>
      </c>
      <c r="G295" s="60">
        <f t="shared" si="62"/>
        <v>0.47</v>
      </c>
      <c r="H295" s="43">
        <v>0</v>
      </c>
      <c r="I295" s="43">
        <v>4.2</v>
      </c>
      <c r="J295" s="60">
        <f t="shared" si="63"/>
        <v>3.7300000000000004</v>
      </c>
      <c r="K295" s="48">
        <f>J295</f>
        <v>3.7300000000000004</v>
      </c>
      <c r="L295" s="46">
        <f>K295*N295</f>
        <v>2.8348000000000004</v>
      </c>
      <c r="M295" s="55" t="str">
        <f>IF(K295&lt;0,"закрыт","открыт")</f>
        <v>открыт</v>
      </c>
      <c r="N295" s="55">
        <v>0.76</v>
      </c>
      <c r="O295" s="30"/>
      <c r="P295" s="45">
        <v>202</v>
      </c>
      <c r="Q295" s="53" t="s">
        <v>254</v>
      </c>
      <c r="R295" s="43" t="s">
        <v>32</v>
      </c>
      <c r="S295" s="57">
        <f>T295/N295</f>
        <v>1.3157894736842105E-2</v>
      </c>
      <c r="T295" s="60">
        <v>0.01</v>
      </c>
      <c r="U295" s="46">
        <f t="shared" si="61"/>
        <v>0.48315789473684206</v>
      </c>
      <c r="V295" s="57">
        <f>E295</f>
        <v>0</v>
      </c>
      <c r="W295" s="54">
        <v>120</v>
      </c>
      <c r="X295" s="57">
        <f t="shared" si="59"/>
        <v>0.48315789473684206</v>
      </c>
      <c r="Y295" s="46">
        <v>0</v>
      </c>
      <c r="Z295" s="46">
        <v>4.2</v>
      </c>
      <c r="AA295" s="46">
        <f t="shared" si="60"/>
        <v>3.7168421052631579</v>
      </c>
      <c r="AB295" s="48">
        <f t="shared" si="64"/>
        <v>3.7168421052631579</v>
      </c>
      <c r="AC295" s="55" t="str">
        <f>IF(AB295&lt;0,"закрыт","открыт")</f>
        <v>открыт</v>
      </c>
      <c r="AD295" s="55">
        <v>0.76</v>
      </c>
    </row>
    <row r="296" spans="1:30" s="34" customFormat="1" ht="28.5" customHeight="1">
      <c r="A296" s="96">
        <v>203</v>
      </c>
      <c r="B296" s="47" t="s">
        <v>255</v>
      </c>
      <c r="C296" s="43" t="s">
        <v>22</v>
      </c>
      <c r="D296" s="64">
        <v>3.95</v>
      </c>
      <c r="E296" s="43">
        <f>E297+E298</f>
        <v>1.6200000000000003</v>
      </c>
      <c r="F296" s="45">
        <v>120</v>
      </c>
      <c r="G296" s="60">
        <f t="shared" si="62"/>
        <v>2.33</v>
      </c>
      <c r="H296" s="43">
        <v>0</v>
      </c>
      <c r="I296" s="43">
        <v>16.8</v>
      </c>
      <c r="J296" s="60">
        <f t="shared" si="63"/>
        <v>14.47</v>
      </c>
      <c r="K296" s="97">
        <f>MIN(J296:J298)</f>
        <v>14.47</v>
      </c>
      <c r="L296" s="93">
        <f>K296*N296</f>
        <v>12.2995</v>
      </c>
      <c r="M296" s="98" t="str">
        <f>IF(K296&lt;0,"закрыт","открыт")</f>
        <v>открыт</v>
      </c>
      <c r="N296" s="138">
        <v>0.85</v>
      </c>
      <c r="O296" s="30"/>
      <c r="P296" s="96">
        <v>203</v>
      </c>
      <c r="Q296" s="53" t="s">
        <v>255</v>
      </c>
      <c r="R296" s="43" t="s">
        <v>22</v>
      </c>
      <c r="S296" s="60">
        <f>T296/N296</f>
        <v>0.91764705882352948</v>
      </c>
      <c r="T296" s="60">
        <v>0.78</v>
      </c>
      <c r="U296" s="46">
        <f t="shared" si="61"/>
        <v>4.8676470588235299</v>
      </c>
      <c r="V296" s="57">
        <f>V297+V298</f>
        <v>1.990588235294118</v>
      </c>
      <c r="W296" s="54">
        <v>120</v>
      </c>
      <c r="X296" s="57">
        <f t="shared" si="59"/>
        <v>2.8770588235294117</v>
      </c>
      <c r="Y296" s="46">
        <v>0</v>
      </c>
      <c r="Z296" s="46">
        <v>16.8</v>
      </c>
      <c r="AA296" s="46">
        <f t="shared" si="60"/>
        <v>13.922941176470589</v>
      </c>
      <c r="AB296" s="97">
        <f>MIN(AA296:AA298)</f>
        <v>13.922941176470589</v>
      </c>
      <c r="AC296" s="98" t="str">
        <f>IF(AB296&lt;0,"закрыт","открыт")</f>
        <v>открыт</v>
      </c>
      <c r="AD296" s="138">
        <v>0.85</v>
      </c>
    </row>
    <row r="297" spans="1:30" s="34" customFormat="1" ht="11.25">
      <c r="A297" s="96"/>
      <c r="B297" s="61" t="s">
        <v>45</v>
      </c>
      <c r="C297" s="43" t="s">
        <v>22</v>
      </c>
      <c r="D297" s="64">
        <f>D296-D298</f>
        <v>1.4400000000000004</v>
      </c>
      <c r="E297" s="69">
        <f>D297</f>
        <v>1.4400000000000004</v>
      </c>
      <c r="F297" s="45"/>
      <c r="G297" s="60">
        <f>D297-E297</f>
        <v>0</v>
      </c>
      <c r="H297" s="43">
        <v>0</v>
      </c>
      <c r="I297" s="43">
        <v>16.8</v>
      </c>
      <c r="J297" s="60">
        <f>I297-G297-H297</f>
        <v>16.8</v>
      </c>
      <c r="K297" s="97"/>
      <c r="L297" s="93"/>
      <c r="M297" s="99"/>
      <c r="N297" s="138"/>
      <c r="O297" s="30"/>
      <c r="P297" s="96"/>
      <c r="Q297" s="61" t="s">
        <v>45</v>
      </c>
      <c r="R297" s="43" t="s">
        <v>22</v>
      </c>
      <c r="S297" s="60">
        <f>S296-S298</f>
        <v>0.37058823529411766</v>
      </c>
      <c r="T297" s="60"/>
      <c r="U297" s="46">
        <f t="shared" si="61"/>
        <v>1.8105882352941181</v>
      </c>
      <c r="V297" s="57">
        <f>U297</f>
        <v>1.8105882352941181</v>
      </c>
      <c r="W297" s="54"/>
      <c r="X297" s="57">
        <f t="shared" si="59"/>
        <v>0</v>
      </c>
      <c r="Y297" s="46">
        <v>0</v>
      </c>
      <c r="Z297" s="46">
        <v>16.8</v>
      </c>
      <c r="AA297" s="46">
        <f t="shared" si="60"/>
        <v>16.8</v>
      </c>
      <c r="AB297" s="97"/>
      <c r="AC297" s="99"/>
      <c r="AD297" s="138"/>
    </row>
    <row r="298" spans="1:30" s="34" customFormat="1" ht="11.25">
      <c r="A298" s="96"/>
      <c r="B298" s="61" t="s">
        <v>46</v>
      </c>
      <c r="C298" s="43" t="s">
        <v>22</v>
      </c>
      <c r="D298" s="64">
        <v>2.5099999999999998</v>
      </c>
      <c r="E298" s="56">
        <v>0.18</v>
      </c>
      <c r="F298" s="45">
        <v>120</v>
      </c>
      <c r="G298" s="60">
        <f>D298-E298</f>
        <v>2.3299999999999996</v>
      </c>
      <c r="H298" s="43">
        <v>0</v>
      </c>
      <c r="I298" s="43">
        <v>16.8</v>
      </c>
      <c r="J298" s="60">
        <f>I298-G298-H298</f>
        <v>14.47</v>
      </c>
      <c r="K298" s="97"/>
      <c r="L298" s="93"/>
      <c r="M298" s="100"/>
      <c r="N298" s="138"/>
      <c r="O298" s="30"/>
      <c r="P298" s="96"/>
      <c r="Q298" s="61" t="s">
        <v>46</v>
      </c>
      <c r="R298" s="43" t="s">
        <v>22</v>
      </c>
      <c r="S298" s="60">
        <f>T298/N296</f>
        <v>0.54705882352941182</v>
      </c>
      <c r="T298" s="60">
        <v>0.46500000000000002</v>
      </c>
      <c r="U298" s="46">
        <f t="shared" si="61"/>
        <v>3.0570588235294114</v>
      </c>
      <c r="V298" s="57">
        <f>'[1]текущий дефицит'!E296</f>
        <v>0.18</v>
      </c>
      <c r="W298" s="54">
        <v>120</v>
      </c>
      <c r="X298" s="57">
        <f t="shared" si="59"/>
        <v>2.8770588235294112</v>
      </c>
      <c r="Y298" s="46">
        <v>0</v>
      </c>
      <c r="Z298" s="46">
        <v>16.8</v>
      </c>
      <c r="AA298" s="46">
        <f t="shared" si="60"/>
        <v>13.922941176470589</v>
      </c>
      <c r="AB298" s="97"/>
      <c r="AC298" s="100"/>
      <c r="AD298" s="138"/>
    </row>
    <row r="299" spans="1:30" s="34" customFormat="1" ht="22.5">
      <c r="A299" s="45">
        <v>204</v>
      </c>
      <c r="B299" s="47" t="s">
        <v>256</v>
      </c>
      <c r="C299" s="43" t="s">
        <v>257</v>
      </c>
      <c r="D299" s="64">
        <v>0.8</v>
      </c>
      <c r="E299" s="43">
        <v>0</v>
      </c>
      <c r="F299" s="45">
        <v>120</v>
      </c>
      <c r="G299" s="60">
        <f t="shared" si="62"/>
        <v>0.8</v>
      </c>
      <c r="H299" s="43">
        <v>0</v>
      </c>
      <c r="I299" s="43">
        <v>1.89</v>
      </c>
      <c r="J299" s="60">
        <f t="shared" si="63"/>
        <v>1.0899999999999999</v>
      </c>
      <c r="K299" s="48">
        <f>J299</f>
        <v>1.0899999999999999</v>
      </c>
      <c r="L299" s="46">
        <f>K299*N299</f>
        <v>0.99189999999999989</v>
      </c>
      <c r="M299" s="55" t="str">
        <f>IF(K299&lt;0,"закрыт","открыт")</f>
        <v>открыт</v>
      </c>
      <c r="N299" s="55">
        <v>0.91</v>
      </c>
      <c r="O299" s="30"/>
      <c r="P299" s="45">
        <v>204</v>
      </c>
      <c r="Q299" s="53" t="s">
        <v>256</v>
      </c>
      <c r="R299" s="43" t="s">
        <v>257</v>
      </c>
      <c r="S299" s="57">
        <f>T299/N299</f>
        <v>6.5934065934065936E-2</v>
      </c>
      <c r="T299" s="60">
        <v>0.06</v>
      </c>
      <c r="U299" s="46">
        <f t="shared" si="61"/>
        <v>0.86593406593406597</v>
      </c>
      <c r="V299" s="57">
        <f>E299</f>
        <v>0</v>
      </c>
      <c r="W299" s="54">
        <v>120</v>
      </c>
      <c r="X299" s="57">
        <f t="shared" si="59"/>
        <v>0.86593406593406597</v>
      </c>
      <c r="Y299" s="46">
        <v>0</v>
      </c>
      <c r="Z299" s="46">
        <v>1.89</v>
      </c>
      <c r="AA299" s="46">
        <f t="shared" si="60"/>
        <v>1.0240659340659339</v>
      </c>
      <c r="AB299" s="48">
        <f t="shared" si="64"/>
        <v>1.0240659340659339</v>
      </c>
      <c r="AC299" s="55" t="str">
        <f>IF(AB299&lt;0,"закрыт","открыт")</f>
        <v>открыт</v>
      </c>
      <c r="AD299" s="55">
        <v>0.91</v>
      </c>
    </row>
    <row r="300" spans="1:30" s="34" customFormat="1" ht="22.5">
      <c r="A300" s="45">
        <v>205</v>
      </c>
      <c r="B300" s="47" t="s">
        <v>258</v>
      </c>
      <c r="C300" s="43" t="s">
        <v>32</v>
      </c>
      <c r="D300" s="64">
        <v>0.34</v>
      </c>
      <c r="E300" s="43">
        <v>0.02</v>
      </c>
      <c r="F300" s="45">
        <v>120</v>
      </c>
      <c r="G300" s="60">
        <f t="shared" si="62"/>
        <v>0.32</v>
      </c>
      <c r="H300" s="43">
        <v>0</v>
      </c>
      <c r="I300" s="43">
        <v>4.2</v>
      </c>
      <c r="J300" s="60">
        <f t="shared" si="63"/>
        <v>3.8800000000000003</v>
      </c>
      <c r="K300" s="48">
        <f>J300</f>
        <v>3.8800000000000003</v>
      </c>
      <c r="L300" s="46">
        <f>K300*N300</f>
        <v>2.4056000000000002</v>
      </c>
      <c r="M300" s="55" t="str">
        <f>IF(K300&lt;0,"закрыт","открыт")</f>
        <v>открыт</v>
      </c>
      <c r="N300" s="55">
        <v>0.62</v>
      </c>
      <c r="O300" s="30"/>
      <c r="P300" s="45">
        <v>205</v>
      </c>
      <c r="Q300" s="53" t="s">
        <v>258</v>
      </c>
      <c r="R300" s="43" t="s">
        <v>32</v>
      </c>
      <c r="S300" s="57">
        <f>T300/N300</f>
        <v>0.11290322580645162</v>
      </c>
      <c r="T300" s="60">
        <v>7.0000000000000007E-2</v>
      </c>
      <c r="U300" s="46">
        <f t="shared" si="61"/>
        <v>0.45290322580645165</v>
      </c>
      <c r="V300" s="57">
        <f>E300</f>
        <v>0.02</v>
      </c>
      <c r="W300" s="54">
        <v>120</v>
      </c>
      <c r="X300" s="57">
        <f t="shared" si="59"/>
        <v>0.43290322580645163</v>
      </c>
      <c r="Y300" s="46">
        <v>0</v>
      </c>
      <c r="Z300" s="46">
        <v>4.2</v>
      </c>
      <c r="AA300" s="46">
        <f t="shared" si="60"/>
        <v>3.7670967741935484</v>
      </c>
      <c r="AB300" s="48">
        <f t="shared" si="64"/>
        <v>3.7670967741935484</v>
      </c>
      <c r="AC300" s="55" t="str">
        <f>IF(AB300&lt;0,"закрыт","открыт")</f>
        <v>открыт</v>
      </c>
      <c r="AD300" s="55">
        <v>0.62</v>
      </c>
    </row>
    <row r="301" spans="1:30" s="34" customFormat="1" ht="22.5">
      <c r="A301" s="45">
        <v>206</v>
      </c>
      <c r="B301" s="47" t="s">
        <v>259</v>
      </c>
      <c r="C301" s="43" t="s">
        <v>130</v>
      </c>
      <c r="D301" s="64">
        <v>0.33</v>
      </c>
      <c r="E301" s="43">
        <v>0</v>
      </c>
      <c r="F301" s="45">
        <v>120</v>
      </c>
      <c r="G301" s="60">
        <f t="shared" si="62"/>
        <v>0.33</v>
      </c>
      <c r="H301" s="43">
        <v>0</v>
      </c>
      <c r="I301" s="43">
        <v>2.625</v>
      </c>
      <c r="J301" s="60">
        <f t="shared" si="63"/>
        <v>2.2949999999999999</v>
      </c>
      <c r="K301" s="48">
        <f>J301</f>
        <v>2.2949999999999999</v>
      </c>
      <c r="L301" s="46">
        <f>K301*N301</f>
        <v>1.9737</v>
      </c>
      <c r="M301" s="55" t="str">
        <f>IF(K301&lt;0,"закрыт","открыт")</f>
        <v>открыт</v>
      </c>
      <c r="N301" s="55">
        <v>0.86</v>
      </c>
      <c r="O301" s="30"/>
      <c r="P301" s="45">
        <v>206</v>
      </c>
      <c r="Q301" s="53" t="s">
        <v>259</v>
      </c>
      <c r="R301" s="43" t="s">
        <v>130</v>
      </c>
      <c r="S301" s="57">
        <f>T301/N301</f>
        <v>4.6511627906976744E-2</v>
      </c>
      <c r="T301" s="60">
        <v>0.04</v>
      </c>
      <c r="U301" s="46">
        <f t="shared" si="61"/>
        <v>0.37651162790697679</v>
      </c>
      <c r="V301" s="57">
        <f>E301</f>
        <v>0</v>
      </c>
      <c r="W301" s="54">
        <v>120</v>
      </c>
      <c r="X301" s="57">
        <f t="shared" si="59"/>
        <v>0.37651162790697679</v>
      </c>
      <c r="Y301" s="46">
        <v>0</v>
      </c>
      <c r="Z301" s="46">
        <v>2.625</v>
      </c>
      <c r="AA301" s="46">
        <f t="shared" si="60"/>
        <v>2.2484883720930231</v>
      </c>
      <c r="AB301" s="48">
        <f t="shared" si="64"/>
        <v>2.2484883720930231</v>
      </c>
      <c r="AC301" s="55" t="str">
        <f>IF(AB301&lt;0,"закрыт","открыт")</f>
        <v>открыт</v>
      </c>
      <c r="AD301" s="55">
        <v>0.86</v>
      </c>
    </row>
    <row r="302" spans="1:30" s="34" customFormat="1" ht="22.5">
      <c r="A302" s="45">
        <v>207</v>
      </c>
      <c r="B302" s="47" t="s">
        <v>260</v>
      </c>
      <c r="C302" s="43" t="s">
        <v>24</v>
      </c>
      <c r="D302" s="64">
        <v>0.28999999999999998</v>
      </c>
      <c r="E302" s="43">
        <v>0.01</v>
      </c>
      <c r="F302" s="45">
        <v>120</v>
      </c>
      <c r="G302" s="60">
        <f t="shared" si="62"/>
        <v>0.27999999999999997</v>
      </c>
      <c r="H302" s="43">
        <v>0</v>
      </c>
      <c r="I302" s="43">
        <v>1.68</v>
      </c>
      <c r="J302" s="60">
        <f t="shared" si="63"/>
        <v>1.4</v>
      </c>
      <c r="K302" s="48">
        <f>J302</f>
        <v>1.4</v>
      </c>
      <c r="L302" s="46">
        <f>K302*N302</f>
        <v>1.302</v>
      </c>
      <c r="M302" s="55" t="str">
        <f>IF(K302&lt;0,"закрыт","открыт")</f>
        <v>открыт</v>
      </c>
      <c r="N302" s="55">
        <v>0.93</v>
      </c>
      <c r="O302" s="30"/>
      <c r="P302" s="45">
        <v>207</v>
      </c>
      <c r="Q302" s="53" t="s">
        <v>260</v>
      </c>
      <c r="R302" s="43" t="s">
        <v>24</v>
      </c>
      <c r="S302" s="57">
        <f>T302/N302</f>
        <v>0.13440860215053763</v>
      </c>
      <c r="T302" s="60">
        <v>0.125</v>
      </c>
      <c r="U302" s="46">
        <f t="shared" si="61"/>
        <v>0.42440860215053761</v>
      </c>
      <c r="V302" s="57">
        <f>E302</f>
        <v>0.01</v>
      </c>
      <c r="W302" s="54">
        <v>120</v>
      </c>
      <c r="X302" s="57">
        <f t="shared" si="59"/>
        <v>0.4144086021505376</v>
      </c>
      <c r="Y302" s="46">
        <v>0</v>
      </c>
      <c r="Z302" s="46">
        <v>1.68</v>
      </c>
      <c r="AA302" s="46">
        <f t="shared" si="60"/>
        <v>1.2655913978494624</v>
      </c>
      <c r="AB302" s="48">
        <f t="shared" si="64"/>
        <v>1.2655913978494624</v>
      </c>
      <c r="AC302" s="55" t="str">
        <f>IF(AB302&lt;0,"закрыт","открыт")</f>
        <v>открыт</v>
      </c>
      <c r="AD302" s="55">
        <v>0.93</v>
      </c>
    </row>
    <row r="303" spans="1:30" s="34" customFormat="1" ht="22.5">
      <c r="A303" s="96">
        <v>208</v>
      </c>
      <c r="B303" s="47" t="s">
        <v>261</v>
      </c>
      <c r="C303" s="43" t="s">
        <v>119</v>
      </c>
      <c r="D303" s="64">
        <v>4.78</v>
      </c>
      <c r="E303" s="43">
        <f>E304+E305</f>
        <v>2.8400000000000003</v>
      </c>
      <c r="F303" s="45">
        <v>120</v>
      </c>
      <c r="G303" s="60">
        <f t="shared" si="62"/>
        <v>1.94</v>
      </c>
      <c r="H303" s="43">
        <v>0</v>
      </c>
      <c r="I303" s="43">
        <v>10.5</v>
      </c>
      <c r="J303" s="60">
        <f t="shared" si="63"/>
        <v>8.56</v>
      </c>
      <c r="K303" s="97">
        <f>MIN(J303:J305)</f>
        <v>8.56</v>
      </c>
      <c r="L303" s="93">
        <f>K303*N303</f>
        <v>7.8752000000000004</v>
      </c>
      <c r="M303" s="98" t="str">
        <f>IF(K303&lt;0,"закрыт","открыт")</f>
        <v>открыт</v>
      </c>
      <c r="N303" s="138">
        <v>0.92</v>
      </c>
      <c r="O303" s="30"/>
      <c r="P303" s="96">
        <v>208</v>
      </c>
      <c r="Q303" s="53" t="s">
        <v>261</v>
      </c>
      <c r="R303" s="43" t="s">
        <v>119</v>
      </c>
      <c r="S303" s="60">
        <f>T303/N303</f>
        <v>2.0108695652173911</v>
      </c>
      <c r="T303" s="60">
        <v>1.85</v>
      </c>
      <c r="U303" s="46">
        <f t="shared" si="61"/>
        <v>6.7908695652173918</v>
      </c>
      <c r="V303" s="57">
        <f>V304+V305</f>
        <v>3.8508695652173914</v>
      </c>
      <c r="W303" s="54">
        <v>120</v>
      </c>
      <c r="X303" s="57">
        <f t="shared" si="59"/>
        <v>2.9400000000000004</v>
      </c>
      <c r="Y303" s="46">
        <v>0</v>
      </c>
      <c r="Z303" s="46">
        <v>10.5</v>
      </c>
      <c r="AA303" s="46">
        <f t="shared" si="60"/>
        <v>7.56</v>
      </c>
      <c r="AB303" s="97">
        <f>MIN(AA303:AA305)</f>
        <v>7.56</v>
      </c>
      <c r="AC303" s="98" t="str">
        <f>IF(AB303&lt;0,"закрыт","открыт")</f>
        <v>открыт</v>
      </c>
      <c r="AD303" s="138">
        <v>0.92</v>
      </c>
    </row>
    <row r="304" spans="1:30" s="34" customFormat="1" ht="11.25">
      <c r="A304" s="96"/>
      <c r="B304" s="61" t="s">
        <v>45</v>
      </c>
      <c r="C304" s="43" t="s">
        <v>119</v>
      </c>
      <c r="D304" s="64">
        <f>D303-D305</f>
        <v>2.2000000000000002</v>
      </c>
      <c r="E304" s="69">
        <f>D304</f>
        <v>2.2000000000000002</v>
      </c>
      <c r="F304" s="45"/>
      <c r="G304" s="60">
        <f>D304-E304</f>
        <v>0</v>
      </c>
      <c r="H304" s="43">
        <v>0</v>
      </c>
      <c r="I304" s="43">
        <v>10.5</v>
      </c>
      <c r="J304" s="60">
        <f>I304-G304-H304</f>
        <v>10.5</v>
      </c>
      <c r="K304" s="97"/>
      <c r="L304" s="93"/>
      <c r="M304" s="99"/>
      <c r="N304" s="138"/>
      <c r="O304" s="30"/>
      <c r="P304" s="96"/>
      <c r="Q304" s="61" t="s">
        <v>45</v>
      </c>
      <c r="R304" s="43" t="s">
        <v>119</v>
      </c>
      <c r="S304" s="60">
        <f>S303-S305</f>
        <v>1.0108695652173911</v>
      </c>
      <c r="T304" s="60"/>
      <c r="U304" s="46">
        <f t="shared" si="61"/>
        <v>3.2108695652173913</v>
      </c>
      <c r="V304" s="57">
        <f>U304</f>
        <v>3.2108695652173913</v>
      </c>
      <c r="W304" s="54"/>
      <c r="X304" s="57">
        <f t="shared" si="59"/>
        <v>0</v>
      </c>
      <c r="Y304" s="46">
        <v>0</v>
      </c>
      <c r="Z304" s="46">
        <v>10.5</v>
      </c>
      <c r="AA304" s="46">
        <f t="shared" si="60"/>
        <v>10.5</v>
      </c>
      <c r="AB304" s="97"/>
      <c r="AC304" s="99"/>
      <c r="AD304" s="138"/>
    </row>
    <row r="305" spans="1:30" s="34" customFormat="1" ht="11.25">
      <c r="A305" s="96"/>
      <c r="B305" s="61" t="s">
        <v>46</v>
      </c>
      <c r="C305" s="43" t="s">
        <v>119</v>
      </c>
      <c r="D305" s="64">
        <v>2.58</v>
      </c>
      <c r="E305" s="56">
        <v>0.64</v>
      </c>
      <c r="F305" s="45">
        <v>120</v>
      </c>
      <c r="G305" s="60">
        <f>D305-E305</f>
        <v>1.94</v>
      </c>
      <c r="H305" s="43">
        <v>0</v>
      </c>
      <c r="I305" s="43">
        <v>10.5</v>
      </c>
      <c r="J305" s="60">
        <f>I305-G305-H305</f>
        <v>8.56</v>
      </c>
      <c r="K305" s="97"/>
      <c r="L305" s="93"/>
      <c r="M305" s="100"/>
      <c r="N305" s="138"/>
      <c r="O305" s="30"/>
      <c r="P305" s="96"/>
      <c r="Q305" s="61" t="s">
        <v>46</v>
      </c>
      <c r="R305" s="43" t="s">
        <v>119</v>
      </c>
      <c r="S305" s="60">
        <f>T305/N303</f>
        <v>1</v>
      </c>
      <c r="T305" s="60">
        <v>0.92</v>
      </c>
      <c r="U305" s="46">
        <f t="shared" si="61"/>
        <v>3.58</v>
      </c>
      <c r="V305" s="57">
        <f>'[1]текущий дефицит'!E303</f>
        <v>0.64</v>
      </c>
      <c r="W305" s="54">
        <v>120</v>
      </c>
      <c r="X305" s="57">
        <f t="shared" si="59"/>
        <v>2.94</v>
      </c>
      <c r="Y305" s="46">
        <v>0</v>
      </c>
      <c r="Z305" s="46">
        <v>10.5</v>
      </c>
      <c r="AA305" s="46">
        <f t="shared" si="60"/>
        <v>7.5600000000000005</v>
      </c>
      <c r="AB305" s="97"/>
      <c r="AC305" s="100"/>
      <c r="AD305" s="138"/>
    </row>
    <row r="306" spans="1:30" s="34" customFormat="1" ht="22.5">
      <c r="A306" s="96">
        <v>209</v>
      </c>
      <c r="B306" s="47" t="s">
        <v>262</v>
      </c>
      <c r="C306" s="43" t="s">
        <v>119</v>
      </c>
      <c r="D306" s="64">
        <v>2.2599999999999998</v>
      </c>
      <c r="E306" s="46">
        <f>E307+E308</f>
        <v>0.41999999999999971</v>
      </c>
      <c r="F306" s="45">
        <v>120</v>
      </c>
      <c r="G306" s="60">
        <f t="shared" si="62"/>
        <v>1.84</v>
      </c>
      <c r="H306" s="43">
        <v>0</v>
      </c>
      <c r="I306" s="43">
        <v>10.5</v>
      </c>
      <c r="J306" s="60">
        <f t="shared" si="63"/>
        <v>8.66</v>
      </c>
      <c r="K306" s="97">
        <f>MIN(J306:J308)</f>
        <v>8.66</v>
      </c>
      <c r="L306" s="93">
        <f>K306*N306</f>
        <v>7.6208</v>
      </c>
      <c r="M306" s="98" t="str">
        <f>IF(K306&lt;0,"закрыт","открыт")</f>
        <v>открыт</v>
      </c>
      <c r="N306" s="138">
        <v>0.88</v>
      </c>
      <c r="O306" s="30"/>
      <c r="P306" s="96">
        <v>209</v>
      </c>
      <c r="Q306" s="53" t="s">
        <v>262</v>
      </c>
      <c r="R306" s="43" t="s">
        <v>119</v>
      </c>
      <c r="S306" s="60">
        <f>T306/N306</f>
        <v>0.70454545454545459</v>
      </c>
      <c r="T306" s="60">
        <v>0.62</v>
      </c>
      <c r="U306" s="46">
        <f t="shared" si="61"/>
        <v>2.9645454545454544</v>
      </c>
      <c r="V306" s="57">
        <f>V307+V308</f>
        <v>0.41999999999999971</v>
      </c>
      <c r="W306" s="54">
        <v>120</v>
      </c>
      <c r="X306" s="57">
        <f t="shared" si="59"/>
        <v>2.5445454545454549</v>
      </c>
      <c r="Y306" s="46">
        <v>0</v>
      </c>
      <c r="Z306" s="46">
        <v>10.5</v>
      </c>
      <c r="AA306" s="46">
        <f t="shared" si="60"/>
        <v>7.9554545454545451</v>
      </c>
      <c r="AB306" s="97">
        <f>MIN(AA306:AA308)</f>
        <v>7.9554545454545451</v>
      </c>
      <c r="AC306" s="98" t="str">
        <f>IF(AB306&lt;0,"закрыт","открыт")</f>
        <v>открыт</v>
      </c>
      <c r="AD306" s="138">
        <v>0.88</v>
      </c>
    </row>
    <row r="307" spans="1:30" s="34" customFormat="1" ht="11.25">
      <c r="A307" s="96"/>
      <c r="B307" s="61" t="s">
        <v>45</v>
      </c>
      <c r="C307" s="43" t="s">
        <v>119</v>
      </c>
      <c r="D307" s="64">
        <f>D306-D308</f>
        <v>0.19999999999999973</v>
      </c>
      <c r="E307" s="69">
        <f>D307</f>
        <v>0.19999999999999973</v>
      </c>
      <c r="F307" s="45"/>
      <c r="G307" s="60">
        <f>D307-E307</f>
        <v>0</v>
      </c>
      <c r="H307" s="43">
        <v>0</v>
      </c>
      <c r="I307" s="43">
        <v>10.5</v>
      </c>
      <c r="J307" s="60">
        <f>I307-G307-H307</f>
        <v>10.5</v>
      </c>
      <c r="K307" s="97"/>
      <c r="L307" s="93"/>
      <c r="M307" s="99"/>
      <c r="N307" s="138"/>
      <c r="O307" s="30"/>
      <c r="P307" s="96"/>
      <c r="Q307" s="61" t="s">
        <v>45</v>
      </c>
      <c r="R307" s="43" t="s">
        <v>119</v>
      </c>
      <c r="S307" s="60">
        <f>S306-S308</f>
        <v>0</v>
      </c>
      <c r="T307" s="60"/>
      <c r="U307" s="46">
        <f t="shared" si="61"/>
        <v>0.19999999999999973</v>
      </c>
      <c r="V307" s="57">
        <f>U307</f>
        <v>0.19999999999999973</v>
      </c>
      <c r="W307" s="54"/>
      <c r="X307" s="57">
        <f t="shared" si="59"/>
        <v>0</v>
      </c>
      <c r="Y307" s="46">
        <v>0</v>
      </c>
      <c r="Z307" s="46">
        <v>10.5</v>
      </c>
      <c r="AA307" s="46">
        <f t="shared" si="60"/>
        <v>10.5</v>
      </c>
      <c r="AB307" s="97"/>
      <c r="AC307" s="99"/>
      <c r="AD307" s="138"/>
    </row>
    <row r="308" spans="1:30" s="34" customFormat="1" ht="11.25">
      <c r="A308" s="96"/>
      <c r="B308" s="61" t="s">
        <v>46</v>
      </c>
      <c r="C308" s="43" t="s">
        <v>119</v>
      </c>
      <c r="D308" s="64">
        <v>2.06</v>
      </c>
      <c r="E308" s="56">
        <v>0.22</v>
      </c>
      <c r="F308" s="45">
        <v>120</v>
      </c>
      <c r="G308" s="60">
        <f>D308-E308</f>
        <v>1.84</v>
      </c>
      <c r="H308" s="43">
        <v>0</v>
      </c>
      <c r="I308" s="43">
        <v>10.5</v>
      </c>
      <c r="J308" s="60">
        <f>I308-G308-H308</f>
        <v>8.66</v>
      </c>
      <c r="K308" s="97"/>
      <c r="L308" s="93"/>
      <c r="M308" s="100"/>
      <c r="N308" s="138"/>
      <c r="O308" s="30"/>
      <c r="P308" s="96"/>
      <c r="Q308" s="61" t="s">
        <v>46</v>
      </c>
      <c r="R308" s="43" t="s">
        <v>119</v>
      </c>
      <c r="S308" s="60">
        <f>T308/N306</f>
        <v>0.70454545454545459</v>
      </c>
      <c r="T308" s="60">
        <v>0.62</v>
      </c>
      <c r="U308" s="46">
        <f t="shared" si="61"/>
        <v>2.7645454545454546</v>
      </c>
      <c r="V308" s="57">
        <f>'[1]текущий дефицит'!E306</f>
        <v>0.22</v>
      </c>
      <c r="W308" s="54">
        <v>120</v>
      </c>
      <c r="X308" s="57">
        <f t="shared" si="59"/>
        <v>2.5445454545454544</v>
      </c>
      <c r="Y308" s="46">
        <v>0</v>
      </c>
      <c r="Z308" s="46">
        <v>10.5</v>
      </c>
      <c r="AA308" s="46">
        <f t="shared" si="60"/>
        <v>7.9554545454545451</v>
      </c>
      <c r="AB308" s="97"/>
      <c r="AC308" s="100"/>
      <c r="AD308" s="138"/>
    </row>
    <row r="309" spans="1:30" s="34" customFormat="1" ht="22.5">
      <c r="A309" s="45">
        <v>210</v>
      </c>
      <c r="B309" s="47" t="s">
        <v>263</v>
      </c>
      <c r="C309" s="43" t="s">
        <v>130</v>
      </c>
      <c r="D309" s="64">
        <v>0.31</v>
      </c>
      <c r="E309" s="43">
        <v>0</v>
      </c>
      <c r="F309" s="45">
        <v>120</v>
      </c>
      <c r="G309" s="60">
        <f t="shared" si="62"/>
        <v>0.31</v>
      </c>
      <c r="H309" s="43">
        <v>0</v>
      </c>
      <c r="I309" s="43">
        <v>2.625</v>
      </c>
      <c r="J309" s="60">
        <f t="shared" si="63"/>
        <v>2.3149999999999999</v>
      </c>
      <c r="K309" s="48">
        <f>J309</f>
        <v>2.3149999999999999</v>
      </c>
      <c r="L309" s="46">
        <f>K309*N309</f>
        <v>1.8288500000000001</v>
      </c>
      <c r="M309" s="55" t="str">
        <f>IF(K309&lt;0,"закрыт","открыт")</f>
        <v>открыт</v>
      </c>
      <c r="N309" s="55">
        <v>0.79</v>
      </c>
      <c r="O309" s="30"/>
      <c r="P309" s="45">
        <v>210</v>
      </c>
      <c r="Q309" s="53" t="s">
        <v>263</v>
      </c>
      <c r="R309" s="43" t="s">
        <v>130</v>
      </c>
      <c r="S309" s="57">
        <f>T309/N309</f>
        <v>0</v>
      </c>
      <c r="T309" s="60">
        <v>0</v>
      </c>
      <c r="U309" s="46">
        <f t="shared" si="61"/>
        <v>0.31</v>
      </c>
      <c r="V309" s="57">
        <f>E309</f>
        <v>0</v>
      </c>
      <c r="W309" s="54">
        <v>120</v>
      </c>
      <c r="X309" s="57">
        <f t="shared" si="59"/>
        <v>0.31</v>
      </c>
      <c r="Y309" s="46">
        <v>0</v>
      </c>
      <c r="Z309" s="46">
        <v>2.625</v>
      </c>
      <c r="AA309" s="46">
        <f t="shared" si="60"/>
        <v>2.3149999999999999</v>
      </c>
      <c r="AB309" s="48">
        <f t="shared" si="64"/>
        <v>2.3149999999999999</v>
      </c>
      <c r="AC309" s="55" t="str">
        <f>IF(AB309&lt;0,"закрыт","открыт")</f>
        <v>открыт</v>
      </c>
      <c r="AD309" s="55">
        <v>0.79</v>
      </c>
    </row>
    <row r="310" spans="1:30" s="34" customFormat="1" ht="22.5">
      <c r="A310" s="96">
        <v>211</v>
      </c>
      <c r="B310" s="47" t="s">
        <v>264</v>
      </c>
      <c r="C310" s="43" t="s">
        <v>108</v>
      </c>
      <c r="D310" s="64">
        <v>41.71</v>
      </c>
      <c r="E310" s="43">
        <f>E311+E312</f>
        <v>2.665</v>
      </c>
      <c r="F310" s="45">
        <v>120</v>
      </c>
      <c r="G310" s="60">
        <f t="shared" si="62"/>
        <v>39.045000000000002</v>
      </c>
      <c r="H310" s="43">
        <v>0</v>
      </c>
      <c r="I310" s="43">
        <v>42</v>
      </c>
      <c r="J310" s="60">
        <f t="shared" si="63"/>
        <v>2.9549999999999983</v>
      </c>
      <c r="K310" s="97">
        <f>MIN(J310:J312)</f>
        <v>2.9549999999999983</v>
      </c>
      <c r="L310" s="93">
        <f>K310*N310</f>
        <v>2.6890499999999986</v>
      </c>
      <c r="M310" s="98" t="str">
        <f>IF(K310&lt;0,"закрыт","открыт")</f>
        <v>открыт</v>
      </c>
      <c r="N310" s="138">
        <v>0.91</v>
      </c>
      <c r="O310" s="30"/>
      <c r="P310" s="104">
        <v>211</v>
      </c>
      <c r="Q310" s="73" t="s">
        <v>264</v>
      </c>
      <c r="R310" s="66" t="s">
        <v>108</v>
      </c>
      <c r="S310" s="72">
        <f>T310/N310</f>
        <v>21.913736263736261</v>
      </c>
      <c r="T310" s="57">
        <f>T311+T312</f>
        <v>19.941499999999998</v>
      </c>
      <c r="U310" s="67">
        <f t="shared" si="61"/>
        <v>63.623736263736262</v>
      </c>
      <c r="V310" s="67">
        <f>V311+V312</f>
        <v>5.8081621241094208</v>
      </c>
      <c r="W310" s="66">
        <v>120</v>
      </c>
      <c r="X310" s="67">
        <f t="shared" si="59"/>
        <v>57.81557413962684</v>
      </c>
      <c r="Y310" s="67">
        <v>0</v>
      </c>
      <c r="Z310" s="67">
        <v>42</v>
      </c>
      <c r="AA310" s="67">
        <f t="shared" si="60"/>
        <v>-15.81557413962684</v>
      </c>
      <c r="AB310" s="105">
        <f>MIN(AA310:AA312)</f>
        <v>-15.81557413962684</v>
      </c>
      <c r="AC310" s="106" t="str">
        <f>IF(AB310&lt;0,"закрыт","открыт")</f>
        <v>закрыт</v>
      </c>
      <c r="AD310" s="138">
        <v>0.91</v>
      </c>
    </row>
    <row r="311" spans="1:30" s="34" customFormat="1" ht="11.25">
      <c r="A311" s="96"/>
      <c r="B311" s="61" t="s">
        <v>45</v>
      </c>
      <c r="C311" s="43" t="s">
        <v>108</v>
      </c>
      <c r="D311" s="64">
        <f>D310-D312</f>
        <v>26.3</v>
      </c>
      <c r="E311" s="69">
        <f>D317/2+D314/2+D319/2+D318+D315/2</f>
        <v>2.105</v>
      </c>
      <c r="F311" s="45">
        <v>121</v>
      </c>
      <c r="G311" s="60">
        <f>D311-E311</f>
        <v>24.195</v>
      </c>
      <c r="H311" s="43">
        <v>0</v>
      </c>
      <c r="I311" s="43">
        <v>42</v>
      </c>
      <c r="J311" s="60">
        <f>I311-G311-H311</f>
        <v>17.805</v>
      </c>
      <c r="K311" s="97"/>
      <c r="L311" s="93"/>
      <c r="M311" s="99"/>
      <c r="N311" s="138"/>
      <c r="O311" s="30"/>
      <c r="P311" s="104"/>
      <c r="Q311" s="74" t="s">
        <v>45</v>
      </c>
      <c r="R311" s="66" t="s">
        <v>108</v>
      </c>
      <c r="S311" s="72">
        <f>S310-S312</f>
        <v>12.02197802197802</v>
      </c>
      <c r="T311" s="57">
        <v>10.94</v>
      </c>
      <c r="U311" s="67">
        <f t="shared" si="61"/>
        <v>38.321978021978019</v>
      </c>
      <c r="V311" s="67">
        <f>U317+U314+U319+U318+U315</f>
        <v>5.2481621241094203</v>
      </c>
      <c r="W311" s="66"/>
      <c r="X311" s="67">
        <f t="shared" si="59"/>
        <v>33.073815897868599</v>
      </c>
      <c r="Y311" s="67">
        <v>0</v>
      </c>
      <c r="Z311" s="67">
        <v>42</v>
      </c>
      <c r="AA311" s="67">
        <f t="shared" si="60"/>
        <v>8.9261841021314012</v>
      </c>
      <c r="AB311" s="105"/>
      <c r="AC311" s="107"/>
      <c r="AD311" s="138"/>
    </row>
    <row r="312" spans="1:30" s="34" customFormat="1" ht="11.25">
      <c r="A312" s="96"/>
      <c r="B312" s="61" t="s">
        <v>46</v>
      </c>
      <c r="C312" s="43" t="s">
        <v>108</v>
      </c>
      <c r="D312" s="64">
        <v>15.41</v>
      </c>
      <c r="E312" s="56">
        <v>0.56000000000000005</v>
      </c>
      <c r="F312" s="45">
        <v>122</v>
      </c>
      <c r="G312" s="60">
        <f>D312-E312</f>
        <v>14.85</v>
      </c>
      <c r="H312" s="43">
        <v>0</v>
      </c>
      <c r="I312" s="43">
        <v>42</v>
      </c>
      <c r="J312" s="60">
        <f>I312-G312-H312</f>
        <v>27.15</v>
      </c>
      <c r="K312" s="97"/>
      <c r="L312" s="93"/>
      <c r="M312" s="100"/>
      <c r="N312" s="138"/>
      <c r="O312" s="30"/>
      <c r="P312" s="104"/>
      <c r="Q312" s="74" t="s">
        <v>46</v>
      </c>
      <c r="R312" s="66" t="s">
        <v>108</v>
      </c>
      <c r="S312" s="72">
        <f>T312/N310</f>
        <v>9.8917582417582413</v>
      </c>
      <c r="T312" s="57">
        <v>9.0015000000000001</v>
      </c>
      <c r="U312" s="67">
        <f t="shared" si="61"/>
        <v>25.301758241758243</v>
      </c>
      <c r="V312" s="67">
        <f>'[1]текущий дефицит'!E310</f>
        <v>0.56000000000000005</v>
      </c>
      <c r="W312" s="66">
        <v>120</v>
      </c>
      <c r="X312" s="67">
        <f t="shared" si="59"/>
        <v>24.741758241758244</v>
      </c>
      <c r="Y312" s="67">
        <v>0</v>
      </c>
      <c r="Z312" s="67">
        <v>42</v>
      </c>
      <c r="AA312" s="67">
        <f t="shared" si="60"/>
        <v>17.258241758241756</v>
      </c>
      <c r="AB312" s="105"/>
      <c r="AC312" s="108"/>
      <c r="AD312" s="138"/>
    </row>
    <row r="313" spans="1:30" s="34" customFormat="1" ht="30" customHeight="1">
      <c r="A313" s="45">
        <v>212</v>
      </c>
      <c r="B313" s="47" t="s">
        <v>265</v>
      </c>
      <c r="C313" s="43" t="s">
        <v>128</v>
      </c>
      <c r="D313" s="64">
        <v>2.38</v>
      </c>
      <c r="E313" s="43">
        <v>0</v>
      </c>
      <c r="F313" s="45">
        <v>120</v>
      </c>
      <c r="G313" s="60">
        <f t="shared" si="62"/>
        <v>2.38</v>
      </c>
      <c r="H313" s="43">
        <v>0</v>
      </c>
      <c r="I313" s="43">
        <v>6.6150000000000002</v>
      </c>
      <c r="J313" s="60">
        <f t="shared" si="63"/>
        <v>4.2350000000000003</v>
      </c>
      <c r="K313" s="48">
        <f t="shared" ref="K313:K322" si="65">J313</f>
        <v>4.2350000000000003</v>
      </c>
      <c r="L313" s="46">
        <f t="shared" ref="L313:L323" si="66">K313*N313</f>
        <v>3.9385500000000007</v>
      </c>
      <c r="M313" s="55" t="str">
        <f t="shared" ref="M313:M323" si="67">IF(K313&lt;0,"закрыт","открыт")</f>
        <v>открыт</v>
      </c>
      <c r="N313" s="55">
        <v>0.93</v>
      </c>
      <c r="O313" s="30"/>
      <c r="P313" s="45">
        <v>212</v>
      </c>
      <c r="Q313" s="53" t="s">
        <v>265</v>
      </c>
      <c r="R313" s="43" t="s">
        <v>128</v>
      </c>
      <c r="S313" s="57">
        <f t="shared" ref="S313:S322" si="68">T313/N313</f>
        <v>1.6666666666666665</v>
      </c>
      <c r="T313" s="57">
        <v>1.55</v>
      </c>
      <c r="U313" s="46">
        <f t="shared" si="61"/>
        <v>4.0466666666666669</v>
      </c>
      <c r="V313" s="57">
        <f t="shared" ref="V313:V322" si="69">E313</f>
        <v>0</v>
      </c>
      <c r="W313" s="54">
        <v>120</v>
      </c>
      <c r="X313" s="57">
        <f t="shared" si="59"/>
        <v>4.0466666666666669</v>
      </c>
      <c r="Y313" s="46">
        <v>0</v>
      </c>
      <c r="Z313" s="46">
        <v>6.6150000000000002</v>
      </c>
      <c r="AA313" s="46">
        <f t="shared" si="60"/>
        <v>2.5683333333333334</v>
      </c>
      <c r="AB313" s="48">
        <f t="shared" si="64"/>
        <v>2.5683333333333334</v>
      </c>
      <c r="AC313" s="55" t="str">
        <f t="shared" ref="AC313:AC323" si="70">IF(AB313&lt;0,"закрыт","открыт")</f>
        <v>открыт</v>
      </c>
      <c r="AD313" s="55">
        <v>0.93</v>
      </c>
    </row>
    <row r="314" spans="1:30" s="35" customFormat="1" ht="22.5">
      <c r="A314" s="45">
        <v>213</v>
      </c>
      <c r="B314" s="47" t="s">
        <v>266</v>
      </c>
      <c r="C314" s="43" t="s">
        <v>24</v>
      </c>
      <c r="D314" s="64">
        <v>0.43</v>
      </c>
      <c r="E314" s="43">
        <v>0.11</v>
      </c>
      <c r="F314" s="45">
        <v>120</v>
      </c>
      <c r="G314" s="60">
        <f t="shared" si="62"/>
        <v>0.32</v>
      </c>
      <c r="H314" s="43">
        <v>0</v>
      </c>
      <c r="I314" s="43">
        <v>1.68</v>
      </c>
      <c r="J314" s="60">
        <f t="shared" si="63"/>
        <v>1.3599999999999999</v>
      </c>
      <c r="K314" s="48">
        <f t="shared" si="65"/>
        <v>1.3599999999999999</v>
      </c>
      <c r="L314" s="46">
        <f t="shared" si="66"/>
        <v>1.2376</v>
      </c>
      <c r="M314" s="55" t="str">
        <f t="shared" si="67"/>
        <v>открыт</v>
      </c>
      <c r="N314" s="55">
        <v>0.91</v>
      </c>
      <c r="O314" s="30"/>
      <c r="P314" s="45">
        <v>213</v>
      </c>
      <c r="Q314" s="53" t="s">
        <v>266</v>
      </c>
      <c r="R314" s="43" t="s">
        <v>24</v>
      </c>
      <c r="S314" s="57">
        <f t="shared" si="68"/>
        <v>0.32692307692307687</v>
      </c>
      <c r="T314" s="57">
        <v>0.29749999999999999</v>
      </c>
      <c r="U314" s="46">
        <f t="shared" si="61"/>
        <v>0.75692307692307681</v>
      </c>
      <c r="V314" s="57">
        <f t="shared" si="69"/>
        <v>0.11</v>
      </c>
      <c r="W314" s="54">
        <v>120</v>
      </c>
      <c r="X314" s="57">
        <f t="shared" si="59"/>
        <v>0.64692307692307682</v>
      </c>
      <c r="Y314" s="46">
        <v>0</v>
      </c>
      <c r="Z314" s="46">
        <v>1.68</v>
      </c>
      <c r="AA314" s="46">
        <f t="shared" si="60"/>
        <v>1.0330769230769232</v>
      </c>
      <c r="AB314" s="48">
        <f t="shared" si="64"/>
        <v>1.0330769230769232</v>
      </c>
      <c r="AC314" s="55" t="str">
        <f t="shared" si="70"/>
        <v>открыт</v>
      </c>
      <c r="AD314" s="55">
        <v>0.91</v>
      </c>
    </row>
    <row r="315" spans="1:30" s="34" customFormat="1" ht="22.5">
      <c r="A315" s="45">
        <v>214</v>
      </c>
      <c r="B315" s="47" t="s">
        <v>267</v>
      </c>
      <c r="C315" s="43" t="s">
        <v>25</v>
      </c>
      <c r="D315" s="64">
        <v>0.57999999999999996</v>
      </c>
      <c r="E315" s="43">
        <v>0.3</v>
      </c>
      <c r="F315" s="45">
        <v>120</v>
      </c>
      <c r="G315" s="60">
        <f t="shared" si="62"/>
        <v>0.27999999999999997</v>
      </c>
      <c r="H315" s="43">
        <v>0</v>
      </c>
      <c r="I315" s="43">
        <v>2.625</v>
      </c>
      <c r="J315" s="60">
        <f t="shared" si="63"/>
        <v>2.3450000000000002</v>
      </c>
      <c r="K315" s="48">
        <f t="shared" si="65"/>
        <v>2.3450000000000002</v>
      </c>
      <c r="L315" s="46">
        <f t="shared" si="66"/>
        <v>2.1808500000000004</v>
      </c>
      <c r="M315" s="55" t="str">
        <f t="shared" si="67"/>
        <v>открыт</v>
      </c>
      <c r="N315" s="55">
        <v>0.93</v>
      </c>
      <c r="O315" s="30"/>
      <c r="P315" s="45">
        <v>214</v>
      </c>
      <c r="Q315" s="53" t="s">
        <v>267</v>
      </c>
      <c r="R315" s="43" t="s">
        <v>25</v>
      </c>
      <c r="S315" s="57">
        <f t="shared" si="68"/>
        <v>9.1397849462365593E-3</v>
      </c>
      <c r="T315" s="57">
        <v>8.5000000000000006E-3</v>
      </c>
      <c r="U315" s="46">
        <f t="shared" si="61"/>
        <v>0.58913978494623653</v>
      </c>
      <c r="V315" s="57">
        <f t="shared" si="69"/>
        <v>0.3</v>
      </c>
      <c r="W315" s="54">
        <v>120</v>
      </c>
      <c r="X315" s="57">
        <f t="shared" si="59"/>
        <v>0.28913978494623654</v>
      </c>
      <c r="Y315" s="46">
        <v>0</v>
      </c>
      <c r="Z315" s="46">
        <v>2.625</v>
      </c>
      <c r="AA315" s="46">
        <f t="shared" si="60"/>
        <v>2.3358602150537635</v>
      </c>
      <c r="AB315" s="48">
        <f t="shared" si="64"/>
        <v>2.3358602150537635</v>
      </c>
      <c r="AC315" s="55" t="str">
        <f t="shared" si="70"/>
        <v>открыт</v>
      </c>
      <c r="AD315" s="55">
        <v>0.93</v>
      </c>
    </row>
    <row r="316" spans="1:30" s="34" customFormat="1" ht="22.5">
      <c r="A316" s="45">
        <v>215</v>
      </c>
      <c r="B316" s="47" t="s">
        <v>268</v>
      </c>
      <c r="C316" s="43" t="s">
        <v>130</v>
      </c>
      <c r="D316" s="64">
        <v>0.73</v>
      </c>
      <c r="E316" s="43">
        <v>0.01</v>
      </c>
      <c r="F316" s="45">
        <v>120</v>
      </c>
      <c r="G316" s="60">
        <f t="shared" si="62"/>
        <v>0.72</v>
      </c>
      <c r="H316" s="43">
        <v>0</v>
      </c>
      <c r="I316" s="43">
        <v>2.625</v>
      </c>
      <c r="J316" s="60">
        <f t="shared" si="63"/>
        <v>1.905</v>
      </c>
      <c r="K316" s="48">
        <f t="shared" si="65"/>
        <v>1.905</v>
      </c>
      <c r="L316" s="46">
        <f t="shared" si="66"/>
        <v>1.6954500000000001</v>
      </c>
      <c r="M316" s="55" t="str">
        <f t="shared" si="67"/>
        <v>открыт</v>
      </c>
      <c r="N316" s="55">
        <v>0.89</v>
      </c>
      <c r="O316" s="30"/>
      <c r="P316" s="45">
        <v>215</v>
      </c>
      <c r="Q316" s="53" t="s">
        <v>268</v>
      </c>
      <c r="R316" s="43" t="s">
        <v>130</v>
      </c>
      <c r="S316" s="57">
        <f t="shared" si="68"/>
        <v>0.1910112359550562</v>
      </c>
      <c r="T316" s="57">
        <v>0.17</v>
      </c>
      <c r="U316" s="46">
        <f t="shared" si="61"/>
        <v>0.92101123595505618</v>
      </c>
      <c r="V316" s="57">
        <f t="shared" si="69"/>
        <v>0.01</v>
      </c>
      <c r="W316" s="54">
        <v>120</v>
      </c>
      <c r="X316" s="57">
        <f t="shared" si="59"/>
        <v>0.91101123595505618</v>
      </c>
      <c r="Y316" s="46">
        <v>0</v>
      </c>
      <c r="Z316" s="46">
        <v>2.625</v>
      </c>
      <c r="AA316" s="46">
        <f t="shared" si="60"/>
        <v>1.7139887640449438</v>
      </c>
      <c r="AB316" s="48">
        <f t="shared" si="64"/>
        <v>1.7139887640449438</v>
      </c>
      <c r="AC316" s="55" t="str">
        <f t="shared" si="70"/>
        <v>открыт</v>
      </c>
      <c r="AD316" s="55">
        <v>0.89</v>
      </c>
    </row>
    <row r="317" spans="1:30" s="34" customFormat="1" ht="22.5">
      <c r="A317" s="45">
        <v>216</v>
      </c>
      <c r="B317" s="47" t="s">
        <v>269</v>
      </c>
      <c r="C317" s="43" t="s">
        <v>32</v>
      </c>
      <c r="D317" s="64">
        <v>0.97</v>
      </c>
      <c r="E317" s="43">
        <v>0</v>
      </c>
      <c r="F317" s="45">
        <v>120</v>
      </c>
      <c r="G317" s="60">
        <f t="shared" si="62"/>
        <v>0.97</v>
      </c>
      <c r="H317" s="43">
        <v>0</v>
      </c>
      <c r="I317" s="43">
        <v>4.2</v>
      </c>
      <c r="J317" s="60">
        <f t="shared" si="63"/>
        <v>3.2300000000000004</v>
      </c>
      <c r="K317" s="48">
        <f t="shared" si="65"/>
        <v>3.2300000000000004</v>
      </c>
      <c r="L317" s="46">
        <f t="shared" si="66"/>
        <v>2.7132000000000001</v>
      </c>
      <c r="M317" s="55" t="str">
        <f t="shared" si="67"/>
        <v>открыт</v>
      </c>
      <c r="N317" s="55">
        <v>0.84</v>
      </c>
      <c r="O317" s="30"/>
      <c r="P317" s="45">
        <v>216</v>
      </c>
      <c r="Q317" s="47" t="s">
        <v>269</v>
      </c>
      <c r="R317" s="43" t="s">
        <v>32</v>
      </c>
      <c r="S317" s="57">
        <f t="shared" si="68"/>
        <v>0.69821428571428568</v>
      </c>
      <c r="T317" s="57">
        <v>0.58649999999999991</v>
      </c>
      <c r="U317" s="46">
        <f t="shared" si="61"/>
        <v>1.6682142857142856</v>
      </c>
      <c r="V317" s="46">
        <f t="shared" si="69"/>
        <v>0</v>
      </c>
      <c r="W317" s="43">
        <v>120</v>
      </c>
      <c r="X317" s="46">
        <f t="shared" si="59"/>
        <v>1.6682142857142856</v>
      </c>
      <c r="Y317" s="46">
        <v>0</v>
      </c>
      <c r="Z317" s="46">
        <v>4.2</v>
      </c>
      <c r="AA317" s="46">
        <f t="shared" si="60"/>
        <v>2.5317857142857143</v>
      </c>
      <c r="AB317" s="48">
        <f t="shared" si="64"/>
        <v>2.5317857142857143</v>
      </c>
      <c r="AC317" s="59" t="str">
        <f t="shared" si="70"/>
        <v>открыт</v>
      </c>
      <c r="AD317" s="55">
        <v>0.84</v>
      </c>
    </row>
    <row r="318" spans="1:30" s="34" customFormat="1" ht="22.5">
      <c r="A318" s="45">
        <v>217</v>
      </c>
      <c r="B318" s="47" t="s">
        <v>270</v>
      </c>
      <c r="C318" s="43" t="s">
        <v>271</v>
      </c>
      <c r="D318" s="64">
        <v>0.47</v>
      </c>
      <c r="E318" s="43">
        <v>0.32</v>
      </c>
      <c r="F318" s="45">
        <v>120</v>
      </c>
      <c r="G318" s="60">
        <f t="shared" si="62"/>
        <v>0.14999999999999997</v>
      </c>
      <c r="H318" s="43">
        <v>0</v>
      </c>
      <c r="I318" s="45">
        <f>1.8*1.05</f>
        <v>1.8900000000000001</v>
      </c>
      <c r="J318" s="60">
        <f t="shared" si="63"/>
        <v>1.7400000000000002</v>
      </c>
      <c r="K318" s="48">
        <f t="shared" si="65"/>
        <v>1.7400000000000002</v>
      </c>
      <c r="L318" s="46">
        <f t="shared" si="66"/>
        <v>1.2354000000000001</v>
      </c>
      <c r="M318" s="55" t="str">
        <f t="shared" si="67"/>
        <v>открыт</v>
      </c>
      <c r="N318" s="55">
        <v>0.71</v>
      </c>
      <c r="O318" s="30"/>
      <c r="P318" s="45">
        <v>217</v>
      </c>
      <c r="Q318" s="53" t="s">
        <v>270</v>
      </c>
      <c r="R318" s="43" t="s">
        <v>271</v>
      </c>
      <c r="S318" s="57">
        <f t="shared" si="68"/>
        <v>0.11971830985915495</v>
      </c>
      <c r="T318" s="57">
        <v>8.5000000000000006E-2</v>
      </c>
      <c r="U318" s="46">
        <f t="shared" si="61"/>
        <v>0.58971830985915497</v>
      </c>
      <c r="V318" s="57">
        <f t="shared" si="69"/>
        <v>0.32</v>
      </c>
      <c r="W318" s="54">
        <v>120</v>
      </c>
      <c r="X318" s="57">
        <f t="shared" si="59"/>
        <v>0.26971830985915496</v>
      </c>
      <c r="Y318" s="46">
        <v>0</v>
      </c>
      <c r="Z318" s="60">
        <f>1.8*1.05</f>
        <v>1.8900000000000001</v>
      </c>
      <c r="AA318" s="46">
        <f t="shared" si="60"/>
        <v>1.6202816901408452</v>
      </c>
      <c r="AB318" s="48">
        <f t="shared" si="64"/>
        <v>1.6202816901408452</v>
      </c>
      <c r="AC318" s="55" t="str">
        <f t="shared" si="70"/>
        <v>открыт</v>
      </c>
      <c r="AD318" s="55">
        <v>0.71</v>
      </c>
    </row>
    <row r="319" spans="1:30" s="34" customFormat="1" ht="22.5">
      <c r="A319" s="45">
        <v>218</v>
      </c>
      <c r="B319" s="47" t="s">
        <v>272</v>
      </c>
      <c r="C319" s="43" t="s">
        <v>32</v>
      </c>
      <c r="D319" s="64">
        <v>1.29</v>
      </c>
      <c r="E319" s="43">
        <v>0.2</v>
      </c>
      <c r="F319" s="45">
        <v>120</v>
      </c>
      <c r="G319" s="60">
        <f t="shared" si="62"/>
        <v>1.0900000000000001</v>
      </c>
      <c r="H319" s="43">
        <v>0</v>
      </c>
      <c r="I319" s="43">
        <v>4.2</v>
      </c>
      <c r="J319" s="60">
        <f t="shared" si="63"/>
        <v>3.1100000000000003</v>
      </c>
      <c r="K319" s="48">
        <f t="shared" si="65"/>
        <v>3.1100000000000003</v>
      </c>
      <c r="L319" s="46">
        <f t="shared" si="66"/>
        <v>2.6124000000000001</v>
      </c>
      <c r="M319" s="55" t="str">
        <f t="shared" si="67"/>
        <v>открыт</v>
      </c>
      <c r="N319" s="55">
        <v>0.84</v>
      </c>
      <c r="O319" s="30"/>
      <c r="P319" s="45">
        <v>218</v>
      </c>
      <c r="Q319" s="53" t="s">
        <v>272</v>
      </c>
      <c r="R319" s="43" t="s">
        <v>32</v>
      </c>
      <c r="S319" s="57">
        <f t="shared" si="68"/>
        <v>0.35416666666666669</v>
      </c>
      <c r="T319" s="57">
        <v>0.29749999999999999</v>
      </c>
      <c r="U319" s="46">
        <f t="shared" si="61"/>
        <v>1.6441666666666668</v>
      </c>
      <c r="V319" s="57">
        <f t="shared" si="69"/>
        <v>0.2</v>
      </c>
      <c r="W319" s="54">
        <v>120</v>
      </c>
      <c r="X319" s="57">
        <f t="shared" si="59"/>
        <v>1.4441666666666668</v>
      </c>
      <c r="Y319" s="46">
        <v>0</v>
      </c>
      <c r="Z319" s="46">
        <v>4.2</v>
      </c>
      <c r="AA319" s="46">
        <f t="shared" si="60"/>
        <v>2.7558333333333334</v>
      </c>
      <c r="AB319" s="48">
        <f t="shared" si="64"/>
        <v>2.7558333333333334</v>
      </c>
      <c r="AC319" s="55" t="str">
        <f t="shared" si="70"/>
        <v>открыт</v>
      </c>
      <c r="AD319" s="55">
        <v>0.84</v>
      </c>
    </row>
    <row r="320" spans="1:30" s="34" customFormat="1" ht="22.5">
      <c r="A320" s="45">
        <v>219</v>
      </c>
      <c r="B320" s="47" t="s">
        <v>273</v>
      </c>
      <c r="C320" s="43" t="s">
        <v>119</v>
      </c>
      <c r="D320" s="64">
        <v>7.89</v>
      </c>
      <c r="E320" s="43">
        <v>0.13</v>
      </c>
      <c r="F320" s="45">
        <v>120</v>
      </c>
      <c r="G320" s="60">
        <f t="shared" si="62"/>
        <v>7.76</v>
      </c>
      <c r="H320" s="43">
        <v>0</v>
      </c>
      <c r="I320" s="43">
        <v>10.5</v>
      </c>
      <c r="J320" s="60">
        <f t="shared" si="63"/>
        <v>2.74</v>
      </c>
      <c r="K320" s="48">
        <f t="shared" si="65"/>
        <v>2.74</v>
      </c>
      <c r="L320" s="46">
        <f t="shared" si="66"/>
        <v>2.4386000000000001</v>
      </c>
      <c r="M320" s="55" t="str">
        <f t="shared" si="67"/>
        <v>открыт</v>
      </c>
      <c r="N320" s="55">
        <v>0.89</v>
      </c>
      <c r="O320" s="30"/>
      <c r="P320" s="65">
        <v>219</v>
      </c>
      <c r="Q320" s="73" t="s">
        <v>273</v>
      </c>
      <c r="R320" s="66" t="s">
        <v>119</v>
      </c>
      <c r="S320" s="67">
        <f t="shared" si="68"/>
        <v>8.8151685393258425</v>
      </c>
      <c r="T320" s="57">
        <v>7.8455000000000004</v>
      </c>
      <c r="U320" s="67">
        <f t="shared" si="61"/>
        <v>16.705168539325843</v>
      </c>
      <c r="V320" s="67">
        <f t="shared" si="69"/>
        <v>0.13</v>
      </c>
      <c r="W320" s="66">
        <v>120</v>
      </c>
      <c r="X320" s="67">
        <f t="shared" si="59"/>
        <v>16.575168539325844</v>
      </c>
      <c r="Y320" s="67">
        <v>0</v>
      </c>
      <c r="Z320" s="67">
        <v>10.5</v>
      </c>
      <c r="AA320" s="67">
        <f t="shared" si="60"/>
        <v>-6.0751685393258441</v>
      </c>
      <c r="AB320" s="72">
        <f t="shared" si="64"/>
        <v>-6.0751685393258441</v>
      </c>
      <c r="AC320" s="68" t="str">
        <f t="shared" si="70"/>
        <v>закрыт</v>
      </c>
      <c r="AD320" s="55">
        <v>0.89</v>
      </c>
    </row>
    <row r="321" spans="1:30" s="34" customFormat="1" ht="22.5">
      <c r="A321" s="45">
        <v>220</v>
      </c>
      <c r="B321" s="47" t="s">
        <v>274</v>
      </c>
      <c r="C321" s="43" t="s">
        <v>130</v>
      </c>
      <c r="D321" s="64">
        <v>0.56000000000000005</v>
      </c>
      <c r="E321" s="43">
        <v>0.41</v>
      </c>
      <c r="F321" s="45">
        <v>120</v>
      </c>
      <c r="G321" s="60">
        <f t="shared" si="62"/>
        <v>0.15000000000000008</v>
      </c>
      <c r="H321" s="43">
        <v>0</v>
      </c>
      <c r="I321" s="43">
        <v>2.625</v>
      </c>
      <c r="J321" s="60">
        <f t="shared" si="63"/>
        <v>2.4750000000000001</v>
      </c>
      <c r="K321" s="48">
        <f t="shared" si="65"/>
        <v>2.4750000000000001</v>
      </c>
      <c r="L321" s="46">
        <f t="shared" si="66"/>
        <v>2.2522500000000001</v>
      </c>
      <c r="M321" s="55" t="str">
        <f t="shared" si="67"/>
        <v>открыт</v>
      </c>
      <c r="N321" s="55">
        <v>0.91</v>
      </c>
      <c r="O321" s="30"/>
      <c r="P321" s="45">
        <v>220</v>
      </c>
      <c r="Q321" s="53" t="s">
        <v>274</v>
      </c>
      <c r="R321" s="43" t="s">
        <v>130</v>
      </c>
      <c r="S321" s="57">
        <f t="shared" si="68"/>
        <v>0.12142857142857143</v>
      </c>
      <c r="T321" s="57">
        <v>0.1105</v>
      </c>
      <c r="U321" s="46">
        <f t="shared" si="61"/>
        <v>0.68142857142857149</v>
      </c>
      <c r="V321" s="57">
        <f t="shared" si="69"/>
        <v>0.41</v>
      </c>
      <c r="W321" s="54">
        <v>120</v>
      </c>
      <c r="X321" s="57">
        <f t="shared" si="59"/>
        <v>0.27142857142857152</v>
      </c>
      <c r="Y321" s="46">
        <v>0</v>
      </c>
      <c r="Z321" s="46">
        <v>2.625</v>
      </c>
      <c r="AA321" s="46">
        <f t="shared" si="60"/>
        <v>2.3535714285714286</v>
      </c>
      <c r="AB321" s="48">
        <f t="shared" si="64"/>
        <v>2.3535714285714286</v>
      </c>
      <c r="AC321" s="55" t="str">
        <f t="shared" si="70"/>
        <v>открыт</v>
      </c>
      <c r="AD321" s="55">
        <v>0.91</v>
      </c>
    </row>
    <row r="322" spans="1:30" s="34" customFormat="1" ht="22.5">
      <c r="A322" s="45">
        <v>221</v>
      </c>
      <c r="B322" s="47" t="s">
        <v>275</v>
      </c>
      <c r="C322" s="43" t="s">
        <v>22</v>
      </c>
      <c r="D322" s="64">
        <v>15.6</v>
      </c>
      <c r="E322" s="43">
        <v>0</v>
      </c>
      <c r="F322" s="45">
        <v>120</v>
      </c>
      <c r="G322" s="60">
        <f t="shared" si="62"/>
        <v>15.6</v>
      </c>
      <c r="H322" s="43">
        <v>0</v>
      </c>
      <c r="I322" s="43">
        <v>16.8</v>
      </c>
      <c r="J322" s="60">
        <f t="shared" si="63"/>
        <v>1.2000000000000011</v>
      </c>
      <c r="K322" s="48">
        <f t="shared" si="65"/>
        <v>1.2000000000000011</v>
      </c>
      <c r="L322" s="46">
        <f t="shared" si="66"/>
        <v>1.128000000000001</v>
      </c>
      <c r="M322" s="55" t="str">
        <f t="shared" si="67"/>
        <v>открыт</v>
      </c>
      <c r="N322" s="55">
        <v>0.94</v>
      </c>
      <c r="O322" s="30"/>
      <c r="P322" s="65">
        <v>221</v>
      </c>
      <c r="Q322" s="73" t="s">
        <v>275</v>
      </c>
      <c r="R322" s="66" t="s">
        <v>22</v>
      </c>
      <c r="S322" s="67">
        <f t="shared" si="68"/>
        <v>6.2303191489361698</v>
      </c>
      <c r="T322" s="57">
        <v>5.8564999999999996</v>
      </c>
      <c r="U322" s="67">
        <f t="shared" si="61"/>
        <v>21.830319148936169</v>
      </c>
      <c r="V322" s="67">
        <f t="shared" si="69"/>
        <v>0</v>
      </c>
      <c r="W322" s="66">
        <v>120</v>
      </c>
      <c r="X322" s="67">
        <f t="shared" si="59"/>
        <v>21.830319148936169</v>
      </c>
      <c r="Y322" s="67">
        <v>0</v>
      </c>
      <c r="Z322" s="67">
        <v>16.8</v>
      </c>
      <c r="AA322" s="67">
        <f t="shared" si="60"/>
        <v>-5.0303191489361687</v>
      </c>
      <c r="AB322" s="72">
        <f t="shared" si="64"/>
        <v>-5.0303191489361687</v>
      </c>
      <c r="AC322" s="68" t="str">
        <f t="shared" si="70"/>
        <v>закрыт</v>
      </c>
      <c r="AD322" s="55">
        <v>0.94</v>
      </c>
    </row>
    <row r="323" spans="1:30" s="34" customFormat="1" ht="22.5">
      <c r="A323" s="96">
        <v>222</v>
      </c>
      <c r="B323" s="47" t="s">
        <v>276</v>
      </c>
      <c r="C323" s="43" t="s">
        <v>128</v>
      </c>
      <c r="D323" s="64">
        <v>2.19</v>
      </c>
      <c r="E323" s="43">
        <f>E324+E325</f>
        <v>1.22</v>
      </c>
      <c r="F323" s="45">
        <v>120</v>
      </c>
      <c r="G323" s="60">
        <f t="shared" si="62"/>
        <v>0.97</v>
      </c>
      <c r="H323" s="43">
        <v>0</v>
      </c>
      <c r="I323" s="43">
        <v>6.6150000000000002</v>
      </c>
      <c r="J323" s="60">
        <f t="shared" si="63"/>
        <v>5.6450000000000005</v>
      </c>
      <c r="K323" s="97">
        <f>MIN(J323:J325)</f>
        <v>5.6450000000000005</v>
      </c>
      <c r="L323" s="93">
        <f t="shared" si="66"/>
        <v>5.4756499999999999</v>
      </c>
      <c r="M323" s="98" t="str">
        <f t="shared" si="67"/>
        <v>открыт</v>
      </c>
      <c r="N323" s="138">
        <v>0.97</v>
      </c>
      <c r="O323" s="30"/>
      <c r="P323" s="96">
        <v>222</v>
      </c>
      <c r="Q323" s="53" t="s">
        <v>276</v>
      </c>
      <c r="R323" s="43" t="s">
        <v>128</v>
      </c>
      <c r="S323" s="60">
        <f>T323/N323</f>
        <v>0.26288659793814434</v>
      </c>
      <c r="T323" s="57">
        <v>0.255</v>
      </c>
      <c r="U323" s="46">
        <f t="shared" si="61"/>
        <v>2.4528865979381442</v>
      </c>
      <c r="V323" s="57">
        <f>V324+V325</f>
        <v>1.3602061855670102</v>
      </c>
      <c r="W323" s="54">
        <v>120</v>
      </c>
      <c r="X323" s="57">
        <f t="shared" si="59"/>
        <v>1.092680412371134</v>
      </c>
      <c r="Y323" s="46">
        <v>0</v>
      </c>
      <c r="Z323" s="46">
        <v>6.6150000000000002</v>
      </c>
      <c r="AA323" s="46">
        <f t="shared" si="60"/>
        <v>5.522319587628866</v>
      </c>
      <c r="AB323" s="97">
        <f>MIN(AA323:AA325)</f>
        <v>5.522319587628866</v>
      </c>
      <c r="AC323" s="98" t="str">
        <f t="shared" si="70"/>
        <v>открыт</v>
      </c>
      <c r="AD323" s="138">
        <v>0.97</v>
      </c>
    </row>
    <row r="324" spans="1:30" s="34" customFormat="1" ht="11.25">
      <c r="A324" s="96"/>
      <c r="B324" s="61" t="s">
        <v>45</v>
      </c>
      <c r="C324" s="43" t="s">
        <v>128</v>
      </c>
      <c r="D324" s="64">
        <f>D323-D325</f>
        <v>0.87999999999999989</v>
      </c>
      <c r="E324" s="69">
        <f>D324</f>
        <v>0.87999999999999989</v>
      </c>
      <c r="F324" s="45"/>
      <c r="G324" s="60">
        <f>D324-E324</f>
        <v>0</v>
      </c>
      <c r="H324" s="43">
        <v>0</v>
      </c>
      <c r="I324" s="43">
        <v>6.6150000000000002</v>
      </c>
      <c r="J324" s="60">
        <f>I324-G324-H324</f>
        <v>6.6150000000000002</v>
      </c>
      <c r="K324" s="97"/>
      <c r="L324" s="93"/>
      <c r="M324" s="99"/>
      <c r="N324" s="138"/>
      <c r="O324" s="30"/>
      <c r="P324" s="96"/>
      <c r="Q324" s="61" t="s">
        <v>45</v>
      </c>
      <c r="R324" s="43" t="s">
        <v>128</v>
      </c>
      <c r="S324" s="60">
        <f>S323-S325</f>
        <v>0.14020618556701031</v>
      </c>
      <c r="T324" s="57">
        <v>0.13600000000000001</v>
      </c>
      <c r="U324" s="46">
        <f t="shared" si="61"/>
        <v>1.0202061855670101</v>
      </c>
      <c r="V324" s="57">
        <f>U324</f>
        <v>1.0202061855670101</v>
      </c>
      <c r="W324" s="54"/>
      <c r="X324" s="57">
        <f t="shared" si="59"/>
        <v>0</v>
      </c>
      <c r="Y324" s="46">
        <v>0</v>
      </c>
      <c r="Z324" s="46">
        <v>6.6150000000000002</v>
      </c>
      <c r="AA324" s="46">
        <f t="shared" si="60"/>
        <v>6.6150000000000002</v>
      </c>
      <c r="AB324" s="97"/>
      <c r="AC324" s="99"/>
      <c r="AD324" s="138"/>
    </row>
    <row r="325" spans="1:30" s="34" customFormat="1" ht="11.25">
      <c r="A325" s="96"/>
      <c r="B325" s="61" t="s">
        <v>46</v>
      </c>
      <c r="C325" s="43" t="s">
        <v>128</v>
      </c>
      <c r="D325" s="64">
        <v>1.31</v>
      </c>
      <c r="E325" s="56">
        <v>0.34</v>
      </c>
      <c r="F325" s="45">
        <v>120</v>
      </c>
      <c r="G325" s="60">
        <f>D325-E325</f>
        <v>0.97</v>
      </c>
      <c r="H325" s="43">
        <v>0</v>
      </c>
      <c r="I325" s="43">
        <v>6.6150000000000002</v>
      </c>
      <c r="J325" s="60">
        <f>I325-G325-H325</f>
        <v>5.6450000000000005</v>
      </c>
      <c r="K325" s="97"/>
      <c r="L325" s="93"/>
      <c r="M325" s="100"/>
      <c r="N325" s="138"/>
      <c r="O325" s="30"/>
      <c r="P325" s="96"/>
      <c r="Q325" s="61" t="s">
        <v>46</v>
      </c>
      <c r="R325" s="43" t="s">
        <v>128</v>
      </c>
      <c r="S325" s="60">
        <f>T325/N323</f>
        <v>0.12268041237113403</v>
      </c>
      <c r="T325" s="57">
        <v>0.11900000000000001</v>
      </c>
      <c r="U325" s="46">
        <f t="shared" si="61"/>
        <v>1.4326804123711341</v>
      </c>
      <c r="V325" s="57">
        <f>'[1]текущий дефицит'!E323</f>
        <v>0.34</v>
      </c>
      <c r="W325" s="54">
        <v>120</v>
      </c>
      <c r="X325" s="57">
        <f t="shared" si="59"/>
        <v>1.092680412371134</v>
      </c>
      <c r="Y325" s="46">
        <v>0</v>
      </c>
      <c r="Z325" s="46">
        <v>6.6150000000000002</v>
      </c>
      <c r="AA325" s="46">
        <f t="shared" si="60"/>
        <v>5.522319587628866</v>
      </c>
      <c r="AB325" s="97"/>
      <c r="AC325" s="100"/>
      <c r="AD325" s="138"/>
    </row>
    <row r="326" spans="1:30" s="34" customFormat="1" ht="22.5">
      <c r="A326" s="96">
        <v>223</v>
      </c>
      <c r="B326" s="47" t="s">
        <v>277</v>
      </c>
      <c r="C326" s="43" t="s">
        <v>20</v>
      </c>
      <c r="D326" s="64">
        <v>2.38</v>
      </c>
      <c r="E326" s="43">
        <f>E327+E328</f>
        <v>1.82</v>
      </c>
      <c r="F326" s="45">
        <v>120</v>
      </c>
      <c r="G326" s="60">
        <f t="shared" si="62"/>
        <v>0.55999999999999983</v>
      </c>
      <c r="H326" s="43">
        <v>0</v>
      </c>
      <c r="I326" s="43">
        <v>10.5</v>
      </c>
      <c r="J326" s="60">
        <f t="shared" si="63"/>
        <v>9.94</v>
      </c>
      <c r="K326" s="97">
        <f>MIN(J326:J328)</f>
        <v>9.94</v>
      </c>
      <c r="L326" s="93">
        <f>K326*N326</f>
        <v>8.6478000000000002</v>
      </c>
      <c r="M326" s="98" t="str">
        <f>IF(K326&lt;0,"закрыт","открыт")</f>
        <v>открыт</v>
      </c>
      <c r="N326" s="138">
        <v>0.87</v>
      </c>
      <c r="O326" s="30"/>
      <c r="P326" s="96">
        <v>223</v>
      </c>
      <c r="Q326" s="53" t="s">
        <v>277</v>
      </c>
      <c r="R326" s="43" t="s">
        <v>20</v>
      </c>
      <c r="S326" s="60">
        <f>T326/N326</f>
        <v>1.6120689655172413</v>
      </c>
      <c r="T326" s="57">
        <v>1.4024999999999999</v>
      </c>
      <c r="U326" s="46">
        <f t="shared" si="61"/>
        <v>3.992068965517241</v>
      </c>
      <c r="V326" s="57">
        <f>V327+V328</f>
        <v>3.4125287356321836</v>
      </c>
      <c r="W326" s="54">
        <v>120</v>
      </c>
      <c r="X326" s="57">
        <f t="shared" si="59"/>
        <v>0.57954022988505738</v>
      </c>
      <c r="Y326" s="46">
        <v>0</v>
      </c>
      <c r="Z326" s="46">
        <v>10.5</v>
      </c>
      <c r="AA326" s="46">
        <f t="shared" si="60"/>
        <v>9.9204597701149417</v>
      </c>
      <c r="AB326" s="97">
        <f>MIN(AA326:AA328)</f>
        <v>9.9204597701149417</v>
      </c>
      <c r="AC326" s="98" t="str">
        <f>IF(AB326&lt;0,"закрыт","открыт")</f>
        <v>открыт</v>
      </c>
      <c r="AD326" s="138">
        <v>0.87</v>
      </c>
    </row>
    <row r="327" spans="1:30" s="34" customFormat="1" ht="11.25">
      <c r="A327" s="96"/>
      <c r="B327" s="61" t="s">
        <v>45</v>
      </c>
      <c r="C327" s="43" t="s">
        <v>20</v>
      </c>
      <c r="D327" s="64">
        <f>D326-D328</f>
        <v>1.5</v>
      </c>
      <c r="E327" s="69">
        <f>D327</f>
        <v>1.5</v>
      </c>
      <c r="F327" s="45"/>
      <c r="G327" s="60">
        <f>D327-E327</f>
        <v>0</v>
      </c>
      <c r="H327" s="43">
        <v>0</v>
      </c>
      <c r="I327" s="43">
        <v>10.5</v>
      </c>
      <c r="J327" s="60">
        <f>I327-G327-H327</f>
        <v>10.5</v>
      </c>
      <c r="K327" s="97"/>
      <c r="L327" s="93"/>
      <c r="M327" s="99"/>
      <c r="N327" s="138"/>
      <c r="O327" s="30"/>
      <c r="P327" s="96"/>
      <c r="Q327" s="61" t="s">
        <v>45</v>
      </c>
      <c r="R327" s="43" t="s">
        <v>20</v>
      </c>
      <c r="S327" s="60">
        <f>S326-S328</f>
        <v>1.5925287356321838</v>
      </c>
      <c r="T327" s="57">
        <v>1.3855</v>
      </c>
      <c r="U327" s="46">
        <f t="shared" si="61"/>
        <v>3.0925287356321838</v>
      </c>
      <c r="V327" s="57">
        <f>U327</f>
        <v>3.0925287356321838</v>
      </c>
      <c r="W327" s="54"/>
      <c r="X327" s="57">
        <f t="shared" si="59"/>
        <v>0</v>
      </c>
      <c r="Y327" s="46">
        <v>0</v>
      </c>
      <c r="Z327" s="46">
        <v>10.5</v>
      </c>
      <c r="AA327" s="46">
        <f t="shared" si="60"/>
        <v>10.5</v>
      </c>
      <c r="AB327" s="97"/>
      <c r="AC327" s="99"/>
      <c r="AD327" s="138"/>
    </row>
    <row r="328" spans="1:30" s="34" customFormat="1" ht="11.25">
      <c r="A328" s="96"/>
      <c r="B328" s="61" t="s">
        <v>46</v>
      </c>
      <c r="C328" s="43" t="s">
        <v>20</v>
      </c>
      <c r="D328" s="64">
        <v>0.88</v>
      </c>
      <c r="E328" s="56">
        <v>0.32</v>
      </c>
      <c r="F328" s="75">
        <v>120</v>
      </c>
      <c r="G328" s="60">
        <f>D328-E328</f>
        <v>0.56000000000000005</v>
      </c>
      <c r="H328" s="43">
        <v>0</v>
      </c>
      <c r="I328" s="43">
        <v>10.5</v>
      </c>
      <c r="J328" s="60">
        <f>I328-G328-H328</f>
        <v>9.94</v>
      </c>
      <c r="K328" s="97"/>
      <c r="L328" s="93"/>
      <c r="M328" s="100"/>
      <c r="N328" s="138"/>
      <c r="O328" s="30"/>
      <c r="P328" s="96"/>
      <c r="Q328" s="61" t="s">
        <v>46</v>
      </c>
      <c r="R328" s="43" t="s">
        <v>20</v>
      </c>
      <c r="S328" s="60">
        <f>T328/N326</f>
        <v>1.9540229885057474E-2</v>
      </c>
      <c r="T328" s="57">
        <v>1.7000000000000001E-2</v>
      </c>
      <c r="U328" s="46">
        <f t="shared" si="61"/>
        <v>0.89954022988505744</v>
      </c>
      <c r="V328" s="57">
        <f>'[1]текущий дефицит'!E326</f>
        <v>0.32</v>
      </c>
      <c r="W328" s="54">
        <v>120</v>
      </c>
      <c r="X328" s="57">
        <f t="shared" si="59"/>
        <v>0.57954022988505738</v>
      </c>
      <c r="Y328" s="46">
        <v>0</v>
      </c>
      <c r="Z328" s="46">
        <v>10.5</v>
      </c>
      <c r="AA328" s="46">
        <f t="shared" si="60"/>
        <v>9.9204597701149417</v>
      </c>
      <c r="AB328" s="97"/>
      <c r="AC328" s="100"/>
      <c r="AD328" s="138"/>
    </row>
    <row r="329" spans="1:30" s="34" customFormat="1" ht="27.75" customHeight="1">
      <c r="A329" s="45">
        <v>224</v>
      </c>
      <c r="B329" s="47" t="s">
        <v>278</v>
      </c>
      <c r="C329" s="43" t="s">
        <v>25</v>
      </c>
      <c r="D329" s="64">
        <v>0.87</v>
      </c>
      <c r="E329" s="43">
        <v>0</v>
      </c>
      <c r="F329" s="45">
        <v>120</v>
      </c>
      <c r="G329" s="60">
        <f t="shared" si="62"/>
        <v>0.87</v>
      </c>
      <c r="H329" s="43">
        <v>0</v>
      </c>
      <c r="I329" s="43">
        <v>2.625</v>
      </c>
      <c r="J329" s="60">
        <f t="shared" si="63"/>
        <v>1.7549999999999999</v>
      </c>
      <c r="K329" s="48">
        <f>J329</f>
        <v>1.7549999999999999</v>
      </c>
      <c r="L329" s="46">
        <f>K329*N329</f>
        <v>1.6496999999999997</v>
      </c>
      <c r="M329" s="55" t="str">
        <f>IF(K329&lt;0,"закрыт","открыт")</f>
        <v>открыт</v>
      </c>
      <c r="N329" s="55">
        <v>0.94</v>
      </c>
      <c r="O329" s="30"/>
      <c r="P329" s="45">
        <v>224</v>
      </c>
      <c r="Q329" s="53" t="s">
        <v>278</v>
      </c>
      <c r="R329" s="43" t="s">
        <v>25</v>
      </c>
      <c r="S329" s="57">
        <f>T329/N329</f>
        <v>0.64202127659574459</v>
      </c>
      <c r="T329" s="57">
        <v>0.60349999999999993</v>
      </c>
      <c r="U329" s="46">
        <f t="shared" si="61"/>
        <v>1.5120212765957446</v>
      </c>
      <c r="V329" s="57">
        <f>E329</f>
        <v>0</v>
      </c>
      <c r="W329" s="54">
        <v>120</v>
      </c>
      <c r="X329" s="57">
        <f t="shared" si="59"/>
        <v>1.5120212765957446</v>
      </c>
      <c r="Y329" s="46">
        <v>0</v>
      </c>
      <c r="Z329" s="46">
        <v>2.625</v>
      </c>
      <c r="AA329" s="46">
        <f t="shared" si="60"/>
        <v>1.1129787234042554</v>
      </c>
      <c r="AB329" s="48">
        <f t="shared" si="64"/>
        <v>1.1129787234042554</v>
      </c>
      <c r="AC329" s="55" t="str">
        <f>IF(AB329&lt;0,"закрыт","открыт")</f>
        <v>открыт</v>
      </c>
      <c r="AD329" s="55">
        <v>0.94</v>
      </c>
    </row>
    <row r="330" spans="1:30" s="34" customFormat="1" ht="22.5">
      <c r="A330" s="45">
        <v>225</v>
      </c>
      <c r="B330" s="47" t="s">
        <v>279</v>
      </c>
      <c r="C330" s="43" t="s">
        <v>130</v>
      </c>
      <c r="D330" s="64">
        <v>0.28999999999999998</v>
      </c>
      <c r="E330" s="43">
        <v>0</v>
      </c>
      <c r="F330" s="45">
        <v>120</v>
      </c>
      <c r="G330" s="60">
        <f t="shared" si="62"/>
        <v>0.28999999999999998</v>
      </c>
      <c r="H330" s="43">
        <v>0</v>
      </c>
      <c r="I330" s="43">
        <v>2.625</v>
      </c>
      <c r="J330" s="60">
        <f t="shared" si="63"/>
        <v>2.335</v>
      </c>
      <c r="K330" s="48">
        <f>J330</f>
        <v>2.335</v>
      </c>
      <c r="L330" s="46">
        <f>K330*N330</f>
        <v>2.1948999999999996</v>
      </c>
      <c r="M330" s="55" t="str">
        <f>IF(K330&lt;0,"закрыт","открыт")</f>
        <v>открыт</v>
      </c>
      <c r="N330" s="55">
        <v>0.94</v>
      </c>
      <c r="O330" s="30"/>
      <c r="P330" s="45">
        <v>225</v>
      </c>
      <c r="Q330" s="53" t="s">
        <v>279</v>
      </c>
      <c r="R330" s="43" t="s">
        <v>130</v>
      </c>
      <c r="S330" s="57">
        <f>T330/N330</f>
        <v>0</v>
      </c>
      <c r="T330" s="57">
        <v>0</v>
      </c>
      <c r="U330" s="46">
        <f t="shared" si="61"/>
        <v>0.28999999999999998</v>
      </c>
      <c r="V330" s="57">
        <f>E330</f>
        <v>0</v>
      </c>
      <c r="W330" s="54">
        <v>120</v>
      </c>
      <c r="X330" s="57">
        <f t="shared" si="59"/>
        <v>0.28999999999999998</v>
      </c>
      <c r="Y330" s="46">
        <v>0</v>
      </c>
      <c r="Z330" s="46">
        <v>2.625</v>
      </c>
      <c r="AA330" s="46">
        <f t="shared" si="60"/>
        <v>2.335</v>
      </c>
      <c r="AB330" s="48">
        <f t="shared" si="64"/>
        <v>2.335</v>
      </c>
      <c r="AC330" s="55" t="str">
        <f>IF(AB330&lt;0,"закрыт","открыт")</f>
        <v>открыт</v>
      </c>
      <c r="AD330" s="55">
        <v>0.94</v>
      </c>
    </row>
    <row r="331" spans="1:30" s="34" customFormat="1" ht="29.25" customHeight="1">
      <c r="A331" s="96">
        <v>226</v>
      </c>
      <c r="B331" s="47" t="s">
        <v>280</v>
      </c>
      <c r="C331" s="43" t="s">
        <v>116</v>
      </c>
      <c r="D331" s="64">
        <v>23.41</v>
      </c>
      <c r="E331" s="43">
        <f>E332+E333</f>
        <v>4.78</v>
      </c>
      <c r="F331" s="45">
        <v>120</v>
      </c>
      <c r="G331" s="60">
        <f t="shared" si="62"/>
        <v>18.63</v>
      </c>
      <c r="H331" s="43">
        <v>0</v>
      </c>
      <c r="I331" s="43">
        <v>26.25</v>
      </c>
      <c r="J331" s="60">
        <f t="shared" si="63"/>
        <v>7.620000000000001</v>
      </c>
      <c r="K331" s="97">
        <f>MIN(J331:J333)</f>
        <v>7.620000000000001</v>
      </c>
      <c r="L331" s="93">
        <f>K331*N331</f>
        <v>6.9342000000000015</v>
      </c>
      <c r="M331" s="98" t="str">
        <f>IF(K331&lt;0,"закрыт","открыт")</f>
        <v>открыт</v>
      </c>
      <c r="N331" s="138">
        <v>0.91</v>
      </c>
      <c r="O331" s="30"/>
      <c r="P331" s="104">
        <v>226</v>
      </c>
      <c r="Q331" s="73" t="s">
        <v>280</v>
      </c>
      <c r="R331" s="66" t="s">
        <v>116</v>
      </c>
      <c r="S331" s="72">
        <f>T331/N331</f>
        <v>13.956043956043954</v>
      </c>
      <c r="T331" s="57">
        <v>12.7</v>
      </c>
      <c r="U331" s="67">
        <f t="shared" si="61"/>
        <v>37.366043956043953</v>
      </c>
      <c r="V331" s="67">
        <f>V332+V333</f>
        <v>6.8199999999999994</v>
      </c>
      <c r="W331" s="66">
        <v>120</v>
      </c>
      <c r="X331" s="67">
        <f t="shared" si="59"/>
        <v>30.546043956043953</v>
      </c>
      <c r="Y331" s="67">
        <v>0</v>
      </c>
      <c r="Z331" s="67">
        <v>26.25</v>
      </c>
      <c r="AA331" s="67">
        <f t="shared" si="60"/>
        <v>-4.2960439560439525</v>
      </c>
      <c r="AB331" s="105">
        <f>MIN(AA331:AA333)</f>
        <v>-4.2960439560439525</v>
      </c>
      <c r="AC331" s="106" t="str">
        <f>IF(AB331&lt;0,"закрыт","открыт")</f>
        <v>закрыт</v>
      </c>
      <c r="AD331" s="138">
        <v>0.91</v>
      </c>
    </row>
    <row r="332" spans="1:30" s="34" customFormat="1" ht="11.25">
      <c r="A332" s="96"/>
      <c r="B332" s="61" t="s">
        <v>45</v>
      </c>
      <c r="C332" s="43" t="s">
        <v>116</v>
      </c>
      <c r="D332" s="64">
        <f>D331-D333</f>
        <v>8.2100000000000009</v>
      </c>
      <c r="E332" s="56">
        <v>3.06</v>
      </c>
      <c r="F332" s="45"/>
      <c r="G332" s="60">
        <f>D332-E332</f>
        <v>5.15</v>
      </c>
      <c r="H332" s="43">
        <v>0</v>
      </c>
      <c r="I332" s="43">
        <v>26.25</v>
      </c>
      <c r="J332" s="60">
        <f>I332-G332-H332</f>
        <v>21.1</v>
      </c>
      <c r="K332" s="97"/>
      <c r="L332" s="93"/>
      <c r="M332" s="99"/>
      <c r="N332" s="138"/>
      <c r="O332" s="30"/>
      <c r="P332" s="104"/>
      <c r="Q332" s="74" t="s">
        <v>45</v>
      </c>
      <c r="R332" s="66" t="s">
        <v>116</v>
      </c>
      <c r="S332" s="72">
        <f>S331-S333</f>
        <v>5.4945054945054927</v>
      </c>
      <c r="T332" s="57">
        <v>4.9979999999999993</v>
      </c>
      <c r="U332" s="67">
        <f t="shared" si="61"/>
        <v>13.704505494505494</v>
      </c>
      <c r="V332" s="67">
        <v>5.0999999999999996</v>
      </c>
      <c r="W332" s="66"/>
      <c r="X332" s="67">
        <f t="shared" si="59"/>
        <v>8.604505494505494</v>
      </c>
      <c r="Y332" s="67">
        <v>0</v>
      </c>
      <c r="Z332" s="67">
        <v>26.25</v>
      </c>
      <c r="AA332" s="67">
        <f t="shared" si="60"/>
        <v>17.645494505494504</v>
      </c>
      <c r="AB332" s="105"/>
      <c r="AC332" s="107"/>
      <c r="AD332" s="138"/>
    </row>
    <row r="333" spans="1:30" s="34" customFormat="1" ht="11.25">
      <c r="A333" s="96"/>
      <c r="B333" s="61" t="s">
        <v>46</v>
      </c>
      <c r="C333" s="43" t="s">
        <v>116</v>
      </c>
      <c r="D333" s="64">
        <v>15.2</v>
      </c>
      <c r="E333" s="56">
        <v>1.72</v>
      </c>
      <c r="F333" s="45">
        <v>120</v>
      </c>
      <c r="G333" s="60">
        <f>D333-E333</f>
        <v>13.479999999999999</v>
      </c>
      <c r="H333" s="43">
        <v>0</v>
      </c>
      <c r="I333" s="43">
        <v>26.25</v>
      </c>
      <c r="J333" s="60">
        <f>I333-G333-H333</f>
        <v>12.770000000000001</v>
      </c>
      <c r="K333" s="97"/>
      <c r="L333" s="93"/>
      <c r="M333" s="100"/>
      <c r="N333" s="138"/>
      <c r="O333" s="30"/>
      <c r="P333" s="104"/>
      <c r="Q333" s="74" t="s">
        <v>46</v>
      </c>
      <c r="R333" s="66" t="s">
        <v>116</v>
      </c>
      <c r="S333" s="72">
        <f>T333/N331</f>
        <v>8.4615384615384617</v>
      </c>
      <c r="T333" s="57">
        <v>7.7</v>
      </c>
      <c r="U333" s="67">
        <f t="shared" si="61"/>
        <v>23.661538461538463</v>
      </c>
      <c r="V333" s="67">
        <f>'[1]текущий дефицит'!E331</f>
        <v>1.72</v>
      </c>
      <c r="W333" s="66">
        <v>120</v>
      </c>
      <c r="X333" s="67">
        <f t="shared" si="59"/>
        <v>21.941538461538464</v>
      </c>
      <c r="Y333" s="67">
        <v>0</v>
      </c>
      <c r="Z333" s="67">
        <v>26.25</v>
      </c>
      <c r="AA333" s="67">
        <f t="shared" si="60"/>
        <v>4.3084615384615361</v>
      </c>
      <c r="AB333" s="105"/>
      <c r="AC333" s="108"/>
      <c r="AD333" s="138"/>
    </row>
    <row r="334" spans="1:30" s="34" customFormat="1" ht="22.5">
      <c r="A334" s="45">
        <v>227</v>
      </c>
      <c r="B334" s="47" t="s">
        <v>281</v>
      </c>
      <c r="C334" s="43" t="s">
        <v>32</v>
      </c>
      <c r="D334" s="64">
        <v>0.91</v>
      </c>
      <c r="E334" s="43">
        <v>1.18</v>
      </c>
      <c r="F334" s="45">
        <v>120</v>
      </c>
      <c r="G334" s="60">
        <f t="shared" si="62"/>
        <v>-0.26999999999999991</v>
      </c>
      <c r="H334" s="43">
        <v>0</v>
      </c>
      <c r="I334" s="43">
        <v>4.2</v>
      </c>
      <c r="J334" s="60">
        <f t="shared" si="63"/>
        <v>4.47</v>
      </c>
      <c r="K334" s="48">
        <f t="shared" ref="K334:K341" si="71">J334</f>
        <v>4.47</v>
      </c>
      <c r="L334" s="46">
        <f t="shared" ref="L334:L342" si="72">K334*N334</f>
        <v>3.1736999999999997</v>
      </c>
      <c r="M334" s="55" t="str">
        <f t="shared" ref="M334:M342" si="73">IF(K334&lt;0,"закрыт","открыт")</f>
        <v>открыт</v>
      </c>
      <c r="N334" s="55">
        <v>0.71</v>
      </c>
      <c r="O334" s="30"/>
      <c r="P334" s="45">
        <v>227</v>
      </c>
      <c r="Q334" s="53" t="s">
        <v>281</v>
      </c>
      <c r="R334" s="43" t="s">
        <v>32</v>
      </c>
      <c r="S334" s="57">
        <f t="shared" ref="S334:S341" si="74">T334/N334</f>
        <v>2.8852112676056341</v>
      </c>
      <c r="T334" s="57">
        <v>2.0485000000000002</v>
      </c>
      <c r="U334" s="46">
        <f t="shared" si="61"/>
        <v>3.7952112676056342</v>
      </c>
      <c r="V334" s="57">
        <f t="shared" ref="V334:V341" si="75">E334</f>
        <v>1.18</v>
      </c>
      <c r="W334" s="54">
        <v>120</v>
      </c>
      <c r="X334" s="57">
        <f t="shared" si="59"/>
        <v>2.615211267605634</v>
      </c>
      <c r="Y334" s="46">
        <v>0</v>
      </c>
      <c r="Z334" s="46">
        <v>4.2</v>
      </c>
      <c r="AA334" s="46">
        <f t="shared" si="60"/>
        <v>1.5847887323943661</v>
      </c>
      <c r="AB334" s="48">
        <f t="shared" si="64"/>
        <v>1.5847887323943661</v>
      </c>
      <c r="AC334" s="55" t="str">
        <f t="shared" ref="AC334:AC342" si="76">IF(AB334&lt;0,"закрыт","открыт")</f>
        <v>открыт</v>
      </c>
      <c r="AD334" s="55">
        <v>0.71</v>
      </c>
    </row>
    <row r="335" spans="1:30" s="34" customFormat="1" ht="22.5">
      <c r="A335" s="45">
        <v>228</v>
      </c>
      <c r="B335" s="47" t="s">
        <v>282</v>
      </c>
      <c r="C335" s="43" t="s">
        <v>32</v>
      </c>
      <c r="D335" s="64">
        <v>0.78</v>
      </c>
      <c r="E335" s="43">
        <v>0.56999999999999995</v>
      </c>
      <c r="F335" s="45">
        <v>120</v>
      </c>
      <c r="G335" s="60">
        <f t="shared" si="62"/>
        <v>0.21000000000000008</v>
      </c>
      <c r="H335" s="43">
        <v>0</v>
      </c>
      <c r="I335" s="43">
        <v>4.2</v>
      </c>
      <c r="J335" s="60">
        <f t="shared" si="63"/>
        <v>3.99</v>
      </c>
      <c r="K335" s="48">
        <f t="shared" si="71"/>
        <v>3.99</v>
      </c>
      <c r="L335" s="46">
        <f t="shared" si="72"/>
        <v>3.5511000000000004</v>
      </c>
      <c r="M335" s="55" t="str">
        <f t="shared" si="73"/>
        <v>открыт</v>
      </c>
      <c r="N335" s="55">
        <v>0.89</v>
      </c>
      <c r="O335" s="30"/>
      <c r="P335" s="45">
        <v>228</v>
      </c>
      <c r="Q335" s="53" t="s">
        <v>282</v>
      </c>
      <c r="R335" s="43" t="s">
        <v>32</v>
      </c>
      <c r="S335" s="57">
        <f t="shared" si="74"/>
        <v>0.43932584269662922</v>
      </c>
      <c r="T335" s="57">
        <v>0.39100000000000001</v>
      </c>
      <c r="U335" s="46">
        <f t="shared" si="61"/>
        <v>1.2193258426966294</v>
      </c>
      <c r="V335" s="57">
        <f t="shared" si="75"/>
        <v>0.56999999999999995</v>
      </c>
      <c r="W335" s="54">
        <v>120</v>
      </c>
      <c r="X335" s="57">
        <f t="shared" si="59"/>
        <v>0.64932584269662941</v>
      </c>
      <c r="Y335" s="46">
        <v>0</v>
      </c>
      <c r="Z335" s="46">
        <v>4.2</v>
      </c>
      <c r="AA335" s="46">
        <f t="shared" si="60"/>
        <v>3.5506741573033707</v>
      </c>
      <c r="AB335" s="48">
        <f t="shared" si="64"/>
        <v>3.5506741573033707</v>
      </c>
      <c r="AC335" s="55" t="str">
        <f t="shared" si="76"/>
        <v>открыт</v>
      </c>
      <c r="AD335" s="55">
        <v>0.89</v>
      </c>
    </row>
    <row r="336" spans="1:30" s="34" customFormat="1" ht="22.5">
      <c r="A336" s="45">
        <v>229</v>
      </c>
      <c r="B336" s="47" t="s">
        <v>283</v>
      </c>
      <c r="C336" s="43" t="s">
        <v>182</v>
      </c>
      <c r="D336" s="64">
        <v>0.22</v>
      </c>
      <c r="E336" s="43">
        <v>0</v>
      </c>
      <c r="F336" s="45">
        <v>120</v>
      </c>
      <c r="G336" s="60">
        <f t="shared" si="62"/>
        <v>0.22</v>
      </c>
      <c r="H336" s="43">
        <v>0</v>
      </c>
      <c r="I336" s="43">
        <v>1.68</v>
      </c>
      <c r="J336" s="60">
        <f t="shared" si="63"/>
        <v>1.46</v>
      </c>
      <c r="K336" s="48">
        <f t="shared" si="71"/>
        <v>1.46</v>
      </c>
      <c r="L336" s="46">
        <f t="shared" si="72"/>
        <v>1.3578000000000001</v>
      </c>
      <c r="M336" s="55" t="str">
        <f t="shared" si="73"/>
        <v>открыт</v>
      </c>
      <c r="N336" s="55">
        <v>0.93</v>
      </c>
      <c r="O336" s="30"/>
      <c r="P336" s="45">
        <v>229</v>
      </c>
      <c r="Q336" s="53" t="s">
        <v>283</v>
      </c>
      <c r="R336" s="43" t="s">
        <v>182</v>
      </c>
      <c r="S336" s="57">
        <f t="shared" si="74"/>
        <v>0</v>
      </c>
      <c r="T336" s="57">
        <v>0</v>
      </c>
      <c r="U336" s="46">
        <f t="shared" si="61"/>
        <v>0.22</v>
      </c>
      <c r="V336" s="57">
        <f t="shared" si="75"/>
        <v>0</v>
      </c>
      <c r="W336" s="54">
        <v>120</v>
      </c>
      <c r="X336" s="57">
        <f t="shared" si="59"/>
        <v>0.22</v>
      </c>
      <c r="Y336" s="46">
        <v>0</v>
      </c>
      <c r="Z336" s="46">
        <v>1.68</v>
      </c>
      <c r="AA336" s="46">
        <f t="shared" si="60"/>
        <v>1.46</v>
      </c>
      <c r="AB336" s="48">
        <f t="shared" si="64"/>
        <v>1.46</v>
      </c>
      <c r="AC336" s="55" t="str">
        <f t="shared" si="76"/>
        <v>открыт</v>
      </c>
      <c r="AD336" s="55">
        <v>0.93</v>
      </c>
    </row>
    <row r="337" spans="1:30" s="34" customFormat="1" ht="22.5">
      <c r="A337" s="45">
        <v>230</v>
      </c>
      <c r="B337" s="47" t="s">
        <v>284</v>
      </c>
      <c r="C337" s="43" t="s">
        <v>32</v>
      </c>
      <c r="D337" s="64">
        <v>3.56</v>
      </c>
      <c r="E337" s="43">
        <v>0.21</v>
      </c>
      <c r="F337" s="45">
        <v>120</v>
      </c>
      <c r="G337" s="60">
        <f t="shared" si="62"/>
        <v>3.35</v>
      </c>
      <c r="H337" s="43">
        <v>0</v>
      </c>
      <c r="I337" s="43">
        <v>4.2</v>
      </c>
      <c r="J337" s="60">
        <f t="shared" si="63"/>
        <v>0.85000000000000009</v>
      </c>
      <c r="K337" s="48">
        <f t="shared" si="71"/>
        <v>0.85000000000000009</v>
      </c>
      <c r="L337" s="46">
        <f t="shared" si="72"/>
        <v>0.79900000000000004</v>
      </c>
      <c r="M337" s="55" t="str">
        <f t="shared" si="73"/>
        <v>открыт</v>
      </c>
      <c r="N337" s="55">
        <v>0.94</v>
      </c>
      <c r="O337" s="30"/>
      <c r="P337" s="65">
        <v>230</v>
      </c>
      <c r="Q337" s="73" t="s">
        <v>284</v>
      </c>
      <c r="R337" s="66" t="s">
        <v>32</v>
      </c>
      <c r="S337" s="67">
        <f t="shared" si="74"/>
        <v>1.2840425531914892</v>
      </c>
      <c r="T337" s="57">
        <v>1.2069999999999999</v>
      </c>
      <c r="U337" s="67">
        <f t="shared" si="61"/>
        <v>4.844042553191489</v>
      </c>
      <c r="V337" s="67">
        <f t="shared" si="75"/>
        <v>0.21</v>
      </c>
      <c r="W337" s="66">
        <v>120</v>
      </c>
      <c r="X337" s="67">
        <f t="shared" ref="X337:X376" si="77">U337-V337</f>
        <v>4.6340425531914891</v>
      </c>
      <c r="Y337" s="67">
        <v>0</v>
      </c>
      <c r="Z337" s="67">
        <v>4.2</v>
      </c>
      <c r="AA337" s="67">
        <f t="shared" ref="AA337:AA376" si="78">Z337-Y337-X337</f>
        <v>-0.43404255319148888</v>
      </c>
      <c r="AB337" s="72">
        <f t="shared" si="64"/>
        <v>-0.43404255319148888</v>
      </c>
      <c r="AC337" s="68" t="str">
        <f t="shared" si="76"/>
        <v>закрыт</v>
      </c>
      <c r="AD337" s="55">
        <v>0.94</v>
      </c>
    </row>
    <row r="338" spans="1:30" s="34" customFormat="1" ht="22.5">
      <c r="A338" s="45">
        <v>231</v>
      </c>
      <c r="B338" s="47" t="s">
        <v>285</v>
      </c>
      <c r="C338" s="43" t="s">
        <v>130</v>
      </c>
      <c r="D338" s="64">
        <v>2.04</v>
      </c>
      <c r="E338" s="43">
        <v>0.75</v>
      </c>
      <c r="F338" s="45">
        <v>120</v>
      </c>
      <c r="G338" s="60">
        <f t="shared" si="62"/>
        <v>1.29</v>
      </c>
      <c r="H338" s="43">
        <v>0</v>
      </c>
      <c r="I338" s="43">
        <v>2.625</v>
      </c>
      <c r="J338" s="60">
        <f t="shared" si="63"/>
        <v>1.335</v>
      </c>
      <c r="K338" s="48">
        <f t="shared" si="71"/>
        <v>1.335</v>
      </c>
      <c r="L338" s="46">
        <f t="shared" si="72"/>
        <v>1.0947</v>
      </c>
      <c r="M338" s="55" t="str">
        <f t="shared" si="73"/>
        <v>открыт</v>
      </c>
      <c r="N338" s="55">
        <v>0.82</v>
      </c>
      <c r="O338" s="30"/>
      <c r="P338" s="45">
        <v>231</v>
      </c>
      <c r="Q338" s="53" t="s">
        <v>285</v>
      </c>
      <c r="R338" s="43" t="s">
        <v>130</v>
      </c>
      <c r="S338" s="57">
        <f t="shared" si="74"/>
        <v>0.10365853658536586</v>
      </c>
      <c r="T338" s="57">
        <v>8.5000000000000006E-2</v>
      </c>
      <c r="U338" s="46">
        <f t="shared" ref="U338:U376" si="79">D338+S338</f>
        <v>2.1436585365853658</v>
      </c>
      <c r="V338" s="57">
        <f t="shared" si="75"/>
        <v>0.75</v>
      </c>
      <c r="W338" s="54">
        <v>120</v>
      </c>
      <c r="X338" s="57">
        <f t="shared" si="77"/>
        <v>1.3936585365853658</v>
      </c>
      <c r="Y338" s="46">
        <v>0</v>
      </c>
      <c r="Z338" s="46">
        <v>2.625</v>
      </c>
      <c r="AA338" s="46">
        <f t="shared" si="78"/>
        <v>1.2313414634146342</v>
      </c>
      <c r="AB338" s="48">
        <f t="shared" si="64"/>
        <v>1.2313414634146342</v>
      </c>
      <c r="AC338" s="55" t="str">
        <f t="shared" si="76"/>
        <v>открыт</v>
      </c>
      <c r="AD338" s="55">
        <v>0.82</v>
      </c>
    </row>
    <row r="339" spans="1:30" s="34" customFormat="1" ht="22.5">
      <c r="A339" s="45">
        <v>232</v>
      </c>
      <c r="B339" s="47" t="s">
        <v>286</v>
      </c>
      <c r="C339" s="43" t="s">
        <v>32</v>
      </c>
      <c r="D339" s="64">
        <v>1.43</v>
      </c>
      <c r="E339" s="43">
        <v>0</v>
      </c>
      <c r="F339" s="45">
        <v>120</v>
      </c>
      <c r="G339" s="60">
        <f t="shared" si="62"/>
        <v>1.43</v>
      </c>
      <c r="H339" s="43">
        <v>0</v>
      </c>
      <c r="I339" s="43">
        <v>4.2</v>
      </c>
      <c r="J339" s="60">
        <f t="shared" si="63"/>
        <v>2.7700000000000005</v>
      </c>
      <c r="K339" s="48">
        <f t="shared" si="71"/>
        <v>2.7700000000000005</v>
      </c>
      <c r="L339" s="46">
        <f t="shared" si="72"/>
        <v>1.8559000000000003</v>
      </c>
      <c r="M339" s="55" t="str">
        <f t="shared" si="73"/>
        <v>открыт</v>
      </c>
      <c r="N339" s="55">
        <v>0.67</v>
      </c>
      <c r="O339" s="30"/>
      <c r="P339" s="45">
        <v>232</v>
      </c>
      <c r="Q339" s="53" t="s">
        <v>286</v>
      </c>
      <c r="R339" s="43" t="s">
        <v>32</v>
      </c>
      <c r="S339" s="57">
        <f t="shared" si="74"/>
        <v>0</v>
      </c>
      <c r="T339" s="57">
        <v>0</v>
      </c>
      <c r="U339" s="46">
        <f t="shared" si="79"/>
        <v>1.43</v>
      </c>
      <c r="V339" s="57">
        <f t="shared" si="75"/>
        <v>0</v>
      </c>
      <c r="W339" s="54">
        <v>120</v>
      </c>
      <c r="X339" s="57">
        <f t="shared" si="77"/>
        <v>1.43</v>
      </c>
      <c r="Y339" s="46">
        <v>0</v>
      </c>
      <c r="Z339" s="46">
        <v>4.2</v>
      </c>
      <c r="AA339" s="46">
        <f t="shared" si="78"/>
        <v>2.7700000000000005</v>
      </c>
      <c r="AB339" s="48">
        <f t="shared" si="64"/>
        <v>2.7700000000000005</v>
      </c>
      <c r="AC339" s="55" t="str">
        <f t="shared" si="76"/>
        <v>открыт</v>
      </c>
      <c r="AD339" s="55">
        <v>0.67</v>
      </c>
    </row>
    <row r="340" spans="1:30" s="34" customFormat="1" ht="22.5">
      <c r="A340" s="45">
        <v>233</v>
      </c>
      <c r="B340" s="47" t="s">
        <v>287</v>
      </c>
      <c r="C340" s="43" t="s">
        <v>24</v>
      </c>
      <c r="D340" s="64">
        <v>0.52</v>
      </c>
      <c r="E340" s="43">
        <v>0.48</v>
      </c>
      <c r="F340" s="45">
        <v>120</v>
      </c>
      <c r="G340" s="60">
        <f t="shared" si="62"/>
        <v>4.0000000000000036E-2</v>
      </c>
      <c r="H340" s="43">
        <v>0</v>
      </c>
      <c r="I340" s="43">
        <v>1.68</v>
      </c>
      <c r="J340" s="60">
        <f t="shared" si="63"/>
        <v>1.64</v>
      </c>
      <c r="K340" s="48">
        <f t="shared" si="71"/>
        <v>1.64</v>
      </c>
      <c r="L340" s="46">
        <f t="shared" si="72"/>
        <v>1.5251999999999999</v>
      </c>
      <c r="M340" s="55" t="str">
        <f t="shared" si="73"/>
        <v>открыт</v>
      </c>
      <c r="N340" s="55">
        <v>0.93</v>
      </c>
      <c r="O340" s="30"/>
      <c r="P340" s="45">
        <v>233</v>
      </c>
      <c r="Q340" s="53" t="s">
        <v>287</v>
      </c>
      <c r="R340" s="43" t="s">
        <v>24</v>
      </c>
      <c r="S340" s="57">
        <f t="shared" si="74"/>
        <v>8.225806451612902E-2</v>
      </c>
      <c r="T340" s="57">
        <v>7.6499999999999999E-2</v>
      </c>
      <c r="U340" s="46">
        <f t="shared" si="79"/>
        <v>0.60225806451612907</v>
      </c>
      <c r="V340" s="57">
        <f t="shared" si="75"/>
        <v>0.48</v>
      </c>
      <c r="W340" s="54">
        <v>120</v>
      </c>
      <c r="X340" s="57">
        <f t="shared" si="77"/>
        <v>0.12225806451612908</v>
      </c>
      <c r="Y340" s="46">
        <v>0</v>
      </c>
      <c r="Z340" s="46">
        <v>1.68</v>
      </c>
      <c r="AA340" s="46">
        <f t="shared" si="78"/>
        <v>1.5577419354838709</v>
      </c>
      <c r="AB340" s="48">
        <f t="shared" si="64"/>
        <v>1.5577419354838709</v>
      </c>
      <c r="AC340" s="55" t="str">
        <f t="shared" si="76"/>
        <v>открыт</v>
      </c>
      <c r="AD340" s="55">
        <v>0.93</v>
      </c>
    </row>
    <row r="341" spans="1:30" s="34" customFormat="1" ht="22.5">
      <c r="A341" s="45">
        <v>234</v>
      </c>
      <c r="B341" s="47" t="s">
        <v>288</v>
      </c>
      <c r="C341" s="43" t="s">
        <v>22</v>
      </c>
      <c r="D341" s="64">
        <v>4.5</v>
      </c>
      <c r="E341" s="43">
        <v>0.97</v>
      </c>
      <c r="F341" s="45">
        <v>120</v>
      </c>
      <c r="G341" s="60">
        <f t="shared" si="62"/>
        <v>3.5300000000000002</v>
      </c>
      <c r="H341" s="43">
        <v>0</v>
      </c>
      <c r="I341" s="43">
        <v>16.8</v>
      </c>
      <c r="J341" s="60">
        <f t="shared" si="63"/>
        <v>13.27</v>
      </c>
      <c r="K341" s="48">
        <f t="shared" si="71"/>
        <v>13.27</v>
      </c>
      <c r="L341" s="46">
        <f t="shared" si="72"/>
        <v>12.075699999999999</v>
      </c>
      <c r="M341" s="55" t="str">
        <f t="shared" si="73"/>
        <v>открыт</v>
      </c>
      <c r="N341" s="55">
        <v>0.91</v>
      </c>
      <c r="O341" s="30"/>
      <c r="P341" s="45">
        <v>234</v>
      </c>
      <c r="Q341" s="53" t="s">
        <v>288</v>
      </c>
      <c r="R341" s="43" t="s">
        <v>22</v>
      </c>
      <c r="S341" s="57">
        <f t="shared" si="74"/>
        <v>2.2604395604395604</v>
      </c>
      <c r="T341" s="57">
        <v>2.0569999999999999</v>
      </c>
      <c r="U341" s="46">
        <f t="shared" si="79"/>
        <v>6.7604395604395604</v>
      </c>
      <c r="V341" s="57">
        <f t="shared" si="75"/>
        <v>0.97</v>
      </c>
      <c r="W341" s="54">
        <v>120</v>
      </c>
      <c r="X341" s="57">
        <f t="shared" si="77"/>
        <v>5.7904395604395607</v>
      </c>
      <c r="Y341" s="46">
        <v>0</v>
      </c>
      <c r="Z341" s="46">
        <v>16.8</v>
      </c>
      <c r="AA341" s="46">
        <f t="shared" si="78"/>
        <v>11.00956043956044</v>
      </c>
      <c r="AB341" s="48">
        <f t="shared" si="64"/>
        <v>11.00956043956044</v>
      </c>
      <c r="AC341" s="55" t="str">
        <f t="shared" si="76"/>
        <v>открыт</v>
      </c>
      <c r="AD341" s="55">
        <v>0.91</v>
      </c>
    </row>
    <row r="342" spans="1:30" s="34" customFormat="1" ht="28.5" customHeight="1">
      <c r="A342" s="96">
        <v>235</v>
      </c>
      <c r="B342" s="47" t="s">
        <v>289</v>
      </c>
      <c r="C342" s="43" t="s">
        <v>119</v>
      </c>
      <c r="D342" s="64">
        <v>3.81</v>
      </c>
      <c r="E342" s="46">
        <f>E343+E344</f>
        <v>3.1700000000000004</v>
      </c>
      <c r="F342" s="45">
        <v>120</v>
      </c>
      <c r="G342" s="60">
        <f t="shared" si="62"/>
        <v>0.63999999999999968</v>
      </c>
      <c r="H342" s="43">
        <v>0</v>
      </c>
      <c r="I342" s="43">
        <v>10.5</v>
      </c>
      <c r="J342" s="60">
        <f t="shared" si="63"/>
        <v>9.86</v>
      </c>
      <c r="K342" s="97">
        <f>MIN(J342:J344)</f>
        <v>9.86</v>
      </c>
      <c r="L342" s="93">
        <f t="shared" si="72"/>
        <v>8.3809999999999985</v>
      </c>
      <c r="M342" s="98" t="str">
        <f t="shared" si="73"/>
        <v>открыт</v>
      </c>
      <c r="N342" s="138">
        <v>0.85</v>
      </c>
      <c r="O342" s="30"/>
      <c r="P342" s="96">
        <v>235</v>
      </c>
      <c r="Q342" s="53" t="s">
        <v>289</v>
      </c>
      <c r="R342" s="43" t="s">
        <v>119</v>
      </c>
      <c r="S342" s="60">
        <f>T342/N342</f>
        <v>3</v>
      </c>
      <c r="T342" s="57">
        <v>2.5499999999999998</v>
      </c>
      <c r="U342" s="46">
        <f t="shared" si="79"/>
        <v>6.8100000000000005</v>
      </c>
      <c r="V342" s="57">
        <f>V343+V344</f>
        <v>4.5200000000000005</v>
      </c>
      <c r="W342" s="54">
        <v>120</v>
      </c>
      <c r="X342" s="57">
        <f t="shared" si="77"/>
        <v>2.29</v>
      </c>
      <c r="Y342" s="46">
        <v>0</v>
      </c>
      <c r="Z342" s="46">
        <v>10.5</v>
      </c>
      <c r="AA342" s="46">
        <f t="shared" si="78"/>
        <v>8.2100000000000009</v>
      </c>
      <c r="AB342" s="97">
        <f>MIN(AA342:AA344)</f>
        <v>8.2100000000000009</v>
      </c>
      <c r="AC342" s="98" t="str">
        <f t="shared" si="76"/>
        <v>открыт</v>
      </c>
      <c r="AD342" s="138">
        <v>0.85</v>
      </c>
    </row>
    <row r="343" spans="1:30" s="34" customFormat="1" ht="11.25">
      <c r="A343" s="96"/>
      <c r="B343" s="61" t="s">
        <v>45</v>
      </c>
      <c r="C343" s="43" t="s">
        <v>119</v>
      </c>
      <c r="D343" s="64">
        <f>D342-D344</f>
        <v>2.5300000000000002</v>
      </c>
      <c r="E343" s="69">
        <f>D343</f>
        <v>2.5300000000000002</v>
      </c>
      <c r="F343" s="45"/>
      <c r="G343" s="60">
        <f>D343-E343</f>
        <v>0</v>
      </c>
      <c r="H343" s="43">
        <v>0</v>
      </c>
      <c r="I343" s="43">
        <v>10.5</v>
      </c>
      <c r="J343" s="60">
        <f>I343-G343-H343</f>
        <v>10.5</v>
      </c>
      <c r="K343" s="97"/>
      <c r="L343" s="93"/>
      <c r="M343" s="99"/>
      <c r="N343" s="138"/>
      <c r="O343" s="30"/>
      <c r="P343" s="96"/>
      <c r="Q343" s="61" t="s">
        <v>45</v>
      </c>
      <c r="R343" s="43" t="s">
        <v>119</v>
      </c>
      <c r="S343" s="60">
        <f>S342-S344</f>
        <v>1.35</v>
      </c>
      <c r="T343" s="57">
        <v>1.1475</v>
      </c>
      <c r="U343" s="46">
        <f t="shared" si="79"/>
        <v>3.8800000000000003</v>
      </c>
      <c r="V343" s="57">
        <f>U343</f>
        <v>3.8800000000000003</v>
      </c>
      <c r="W343" s="54"/>
      <c r="X343" s="57">
        <f t="shared" si="77"/>
        <v>0</v>
      </c>
      <c r="Y343" s="46">
        <v>0</v>
      </c>
      <c r="Z343" s="46">
        <v>10.5</v>
      </c>
      <c r="AA343" s="46">
        <f t="shared" si="78"/>
        <v>10.5</v>
      </c>
      <c r="AB343" s="97"/>
      <c r="AC343" s="99"/>
      <c r="AD343" s="138"/>
    </row>
    <row r="344" spans="1:30" s="34" customFormat="1" ht="11.25">
      <c r="A344" s="96"/>
      <c r="B344" s="61" t="s">
        <v>46</v>
      </c>
      <c r="C344" s="43" t="s">
        <v>119</v>
      </c>
      <c r="D344" s="64">
        <v>1.28</v>
      </c>
      <c r="E344" s="56">
        <v>0.64</v>
      </c>
      <c r="F344" s="45">
        <v>120</v>
      </c>
      <c r="G344" s="60">
        <f>D344-E344</f>
        <v>0.64</v>
      </c>
      <c r="H344" s="43">
        <v>0</v>
      </c>
      <c r="I344" s="43">
        <v>10.5</v>
      </c>
      <c r="J344" s="60">
        <f>I344-G344-H344</f>
        <v>9.86</v>
      </c>
      <c r="K344" s="97"/>
      <c r="L344" s="93"/>
      <c r="M344" s="100"/>
      <c r="N344" s="138"/>
      <c r="O344" s="30"/>
      <c r="P344" s="96"/>
      <c r="Q344" s="61" t="s">
        <v>46</v>
      </c>
      <c r="R344" s="43" t="s">
        <v>119</v>
      </c>
      <c r="S344" s="60">
        <f>T344/N342</f>
        <v>1.65</v>
      </c>
      <c r="T344" s="57">
        <v>1.4024999999999999</v>
      </c>
      <c r="U344" s="46">
        <f t="shared" si="79"/>
        <v>2.9299999999999997</v>
      </c>
      <c r="V344" s="57">
        <f>'[1]текущий дефицит'!E342</f>
        <v>0.64</v>
      </c>
      <c r="W344" s="54">
        <v>120</v>
      </c>
      <c r="X344" s="57">
        <f t="shared" si="77"/>
        <v>2.2899999999999996</v>
      </c>
      <c r="Y344" s="46">
        <v>0</v>
      </c>
      <c r="Z344" s="46">
        <v>10.5</v>
      </c>
      <c r="AA344" s="46">
        <f>Z344-Y344-X344</f>
        <v>8.2100000000000009</v>
      </c>
      <c r="AB344" s="97"/>
      <c r="AC344" s="100"/>
      <c r="AD344" s="138"/>
    </row>
    <row r="345" spans="1:30" s="34" customFormat="1" ht="22.5">
      <c r="A345" s="45">
        <v>236</v>
      </c>
      <c r="B345" s="47" t="s">
        <v>290</v>
      </c>
      <c r="C345" s="43" t="s">
        <v>128</v>
      </c>
      <c r="D345" s="64">
        <v>1.71</v>
      </c>
      <c r="E345" s="43">
        <v>0.59</v>
      </c>
      <c r="F345" s="45">
        <v>120</v>
      </c>
      <c r="G345" s="60">
        <f t="shared" si="62"/>
        <v>1.1200000000000001</v>
      </c>
      <c r="H345" s="43">
        <v>0</v>
      </c>
      <c r="I345" s="43">
        <v>6.6150000000000002</v>
      </c>
      <c r="J345" s="60">
        <f t="shared" si="63"/>
        <v>5.4950000000000001</v>
      </c>
      <c r="K345" s="48">
        <f>J345</f>
        <v>5.4950000000000001</v>
      </c>
      <c r="L345" s="46">
        <f>K345*N345</f>
        <v>4.7256999999999998</v>
      </c>
      <c r="M345" s="55" t="str">
        <f>IF(K345&lt;0,"закрыт","открыт")</f>
        <v>открыт</v>
      </c>
      <c r="N345" s="55">
        <v>0.86</v>
      </c>
      <c r="O345" s="30"/>
      <c r="P345" s="45">
        <v>236</v>
      </c>
      <c r="Q345" s="53" t="s">
        <v>290</v>
      </c>
      <c r="R345" s="43" t="s">
        <v>128</v>
      </c>
      <c r="S345" s="57">
        <f>T345/N345</f>
        <v>1.0180232558139535</v>
      </c>
      <c r="T345" s="57">
        <v>0.87549999999999994</v>
      </c>
      <c r="U345" s="46">
        <f t="shared" si="79"/>
        <v>2.7280232558139534</v>
      </c>
      <c r="V345" s="57">
        <f>E345</f>
        <v>0.59</v>
      </c>
      <c r="W345" s="54">
        <v>120</v>
      </c>
      <c r="X345" s="57">
        <f t="shared" si="77"/>
        <v>2.1380232558139536</v>
      </c>
      <c r="Y345" s="46">
        <v>0</v>
      </c>
      <c r="Z345" s="46">
        <v>6.6150000000000002</v>
      </c>
      <c r="AA345" s="46">
        <f t="shared" si="78"/>
        <v>4.4769767441860466</v>
      </c>
      <c r="AB345" s="48">
        <f t="shared" si="64"/>
        <v>4.4769767441860466</v>
      </c>
      <c r="AC345" s="55" t="str">
        <f>IF(AB345&lt;0,"закрыт","открыт")</f>
        <v>открыт</v>
      </c>
      <c r="AD345" s="55">
        <v>0.86</v>
      </c>
    </row>
    <row r="346" spans="1:30" s="34" customFormat="1" ht="22.5">
      <c r="A346" s="45">
        <v>237</v>
      </c>
      <c r="B346" s="47" t="s">
        <v>291</v>
      </c>
      <c r="C346" s="43" t="s">
        <v>130</v>
      </c>
      <c r="D346" s="64">
        <v>0.51</v>
      </c>
      <c r="E346" s="43">
        <v>0.09</v>
      </c>
      <c r="F346" s="45">
        <v>120</v>
      </c>
      <c r="G346" s="60">
        <f t="shared" si="62"/>
        <v>0.42000000000000004</v>
      </c>
      <c r="H346" s="43">
        <v>0</v>
      </c>
      <c r="I346" s="43">
        <v>2.625</v>
      </c>
      <c r="J346" s="60">
        <f t="shared" si="63"/>
        <v>2.2050000000000001</v>
      </c>
      <c r="K346" s="48">
        <f>J346</f>
        <v>2.2050000000000001</v>
      </c>
      <c r="L346" s="46">
        <f>K346*N346</f>
        <v>1.91835</v>
      </c>
      <c r="M346" s="55" t="str">
        <f>IF(K346&lt;0,"закрыт","открыт")</f>
        <v>открыт</v>
      </c>
      <c r="N346" s="55">
        <v>0.87</v>
      </c>
      <c r="O346" s="30"/>
      <c r="P346" s="45">
        <v>237</v>
      </c>
      <c r="Q346" s="53" t="s">
        <v>291</v>
      </c>
      <c r="R346" s="43" t="s">
        <v>130</v>
      </c>
      <c r="S346" s="57">
        <f>T346/N346</f>
        <v>0.22471264367816093</v>
      </c>
      <c r="T346" s="57">
        <v>0.19550000000000001</v>
      </c>
      <c r="U346" s="46">
        <f t="shared" si="79"/>
        <v>0.73471264367816091</v>
      </c>
      <c r="V346" s="57">
        <f>E346</f>
        <v>0.09</v>
      </c>
      <c r="W346" s="54">
        <v>120</v>
      </c>
      <c r="X346" s="57">
        <f t="shared" si="77"/>
        <v>0.64471264367816095</v>
      </c>
      <c r="Y346" s="46">
        <v>0</v>
      </c>
      <c r="Z346" s="46">
        <v>2.625</v>
      </c>
      <c r="AA346" s="46">
        <f t="shared" si="78"/>
        <v>1.9802873563218391</v>
      </c>
      <c r="AB346" s="48">
        <f t="shared" si="64"/>
        <v>1.9802873563218391</v>
      </c>
      <c r="AC346" s="55" t="str">
        <f>IF(AB346&lt;0,"закрыт","открыт")</f>
        <v>открыт</v>
      </c>
      <c r="AD346" s="55">
        <v>0.87</v>
      </c>
    </row>
    <row r="347" spans="1:30" s="34" customFormat="1" ht="22.5">
      <c r="A347" s="45">
        <v>238</v>
      </c>
      <c r="B347" s="47" t="s">
        <v>292</v>
      </c>
      <c r="C347" s="43" t="s">
        <v>116</v>
      </c>
      <c r="D347" s="64">
        <v>6.49</v>
      </c>
      <c r="E347" s="43">
        <v>1.57</v>
      </c>
      <c r="F347" s="45">
        <v>120</v>
      </c>
      <c r="G347" s="60">
        <f t="shared" si="62"/>
        <v>4.92</v>
      </c>
      <c r="H347" s="43">
        <v>0</v>
      </c>
      <c r="I347" s="43">
        <v>26.25</v>
      </c>
      <c r="J347" s="60">
        <f t="shared" si="63"/>
        <v>21.33</v>
      </c>
      <c r="K347" s="48">
        <f>J347</f>
        <v>21.33</v>
      </c>
      <c r="L347" s="46">
        <f>K347*N347</f>
        <v>20.050199999999997</v>
      </c>
      <c r="M347" s="55" t="str">
        <f>IF(K347&lt;0,"закрыт","открыт")</f>
        <v>открыт</v>
      </c>
      <c r="N347" s="55">
        <v>0.94</v>
      </c>
      <c r="O347" s="30"/>
      <c r="P347" s="45">
        <v>238</v>
      </c>
      <c r="Q347" s="53" t="s">
        <v>292</v>
      </c>
      <c r="R347" s="43" t="s">
        <v>116</v>
      </c>
      <c r="S347" s="57">
        <f>T347/N347</f>
        <v>4.7835106382978729</v>
      </c>
      <c r="T347" s="57">
        <v>4.4965000000000002</v>
      </c>
      <c r="U347" s="46">
        <f t="shared" si="79"/>
        <v>11.273510638297873</v>
      </c>
      <c r="V347" s="57">
        <f>E347</f>
        <v>1.57</v>
      </c>
      <c r="W347" s="54">
        <v>120</v>
      </c>
      <c r="X347" s="57">
        <f t="shared" si="77"/>
        <v>9.7035106382978729</v>
      </c>
      <c r="Y347" s="46">
        <v>0</v>
      </c>
      <c r="Z347" s="46">
        <v>26.25</v>
      </c>
      <c r="AA347" s="46">
        <f t="shared" si="78"/>
        <v>16.546489361702129</v>
      </c>
      <c r="AB347" s="48">
        <f t="shared" si="64"/>
        <v>16.546489361702129</v>
      </c>
      <c r="AC347" s="55" t="str">
        <f>IF(AB347&lt;0,"закрыт","открыт")</f>
        <v>открыт</v>
      </c>
      <c r="AD347" s="55">
        <v>0.94</v>
      </c>
    </row>
    <row r="348" spans="1:30" s="34" customFormat="1" ht="22.5">
      <c r="A348" s="96">
        <v>239</v>
      </c>
      <c r="B348" s="47" t="s">
        <v>293</v>
      </c>
      <c r="C348" s="43" t="s">
        <v>119</v>
      </c>
      <c r="D348" s="64">
        <v>3.66</v>
      </c>
      <c r="E348" s="43">
        <f>E349+E350</f>
        <v>1.6500000000000004</v>
      </c>
      <c r="F348" s="45">
        <v>120</v>
      </c>
      <c r="G348" s="60">
        <f t="shared" si="62"/>
        <v>2.0099999999999998</v>
      </c>
      <c r="H348" s="43">
        <v>0</v>
      </c>
      <c r="I348" s="43">
        <v>10.5</v>
      </c>
      <c r="J348" s="60">
        <f t="shared" si="63"/>
        <v>8.49</v>
      </c>
      <c r="K348" s="97">
        <f>MIN(J348:J350)</f>
        <v>8.49</v>
      </c>
      <c r="L348" s="93">
        <f>K348*N348</f>
        <v>8.1503999999999994</v>
      </c>
      <c r="M348" s="98" t="str">
        <f>IF(K348&lt;0,"закрыт","открыт")</f>
        <v>открыт</v>
      </c>
      <c r="N348" s="138">
        <v>0.96</v>
      </c>
      <c r="O348" s="30"/>
      <c r="P348" s="96">
        <v>239</v>
      </c>
      <c r="Q348" s="53" t="s">
        <v>293</v>
      </c>
      <c r="R348" s="43" t="s">
        <v>119</v>
      </c>
      <c r="S348" s="60">
        <f>T348/N348</f>
        <v>1.8239583333333333</v>
      </c>
      <c r="T348" s="57">
        <v>1.7509999999999999</v>
      </c>
      <c r="U348" s="46">
        <f t="shared" si="79"/>
        <v>5.4839583333333337</v>
      </c>
      <c r="V348" s="57">
        <f>V349+V350</f>
        <v>2.0041666666666673</v>
      </c>
      <c r="W348" s="54">
        <v>120</v>
      </c>
      <c r="X348" s="57">
        <f t="shared" si="77"/>
        <v>3.4797916666666664</v>
      </c>
      <c r="Y348" s="46">
        <v>0</v>
      </c>
      <c r="Z348" s="46">
        <v>10.5</v>
      </c>
      <c r="AA348" s="46">
        <f t="shared" si="78"/>
        <v>7.0202083333333336</v>
      </c>
      <c r="AB348" s="97">
        <f>MIN(AA348:AA350)</f>
        <v>7.0202083333333336</v>
      </c>
      <c r="AC348" s="98" t="str">
        <f>IF(AB348&lt;0,"закрыт","открыт")</f>
        <v>открыт</v>
      </c>
      <c r="AD348" s="138">
        <v>0.96</v>
      </c>
    </row>
    <row r="349" spans="1:30" s="34" customFormat="1" ht="11.25">
      <c r="A349" s="96"/>
      <c r="B349" s="61" t="s">
        <v>45</v>
      </c>
      <c r="C349" s="43" t="s">
        <v>119</v>
      </c>
      <c r="D349" s="64">
        <f>D348-D350</f>
        <v>1.4000000000000004</v>
      </c>
      <c r="E349" s="69">
        <f>D349</f>
        <v>1.4000000000000004</v>
      </c>
      <c r="F349" s="45"/>
      <c r="G349" s="60">
        <f>D349-E349</f>
        <v>0</v>
      </c>
      <c r="H349" s="43">
        <v>0</v>
      </c>
      <c r="I349" s="43">
        <v>10.5</v>
      </c>
      <c r="J349" s="60">
        <f>I349-G349-H349</f>
        <v>10.5</v>
      </c>
      <c r="K349" s="97"/>
      <c r="L349" s="93"/>
      <c r="M349" s="99"/>
      <c r="N349" s="138"/>
      <c r="O349" s="30"/>
      <c r="P349" s="96"/>
      <c r="Q349" s="61" t="s">
        <v>45</v>
      </c>
      <c r="R349" s="43" t="s">
        <v>119</v>
      </c>
      <c r="S349" s="60">
        <f>S348-S350</f>
        <v>0.35416666666666674</v>
      </c>
      <c r="T349" s="57">
        <v>0.34000000000000008</v>
      </c>
      <c r="U349" s="46">
        <f t="shared" si="79"/>
        <v>1.7541666666666671</v>
      </c>
      <c r="V349" s="57">
        <f>U349</f>
        <v>1.7541666666666671</v>
      </c>
      <c r="W349" s="54"/>
      <c r="X349" s="57">
        <f t="shared" si="77"/>
        <v>0</v>
      </c>
      <c r="Y349" s="46">
        <v>0</v>
      </c>
      <c r="Z349" s="46">
        <v>10.5</v>
      </c>
      <c r="AA349" s="46">
        <f t="shared" si="78"/>
        <v>10.5</v>
      </c>
      <c r="AB349" s="97"/>
      <c r="AC349" s="99"/>
      <c r="AD349" s="138"/>
    </row>
    <row r="350" spans="1:30" s="34" customFormat="1" ht="11.25">
      <c r="A350" s="96"/>
      <c r="B350" s="61" t="s">
        <v>46</v>
      </c>
      <c r="C350" s="43" t="s">
        <v>119</v>
      </c>
      <c r="D350" s="64">
        <v>2.2599999999999998</v>
      </c>
      <c r="E350" s="56">
        <v>0.25</v>
      </c>
      <c r="F350" s="45">
        <v>120</v>
      </c>
      <c r="G350" s="60">
        <f>D350-E350</f>
        <v>2.0099999999999998</v>
      </c>
      <c r="H350" s="43">
        <v>0</v>
      </c>
      <c r="I350" s="43">
        <v>10.5</v>
      </c>
      <c r="J350" s="60">
        <f>I350-G350-H350</f>
        <v>8.49</v>
      </c>
      <c r="K350" s="97"/>
      <c r="L350" s="93"/>
      <c r="M350" s="100"/>
      <c r="N350" s="138"/>
      <c r="O350" s="30"/>
      <c r="P350" s="96"/>
      <c r="Q350" s="61" t="s">
        <v>46</v>
      </c>
      <c r="R350" s="43" t="s">
        <v>119</v>
      </c>
      <c r="S350" s="60">
        <f>T350/N348</f>
        <v>1.4697916666666666</v>
      </c>
      <c r="T350" s="57">
        <v>1.4109999999999998</v>
      </c>
      <c r="U350" s="46">
        <f t="shared" si="79"/>
        <v>3.7297916666666664</v>
      </c>
      <c r="V350" s="57">
        <f>'[1]текущий дефицит'!E348</f>
        <v>0.25</v>
      </c>
      <c r="W350" s="54">
        <v>120</v>
      </c>
      <c r="X350" s="57">
        <f t="shared" si="77"/>
        <v>3.4797916666666664</v>
      </c>
      <c r="Y350" s="46">
        <v>0</v>
      </c>
      <c r="Z350" s="46">
        <v>10.5</v>
      </c>
      <c r="AA350" s="46">
        <f t="shared" si="78"/>
        <v>7.0202083333333336</v>
      </c>
      <c r="AB350" s="97"/>
      <c r="AC350" s="100"/>
      <c r="AD350" s="138"/>
    </row>
    <row r="351" spans="1:30" s="34" customFormat="1" ht="22.5">
      <c r="A351" s="45">
        <v>240</v>
      </c>
      <c r="B351" s="47" t="s">
        <v>294</v>
      </c>
      <c r="C351" s="43" t="s">
        <v>130</v>
      </c>
      <c r="D351" s="64">
        <v>0.22</v>
      </c>
      <c r="E351" s="43">
        <v>0.05</v>
      </c>
      <c r="F351" s="45">
        <v>120</v>
      </c>
      <c r="G351" s="60">
        <f t="shared" si="62"/>
        <v>0.16999999999999998</v>
      </c>
      <c r="H351" s="43">
        <v>0</v>
      </c>
      <c r="I351" s="43">
        <v>2.625</v>
      </c>
      <c r="J351" s="60">
        <f t="shared" si="63"/>
        <v>2.4550000000000001</v>
      </c>
      <c r="K351" s="48">
        <f>J351</f>
        <v>2.4550000000000001</v>
      </c>
      <c r="L351" s="46">
        <f>K351*N351</f>
        <v>2.0376499999999997</v>
      </c>
      <c r="M351" s="55" t="str">
        <f>IF(K351&lt;0,"закрыт","открыт")</f>
        <v>открыт</v>
      </c>
      <c r="N351" s="55">
        <v>0.83</v>
      </c>
      <c r="O351" s="30"/>
      <c r="P351" s="45">
        <v>240</v>
      </c>
      <c r="Q351" s="53" t="s">
        <v>294</v>
      </c>
      <c r="R351" s="43" t="s">
        <v>130</v>
      </c>
      <c r="S351" s="57">
        <f>T351/N351</f>
        <v>0</v>
      </c>
      <c r="T351" s="57">
        <v>0</v>
      </c>
      <c r="U351" s="46">
        <f t="shared" si="79"/>
        <v>0.22</v>
      </c>
      <c r="V351" s="57">
        <f>E351</f>
        <v>0.05</v>
      </c>
      <c r="W351" s="54">
        <v>120</v>
      </c>
      <c r="X351" s="57">
        <f t="shared" si="77"/>
        <v>0.16999999999999998</v>
      </c>
      <c r="Y351" s="46">
        <v>0</v>
      </c>
      <c r="Z351" s="46">
        <v>2.625</v>
      </c>
      <c r="AA351" s="46">
        <f t="shared" si="78"/>
        <v>2.4550000000000001</v>
      </c>
      <c r="AB351" s="48">
        <f t="shared" si="64"/>
        <v>2.4550000000000001</v>
      </c>
      <c r="AC351" s="55" t="str">
        <f>IF(AB351&lt;0,"закрыт","открыт")</f>
        <v>открыт</v>
      </c>
      <c r="AD351" s="55">
        <v>0.83</v>
      </c>
    </row>
    <row r="352" spans="1:30" s="34" customFormat="1" ht="22.5">
      <c r="A352" s="96">
        <v>241</v>
      </c>
      <c r="B352" s="47" t="s">
        <v>295</v>
      </c>
      <c r="C352" s="43" t="s">
        <v>119</v>
      </c>
      <c r="D352" s="64">
        <v>3.9</v>
      </c>
      <c r="E352" s="43">
        <f>E353+E354</f>
        <v>1.8899999999999997</v>
      </c>
      <c r="F352" s="45">
        <v>120</v>
      </c>
      <c r="G352" s="60">
        <f t="shared" si="62"/>
        <v>2.0100000000000002</v>
      </c>
      <c r="H352" s="43">
        <v>0</v>
      </c>
      <c r="I352" s="43">
        <v>10.5</v>
      </c>
      <c r="J352" s="60">
        <f t="shared" si="63"/>
        <v>8.49</v>
      </c>
      <c r="K352" s="97">
        <f>MIN(J352:J354)</f>
        <v>8.49</v>
      </c>
      <c r="L352" s="93">
        <f>K352*N352</f>
        <v>8.2353000000000005</v>
      </c>
      <c r="M352" s="98" t="str">
        <f>IF(K352&lt;0,"закрыт","открыт")</f>
        <v>открыт</v>
      </c>
      <c r="N352" s="138">
        <v>0.97</v>
      </c>
      <c r="O352" s="30"/>
      <c r="P352" s="96">
        <v>241</v>
      </c>
      <c r="Q352" s="53" t="s">
        <v>295</v>
      </c>
      <c r="R352" s="43" t="s">
        <v>119</v>
      </c>
      <c r="S352" s="60">
        <f>T352/N352</f>
        <v>1.0603092783505155</v>
      </c>
      <c r="T352" s="57">
        <v>1.0285</v>
      </c>
      <c r="U352" s="46">
        <f t="shared" si="79"/>
        <v>4.9603092783505156</v>
      </c>
      <c r="V352" s="57">
        <f>V353+V354</f>
        <v>2.757525773195876</v>
      </c>
      <c r="W352" s="54">
        <v>120</v>
      </c>
      <c r="X352" s="57">
        <f t="shared" si="77"/>
        <v>2.2027835051546396</v>
      </c>
      <c r="Y352" s="46">
        <v>0</v>
      </c>
      <c r="Z352" s="46">
        <v>10.5</v>
      </c>
      <c r="AA352" s="46">
        <f t="shared" si="78"/>
        <v>8.2972164948453599</v>
      </c>
      <c r="AB352" s="97">
        <f>MIN(AA352:AA354)</f>
        <v>8.2972164948453599</v>
      </c>
      <c r="AC352" s="98" t="str">
        <f>IF(AB352&lt;0,"закрыт","открыт")</f>
        <v>открыт</v>
      </c>
      <c r="AD352" s="138">
        <v>0.97</v>
      </c>
    </row>
    <row r="353" spans="1:30" s="34" customFormat="1" ht="11.25">
      <c r="A353" s="96"/>
      <c r="B353" s="61" t="s">
        <v>45</v>
      </c>
      <c r="C353" s="43" t="s">
        <v>119</v>
      </c>
      <c r="D353" s="64">
        <f>D352-D354</f>
        <v>1.4099999999999997</v>
      </c>
      <c r="E353" s="69">
        <f>D353</f>
        <v>1.4099999999999997</v>
      </c>
      <c r="F353" s="45"/>
      <c r="G353" s="60">
        <f>D353-E353</f>
        <v>0</v>
      </c>
      <c r="H353" s="43">
        <v>0</v>
      </c>
      <c r="I353" s="43">
        <v>10.5</v>
      </c>
      <c r="J353" s="60">
        <f>I353-G353-H353</f>
        <v>10.5</v>
      </c>
      <c r="K353" s="97"/>
      <c r="L353" s="93"/>
      <c r="M353" s="99"/>
      <c r="N353" s="138"/>
      <c r="O353" s="30"/>
      <c r="P353" s="96"/>
      <c r="Q353" s="61" t="s">
        <v>45</v>
      </c>
      <c r="R353" s="43" t="s">
        <v>119</v>
      </c>
      <c r="S353" s="60">
        <f>S352-S354</f>
        <v>0.86752577319587632</v>
      </c>
      <c r="T353" s="57">
        <v>0.84150000000000003</v>
      </c>
      <c r="U353" s="46">
        <f t="shared" si="79"/>
        <v>2.277525773195876</v>
      </c>
      <c r="V353" s="57">
        <f>U353</f>
        <v>2.277525773195876</v>
      </c>
      <c r="W353" s="54"/>
      <c r="X353" s="57">
        <f t="shared" si="77"/>
        <v>0</v>
      </c>
      <c r="Y353" s="46">
        <v>0</v>
      </c>
      <c r="Z353" s="46">
        <v>10.5</v>
      </c>
      <c r="AA353" s="46">
        <f t="shared" si="78"/>
        <v>10.5</v>
      </c>
      <c r="AB353" s="97"/>
      <c r="AC353" s="99"/>
      <c r="AD353" s="138"/>
    </row>
    <row r="354" spans="1:30" s="34" customFormat="1" ht="11.25">
      <c r="A354" s="96"/>
      <c r="B354" s="61" t="s">
        <v>46</v>
      </c>
      <c r="C354" s="43" t="s">
        <v>119</v>
      </c>
      <c r="D354" s="64">
        <v>2.4900000000000002</v>
      </c>
      <c r="E354" s="56">
        <v>0.48</v>
      </c>
      <c r="F354" s="45">
        <v>120</v>
      </c>
      <c r="G354" s="60">
        <f>D354-E354</f>
        <v>2.0100000000000002</v>
      </c>
      <c r="H354" s="43">
        <v>0</v>
      </c>
      <c r="I354" s="43">
        <v>10.5</v>
      </c>
      <c r="J354" s="60">
        <f>I354-G354-H354</f>
        <v>8.49</v>
      </c>
      <c r="K354" s="97"/>
      <c r="L354" s="93"/>
      <c r="M354" s="100"/>
      <c r="N354" s="138"/>
      <c r="O354" s="30"/>
      <c r="P354" s="96"/>
      <c r="Q354" s="61" t="s">
        <v>46</v>
      </c>
      <c r="R354" s="43" t="s">
        <v>119</v>
      </c>
      <c r="S354" s="60">
        <f>T354/N352</f>
        <v>0.19278350515463918</v>
      </c>
      <c r="T354" s="57">
        <v>0.187</v>
      </c>
      <c r="U354" s="46">
        <f t="shared" si="79"/>
        <v>2.6827835051546396</v>
      </c>
      <c r="V354" s="57">
        <f>'[1]текущий дефицит'!E352</f>
        <v>0.48</v>
      </c>
      <c r="W354" s="54">
        <v>120</v>
      </c>
      <c r="X354" s="57">
        <f t="shared" si="77"/>
        <v>2.2027835051546396</v>
      </c>
      <c r="Y354" s="46">
        <v>0</v>
      </c>
      <c r="Z354" s="46">
        <v>10.5</v>
      </c>
      <c r="AA354" s="46">
        <f t="shared" si="78"/>
        <v>8.2972164948453599</v>
      </c>
      <c r="AB354" s="97"/>
      <c r="AC354" s="100"/>
      <c r="AD354" s="138"/>
    </row>
    <row r="355" spans="1:30" s="34" customFormat="1" ht="22.5">
      <c r="A355" s="45">
        <v>242</v>
      </c>
      <c r="B355" s="47" t="s">
        <v>71</v>
      </c>
      <c r="C355" s="43" t="s">
        <v>198</v>
      </c>
      <c r="D355" s="64">
        <v>0.64</v>
      </c>
      <c r="E355" s="43">
        <v>0.42</v>
      </c>
      <c r="F355" s="45">
        <v>120</v>
      </c>
      <c r="G355" s="60">
        <f>D355-E355</f>
        <v>0.22000000000000003</v>
      </c>
      <c r="H355" s="43">
        <v>0</v>
      </c>
      <c r="I355" s="43">
        <v>1.68</v>
      </c>
      <c r="J355" s="60">
        <f>I355-G355-H355</f>
        <v>1.46</v>
      </c>
      <c r="K355" s="48">
        <f>J355</f>
        <v>1.46</v>
      </c>
      <c r="L355" s="46">
        <f>K355*N355</f>
        <v>1.0366</v>
      </c>
      <c r="M355" s="55" t="str">
        <f>IF(K355&lt;0,"закрыт","открыт")</f>
        <v>открыт</v>
      </c>
      <c r="N355" s="55">
        <v>0.71</v>
      </c>
      <c r="O355" s="30"/>
      <c r="P355" s="45">
        <v>242</v>
      </c>
      <c r="Q355" s="53" t="s">
        <v>71</v>
      </c>
      <c r="R355" s="43" t="s">
        <v>198</v>
      </c>
      <c r="S355" s="57">
        <f>T355/N355</f>
        <v>1.0176056338028168</v>
      </c>
      <c r="T355" s="57">
        <v>0.72249999999999992</v>
      </c>
      <c r="U355" s="46">
        <f>D355+S355</f>
        <v>1.6576056338028167</v>
      </c>
      <c r="V355" s="57">
        <f>E355</f>
        <v>0.42</v>
      </c>
      <c r="W355" s="54">
        <v>120</v>
      </c>
      <c r="X355" s="57">
        <f>U355-V355</f>
        <v>1.2376056338028167</v>
      </c>
      <c r="Y355" s="46">
        <v>0</v>
      </c>
      <c r="Z355" s="46">
        <v>1.68</v>
      </c>
      <c r="AA355" s="46">
        <f>Z355-Y355-X355</f>
        <v>0.4423943661971832</v>
      </c>
      <c r="AB355" s="48">
        <f>AA355</f>
        <v>0.4423943661971832</v>
      </c>
      <c r="AC355" s="55" t="str">
        <f>IF(AB355&lt;0,"закрыт","открыт")</f>
        <v>открыт</v>
      </c>
      <c r="AD355" s="55">
        <v>0.71</v>
      </c>
    </row>
    <row r="356" spans="1:30" s="34" customFormat="1" ht="22.5">
      <c r="A356" s="45">
        <v>243</v>
      </c>
      <c r="B356" s="47" t="s">
        <v>296</v>
      </c>
      <c r="C356" s="43" t="s">
        <v>32</v>
      </c>
      <c r="D356" s="64">
        <v>0.84</v>
      </c>
      <c r="E356" s="43">
        <v>0.26</v>
      </c>
      <c r="F356" s="45">
        <v>120</v>
      </c>
      <c r="G356" s="60">
        <f t="shared" si="62"/>
        <v>0.57999999999999996</v>
      </c>
      <c r="H356" s="43">
        <v>0</v>
      </c>
      <c r="I356" s="43">
        <v>4.2</v>
      </c>
      <c r="J356" s="60">
        <f t="shared" si="63"/>
        <v>3.62</v>
      </c>
      <c r="K356" s="48">
        <f>J356</f>
        <v>3.62</v>
      </c>
      <c r="L356" s="46">
        <f>K356*N356</f>
        <v>3.0407999999999999</v>
      </c>
      <c r="M356" s="55" t="str">
        <f>IF(K356&lt;0,"закрыт","открыт")</f>
        <v>открыт</v>
      </c>
      <c r="N356" s="55">
        <v>0.84</v>
      </c>
      <c r="O356" s="30"/>
      <c r="P356" s="45">
        <v>243</v>
      </c>
      <c r="Q356" s="53" t="s">
        <v>296</v>
      </c>
      <c r="R356" s="43" t="s">
        <v>32</v>
      </c>
      <c r="S356" s="57">
        <f>T356/N356</f>
        <v>0</v>
      </c>
      <c r="T356" s="57">
        <v>0</v>
      </c>
      <c r="U356" s="46">
        <f t="shared" si="79"/>
        <v>0.84</v>
      </c>
      <c r="V356" s="57">
        <f>E356</f>
        <v>0.26</v>
      </c>
      <c r="W356" s="54">
        <v>120</v>
      </c>
      <c r="X356" s="57">
        <f t="shared" si="77"/>
        <v>0.57999999999999996</v>
      </c>
      <c r="Y356" s="46">
        <v>0</v>
      </c>
      <c r="Z356" s="46">
        <v>4.2</v>
      </c>
      <c r="AA356" s="46">
        <f t="shared" si="78"/>
        <v>3.62</v>
      </c>
      <c r="AB356" s="48">
        <f t="shared" si="64"/>
        <v>3.62</v>
      </c>
      <c r="AC356" s="55" t="str">
        <f>IF(AB356&lt;0,"закрыт","открыт")</f>
        <v>открыт</v>
      </c>
      <c r="AD356" s="55">
        <v>0.84</v>
      </c>
    </row>
    <row r="357" spans="1:30" s="34" customFormat="1" ht="22.5">
      <c r="A357" s="96">
        <v>244</v>
      </c>
      <c r="B357" s="47" t="s">
        <v>297</v>
      </c>
      <c r="C357" s="43" t="s">
        <v>119</v>
      </c>
      <c r="D357" s="64">
        <v>3.67</v>
      </c>
      <c r="E357" s="43">
        <f>E358+E359</f>
        <v>3.29</v>
      </c>
      <c r="F357" s="45">
        <v>120</v>
      </c>
      <c r="G357" s="60">
        <f t="shared" si="62"/>
        <v>0.37999999999999989</v>
      </c>
      <c r="H357" s="43">
        <v>0</v>
      </c>
      <c r="I357" s="43">
        <v>10.5</v>
      </c>
      <c r="J357" s="60">
        <f t="shared" si="63"/>
        <v>10.120000000000001</v>
      </c>
      <c r="K357" s="97">
        <f>MIN(J357:J359)</f>
        <v>10.119999999999999</v>
      </c>
      <c r="L357" s="93">
        <f>K357*N357</f>
        <v>9.0068000000000001</v>
      </c>
      <c r="M357" s="98" t="str">
        <f>IF(K357&lt;0,"закрыт","открыт")</f>
        <v>открыт</v>
      </c>
      <c r="N357" s="138">
        <v>0.89</v>
      </c>
      <c r="O357" s="30"/>
      <c r="P357" s="96">
        <v>244</v>
      </c>
      <c r="Q357" s="53" t="s">
        <v>297</v>
      </c>
      <c r="R357" s="43" t="s">
        <v>119</v>
      </c>
      <c r="S357" s="60">
        <f>T357/N357</f>
        <v>2.4353932584269664</v>
      </c>
      <c r="T357" s="57">
        <v>2.1675</v>
      </c>
      <c r="U357" s="46">
        <f t="shared" si="79"/>
        <v>6.1053932584269663</v>
      </c>
      <c r="V357" s="57">
        <f>V358+V359</f>
        <v>5.706292134831461</v>
      </c>
      <c r="W357" s="54">
        <v>120</v>
      </c>
      <c r="X357" s="57">
        <f t="shared" si="77"/>
        <v>0.39910112359550531</v>
      </c>
      <c r="Y357" s="46">
        <v>0</v>
      </c>
      <c r="Z357" s="46">
        <v>10.5</v>
      </c>
      <c r="AA357" s="46">
        <f t="shared" si="78"/>
        <v>10.100898876404495</v>
      </c>
      <c r="AB357" s="97">
        <f>MIN(AA357:AA359)</f>
        <v>10.100898876404495</v>
      </c>
      <c r="AC357" s="98" t="str">
        <f>IF(AB357&lt;0,"закрыт","открыт")</f>
        <v>открыт</v>
      </c>
      <c r="AD357" s="138">
        <v>0.89</v>
      </c>
    </row>
    <row r="358" spans="1:30" s="34" customFormat="1" ht="11.25">
      <c r="A358" s="96"/>
      <c r="B358" s="61" t="s">
        <v>45</v>
      </c>
      <c r="C358" s="43" t="s">
        <v>119</v>
      </c>
      <c r="D358" s="64">
        <f>D357-D359</f>
        <v>3.13</v>
      </c>
      <c r="E358" s="69">
        <f>D358</f>
        <v>3.13</v>
      </c>
      <c r="F358" s="45"/>
      <c r="G358" s="60">
        <f>D358-E358</f>
        <v>0</v>
      </c>
      <c r="H358" s="43">
        <v>0</v>
      </c>
      <c r="I358" s="43">
        <v>10.5</v>
      </c>
      <c r="J358" s="60">
        <f>I358-G358-H358</f>
        <v>10.5</v>
      </c>
      <c r="K358" s="97"/>
      <c r="L358" s="93"/>
      <c r="M358" s="99"/>
      <c r="N358" s="138"/>
      <c r="O358" s="30"/>
      <c r="P358" s="96"/>
      <c r="Q358" s="61" t="s">
        <v>45</v>
      </c>
      <c r="R358" s="43" t="s">
        <v>119</v>
      </c>
      <c r="S358" s="60">
        <f>S357-S359</f>
        <v>2.416292134831461</v>
      </c>
      <c r="T358" s="57">
        <v>2.1504999999999996</v>
      </c>
      <c r="U358" s="46">
        <f t="shared" si="79"/>
        <v>5.5462921348314609</v>
      </c>
      <c r="V358" s="57">
        <f>U358</f>
        <v>5.5462921348314609</v>
      </c>
      <c r="W358" s="54"/>
      <c r="X358" s="57">
        <f t="shared" si="77"/>
        <v>0</v>
      </c>
      <c r="Y358" s="46">
        <v>0</v>
      </c>
      <c r="Z358" s="46">
        <v>10.5</v>
      </c>
      <c r="AA358" s="46">
        <f t="shared" si="78"/>
        <v>10.5</v>
      </c>
      <c r="AB358" s="97"/>
      <c r="AC358" s="99"/>
      <c r="AD358" s="138"/>
    </row>
    <row r="359" spans="1:30" s="34" customFormat="1" ht="11.25">
      <c r="A359" s="96"/>
      <c r="B359" s="61" t="s">
        <v>46</v>
      </c>
      <c r="C359" s="43" t="s">
        <v>119</v>
      </c>
      <c r="D359" s="64">
        <v>0.54</v>
      </c>
      <c r="E359" s="56">
        <v>0.16</v>
      </c>
      <c r="F359" s="45">
        <v>120</v>
      </c>
      <c r="G359" s="60">
        <f>D359-E359</f>
        <v>0.38</v>
      </c>
      <c r="H359" s="43">
        <v>0</v>
      </c>
      <c r="I359" s="43">
        <v>10.5</v>
      </c>
      <c r="J359" s="60">
        <f>I359-G359-H359</f>
        <v>10.119999999999999</v>
      </c>
      <c r="K359" s="97"/>
      <c r="L359" s="93"/>
      <c r="M359" s="100"/>
      <c r="N359" s="138"/>
      <c r="O359" s="30"/>
      <c r="P359" s="96"/>
      <c r="Q359" s="61" t="s">
        <v>46</v>
      </c>
      <c r="R359" s="43" t="s">
        <v>119</v>
      </c>
      <c r="S359" s="60">
        <f>T359/N357</f>
        <v>1.9101123595505618E-2</v>
      </c>
      <c r="T359" s="57">
        <v>1.7000000000000001E-2</v>
      </c>
      <c r="U359" s="46">
        <f t="shared" si="79"/>
        <v>0.55910112359550568</v>
      </c>
      <c r="V359" s="57">
        <f>'[1]текущий дефицит'!E356</f>
        <v>0.16</v>
      </c>
      <c r="W359" s="54">
        <v>120</v>
      </c>
      <c r="X359" s="57">
        <f t="shared" si="77"/>
        <v>0.39910112359550565</v>
      </c>
      <c r="Y359" s="46">
        <v>0</v>
      </c>
      <c r="Z359" s="46">
        <v>10.5</v>
      </c>
      <c r="AA359" s="46">
        <f t="shared" si="78"/>
        <v>10.100898876404495</v>
      </c>
      <c r="AB359" s="97"/>
      <c r="AC359" s="100"/>
      <c r="AD359" s="138"/>
    </row>
    <row r="360" spans="1:30" s="34" customFormat="1" ht="22.5">
      <c r="A360" s="45">
        <v>245</v>
      </c>
      <c r="B360" s="47" t="s">
        <v>298</v>
      </c>
      <c r="C360" s="43" t="s">
        <v>130</v>
      </c>
      <c r="D360" s="64">
        <v>0.26</v>
      </c>
      <c r="E360" s="43">
        <v>0.75</v>
      </c>
      <c r="F360" s="45">
        <v>120</v>
      </c>
      <c r="G360" s="60">
        <f t="shared" si="62"/>
        <v>-0.49</v>
      </c>
      <c r="H360" s="43">
        <v>0</v>
      </c>
      <c r="I360" s="43">
        <v>2.625</v>
      </c>
      <c r="J360" s="60">
        <f t="shared" si="63"/>
        <v>3.1150000000000002</v>
      </c>
      <c r="K360" s="48">
        <f>J360</f>
        <v>3.1150000000000002</v>
      </c>
      <c r="L360" s="46">
        <f>K360*N360</f>
        <v>2.4297000000000004</v>
      </c>
      <c r="M360" s="55" t="str">
        <f>IF(K360&lt;0,"закрыт","открыт")</f>
        <v>открыт</v>
      </c>
      <c r="N360" s="55">
        <v>0.78</v>
      </c>
      <c r="O360" s="30"/>
      <c r="P360" s="45">
        <v>245</v>
      </c>
      <c r="Q360" s="53" t="s">
        <v>298</v>
      </c>
      <c r="R360" s="43" t="s">
        <v>130</v>
      </c>
      <c r="S360" s="57">
        <f>T360/N360</f>
        <v>3.2692307692307687E-2</v>
      </c>
      <c r="T360" s="57">
        <v>2.5499999999999998E-2</v>
      </c>
      <c r="U360" s="46">
        <f t="shared" si="79"/>
        <v>0.2926923076923077</v>
      </c>
      <c r="V360" s="57">
        <f>E360</f>
        <v>0.75</v>
      </c>
      <c r="W360" s="54">
        <v>120</v>
      </c>
      <c r="X360" s="57">
        <f t="shared" si="77"/>
        <v>-0.4573076923076923</v>
      </c>
      <c r="Y360" s="46">
        <v>0</v>
      </c>
      <c r="Z360" s="46">
        <v>2.625</v>
      </c>
      <c r="AA360" s="46">
        <f t="shared" si="78"/>
        <v>3.0823076923076922</v>
      </c>
      <c r="AB360" s="48">
        <f t="shared" si="64"/>
        <v>3.0823076923076922</v>
      </c>
      <c r="AC360" s="55" t="str">
        <f>IF(AB360&lt;0,"закрыт","открыт")</f>
        <v>открыт</v>
      </c>
      <c r="AD360" s="55">
        <v>0.78</v>
      </c>
    </row>
    <row r="361" spans="1:30" s="34" customFormat="1" ht="22.5">
      <c r="A361" s="45">
        <v>246</v>
      </c>
      <c r="B361" s="47" t="s">
        <v>318</v>
      </c>
      <c r="C361" s="43" t="s">
        <v>182</v>
      </c>
      <c r="D361" s="64">
        <v>0.66</v>
      </c>
      <c r="E361" s="43">
        <v>0.7</v>
      </c>
      <c r="F361" s="45">
        <v>120</v>
      </c>
      <c r="G361" s="60">
        <f>D361-E361</f>
        <v>-3.9999999999999925E-2</v>
      </c>
      <c r="H361" s="43">
        <v>0</v>
      </c>
      <c r="I361" s="43">
        <v>1.68</v>
      </c>
      <c r="J361" s="60">
        <f>I361-G361-H361</f>
        <v>1.7199999999999998</v>
      </c>
      <c r="K361" s="48">
        <f>J361</f>
        <v>1.7199999999999998</v>
      </c>
      <c r="L361" s="46">
        <f>K361*N361</f>
        <v>1.6339999999999997</v>
      </c>
      <c r="M361" s="55" t="str">
        <f>IF(K361&lt;0,"закрыт","открыт")</f>
        <v>открыт</v>
      </c>
      <c r="N361" s="55">
        <v>0.95</v>
      </c>
      <c r="O361" s="30"/>
      <c r="P361" s="45">
        <v>246</v>
      </c>
      <c r="Q361" s="53" t="s">
        <v>318</v>
      </c>
      <c r="R361" s="43" t="s">
        <v>182</v>
      </c>
      <c r="S361" s="57">
        <f>T361/N361</f>
        <v>1.7894736842105265E-2</v>
      </c>
      <c r="T361" s="57">
        <v>1.7000000000000001E-2</v>
      </c>
      <c r="U361" s="46">
        <f>D361+S361</f>
        <v>0.67789473684210533</v>
      </c>
      <c r="V361" s="57">
        <f>E361</f>
        <v>0.7</v>
      </c>
      <c r="W361" s="54">
        <v>120</v>
      </c>
      <c r="X361" s="57">
        <f>U361-V361</f>
        <v>-2.2105263157894628E-2</v>
      </c>
      <c r="Y361" s="46">
        <v>0</v>
      </c>
      <c r="Z361" s="46">
        <v>1.68</v>
      </c>
      <c r="AA361" s="46">
        <f>Z361-Y361-X361</f>
        <v>1.7021052631578946</v>
      </c>
      <c r="AB361" s="48">
        <f>AA361</f>
        <v>1.7021052631578946</v>
      </c>
      <c r="AC361" s="55" t="str">
        <f>IF(AB361&lt;0,"закрыт","открыт")</f>
        <v>открыт</v>
      </c>
      <c r="AD361" s="55">
        <v>0.95</v>
      </c>
    </row>
    <row r="362" spans="1:30" s="34" customFormat="1" ht="22.5">
      <c r="A362" s="96">
        <v>247</v>
      </c>
      <c r="B362" s="47" t="s">
        <v>299</v>
      </c>
      <c r="C362" s="43" t="s">
        <v>21</v>
      </c>
      <c r="D362" s="64">
        <v>8.8000000000000007</v>
      </c>
      <c r="E362" s="43">
        <f>E363+E364</f>
        <v>1.47</v>
      </c>
      <c r="F362" s="45">
        <v>120</v>
      </c>
      <c r="G362" s="60">
        <f t="shared" si="62"/>
        <v>7.330000000000001</v>
      </c>
      <c r="H362" s="43">
        <v>0</v>
      </c>
      <c r="I362" s="43">
        <v>16.8</v>
      </c>
      <c r="J362" s="60">
        <f t="shared" si="63"/>
        <v>9.4699999999999989</v>
      </c>
      <c r="K362" s="97">
        <f>MIN(J362:J364)</f>
        <v>9.4699999999999989</v>
      </c>
      <c r="L362" s="93">
        <f>K362*N362</f>
        <v>8.7123999999999988</v>
      </c>
      <c r="M362" s="98" t="str">
        <f>IF(K362&lt;0,"закрыт","открыт")</f>
        <v>открыт</v>
      </c>
      <c r="N362" s="138">
        <v>0.92</v>
      </c>
      <c r="O362" s="30"/>
      <c r="P362" s="96">
        <v>247</v>
      </c>
      <c r="Q362" s="53" t="s">
        <v>299</v>
      </c>
      <c r="R362" s="43" t="s">
        <v>21</v>
      </c>
      <c r="S362" s="60">
        <f>T362/N362</f>
        <v>6.1255434782608686</v>
      </c>
      <c r="T362" s="57">
        <v>5.6354999999999995</v>
      </c>
      <c r="U362" s="46">
        <f t="shared" si="79"/>
        <v>14.92554347826087</v>
      </c>
      <c r="V362" s="57">
        <f>V363+V364</f>
        <v>1.78</v>
      </c>
      <c r="W362" s="54">
        <v>120</v>
      </c>
      <c r="X362" s="57">
        <f t="shared" si="77"/>
        <v>13.145543478260871</v>
      </c>
      <c r="Y362" s="46">
        <v>0</v>
      </c>
      <c r="Z362" s="46">
        <v>16.8</v>
      </c>
      <c r="AA362" s="46">
        <f t="shared" si="78"/>
        <v>3.6544565217391298</v>
      </c>
      <c r="AB362" s="97">
        <f>MIN(AA362:AA364)</f>
        <v>3.6544565217391298</v>
      </c>
      <c r="AC362" s="98" t="str">
        <f>IF(AB362&lt;0,"закрыт","открыт")</f>
        <v>открыт</v>
      </c>
      <c r="AD362" s="138">
        <v>0.92</v>
      </c>
    </row>
    <row r="363" spans="1:30" s="34" customFormat="1" ht="11.25">
      <c r="A363" s="96"/>
      <c r="B363" s="61" t="s">
        <v>45</v>
      </c>
      <c r="C363" s="43" t="s">
        <v>21</v>
      </c>
      <c r="D363" s="64">
        <f>D362-D364</f>
        <v>3.4300000000000006</v>
      </c>
      <c r="E363" s="56">
        <v>0.7</v>
      </c>
      <c r="F363" s="45"/>
      <c r="G363" s="60">
        <f>D363-E363</f>
        <v>2.7300000000000004</v>
      </c>
      <c r="H363" s="43">
        <v>0</v>
      </c>
      <c r="I363" s="43">
        <v>16.8</v>
      </c>
      <c r="J363" s="60">
        <f>I363-G363-H363</f>
        <v>14.07</v>
      </c>
      <c r="K363" s="97"/>
      <c r="L363" s="93"/>
      <c r="M363" s="99"/>
      <c r="N363" s="138"/>
      <c r="O363" s="30"/>
      <c r="P363" s="96"/>
      <c r="Q363" s="61" t="s">
        <v>45</v>
      </c>
      <c r="R363" s="43" t="s">
        <v>21</v>
      </c>
      <c r="S363" s="60">
        <f>S362-S364</f>
        <v>3.6402173913043474</v>
      </c>
      <c r="T363" s="57">
        <v>3.3489999999999998</v>
      </c>
      <c r="U363" s="46">
        <f t="shared" si="79"/>
        <v>7.0702173913043485</v>
      </c>
      <c r="V363" s="57">
        <v>1.01</v>
      </c>
      <c r="W363" s="54"/>
      <c r="X363" s="57">
        <f t="shared" si="77"/>
        <v>6.0602173913043487</v>
      </c>
      <c r="Y363" s="46">
        <v>0</v>
      </c>
      <c r="Z363" s="46">
        <v>16.8</v>
      </c>
      <c r="AA363" s="46">
        <f t="shared" si="78"/>
        <v>10.739782608695652</v>
      </c>
      <c r="AB363" s="97"/>
      <c r="AC363" s="99"/>
      <c r="AD363" s="138"/>
    </row>
    <row r="364" spans="1:30" s="34" customFormat="1" ht="11.25">
      <c r="A364" s="96"/>
      <c r="B364" s="61" t="s">
        <v>46</v>
      </c>
      <c r="C364" s="43" t="s">
        <v>21</v>
      </c>
      <c r="D364" s="64">
        <v>5.37</v>
      </c>
      <c r="E364" s="56">
        <v>0.77</v>
      </c>
      <c r="F364" s="45">
        <v>120</v>
      </c>
      <c r="G364" s="60">
        <f>D364-E364</f>
        <v>4.5999999999999996</v>
      </c>
      <c r="H364" s="43">
        <v>0</v>
      </c>
      <c r="I364" s="43">
        <v>16.8</v>
      </c>
      <c r="J364" s="60">
        <f>I364-G364-H364</f>
        <v>12.200000000000001</v>
      </c>
      <c r="K364" s="97"/>
      <c r="L364" s="93"/>
      <c r="M364" s="100"/>
      <c r="N364" s="138"/>
      <c r="O364" s="30"/>
      <c r="P364" s="96"/>
      <c r="Q364" s="61" t="s">
        <v>46</v>
      </c>
      <c r="R364" s="43" t="s">
        <v>21</v>
      </c>
      <c r="S364" s="60">
        <f>T364/N362</f>
        <v>2.4853260869565212</v>
      </c>
      <c r="T364" s="57">
        <v>2.2864999999999998</v>
      </c>
      <c r="U364" s="46">
        <f t="shared" si="79"/>
        <v>7.8553260869565218</v>
      </c>
      <c r="V364" s="57">
        <f>'[1]текущий дефицит'!E360</f>
        <v>0.77</v>
      </c>
      <c r="W364" s="54">
        <v>120</v>
      </c>
      <c r="X364" s="57">
        <f t="shared" si="77"/>
        <v>7.0853260869565222</v>
      </c>
      <c r="Y364" s="46">
        <v>0</v>
      </c>
      <c r="Z364" s="46">
        <v>16.8</v>
      </c>
      <c r="AA364" s="46">
        <f t="shared" si="78"/>
        <v>9.7146739130434785</v>
      </c>
      <c r="AB364" s="97"/>
      <c r="AC364" s="100"/>
      <c r="AD364" s="138"/>
    </row>
    <row r="365" spans="1:30" s="34" customFormat="1" ht="22.5">
      <c r="A365" s="45">
        <v>248</v>
      </c>
      <c r="B365" s="47" t="s">
        <v>300</v>
      </c>
      <c r="C365" s="43" t="s">
        <v>271</v>
      </c>
      <c r="D365" s="64">
        <v>0.55000000000000004</v>
      </c>
      <c r="E365" s="43">
        <v>0.06</v>
      </c>
      <c r="F365" s="45">
        <v>120</v>
      </c>
      <c r="G365" s="60">
        <f t="shared" si="62"/>
        <v>0.49000000000000005</v>
      </c>
      <c r="H365" s="43">
        <v>0</v>
      </c>
      <c r="I365" s="45">
        <f>1.8*1.05</f>
        <v>1.8900000000000001</v>
      </c>
      <c r="J365" s="60">
        <f t="shared" si="63"/>
        <v>1.4000000000000001</v>
      </c>
      <c r="K365" s="48">
        <f>J365</f>
        <v>1.4000000000000001</v>
      </c>
      <c r="L365" s="46">
        <f t="shared" ref="L365:L370" si="80">K365*N365</f>
        <v>1.2180000000000002</v>
      </c>
      <c r="M365" s="55" t="str">
        <f t="shared" ref="M365:M370" si="81">IF(K365&lt;0,"закрыт","открыт")</f>
        <v>открыт</v>
      </c>
      <c r="N365" s="55">
        <v>0.87</v>
      </c>
      <c r="O365" s="30"/>
      <c r="P365" s="45">
        <v>248</v>
      </c>
      <c r="Q365" s="53" t="s">
        <v>300</v>
      </c>
      <c r="R365" s="43" t="s">
        <v>271</v>
      </c>
      <c r="S365" s="57">
        <f t="shared" ref="S365:S370" si="82">T365/N365</f>
        <v>0</v>
      </c>
      <c r="T365" s="57">
        <v>0</v>
      </c>
      <c r="U365" s="46">
        <f t="shared" si="79"/>
        <v>0.55000000000000004</v>
      </c>
      <c r="V365" s="57">
        <f>E365</f>
        <v>0.06</v>
      </c>
      <c r="W365" s="54">
        <v>120</v>
      </c>
      <c r="X365" s="57">
        <f t="shared" si="77"/>
        <v>0.49000000000000005</v>
      </c>
      <c r="Y365" s="46">
        <v>0</v>
      </c>
      <c r="Z365" s="60">
        <f>1.8*1.05</f>
        <v>1.8900000000000001</v>
      </c>
      <c r="AA365" s="46">
        <f t="shared" si="78"/>
        <v>1.4000000000000001</v>
      </c>
      <c r="AB365" s="48">
        <f t="shared" si="64"/>
        <v>1.4000000000000001</v>
      </c>
      <c r="AC365" s="55" t="str">
        <f t="shared" ref="AC365:AC370" si="83">IF(AB365&lt;0,"закрыт","открыт")</f>
        <v>открыт</v>
      </c>
      <c r="AD365" s="55">
        <v>0.87</v>
      </c>
    </row>
    <row r="366" spans="1:30" s="34" customFormat="1" ht="22.5">
      <c r="A366" s="45">
        <v>249</v>
      </c>
      <c r="B366" s="47" t="s">
        <v>301</v>
      </c>
      <c r="C366" s="43" t="s">
        <v>32</v>
      </c>
      <c r="D366" s="64">
        <v>1.29</v>
      </c>
      <c r="E366" s="43">
        <v>0.28999999999999998</v>
      </c>
      <c r="F366" s="45">
        <v>120</v>
      </c>
      <c r="G366" s="60">
        <f t="shared" si="62"/>
        <v>1</v>
      </c>
      <c r="H366" s="43">
        <v>0</v>
      </c>
      <c r="I366" s="43">
        <v>4.2</v>
      </c>
      <c r="J366" s="60">
        <f t="shared" si="63"/>
        <v>3.2</v>
      </c>
      <c r="K366" s="48">
        <f>J366</f>
        <v>3.2</v>
      </c>
      <c r="L366" s="46">
        <f t="shared" si="80"/>
        <v>2.9440000000000004</v>
      </c>
      <c r="M366" s="55" t="str">
        <f t="shared" si="81"/>
        <v>открыт</v>
      </c>
      <c r="N366" s="55">
        <v>0.92</v>
      </c>
      <c r="O366" s="30"/>
      <c r="P366" s="45">
        <v>249</v>
      </c>
      <c r="Q366" s="53" t="s">
        <v>301</v>
      </c>
      <c r="R366" s="43" t="s">
        <v>32</v>
      </c>
      <c r="S366" s="57">
        <f t="shared" si="82"/>
        <v>0.39728260869565213</v>
      </c>
      <c r="T366" s="57">
        <v>0.36549999999999999</v>
      </c>
      <c r="U366" s="46">
        <f t="shared" si="79"/>
        <v>1.6872826086956523</v>
      </c>
      <c r="V366" s="57">
        <f>E366</f>
        <v>0.28999999999999998</v>
      </c>
      <c r="W366" s="54">
        <v>120</v>
      </c>
      <c r="X366" s="57">
        <f t="shared" si="77"/>
        <v>1.3972826086956522</v>
      </c>
      <c r="Y366" s="46">
        <v>0</v>
      </c>
      <c r="Z366" s="46">
        <v>4.2</v>
      </c>
      <c r="AA366" s="46">
        <f t="shared" si="78"/>
        <v>2.8027173913043479</v>
      </c>
      <c r="AB366" s="48">
        <f t="shared" si="64"/>
        <v>2.8027173913043479</v>
      </c>
      <c r="AC366" s="55" t="str">
        <f t="shared" si="83"/>
        <v>открыт</v>
      </c>
      <c r="AD366" s="55">
        <v>0.92</v>
      </c>
    </row>
    <row r="367" spans="1:30" s="34" customFormat="1" ht="22.5">
      <c r="A367" s="45">
        <v>250</v>
      </c>
      <c r="B367" s="47" t="s">
        <v>302</v>
      </c>
      <c r="C367" s="43" t="s">
        <v>303</v>
      </c>
      <c r="D367" s="64">
        <v>1.37</v>
      </c>
      <c r="E367" s="43">
        <v>0.51</v>
      </c>
      <c r="F367" s="45">
        <v>120</v>
      </c>
      <c r="G367" s="60">
        <f t="shared" si="62"/>
        <v>0.8600000000000001</v>
      </c>
      <c r="H367" s="43">
        <v>0</v>
      </c>
      <c r="I367" s="43">
        <v>1.68</v>
      </c>
      <c r="J367" s="60">
        <f t="shared" si="63"/>
        <v>0.81999999999999984</v>
      </c>
      <c r="K367" s="48">
        <f>J367</f>
        <v>0.81999999999999984</v>
      </c>
      <c r="L367" s="46">
        <f t="shared" si="80"/>
        <v>0.72159999999999991</v>
      </c>
      <c r="M367" s="55" t="str">
        <f t="shared" si="81"/>
        <v>открыт</v>
      </c>
      <c r="N367" s="55">
        <v>0.88</v>
      </c>
      <c r="O367" s="30"/>
      <c r="P367" s="45">
        <v>250</v>
      </c>
      <c r="Q367" s="53" t="s">
        <v>302</v>
      </c>
      <c r="R367" s="43" t="s">
        <v>303</v>
      </c>
      <c r="S367" s="57">
        <f t="shared" si="82"/>
        <v>0</v>
      </c>
      <c r="T367" s="57">
        <v>0</v>
      </c>
      <c r="U367" s="46">
        <f t="shared" si="79"/>
        <v>1.37</v>
      </c>
      <c r="V367" s="57">
        <f>E367</f>
        <v>0.51</v>
      </c>
      <c r="W367" s="54">
        <v>120</v>
      </c>
      <c r="X367" s="57">
        <f t="shared" si="77"/>
        <v>0.8600000000000001</v>
      </c>
      <c r="Y367" s="46">
        <v>0</v>
      </c>
      <c r="Z367" s="46">
        <v>1.68</v>
      </c>
      <c r="AA367" s="46">
        <f t="shared" si="78"/>
        <v>0.81999999999999984</v>
      </c>
      <c r="AB367" s="48">
        <f t="shared" si="64"/>
        <v>0.81999999999999984</v>
      </c>
      <c r="AC367" s="55" t="str">
        <f t="shared" si="83"/>
        <v>открыт</v>
      </c>
      <c r="AD367" s="55">
        <v>0.88</v>
      </c>
    </row>
    <row r="368" spans="1:30" s="34" customFormat="1" ht="22.5">
      <c r="A368" s="45">
        <v>251</v>
      </c>
      <c r="B368" s="47" t="s">
        <v>304</v>
      </c>
      <c r="C368" s="43" t="s">
        <v>128</v>
      </c>
      <c r="D368" s="64">
        <v>0.75</v>
      </c>
      <c r="E368" s="43">
        <v>0</v>
      </c>
      <c r="F368" s="45">
        <v>120</v>
      </c>
      <c r="G368" s="60">
        <f t="shared" si="62"/>
        <v>0.75</v>
      </c>
      <c r="H368" s="43">
        <v>0</v>
      </c>
      <c r="I368" s="43">
        <v>6.6150000000000002</v>
      </c>
      <c r="J368" s="60">
        <f t="shared" si="63"/>
        <v>5.8650000000000002</v>
      </c>
      <c r="K368" s="48">
        <f>J368</f>
        <v>5.8650000000000002</v>
      </c>
      <c r="L368" s="46">
        <f t="shared" si="80"/>
        <v>5.3958000000000004</v>
      </c>
      <c r="M368" s="55" t="str">
        <f t="shared" si="81"/>
        <v>открыт</v>
      </c>
      <c r="N368" s="55">
        <v>0.92</v>
      </c>
      <c r="O368" s="30"/>
      <c r="P368" s="45">
        <v>251</v>
      </c>
      <c r="Q368" s="53" t="s">
        <v>304</v>
      </c>
      <c r="R368" s="43" t="s">
        <v>128</v>
      </c>
      <c r="S368" s="57">
        <f t="shared" si="82"/>
        <v>0.22173913043478258</v>
      </c>
      <c r="T368" s="57">
        <v>0.20399999999999999</v>
      </c>
      <c r="U368" s="46">
        <f t="shared" si="79"/>
        <v>0.97173913043478255</v>
      </c>
      <c r="V368" s="57">
        <f>E368</f>
        <v>0</v>
      </c>
      <c r="W368" s="54">
        <v>120</v>
      </c>
      <c r="X368" s="57">
        <f t="shared" si="77"/>
        <v>0.97173913043478255</v>
      </c>
      <c r="Y368" s="46">
        <v>0</v>
      </c>
      <c r="Z368" s="46">
        <v>6.6150000000000002</v>
      </c>
      <c r="AA368" s="46">
        <f t="shared" si="78"/>
        <v>5.6432608695652178</v>
      </c>
      <c r="AB368" s="48">
        <f t="shared" si="64"/>
        <v>5.6432608695652178</v>
      </c>
      <c r="AC368" s="55" t="str">
        <f t="shared" si="83"/>
        <v>открыт</v>
      </c>
      <c r="AD368" s="55">
        <v>0.92</v>
      </c>
    </row>
    <row r="369" spans="1:30" s="34" customFormat="1" ht="22.5">
      <c r="A369" s="45">
        <v>252</v>
      </c>
      <c r="B369" s="47" t="s">
        <v>305</v>
      </c>
      <c r="C369" s="43" t="s">
        <v>128</v>
      </c>
      <c r="D369" s="64">
        <v>3.64</v>
      </c>
      <c r="E369" s="43">
        <v>0</v>
      </c>
      <c r="F369" s="45">
        <v>120</v>
      </c>
      <c r="G369" s="60">
        <f t="shared" si="62"/>
        <v>3.64</v>
      </c>
      <c r="H369" s="43">
        <v>0</v>
      </c>
      <c r="I369" s="43">
        <v>6.6150000000000002</v>
      </c>
      <c r="J369" s="60">
        <f t="shared" si="63"/>
        <v>2.9750000000000001</v>
      </c>
      <c r="K369" s="48">
        <f>J369</f>
        <v>2.9750000000000001</v>
      </c>
      <c r="L369" s="46">
        <f t="shared" si="80"/>
        <v>2.8559999999999999</v>
      </c>
      <c r="M369" s="55" t="str">
        <f t="shared" si="81"/>
        <v>открыт</v>
      </c>
      <c r="N369" s="55">
        <v>0.96</v>
      </c>
      <c r="O369" s="30"/>
      <c r="P369" s="45">
        <v>252</v>
      </c>
      <c r="Q369" s="53" t="s">
        <v>305</v>
      </c>
      <c r="R369" s="43" t="s">
        <v>128</v>
      </c>
      <c r="S369" s="57">
        <f t="shared" si="82"/>
        <v>0.54010416666666661</v>
      </c>
      <c r="T369" s="57">
        <v>0.51849999999999996</v>
      </c>
      <c r="U369" s="46">
        <f t="shared" si="79"/>
        <v>4.1801041666666663</v>
      </c>
      <c r="V369" s="57">
        <f>E369</f>
        <v>0</v>
      </c>
      <c r="W369" s="54">
        <v>120</v>
      </c>
      <c r="X369" s="57">
        <f t="shared" si="77"/>
        <v>4.1801041666666663</v>
      </c>
      <c r="Y369" s="46">
        <v>0</v>
      </c>
      <c r="Z369" s="46">
        <v>6.6150000000000002</v>
      </c>
      <c r="AA369" s="46">
        <f t="shared" si="78"/>
        <v>2.4348958333333339</v>
      </c>
      <c r="AB369" s="48">
        <f t="shared" si="64"/>
        <v>2.4348958333333339</v>
      </c>
      <c r="AC369" s="55" t="str">
        <f t="shared" si="83"/>
        <v>открыт</v>
      </c>
      <c r="AD369" s="55">
        <v>0.96</v>
      </c>
    </row>
    <row r="370" spans="1:30" s="34" customFormat="1" ht="22.5">
      <c r="A370" s="96">
        <v>253</v>
      </c>
      <c r="B370" s="47" t="s">
        <v>306</v>
      </c>
      <c r="C370" s="43" t="s">
        <v>119</v>
      </c>
      <c r="D370" s="64">
        <v>3.58</v>
      </c>
      <c r="E370" s="43">
        <f>E371+E372</f>
        <v>2.35</v>
      </c>
      <c r="F370" s="45">
        <v>120</v>
      </c>
      <c r="G370" s="60">
        <f t="shared" si="62"/>
        <v>1.23</v>
      </c>
      <c r="H370" s="43">
        <v>0</v>
      </c>
      <c r="I370" s="43">
        <v>10.5</v>
      </c>
      <c r="J370" s="60">
        <f t="shared" si="63"/>
        <v>9.27</v>
      </c>
      <c r="K370" s="97">
        <f>MIN(J370:J372)</f>
        <v>9.27</v>
      </c>
      <c r="L370" s="93">
        <f t="shared" si="80"/>
        <v>8.343</v>
      </c>
      <c r="M370" s="98" t="str">
        <f t="shared" si="81"/>
        <v>открыт</v>
      </c>
      <c r="N370" s="138">
        <v>0.9</v>
      </c>
      <c r="O370" s="30"/>
      <c r="P370" s="96">
        <v>253</v>
      </c>
      <c r="Q370" s="53" t="s">
        <v>306</v>
      </c>
      <c r="R370" s="43" t="s">
        <v>119</v>
      </c>
      <c r="S370" s="60">
        <f t="shared" si="82"/>
        <v>3.8111111111111113</v>
      </c>
      <c r="T370" s="57">
        <v>3.43</v>
      </c>
      <c r="U370" s="46">
        <f t="shared" si="79"/>
        <v>7.3911111111111119</v>
      </c>
      <c r="V370" s="57">
        <f>V371+V372</f>
        <v>2.7500000000000004</v>
      </c>
      <c r="W370" s="54">
        <v>120</v>
      </c>
      <c r="X370" s="57">
        <f t="shared" si="77"/>
        <v>4.6411111111111119</v>
      </c>
      <c r="Y370" s="46">
        <v>0</v>
      </c>
      <c r="Z370" s="46">
        <v>10.5</v>
      </c>
      <c r="AA370" s="46">
        <f t="shared" si="78"/>
        <v>5.8588888888888881</v>
      </c>
      <c r="AB370" s="97">
        <f>MIN(AA370:AA372)</f>
        <v>5.8588888888888881</v>
      </c>
      <c r="AC370" s="98" t="str">
        <f t="shared" si="83"/>
        <v>открыт</v>
      </c>
      <c r="AD370" s="138">
        <v>0.9</v>
      </c>
    </row>
    <row r="371" spans="1:30" s="34" customFormat="1" ht="11.25">
      <c r="A371" s="96"/>
      <c r="B371" s="61" t="s">
        <v>45</v>
      </c>
      <c r="C371" s="43" t="s">
        <v>119</v>
      </c>
      <c r="D371" s="64">
        <f>D370-D372</f>
        <v>2.3200000000000003</v>
      </c>
      <c r="E371" s="69">
        <f>D371</f>
        <v>2.3200000000000003</v>
      </c>
      <c r="F371" s="45"/>
      <c r="G371" s="60">
        <f>D371-E371</f>
        <v>0</v>
      </c>
      <c r="H371" s="43">
        <v>0</v>
      </c>
      <c r="I371" s="43">
        <v>10.5</v>
      </c>
      <c r="J371" s="60">
        <f>I371-G371-H371</f>
        <v>10.5</v>
      </c>
      <c r="K371" s="97"/>
      <c r="L371" s="93"/>
      <c r="M371" s="99"/>
      <c r="N371" s="138"/>
      <c r="O371" s="30"/>
      <c r="P371" s="96"/>
      <c r="Q371" s="61" t="s">
        <v>45</v>
      </c>
      <c r="R371" s="43" t="s">
        <v>119</v>
      </c>
      <c r="S371" s="60">
        <f>S370-S372</f>
        <v>0.40000000000000036</v>
      </c>
      <c r="T371" s="57">
        <v>0.35699999999999993</v>
      </c>
      <c r="U371" s="46">
        <f t="shared" si="79"/>
        <v>2.7200000000000006</v>
      </c>
      <c r="V371" s="57">
        <f>U371</f>
        <v>2.7200000000000006</v>
      </c>
      <c r="W371" s="54">
        <v>120</v>
      </c>
      <c r="X371" s="57">
        <f t="shared" si="77"/>
        <v>0</v>
      </c>
      <c r="Y371" s="46">
        <v>0</v>
      </c>
      <c r="Z371" s="46">
        <v>10.5</v>
      </c>
      <c r="AA371" s="46">
        <f t="shared" si="78"/>
        <v>10.5</v>
      </c>
      <c r="AB371" s="97"/>
      <c r="AC371" s="99"/>
      <c r="AD371" s="138"/>
    </row>
    <row r="372" spans="1:30" s="34" customFormat="1" ht="11.25">
      <c r="A372" s="96"/>
      <c r="B372" s="61" t="s">
        <v>46</v>
      </c>
      <c r="C372" s="43" t="s">
        <v>119</v>
      </c>
      <c r="D372" s="64">
        <v>1.26</v>
      </c>
      <c r="E372" s="56">
        <v>0.03</v>
      </c>
      <c r="F372" s="45">
        <v>120</v>
      </c>
      <c r="G372" s="60">
        <f>D372-E372</f>
        <v>1.23</v>
      </c>
      <c r="H372" s="43">
        <v>0</v>
      </c>
      <c r="I372" s="43">
        <v>10.5</v>
      </c>
      <c r="J372" s="60">
        <f>I372-G372-H372</f>
        <v>9.27</v>
      </c>
      <c r="K372" s="97"/>
      <c r="L372" s="93"/>
      <c r="M372" s="100"/>
      <c r="N372" s="138"/>
      <c r="O372" s="30"/>
      <c r="P372" s="96"/>
      <c r="Q372" s="61" t="s">
        <v>46</v>
      </c>
      <c r="R372" s="43" t="s">
        <v>119</v>
      </c>
      <c r="S372" s="60">
        <f>T372/N370</f>
        <v>3.411111111111111</v>
      </c>
      <c r="T372" s="57">
        <v>3.07</v>
      </c>
      <c r="U372" s="46">
        <f t="shared" si="79"/>
        <v>4.6711111111111112</v>
      </c>
      <c r="V372" s="57">
        <f>'[1]текущий дефицит'!E368</f>
        <v>0.03</v>
      </c>
      <c r="W372" s="54">
        <v>120</v>
      </c>
      <c r="X372" s="57">
        <f t="shared" si="77"/>
        <v>4.641111111111111</v>
      </c>
      <c r="Y372" s="46">
        <v>0</v>
      </c>
      <c r="Z372" s="46">
        <v>10.5</v>
      </c>
      <c r="AA372" s="46">
        <f t="shared" si="78"/>
        <v>5.858888888888889</v>
      </c>
      <c r="AB372" s="97"/>
      <c r="AC372" s="100"/>
      <c r="AD372" s="138"/>
    </row>
    <row r="373" spans="1:30" s="34" customFormat="1" ht="22.5">
      <c r="A373" s="45">
        <v>254</v>
      </c>
      <c r="B373" s="47" t="s">
        <v>307</v>
      </c>
      <c r="C373" s="43" t="s">
        <v>130</v>
      </c>
      <c r="D373" s="64">
        <v>1.5</v>
      </c>
      <c r="E373" s="43">
        <v>0.4</v>
      </c>
      <c r="F373" s="45">
        <v>120</v>
      </c>
      <c r="G373" s="60">
        <f t="shared" si="62"/>
        <v>1.1000000000000001</v>
      </c>
      <c r="H373" s="43">
        <v>0</v>
      </c>
      <c r="I373" s="43">
        <v>2.625</v>
      </c>
      <c r="J373" s="60">
        <f t="shared" si="63"/>
        <v>1.5249999999999999</v>
      </c>
      <c r="K373" s="48">
        <f>J373</f>
        <v>1.5249999999999999</v>
      </c>
      <c r="L373" s="46">
        <f>K373*N373</f>
        <v>1.2657499999999999</v>
      </c>
      <c r="M373" s="55" t="str">
        <f>IF(K373&lt;0,"закрыт","открыт")</f>
        <v>открыт</v>
      </c>
      <c r="N373" s="55">
        <v>0.83</v>
      </c>
      <c r="O373" s="30"/>
      <c r="P373" s="45">
        <v>254</v>
      </c>
      <c r="Q373" s="53" t="s">
        <v>307</v>
      </c>
      <c r="R373" s="43" t="s">
        <v>130</v>
      </c>
      <c r="S373" s="57">
        <f>T373/N373</f>
        <v>7.1686746987951813E-2</v>
      </c>
      <c r="T373" s="57">
        <v>5.9500000000000004E-2</v>
      </c>
      <c r="U373" s="46">
        <f t="shared" si="79"/>
        <v>1.5716867469879519</v>
      </c>
      <c r="V373" s="57">
        <f>E373</f>
        <v>0.4</v>
      </c>
      <c r="W373" s="54">
        <v>120</v>
      </c>
      <c r="X373" s="57">
        <f t="shared" si="77"/>
        <v>1.1716867469879517</v>
      </c>
      <c r="Y373" s="46">
        <v>0</v>
      </c>
      <c r="Z373" s="46">
        <v>2.625</v>
      </c>
      <c r="AA373" s="46">
        <f t="shared" si="78"/>
        <v>1.4533132530120483</v>
      </c>
      <c r="AB373" s="48">
        <f t="shared" si="64"/>
        <v>1.4533132530120483</v>
      </c>
      <c r="AC373" s="55" t="str">
        <f>IF(AB373&lt;0,"закрыт","открыт")</f>
        <v>открыт</v>
      </c>
      <c r="AD373" s="55">
        <v>0.83</v>
      </c>
    </row>
    <row r="374" spans="1:30" s="34" customFormat="1" ht="22.5">
      <c r="A374" s="96">
        <v>255</v>
      </c>
      <c r="B374" s="47" t="s">
        <v>308</v>
      </c>
      <c r="C374" s="43" t="s">
        <v>128</v>
      </c>
      <c r="D374" s="64">
        <v>1.41</v>
      </c>
      <c r="E374" s="43">
        <f>E375+E376</f>
        <v>0.36999999999999988</v>
      </c>
      <c r="F374" s="45">
        <v>120</v>
      </c>
      <c r="G374" s="60">
        <f t="shared" si="62"/>
        <v>1.04</v>
      </c>
      <c r="H374" s="43">
        <v>0</v>
      </c>
      <c r="I374" s="43">
        <v>6.6150000000000002</v>
      </c>
      <c r="J374" s="60">
        <f t="shared" si="63"/>
        <v>5.5750000000000002</v>
      </c>
      <c r="K374" s="97">
        <f>MIN(J374:J376)</f>
        <v>5.5750000000000002</v>
      </c>
      <c r="L374" s="93">
        <f>K374*N374</f>
        <v>5.2404999999999999</v>
      </c>
      <c r="M374" s="98" t="str">
        <f>IF(K374&lt;0,"закрыт","открыт")</f>
        <v>открыт</v>
      </c>
      <c r="N374" s="138">
        <v>0.94</v>
      </c>
      <c r="O374" s="30"/>
      <c r="P374" s="96">
        <v>255</v>
      </c>
      <c r="Q374" s="53" t="s">
        <v>308</v>
      </c>
      <c r="R374" s="43" t="s">
        <v>128</v>
      </c>
      <c r="S374" s="60">
        <f>T374/N374</f>
        <v>0.19893617021276597</v>
      </c>
      <c r="T374" s="57">
        <v>0.187</v>
      </c>
      <c r="U374" s="46">
        <f t="shared" si="79"/>
        <v>1.6089361702127658</v>
      </c>
      <c r="V374" s="57">
        <f>V375+V376</f>
        <v>0.36999999999999988</v>
      </c>
      <c r="W374" s="54">
        <v>120</v>
      </c>
      <c r="X374" s="57">
        <f t="shared" si="77"/>
        <v>1.2389361702127659</v>
      </c>
      <c r="Y374" s="46">
        <v>0</v>
      </c>
      <c r="Z374" s="46">
        <v>6.6150000000000002</v>
      </c>
      <c r="AA374" s="46">
        <f t="shared" si="78"/>
        <v>5.3760638297872347</v>
      </c>
      <c r="AB374" s="97">
        <f>MIN(AA374:AA376)</f>
        <v>5.3760638297872347</v>
      </c>
      <c r="AC374" s="98" t="str">
        <f>IF(AB374&lt;0,"закрыт","открыт")</f>
        <v>открыт</v>
      </c>
      <c r="AD374" s="138">
        <v>0.94</v>
      </c>
    </row>
    <row r="375" spans="1:30" s="34" customFormat="1" ht="11.25">
      <c r="A375" s="96"/>
      <c r="B375" s="61" t="s">
        <v>45</v>
      </c>
      <c r="C375" s="43" t="s">
        <v>128</v>
      </c>
      <c r="D375" s="64">
        <f>D374-D376</f>
        <v>0.35999999999999988</v>
      </c>
      <c r="E375" s="69">
        <f>D375</f>
        <v>0.35999999999999988</v>
      </c>
      <c r="F375" s="45"/>
      <c r="G375" s="60">
        <f>D375-E375</f>
        <v>0</v>
      </c>
      <c r="H375" s="43">
        <v>0</v>
      </c>
      <c r="I375" s="43">
        <v>6.6150000000000002</v>
      </c>
      <c r="J375" s="60">
        <f>I375-G375-H375</f>
        <v>6.6150000000000002</v>
      </c>
      <c r="K375" s="97"/>
      <c r="L375" s="93"/>
      <c r="M375" s="99"/>
      <c r="N375" s="138"/>
      <c r="O375" s="30"/>
      <c r="P375" s="96"/>
      <c r="Q375" s="61" t="s">
        <v>45</v>
      </c>
      <c r="R375" s="43" t="s">
        <v>128</v>
      </c>
      <c r="S375" s="60">
        <f>S374-S376</f>
        <v>0</v>
      </c>
      <c r="T375" s="57">
        <v>0</v>
      </c>
      <c r="U375" s="46">
        <f t="shared" si="79"/>
        <v>0.35999999999999988</v>
      </c>
      <c r="V375" s="57">
        <f>U375</f>
        <v>0.35999999999999988</v>
      </c>
      <c r="W375" s="54">
        <v>120</v>
      </c>
      <c r="X375" s="57">
        <f t="shared" si="77"/>
        <v>0</v>
      </c>
      <c r="Y375" s="46">
        <v>0</v>
      </c>
      <c r="Z375" s="46">
        <v>6.6150000000000002</v>
      </c>
      <c r="AA375" s="46">
        <f t="shared" si="78"/>
        <v>6.6150000000000002</v>
      </c>
      <c r="AB375" s="97"/>
      <c r="AC375" s="99"/>
      <c r="AD375" s="138"/>
    </row>
    <row r="376" spans="1:30" s="34" customFormat="1" ht="11.25">
      <c r="A376" s="96"/>
      <c r="B376" s="61" t="s">
        <v>46</v>
      </c>
      <c r="C376" s="43" t="s">
        <v>128</v>
      </c>
      <c r="D376" s="64">
        <v>1.05</v>
      </c>
      <c r="E376" s="56">
        <v>0.01</v>
      </c>
      <c r="F376" s="45">
        <v>120</v>
      </c>
      <c r="G376" s="60">
        <f>D376-E376</f>
        <v>1.04</v>
      </c>
      <c r="H376" s="43">
        <v>0</v>
      </c>
      <c r="I376" s="43">
        <v>6.6150000000000002</v>
      </c>
      <c r="J376" s="60">
        <f>I376-G376-H376</f>
        <v>5.5750000000000002</v>
      </c>
      <c r="K376" s="97"/>
      <c r="L376" s="93"/>
      <c r="M376" s="100"/>
      <c r="N376" s="138"/>
      <c r="O376" s="30"/>
      <c r="P376" s="96"/>
      <c r="Q376" s="61" t="s">
        <v>46</v>
      </c>
      <c r="R376" s="43" t="s">
        <v>128</v>
      </c>
      <c r="S376" s="60">
        <f>T376/N374</f>
        <v>0.19893617021276597</v>
      </c>
      <c r="T376" s="57">
        <v>0.187</v>
      </c>
      <c r="U376" s="46">
        <f t="shared" si="79"/>
        <v>1.2489361702127659</v>
      </c>
      <c r="V376" s="57">
        <f>'[1]текущий дефицит'!E372</f>
        <v>0.01</v>
      </c>
      <c r="W376" s="54">
        <v>120</v>
      </c>
      <c r="X376" s="57">
        <f t="shared" si="77"/>
        <v>1.2389361702127659</v>
      </c>
      <c r="Y376" s="46">
        <v>0</v>
      </c>
      <c r="Z376" s="46">
        <v>6.6150000000000002</v>
      </c>
      <c r="AA376" s="46">
        <f t="shared" si="78"/>
        <v>5.3760638297872347</v>
      </c>
      <c r="AB376" s="97"/>
      <c r="AC376" s="100"/>
      <c r="AD376" s="138"/>
    </row>
    <row r="377" spans="1:30" s="34" customFormat="1" ht="11.25">
      <c r="A377" s="101"/>
      <c r="B377" s="76" t="s">
        <v>29</v>
      </c>
      <c r="C377" s="77">
        <v>3150.6</v>
      </c>
      <c r="D377" s="78">
        <v>578.51</v>
      </c>
      <c r="E377" s="77"/>
      <c r="F377" s="77"/>
      <c r="G377" s="77"/>
      <c r="H377" s="77"/>
      <c r="I377" s="77"/>
      <c r="J377" s="77"/>
      <c r="K377" s="77"/>
      <c r="L377" s="77"/>
      <c r="M377" s="76"/>
      <c r="N377" s="79"/>
      <c r="O377" s="30"/>
      <c r="P377" s="101"/>
      <c r="Q377" s="76" t="s">
        <v>29</v>
      </c>
      <c r="R377" s="77">
        <v>3150.6</v>
      </c>
      <c r="S377" s="78">
        <f>S376+S373+S372+S369+S368+S367+S366+S365+S364+S361+S360+S359+S356+S355+S354+S351+S350+S347+S346+S345+S344+S341+S340+S339+S338+S337+S336+S335+S334+S333+S330+S329+S328+S325+S321+S322+S320+S319+S318+S317+S316+S315+S314+S313+S312+S309+S308+S305+S302+S301+S300+S299+S298+S295+S294+S293+S292+S291+S288+S287+S286+S283+S282+S281+S278+S277+S276+S275+S272+S271+S268+S267+S264+S263+S260+S259+S258+S257+S256+S253+S252+S251+S250+S249+S248+S245+S244+S243+S242+S239+S238+S237+S236+S233+S232+S229+S228+S227+S226+S225+S222+S221+S220+S219+S218+S217+S214+S213+S212+S209+S208+S207+S206+S203+S202+S201+S198+S197+S196+S193+S192+S191+S190+S187+S186+S185+S184+S183+S182+S181+S178+S177+S176+S173+S172+S169+S168+S167+S166+S165+S162+S161+S160+S159+S156+S153+S152+S151+S150+S147+S146+S143+S142+S141+S140+S137+S136+S133+S132+S131+S128+S127+S126+S123+S120+S117+S114+S113+S112+S109+S108+S107+S104+S103+S102+S101+S98+S97+S96+S93+S92+S91+S90+S87+S86+S85+S84+S83+S82+S81+SUM(S65:S77,S15:S61,S9:S11)</f>
        <v>328.89431532005375</v>
      </c>
      <c r="T377" s="78"/>
      <c r="U377" s="78">
        <f>S377+D377</f>
        <v>907.40431532005368</v>
      </c>
      <c r="V377" s="77"/>
      <c r="W377" s="77"/>
      <c r="X377" s="77"/>
      <c r="Y377" s="77"/>
      <c r="Z377" s="77"/>
      <c r="AA377" s="77"/>
      <c r="AB377" s="76"/>
      <c r="AC377" s="80"/>
      <c r="AD377" s="79"/>
    </row>
    <row r="378" spans="1:30" s="34" customFormat="1" ht="11.25">
      <c r="A378" s="102"/>
      <c r="B378" s="76" t="s">
        <v>30</v>
      </c>
      <c r="C378" s="77"/>
      <c r="D378" s="77"/>
      <c r="E378" s="77"/>
      <c r="F378" s="77"/>
      <c r="G378" s="77"/>
      <c r="H378" s="77"/>
      <c r="I378" s="77"/>
      <c r="J378" s="77"/>
      <c r="K378" s="78">
        <f>SUMIF(K9:K77,"&lt;0",K9:K77)+SUMIF(K79:K376,"&lt;0",K79:K376)</f>
        <v>-0.06</v>
      </c>
      <c r="L378" s="78">
        <f>SUMIF(L9:L77,"&lt;0",L9:L77)+SUMIF(L79:L376,"&lt;0",L79:L376)</f>
        <v>-4.8000000000000001E-2</v>
      </c>
      <c r="M378" s="76"/>
      <c r="N378" s="79"/>
      <c r="O378" s="30"/>
      <c r="P378" s="102"/>
      <c r="Q378" s="76" t="s">
        <v>30</v>
      </c>
      <c r="R378" s="77"/>
      <c r="S378" s="77"/>
      <c r="T378" s="77"/>
      <c r="U378" s="81"/>
      <c r="V378" s="77"/>
      <c r="W378" s="77"/>
      <c r="X378" s="77"/>
      <c r="Y378" s="77"/>
      <c r="Z378" s="77"/>
      <c r="AA378" s="78"/>
      <c r="AB378" s="78">
        <f>SUMIF(AB9:AB77,"&lt;0",AB9:AB77)+SUMIF(AB79:AB376,"&lt;0",AB79:AB376)-AB79</f>
        <v>-117.50915638062818</v>
      </c>
      <c r="AC378" s="80"/>
      <c r="AD378" s="79"/>
    </row>
    <row r="379" spans="1:30" s="34" customFormat="1" ht="11.25">
      <c r="A379" s="103"/>
      <c r="B379" s="76" t="s">
        <v>31</v>
      </c>
      <c r="C379" s="77"/>
      <c r="D379" s="77"/>
      <c r="E379" s="77"/>
      <c r="F379" s="77"/>
      <c r="G379" s="77"/>
      <c r="H379" s="77"/>
      <c r="I379" s="77"/>
      <c r="J379" s="77"/>
      <c r="K379" s="78">
        <f>SUMIF(K9:K77,"&gt;0",K9:K77)+SUMIF(K79:K376,"&gt;0",K79:K376)</f>
        <v>1025.8900000000003</v>
      </c>
      <c r="L379" s="78">
        <f>SUMIF(L9:L77,"&gt;0",L9:L77)+SUMIF(L79:L376,"&gt;0",L79:L376)</f>
        <v>909.27799999999991</v>
      </c>
      <c r="M379" s="76"/>
      <c r="N379" s="79"/>
      <c r="O379" s="30"/>
      <c r="P379" s="103"/>
      <c r="Q379" s="76" t="s">
        <v>31</v>
      </c>
      <c r="R379" s="77"/>
      <c r="S379" s="77"/>
      <c r="T379" s="77"/>
      <c r="U379" s="81"/>
      <c r="V379" s="77"/>
      <c r="W379" s="77"/>
      <c r="X379" s="77"/>
      <c r="Y379" s="77"/>
      <c r="Z379" s="77"/>
      <c r="AA379" s="78"/>
      <c r="AB379" s="78">
        <f>SUMIF(AB9:AB77,"&gt;0",AB9:AB77)+SUMIF(AB79:AB376,"&gt;0",AB79:AB376)</f>
        <v>767.19421452472284</v>
      </c>
      <c r="AC379" s="80"/>
      <c r="AD379" s="79"/>
    </row>
  </sheetData>
  <autoFilter ref="A3:AE379">
    <filterColumn colId="9" showButton="0"/>
    <filterColumn colId="17" showButton="0"/>
    <filterColumn colId="18" showButton="0"/>
    <filterColumn colId="19" showButton="0"/>
    <filterColumn colId="20" showButton="0"/>
    <filterColumn colId="25" showButton="0"/>
  </autoFilter>
  <mergeCells count="543">
    <mergeCell ref="AD370:AD372"/>
    <mergeCell ref="AD374:AD376"/>
    <mergeCell ref="AD331:AD333"/>
    <mergeCell ref="AD342:AD344"/>
    <mergeCell ref="AD348:AD350"/>
    <mergeCell ref="AD352:AD354"/>
    <mergeCell ref="AD357:AD359"/>
    <mergeCell ref="AD362:AD364"/>
    <mergeCell ref="AD296:AD298"/>
    <mergeCell ref="AD303:AD305"/>
    <mergeCell ref="AD306:AD308"/>
    <mergeCell ref="AD310:AD312"/>
    <mergeCell ref="AD323:AD325"/>
    <mergeCell ref="AD326:AD328"/>
    <mergeCell ref="AD265:AD267"/>
    <mergeCell ref="AD269:AD271"/>
    <mergeCell ref="AD273:AD275"/>
    <mergeCell ref="AD279:AD281"/>
    <mergeCell ref="AD284:AD286"/>
    <mergeCell ref="AD289:AD291"/>
    <mergeCell ref="AD230:AD232"/>
    <mergeCell ref="AD234:AD236"/>
    <mergeCell ref="AD240:AD242"/>
    <mergeCell ref="AD246:AD248"/>
    <mergeCell ref="AD254:AD256"/>
    <mergeCell ref="AD261:AD263"/>
    <mergeCell ref="AD194:AD196"/>
    <mergeCell ref="AD199:AD201"/>
    <mergeCell ref="AD204:AD206"/>
    <mergeCell ref="AD210:AD212"/>
    <mergeCell ref="AD215:AD217"/>
    <mergeCell ref="AD223:AD225"/>
    <mergeCell ref="AD157:AD159"/>
    <mergeCell ref="AD163:AD165"/>
    <mergeCell ref="AD170:AD172"/>
    <mergeCell ref="AD174:AD176"/>
    <mergeCell ref="AD179:AD181"/>
    <mergeCell ref="AD188:AD190"/>
    <mergeCell ref="AD129:AD131"/>
    <mergeCell ref="AD134:AD136"/>
    <mergeCell ref="AD138:AD140"/>
    <mergeCell ref="AD144:AD146"/>
    <mergeCell ref="AD148:AD150"/>
    <mergeCell ref="AD154:AD156"/>
    <mergeCell ref="AD105:AD107"/>
    <mergeCell ref="AD110:AD112"/>
    <mergeCell ref="AD115:AD117"/>
    <mergeCell ref="AD118:AD120"/>
    <mergeCell ref="AD121:AD123"/>
    <mergeCell ref="AD124:AD126"/>
    <mergeCell ref="N370:N372"/>
    <mergeCell ref="N374:N376"/>
    <mergeCell ref="T5:T6"/>
    <mergeCell ref="AD4:AD6"/>
    <mergeCell ref="AD12:AD14"/>
    <mergeCell ref="AD62:AD64"/>
    <mergeCell ref="AD79:AD81"/>
    <mergeCell ref="AD88:AD90"/>
    <mergeCell ref="AD94:AD96"/>
    <mergeCell ref="AD99:AD101"/>
    <mergeCell ref="N331:N333"/>
    <mergeCell ref="N342:N344"/>
    <mergeCell ref="N348:N350"/>
    <mergeCell ref="N352:N354"/>
    <mergeCell ref="N357:N359"/>
    <mergeCell ref="N362:N364"/>
    <mergeCell ref="N296:N298"/>
    <mergeCell ref="N303:N305"/>
    <mergeCell ref="N306:N308"/>
    <mergeCell ref="N310:N312"/>
    <mergeCell ref="N323:N325"/>
    <mergeCell ref="N326:N328"/>
    <mergeCell ref="N265:N267"/>
    <mergeCell ref="N269:N271"/>
    <mergeCell ref="N273:N275"/>
    <mergeCell ref="N279:N281"/>
    <mergeCell ref="N284:N286"/>
    <mergeCell ref="N289:N291"/>
    <mergeCell ref="N230:N232"/>
    <mergeCell ref="N234:N236"/>
    <mergeCell ref="N240:N242"/>
    <mergeCell ref="N246:N248"/>
    <mergeCell ref="N254:N256"/>
    <mergeCell ref="N261:N263"/>
    <mergeCell ref="N194:N196"/>
    <mergeCell ref="N199:N201"/>
    <mergeCell ref="N204:N206"/>
    <mergeCell ref="N210:N212"/>
    <mergeCell ref="N215:N217"/>
    <mergeCell ref="N223:N225"/>
    <mergeCell ref="N157:N159"/>
    <mergeCell ref="N163:N165"/>
    <mergeCell ref="N170:N172"/>
    <mergeCell ref="N174:N176"/>
    <mergeCell ref="N179:N181"/>
    <mergeCell ref="N188:N190"/>
    <mergeCell ref="N129:N131"/>
    <mergeCell ref="N134:N136"/>
    <mergeCell ref="N138:N140"/>
    <mergeCell ref="N144:N146"/>
    <mergeCell ref="N148:N150"/>
    <mergeCell ref="N154:N156"/>
    <mergeCell ref="N105:N107"/>
    <mergeCell ref="N110:N112"/>
    <mergeCell ref="N115:N117"/>
    <mergeCell ref="N118:N120"/>
    <mergeCell ref="N121:N123"/>
    <mergeCell ref="N124:N126"/>
    <mergeCell ref="N12:N14"/>
    <mergeCell ref="N62:N64"/>
    <mergeCell ref="N79:N81"/>
    <mergeCell ref="N88:N90"/>
    <mergeCell ref="N94:N96"/>
    <mergeCell ref="N99:N101"/>
    <mergeCell ref="K5:K6"/>
    <mergeCell ref="V5:W5"/>
    <mergeCell ref="P4:P6"/>
    <mergeCell ref="E5:F5"/>
    <mergeCell ref="H5:H6"/>
    <mergeCell ref="I5:I6"/>
    <mergeCell ref="N4:N6"/>
    <mergeCell ref="L5:L6"/>
    <mergeCell ref="J1:K1"/>
    <mergeCell ref="J5:J6"/>
    <mergeCell ref="Z5:Z6"/>
    <mergeCell ref="R4:AB4"/>
    <mergeCell ref="R3:V3"/>
    <mergeCell ref="Z3:AA3"/>
    <mergeCell ref="J3:K3"/>
    <mergeCell ref="A2:M2"/>
    <mergeCell ref="A4:A6"/>
    <mergeCell ref="D5:D6"/>
    <mergeCell ref="X5:X6"/>
    <mergeCell ref="Y5:Y6"/>
    <mergeCell ref="M4:M6"/>
    <mergeCell ref="AB5:AB6"/>
    <mergeCell ref="A8:M8"/>
    <mergeCell ref="S5:S6"/>
    <mergeCell ref="AA5:AA6"/>
    <mergeCell ref="R5:R6"/>
    <mergeCell ref="U5:U6"/>
    <mergeCell ref="C4:K4"/>
    <mergeCell ref="P8:AC8"/>
    <mergeCell ref="Q4:Q6"/>
    <mergeCell ref="B4:B6"/>
    <mergeCell ref="C5:C6"/>
    <mergeCell ref="G5:G6"/>
    <mergeCell ref="A12:A14"/>
    <mergeCell ref="K12:K14"/>
    <mergeCell ref="M12:M14"/>
    <mergeCell ref="AC12:AC14"/>
    <mergeCell ref="AC4:AC6"/>
    <mergeCell ref="A62:A64"/>
    <mergeCell ref="K62:K64"/>
    <mergeCell ref="M62:M64"/>
    <mergeCell ref="A78:M78"/>
    <mergeCell ref="A79:A81"/>
    <mergeCell ref="K79:K81"/>
    <mergeCell ref="M79:M81"/>
    <mergeCell ref="A88:A90"/>
    <mergeCell ref="K88:K90"/>
    <mergeCell ref="M88:M90"/>
    <mergeCell ref="A94:A96"/>
    <mergeCell ref="K94:K96"/>
    <mergeCell ref="M94:M96"/>
    <mergeCell ref="A99:A101"/>
    <mergeCell ref="K99:K101"/>
    <mergeCell ref="M99:M101"/>
    <mergeCell ref="A105:A107"/>
    <mergeCell ref="K105:K107"/>
    <mergeCell ref="M105:M107"/>
    <mergeCell ref="L105:L107"/>
    <mergeCell ref="A110:A112"/>
    <mergeCell ref="K110:K112"/>
    <mergeCell ref="M110:M112"/>
    <mergeCell ref="A115:A117"/>
    <mergeCell ref="K115:K117"/>
    <mergeCell ref="M115:M117"/>
    <mergeCell ref="L110:L112"/>
    <mergeCell ref="L115:L117"/>
    <mergeCell ref="A118:A120"/>
    <mergeCell ref="K118:K120"/>
    <mergeCell ref="M118:M120"/>
    <mergeCell ref="A121:A123"/>
    <mergeCell ref="K121:K123"/>
    <mergeCell ref="M121:M123"/>
    <mergeCell ref="L118:L120"/>
    <mergeCell ref="L121:L123"/>
    <mergeCell ref="A124:A126"/>
    <mergeCell ref="K124:K126"/>
    <mergeCell ref="M124:M126"/>
    <mergeCell ref="A129:A131"/>
    <mergeCell ref="K129:K131"/>
    <mergeCell ref="M129:M131"/>
    <mergeCell ref="L124:L126"/>
    <mergeCell ref="L129:L131"/>
    <mergeCell ref="A134:A136"/>
    <mergeCell ref="K134:K136"/>
    <mergeCell ref="M134:M136"/>
    <mergeCell ref="A138:A140"/>
    <mergeCell ref="K138:K140"/>
    <mergeCell ref="M138:M140"/>
    <mergeCell ref="L134:L136"/>
    <mergeCell ref="L138:L140"/>
    <mergeCell ref="A144:A146"/>
    <mergeCell ref="K144:K146"/>
    <mergeCell ref="M144:M146"/>
    <mergeCell ref="A148:A150"/>
    <mergeCell ref="K148:K150"/>
    <mergeCell ref="M148:M150"/>
    <mergeCell ref="L144:L146"/>
    <mergeCell ref="L148:L150"/>
    <mergeCell ref="A154:A156"/>
    <mergeCell ref="K154:K156"/>
    <mergeCell ref="M154:M156"/>
    <mergeCell ref="A157:A159"/>
    <mergeCell ref="K157:K159"/>
    <mergeCell ref="M157:M159"/>
    <mergeCell ref="L154:L156"/>
    <mergeCell ref="L157:L159"/>
    <mergeCell ref="A163:A165"/>
    <mergeCell ref="K163:K165"/>
    <mergeCell ref="M163:M165"/>
    <mergeCell ref="A170:A172"/>
    <mergeCell ref="K170:K172"/>
    <mergeCell ref="M170:M172"/>
    <mergeCell ref="L163:L165"/>
    <mergeCell ref="L170:L172"/>
    <mergeCell ref="A174:A176"/>
    <mergeCell ref="K174:K176"/>
    <mergeCell ref="M174:M176"/>
    <mergeCell ref="A179:A181"/>
    <mergeCell ref="K179:K181"/>
    <mergeCell ref="M179:M181"/>
    <mergeCell ref="L174:L176"/>
    <mergeCell ref="L179:L181"/>
    <mergeCell ref="A188:A190"/>
    <mergeCell ref="K188:K190"/>
    <mergeCell ref="M188:M190"/>
    <mergeCell ref="A194:A196"/>
    <mergeCell ref="K194:K196"/>
    <mergeCell ref="M194:M196"/>
    <mergeCell ref="L188:L190"/>
    <mergeCell ref="L194:L196"/>
    <mergeCell ref="A199:A201"/>
    <mergeCell ref="K199:K201"/>
    <mergeCell ref="M199:M201"/>
    <mergeCell ref="A204:A206"/>
    <mergeCell ref="K204:K206"/>
    <mergeCell ref="M204:M206"/>
    <mergeCell ref="L199:L201"/>
    <mergeCell ref="L204:L206"/>
    <mergeCell ref="A210:A212"/>
    <mergeCell ref="K210:K212"/>
    <mergeCell ref="M210:M212"/>
    <mergeCell ref="A215:A217"/>
    <mergeCell ref="K215:K217"/>
    <mergeCell ref="M215:M217"/>
    <mergeCell ref="L210:L212"/>
    <mergeCell ref="L215:L217"/>
    <mergeCell ref="A223:A225"/>
    <mergeCell ref="K223:K225"/>
    <mergeCell ref="M223:M225"/>
    <mergeCell ref="A230:A232"/>
    <mergeCell ref="K230:K232"/>
    <mergeCell ref="M230:M232"/>
    <mergeCell ref="L223:L225"/>
    <mergeCell ref="L230:L232"/>
    <mergeCell ref="A234:A236"/>
    <mergeCell ref="K234:K236"/>
    <mergeCell ref="M234:M236"/>
    <mergeCell ref="A240:A242"/>
    <mergeCell ref="K240:K242"/>
    <mergeCell ref="M240:M242"/>
    <mergeCell ref="L234:L236"/>
    <mergeCell ref="L240:L242"/>
    <mergeCell ref="A246:A248"/>
    <mergeCell ref="K246:K248"/>
    <mergeCell ref="M246:M248"/>
    <mergeCell ref="A254:A256"/>
    <mergeCell ref="K254:K256"/>
    <mergeCell ref="M254:M256"/>
    <mergeCell ref="L246:L248"/>
    <mergeCell ref="L254:L256"/>
    <mergeCell ref="A261:A263"/>
    <mergeCell ref="K261:K263"/>
    <mergeCell ref="M261:M263"/>
    <mergeCell ref="A265:A267"/>
    <mergeCell ref="K265:K267"/>
    <mergeCell ref="M265:M267"/>
    <mergeCell ref="L261:L263"/>
    <mergeCell ref="L265:L267"/>
    <mergeCell ref="A269:A271"/>
    <mergeCell ref="K269:K271"/>
    <mergeCell ref="M269:M271"/>
    <mergeCell ref="A273:A275"/>
    <mergeCell ref="K273:K275"/>
    <mergeCell ref="M273:M275"/>
    <mergeCell ref="L269:L271"/>
    <mergeCell ref="L273:L275"/>
    <mergeCell ref="A279:A281"/>
    <mergeCell ref="K279:K281"/>
    <mergeCell ref="M279:M281"/>
    <mergeCell ref="A284:A286"/>
    <mergeCell ref="K284:K286"/>
    <mergeCell ref="M284:M286"/>
    <mergeCell ref="L279:L281"/>
    <mergeCell ref="L284:L286"/>
    <mergeCell ref="A289:A291"/>
    <mergeCell ref="K289:K291"/>
    <mergeCell ref="M289:M291"/>
    <mergeCell ref="A296:A298"/>
    <mergeCell ref="K296:K298"/>
    <mergeCell ref="M296:M298"/>
    <mergeCell ref="L289:L291"/>
    <mergeCell ref="L296:L298"/>
    <mergeCell ref="A303:A305"/>
    <mergeCell ref="K303:K305"/>
    <mergeCell ref="M303:M305"/>
    <mergeCell ref="A306:A308"/>
    <mergeCell ref="K306:K308"/>
    <mergeCell ref="M306:M308"/>
    <mergeCell ref="L303:L305"/>
    <mergeCell ref="L306:L308"/>
    <mergeCell ref="A310:A312"/>
    <mergeCell ref="K310:K312"/>
    <mergeCell ref="M310:M312"/>
    <mergeCell ref="A323:A325"/>
    <mergeCell ref="K323:K325"/>
    <mergeCell ref="M323:M325"/>
    <mergeCell ref="L310:L312"/>
    <mergeCell ref="L323:L325"/>
    <mergeCell ref="A326:A328"/>
    <mergeCell ref="K326:K328"/>
    <mergeCell ref="M326:M328"/>
    <mergeCell ref="A331:A333"/>
    <mergeCell ref="K331:K333"/>
    <mergeCell ref="M331:M333"/>
    <mergeCell ref="L326:L328"/>
    <mergeCell ref="L331:L333"/>
    <mergeCell ref="A342:A344"/>
    <mergeCell ref="K342:K344"/>
    <mergeCell ref="M342:M344"/>
    <mergeCell ref="A348:A350"/>
    <mergeCell ref="K348:K350"/>
    <mergeCell ref="M348:M350"/>
    <mergeCell ref="L342:L344"/>
    <mergeCell ref="L348:L350"/>
    <mergeCell ref="A352:A354"/>
    <mergeCell ref="K352:K354"/>
    <mergeCell ref="M352:M354"/>
    <mergeCell ref="A357:A359"/>
    <mergeCell ref="K357:K359"/>
    <mergeCell ref="M357:M359"/>
    <mergeCell ref="L352:L354"/>
    <mergeCell ref="L357:L359"/>
    <mergeCell ref="A362:A364"/>
    <mergeCell ref="K362:K364"/>
    <mergeCell ref="M362:M364"/>
    <mergeCell ref="A370:A372"/>
    <mergeCell ref="K370:K372"/>
    <mergeCell ref="M370:M372"/>
    <mergeCell ref="L362:L364"/>
    <mergeCell ref="L370:L372"/>
    <mergeCell ref="A374:A376"/>
    <mergeCell ref="K374:K376"/>
    <mergeCell ref="M374:M376"/>
    <mergeCell ref="A377:A379"/>
    <mergeCell ref="P12:P14"/>
    <mergeCell ref="AB12:AB14"/>
    <mergeCell ref="P62:P64"/>
    <mergeCell ref="AB62:AB64"/>
    <mergeCell ref="P94:P96"/>
    <mergeCell ref="AB94:AB96"/>
    <mergeCell ref="AC62:AC64"/>
    <mergeCell ref="P78:AC78"/>
    <mergeCell ref="P79:P81"/>
    <mergeCell ref="AB79:AB81"/>
    <mergeCell ref="AC79:AC81"/>
    <mergeCell ref="P88:P90"/>
    <mergeCell ref="AB88:AB90"/>
    <mergeCell ref="AC88:AC90"/>
    <mergeCell ref="AC94:AC96"/>
    <mergeCell ref="P99:P101"/>
    <mergeCell ref="AB99:AB101"/>
    <mergeCell ref="AC99:AC101"/>
    <mergeCell ref="P105:P107"/>
    <mergeCell ref="AB105:AB107"/>
    <mergeCell ref="AC105:AC107"/>
    <mergeCell ref="P110:P112"/>
    <mergeCell ref="AB110:AB112"/>
    <mergeCell ref="AC110:AC112"/>
    <mergeCell ref="P115:P117"/>
    <mergeCell ref="AB115:AB117"/>
    <mergeCell ref="AC115:AC117"/>
    <mergeCell ref="P118:P120"/>
    <mergeCell ref="AB118:AB120"/>
    <mergeCell ref="AC118:AC120"/>
    <mergeCell ref="P121:P123"/>
    <mergeCell ref="AB121:AB123"/>
    <mergeCell ref="AC121:AC123"/>
    <mergeCell ref="P124:P126"/>
    <mergeCell ref="AB124:AB126"/>
    <mergeCell ref="AC124:AC126"/>
    <mergeCell ref="P129:P131"/>
    <mergeCell ref="AB129:AB131"/>
    <mergeCell ref="AC129:AC131"/>
    <mergeCell ref="P134:P136"/>
    <mergeCell ref="AB134:AB136"/>
    <mergeCell ref="AC134:AC136"/>
    <mergeCell ref="P138:P140"/>
    <mergeCell ref="AB138:AB140"/>
    <mergeCell ref="AC138:AC140"/>
    <mergeCell ref="P144:P146"/>
    <mergeCell ref="AB144:AB146"/>
    <mergeCell ref="AC144:AC146"/>
    <mergeCell ref="P148:P150"/>
    <mergeCell ref="AB148:AB150"/>
    <mergeCell ref="AC148:AC150"/>
    <mergeCell ref="P154:P156"/>
    <mergeCell ref="AB154:AB156"/>
    <mergeCell ref="AC154:AC156"/>
    <mergeCell ref="P157:P159"/>
    <mergeCell ref="AB157:AB159"/>
    <mergeCell ref="AC157:AC159"/>
    <mergeCell ref="P163:P165"/>
    <mergeCell ref="AB163:AB165"/>
    <mergeCell ref="AC163:AC165"/>
    <mergeCell ref="P170:P172"/>
    <mergeCell ref="AB170:AB172"/>
    <mergeCell ref="AC170:AC172"/>
    <mergeCell ref="P174:P176"/>
    <mergeCell ref="AB174:AB176"/>
    <mergeCell ref="AC174:AC176"/>
    <mergeCell ref="P179:P181"/>
    <mergeCell ref="AB179:AB181"/>
    <mergeCell ref="AC179:AC181"/>
    <mergeCell ref="P188:P190"/>
    <mergeCell ref="AB188:AB190"/>
    <mergeCell ref="AC188:AC190"/>
    <mergeCell ref="P194:P196"/>
    <mergeCell ref="AB194:AB196"/>
    <mergeCell ref="AC194:AC196"/>
    <mergeCell ref="P199:P201"/>
    <mergeCell ref="AB199:AB201"/>
    <mergeCell ref="AC199:AC201"/>
    <mergeCell ref="P204:P206"/>
    <mergeCell ref="AB204:AB206"/>
    <mergeCell ref="AC204:AC206"/>
    <mergeCell ref="P210:P212"/>
    <mergeCell ref="AB210:AB212"/>
    <mergeCell ref="AC210:AC212"/>
    <mergeCell ref="P215:P217"/>
    <mergeCell ref="AB215:AB217"/>
    <mergeCell ref="AC215:AC217"/>
    <mergeCell ref="P223:P225"/>
    <mergeCell ref="AB223:AB225"/>
    <mergeCell ref="AC223:AC225"/>
    <mergeCell ref="P230:P232"/>
    <mergeCell ref="AB230:AB232"/>
    <mergeCell ref="AC230:AC232"/>
    <mergeCell ref="P234:P236"/>
    <mergeCell ref="AB234:AB236"/>
    <mergeCell ref="AC234:AC236"/>
    <mergeCell ref="P240:P242"/>
    <mergeCell ref="AB240:AB242"/>
    <mergeCell ref="AC240:AC242"/>
    <mergeCell ref="P246:P248"/>
    <mergeCell ref="AB246:AB248"/>
    <mergeCell ref="AC246:AC248"/>
    <mergeCell ref="P254:P256"/>
    <mergeCell ref="AB254:AB256"/>
    <mergeCell ref="AC254:AC256"/>
    <mergeCell ref="P261:P263"/>
    <mergeCell ref="AB261:AB263"/>
    <mergeCell ref="AC261:AC263"/>
    <mergeCell ref="P265:P267"/>
    <mergeCell ref="AB265:AB267"/>
    <mergeCell ref="AC265:AC267"/>
    <mergeCell ref="P269:P271"/>
    <mergeCell ref="AB269:AB271"/>
    <mergeCell ref="AC269:AC271"/>
    <mergeCell ref="P273:P275"/>
    <mergeCell ref="AB273:AB275"/>
    <mergeCell ref="AC273:AC275"/>
    <mergeCell ref="P279:P281"/>
    <mergeCell ref="AB279:AB281"/>
    <mergeCell ref="AC279:AC281"/>
    <mergeCell ref="P284:P286"/>
    <mergeCell ref="AB284:AB286"/>
    <mergeCell ref="AC284:AC286"/>
    <mergeCell ref="P289:P291"/>
    <mergeCell ref="AB289:AB291"/>
    <mergeCell ref="AC289:AC291"/>
    <mergeCell ref="P296:P298"/>
    <mergeCell ref="AB296:AB298"/>
    <mergeCell ref="AC296:AC298"/>
    <mergeCell ref="P303:P305"/>
    <mergeCell ref="AB303:AB305"/>
    <mergeCell ref="AC303:AC305"/>
    <mergeCell ref="P306:P308"/>
    <mergeCell ref="AB306:AB308"/>
    <mergeCell ref="AC306:AC308"/>
    <mergeCell ref="P310:P312"/>
    <mergeCell ref="AB310:AB312"/>
    <mergeCell ref="AC310:AC312"/>
    <mergeCell ref="P323:P325"/>
    <mergeCell ref="AB323:AB325"/>
    <mergeCell ref="AC323:AC325"/>
    <mergeCell ref="P326:P328"/>
    <mergeCell ref="AB326:AB328"/>
    <mergeCell ref="AC326:AC328"/>
    <mergeCell ref="P331:P333"/>
    <mergeCell ref="AB331:AB333"/>
    <mergeCell ref="AC331:AC333"/>
    <mergeCell ref="P342:P344"/>
    <mergeCell ref="AB342:AB344"/>
    <mergeCell ref="AC342:AC344"/>
    <mergeCell ref="P348:P350"/>
    <mergeCell ref="AB348:AB350"/>
    <mergeCell ref="AC348:AC350"/>
    <mergeCell ref="P352:P354"/>
    <mergeCell ref="AB352:AB354"/>
    <mergeCell ref="AC352:AC354"/>
    <mergeCell ref="P357:P359"/>
    <mergeCell ref="AB357:AB359"/>
    <mergeCell ref="AC357:AC359"/>
    <mergeCell ref="P374:P376"/>
    <mergeCell ref="AB374:AB376"/>
    <mergeCell ref="AC374:AC376"/>
    <mergeCell ref="P377:P379"/>
    <mergeCell ref="P362:P364"/>
    <mergeCell ref="AB362:AB364"/>
    <mergeCell ref="AC362:AC364"/>
    <mergeCell ref="P370:P372"/>
    <mergeCell ref="AB370:AB372"/>
    <mergeCell ref="AC370:AC372"/>
    <mergeCell ref="L374:L376"/>
    <mergeCell ref="L62:L64"/>
    <mergeCell ref="L79:L81"/>
    <mergeCell ref="L88:L90"/>
    <mergeCell ref="L94:L96"/>
    <mergeCell ref="L99:L10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zoomScaleNormal="100" workbookViewId="0">
      <selection activeCell="C16" sqref="C16"/>
    </sheetView>
  </sheetViews>
  <sheetFormatPr defaultRowHeight="15"/>
  <cols>
    <col min="1" max="1" width="6" style="10" bestFit="1" customWidth="1"/>
    <col min="2" max="2" width="43.28515625" style="10" customWidth="1"/>
    <col min="3" max="3" width="8.140625" style="10" customWidth="1"/>
    <col min="4" max="4" width="26.5703125" style="10" customWidth="1"/>
    <col min="5" max="5" width="10.140625" style="10" customWidth="1"/>
    <col min="6" max="6" width="14.140625" style="10" customWidth="1"/>
    <col min="7" max="16384" width="9.140625" style="10"/>
  </cols>
  <sheetData>
    <row r="1" spans="1:6" ht="116.25" customHeight="1">
      <c r="A1" s="145" t="s">
        <v>330</v>
      </c>
      <c r="B1" s="145"/>
      <c r="C1" s="145"/>
      <c r="D1" s="145"/>
    </row>
    <row r="2" spans="1:6" s="11" customFormat="1" ht="48.75" customHeight="1">
      <c r="A2" s="146" t="s">
        <v>34</v>
      </c>
      <c r="B2" s="149" t="s">
        <v>313</v>
      </c>
      <c r="C2" s="150"/>
      <c r="D2" s="146" t="s">
        <v>315</v>
      </c>
      <c r="E2" s="141" t="s">
        <v>16</v>
      </c>
      <c r="F2" s="139" t="s">
        <v>331</v>
      </c>
    </row>
    <row r="3" spans="1:6" s="11" customFormat="1" ht="47.25" customHeight="1">
      <c r="A3" s="147"/>
      <c r="B3" s="151"/>
      <c r="C3" s="152"/>
      <c r="D3" s="155"/>
      <c r="E3" s="142"/>
      <c r="F3" s="140"/>
    </row>
    <row r="4" spans="1:6" s="11" customFormat="1" ht="73.5" customHeight="1">
      <c r="A4" s="148"/>
      <c r="B4" s="153"/>
      <c r="C4" s="154"/>
      <c r="D4" s="156"/>
      <c r="E4" s="143"/>
      <c r="F4" s="140"/>
    </row>
    <row r="5" spans="1:6" ht="18.75">
      <c r="A5" s="157" t="s">
        <v>312</v>
      </c>
      <c r="B5" s="158"/>
      <c r="C5" s="158"/>
      <c r="D5" s="159"/>
      <c r="E5" s="14"/>
      <c r="F5" s="23"/>
    </row>
    <row r="6" spans="1:6" ht="25.5">
      <c r="A6" s="36">
        <v>1</v>
      </c>
      <c r="B6" s="37" t="s">
        <v>102</v>
      </c>
      <c r="C6" s="38">
        <v>1.6</v>
      </c>
      <c r="D6" s="38">
        <v>-0.06</v>
      </c>
      <c r="E6" s="40" t="s">
        <v>314</v>
      </c>
      <c r="F6" s="39">
        <f>Смоленскэнерго!N73</f>
        <v>0.8</v>
      </c>
    </row>
    <row r="7" spans="1:6" ht="15.75">
      <c r="A7" s="19"/>
      <c r="B7" s="15"/>
      <c r="C7" s="13"/>
      <c r="D7" s="16"/>
      <c r="E7" s="20"/>
      <c r="F7" s="23"/>
    </row>
    <row r="8" spans="1:6" ht="15.75">
      <c r="A8" s="19"/>
      <c r="B8" s="15"/>
      <c r="C8" s="13"/>
      <c r="D8" s="16"/>
      <c r="E8" s="20"/>
      <c r="F8" s="23"/>
    </row>
    <row r="10" spans="1:6" ht="18.75">
      <c r="A10" s="144" t="s">
        <v>336</v>
      </c>
      <c r="B10" s="144"/>
      <c r="C10" s="144"/>
      <c r="D10" s="41">
        <f>SUM(D6:D8)</f>
        <v>-0.06</v>
      </c>
      <c r="E10" s="11"/>
    </row>
  </sheetData>
  <mergeCells count="8">
    <mergeCell ref="F2:F4"/>
    <mergeCell ref="E2:E4"/>
    <mergeCell ref="A10:C10"/>
    <mergeCell ref="A1:D1"/>
    <mergeCell ref="A2:A4"/>
    <mergeCell ref="B2:C4"/>
    <mergeCell ref="D2:D4"/>
    <mergeCell ref="A5:D5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5"/>
  <sheetViews>
    <sheetView zoomScaleNormal="100" workbookViewId="0">
      <selection activeCell="B50" sqref="B50"/>
    </sheetView>
  </sheetViews>
  <sheetFormatPr defaultRowHeight="15"/>
  <cols>
    <col min="1" max="1" width="6" style="10" bestFit="1" customWidth="1"/>
    <col min="2" max="2" width="48.28515625" style="10" customWidth="1"/>
    <col min="3" max="3" width="16.28515625" style="10" customWidth="1"/>
    <col min="4" max="4" width="27.140625" style="10" bestFit="1" customWidth="1"/>
    <col min="5" max="5" width="10.7109375" style="10" customWidth="1"/>
    <col min="6" max="16384" width="9.140625" style="10"/>
  </cols>
  <sheetData>
    <row r="1" spans="1:13" ht="116.25" customHeight="1">
      <c r="A1" s="145" t="s">
        <v>316</v>
      </c>
      <c r="B1" s="145"/>
      <c r="C1" s="145"/>
      <c r="D1" s="145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48.75" customHeight="1">
      <c r="A2" s="160" t="s">
        <v>34</v>
      </c>
      <c r="B2" s="175" t="s">
        <v>0</v>
      </c>
      <c r="C2" s="178" t="s">
        <v>333</v>
      </c>
      <c r="D2" s="160" t="s">
        <v>39</v>
      </c>
      <c r="E2" s="181" t="s">
        <v>16</v>
      </c>
      <c r="F2" s="169" t="s">
        <v>331</v>
      </c>
    </row>
    <row r="3" spans="1:13" s="11" customFormat="1" ht="47.25" customHeight="1">
      <c r="A3" s="161"/>
      <c r="B3" s="176"/>
      <c r="C3" s="179"/>
      <c r="D3" s="161"/>
      <c r="E3" s="182"/>
      <c r="F3" s="170"/>
    </row>
    <row r="4" spans="1:13" s="11" customFormat="1" ht="73.5" customHeight="1">
      <c r="A4" s="162"/>
      <c r="B4" s="177"/>
      <c r="C4" s="180"/>
      <c r="D4" s="162"/>
      <c r="E4" s="183"/>
      <c r="F4" s="171"/>
    </row>
    <row r="5" spans="1:13" ht="18.75">
      <c r="A5" s="157" t="s">
        <v>312</v>
      </c>
      <c r="B5" s="158"/>
      <c r="C5" s="158"/>
      <c r="D5" s="158"/>
      <c r="E5" s="158"/>
      <c r="F5" s="159"/>
    </row>
    <row r="6" spans="1:13" ht="22.5">
      <c r="A6" s="42">
        <v>1</v>
      </c>
      <c r="B6" s="43" t="s">
        <v>89</v>
      </c>
      <c r="C6" s="43">
        <v>1.6</v>
      </c>
      <c r="D6" s="44">
        <f>Смоленскэнерго!AB58</f>
        <v>-0.60473118279569893</v>
      </c>
      <c r="E6" s="49" t="s">
        <v>314</v>
      </c>
      <c r="F6" s="45">
        <f>Смоленскэнерго!AD58</f>
        <v>0.93</v>
      </c>
    </row>
    <row r="7" spans="1:13" ht="22.5">
      <c r="A7" s="85">
        <v>2</v>
      </c>
      <c r="B7" s="88" t="s">
        <v>75</v>
      </c>
      <c r="C7" s="83">
        <v>2.5</v>
      </c>
      <c r="D7" s="44">
        <f>Смоленскэнерго!AB43</f>
        <v>-0.6856410256410258</v>
      </c>
      <c r="E7" s="49" t="s">
        <v>314</v>
      </c>
      <c r="F7" s="82">
        <f>Смоленскэнерго!AD43</f>
        <v>0.78</v>
      </c>
    </row>
    <row r="8" spans="1:13" ht="22.5">
      <c r="A8" s="85">
        <v>3</v>
      </c>
      <c r="B8" s="43" t="s">
        <v>98</v>
      </c>
      <c r="C8" s="43">
        <v>2.5</v>
      </c>
      <c r="D8" s="46">
        <f>Смоленскэнерго!AB69</f>
        <v>-2.6363829787234043</v>
      </c>
      <c r="E8" s="49" t="s">
        <v>314</v>
      </c>
      <c r="F8" s="45">
        <f>Смоленскэнерго!AD69</f>
        <v>0.94</v>
      </c>
    </row>
    <row r="9" spans="1:13" ht="22.5">
      <c r="A9" s="85">
        <v>4</v>
      </c>
      <c r="B9" s="43" t="s">
        <v>102</v>
      </c>
      <c r="C9" s="43">
        <v>1.6</v>
      </c>
      <c r="D9" s="46">
        <f>Смоленскэнерго!AB73</f>
        <v>-0.06</v>
      </c>
      <c r="E9" s="49" t="s">
        <v>314</v>
      </c>
      <c r="F9" s="45">
        <f>Смоленскэнерго!AD73</f>
        <v>0.8</v>
      </c>
    </row>
    <row r="10" spans="1:13" ht="22.5">
      <c r="A10" s="85">
        <v>5</v>
      </c>
      <c r="B10" s="43" t="s">
        <v>111</v>
      </c>
      <c r="C10" s="43" t="s">
        <v>32</v>
      </c>
      <c r="D10" s="46">
        <f>Смоленскэнерго!AB84</f>
        <v>-1.9192682926829265</v>
      </c>
      <c r="E10" s="49" t="s">
        <v>314</v>
      </c>
      <c r="F10" s="42">
        <f>Смоленскэнерго!AD84</f>
        <v>0.82</v>
      </c>
    </row>
    <row r="11" spans="1:13" ht="22.5">
      <c r="A11" s="85">
        <v>6</v>
      </c>
      <c r="B11" s="47" t="s">
        <v>113</v>
      </c>
      <c r="C11" s="43" t="s">
        <v>114</v>
      </c>
      <c r="D11" s="48">
        <f>Смоленскэнерго!AB86</f>
        <v>-3.0498924731182768</v>
      </c>
      <c r="E11" s="49" t="s">
        <v>314</v>
      </c>
      <c r="F11" s="45">
        <f>Смоленскэнерго!AD86</f>
        <v>0.93</v>
      </c>
    </row>
    <row r="12" spans="1:13" ht="22.5">
      <c r="A12" s="42">
        <v>7</v>
      </c>
      <c r="B12" s="47" t="s">
        <v>115</v>
      </c>
      <c r="C12" s="43" t="s">
        <v>116</v>
      </c>
      <c r="D12" s="48">
        <f>Смоленскэнерго!AB87</f>
        <v>-9.2669565217391252</v>
      </c>
      <c r="E12" s="49" t="s">
        <v>314</v>
      </c>
      <c r="F12" s="45">
        <f>Смоленскэнерго!AD87</f>
        <v>0.92</v>
      </c>
    </row>
    <row r="13" spans="1:13" ht="22.5">
      <c r="A13" s="163">
        <v>8</v>
      </c>
      <c r="B13" s="47" t="s">
        <v>117</v>
      </c>
      <c r="C13" s="83" t="s">
        <v>22</v>
      </c>
      <c r="D13" s="166">
        <f>Смоленскэнерго!AB88</f>
        <v>-3.1868085106382971</v>
      </c>
      <c r="E13" s="110" t="s">
        <v>314</v>
      </c>
      <c r="F13" s="113">
        <f>Смоленскэнерго!AD88</f>
        <v>0.94</v>
      </c>
    </row>
    <row r="14" spans="1:13">
      <c r="A14" s="164"/>
      <c r="B14" s="47" t="s">
        <v>45</v>
      </c>
      <c r="C14" s="83" t="s">
        <v>22</v>
      </c>
      <c r="D14" s="167"/>
      <c r="E14" s="111"/>
      <c r="F14" s="114"/>
    </row>
    <row r="15" spans="1:13">
      <c r="A15" s="165"/>
      <c r="B15" s="47" t="s">
        <v>46</v>
      </c>
      <c r="C15" s="83" t="s">
        <v>22</v>
      </c>
      <c r="D15" s="168"/>
      <c r="E15" s="112"/>
      <c r="F15" s="115"/>
    </row>
    <row r="16" spans="1:13" ht="22.5">
      <c r="A16" s="42">
        <v>9</v>
      </c>
      <c r="B16" s="47" t="s">
        <v>120</v>
      </c>
      <c r="C16" s="43" t="s">
        <v>121</v>
      </c>
      <c r="D16" s="48">
        <f>Смоленскэнерго!AB92</f>
        <v>-1.0838888888888878</v>
      </c>
      <c r="E16" s="49" t="s">
        <v>314</v>
      </c>
      <c r="F16" s="45">
        <f>Смоленскэнерго!AD92</f>
        <v>0.9</v>
      </c>
    </row>
    <row r="17" spans="1:6" ht="22.5">
      <c r="A17" s="42">
        <v>10</v>
      </c>
      <c r="B17" s="47" t="s">
        <v>122</v>
      </c>
      <c r="C17" s="43" t="s">
        <v>114</v>
      </c>
      <c r="D17" s="48">
        <f>Смоленскэнерго!AB93</f>
        <v>-6.0741666666666667</v>
      </c>
      <c r="E17" s="49" t="s">
        <v>314</v>
      </c>
      <c r="F17" s="45">
        <f>Смоленскэнерго!AD93</f>
        <v>0.96</v>
      </c>
    </row>
    <row r="18" spans="1:6" ht="22.5">
      <c r="A18" s="163">
        <v>11</v>
      </c>
      <c r="B18" s="47" t="s">
        <v>126</v>
      </c>
      <c r="C18" s="43" t="s">
        <v>119</v>
      </c>
      <c r="D18" s="172">
        <f>Смоленскэнерго!AB99</f>
        <v>-13.080238095238101</v>
      </c>
      <c r="E18" s="110" t="s">
        <v>314</v>
      </c>
      <c r="F18" s="113">
        <f>Смоленскэнерго!AD99</f>
        <v>0.88</v>
      </c>
    </row>
    <row r="19" spans="1:6" ht="15.75" customHeight="1">
      <c r="A19" s="164"/>
      <c r="B19" s="47" t="s">
        <v>45</v>
      </c>
      <c r="C19" s="43" t="s">
        <v>119</v>
      </c>
      <c r="D19" s="173"/>
      <c r="E19" s="111"/>
      <c r="F19" s="114"/>
    </row>
    <row r="20" spans="1:6" ht="15.75" customHeight="1">
      <c r="A20" s="165"/>
      <c r="B20" s="47" t="s">
        <v>46</v>
      </c>
      <c r="C20" s="43" t="s">
        <v>119</v>
      </c>
      <c r="D20" s="174"/>
      <c r="E20" s="112"/>
      <c r="F20" s="115"/>
    </row>
    <row r="21" spans="1:6" ht="22.5">
      <c r="A21" s="42">
        <v>12</v>
      </c>
      <c r="B21" s="47" t="s">
        <v>127</v>
      </c>
      <c r="C21" s="43" t="s">
        <v>128</v>
      </c>
      <c r="D21" s="48">
        <f>Смоленскэнерго!AB102</f>
        <v>-6.8002380952380967</v>
      </c>
      <c r="E21" s="49" t="s">
        <v>314</v>
      </c>
      <c r="F21" s="45">
        <f>Смоленскэнерго!AD102</f>
        <v>0.84</v>
      </c>
    </row>
    <row r="22" spans="1:6" ht="22.5">
      <c r="A22" s="42">
        <v>13</v>
      </c>
      <c r="B22" s="47" t="s">
        <v>133</v>
      </c>
      <c r="C22" s="43" t="s">
        <v>32</v>
      </c>
      <c r="D22" s="48">
        <f>Смоленскэнерго!AB109</f>
        <v>-2.1911111111111108</v>
      </c>
      <c r="E22" s="49" t="s">
        <v>314</v>
      </c>
      <c r="F22" s="45">
        <f>Смоленскэнерго!AD109</f>
        <v>0.9</v>
      </c>
    </row>
    <row r="23" spans="1:6" ht="22.5">
      <c r="A23" s="163">
        <v>14</v>
      </c>
      <c r="B23" s="47" t="s">
        <v>134</v>
      </c>
      <c r="C23" s="83" t="s">
        <v>116</v>
      </c>
      <c r="D23" s="166">
        <f>Смоленскэнерго!AB110</f>
        <v>-5.2808988763999309E-3</v>
      </c>
      <c r="E23" s="110" t="s">
        <v>314</v>
      </c>
      <c r="F23" s="113">
        <f>Смоленскэнерго!AD110</f>
        <v>0.89</v>
      </c>
    </row>
    <row r="24" spans="1:6">
      <c r="A24" s="164"/>
      <c r="B24" s="47" t="s">
        <v>45</v>
      </c>
      <c r="C24" s="83" t="s">
        <v>116</v>
      </c>
      <c r="D24" s="167"/>
      <c r="E24" s="111"/>
      <c r="F24" s="114"/>
    </row>
    <row r="25" spans="1:6">
      <c r="A25" s="165"/>
      <c r="B25" s="47" t="s">
        <v>46</v>
      </c>
      <c r="C25" s="83" t="s">
        <v>116</v>
      </c>
      <c r="D25" s="168"/>
      <c r="E25" s="112"/>
      <c r="F25" s="115"/>
    </row>
    <row r="26" spans="1:6" ht="22.5">
      <c r="A26" s="42">
        <v>15</v>
      </c>
      <c r="B26" s="47" t="s">
        <v>135</v>
      </c>
      <c r="C26" s="43" t="s">
        <v>32</v>
      </c>
      <c r="D26" s="48">
        <f>Смоленскэнерго!AB113</f>
        <v>-5.0047191011235954</v>
      </c>
      <c r="E26" s="49" t="s">
        <v>314</v>
      </c>
      <c r="F26" s="45">
        <f>Смоленскэнерго!AD113</f>
        <v>0.89</v>
      </c>
    </row>
    <row r="27" spans="1:6" ht="22.5">
      <c r="A27" s="42">
        <v>16</v>
      </c>
      <c r="B27" s="47" t="s">
        <v>136</v>
      </c>
      <c r="C27" s="43" t="s">
        <v>33</v>
      </c>
      <c r="D27" s="48">
        <f>Смоленскэнерго!AB114</f>
        <v>-1.5121276595744684</v>
      </c>
      <c r="E27" s="49" t="s">
        <v>314</v>
      </c>
      <c r="F27" s="45">
        <f>Смоленскэнерго!AD114</f>
        <v>0.94</v>
      </c>
    </row>
    <row r="28" spans="1:6" ht="22.5">
      <c r="A28" s="163">
        <v>17</v>
      </c>
      <c r="B28" s="47" t="s">
        <v>138</v>
      </c>
      <c r="C28" s="43" t="s">
        <v>116</v>
      </c>
      <c r="D28" s="166">
        <f>Смоленскэнерго!AB118</f>
        <v>-9.4936170212765987</v>
      </c>
      <c r="E28" s="110" t="s">
        <v>314</v>
      </c>
      <c r="F28" s="113">
        <f>Смоленскэнерго!AD118</f>
        <v>0.94</v>
      </c>
    </row>
    <row r="29" spans="1:6" ht="15.75" customHeight="1">
      <c r="A29" s="164"/>
      <c r="B29" s="47" t="s">
        <v>45</v>
      </c>
      <c r="C29" s="43" t="s">
        <v>116</v>
      </c>
      <c r="D29" s="167"/>
      <c r="E29" s="111"/>
      <c r="F29" s="114"/>
    </row>
    <row r="30" spans="1:6" ht="15.75" customHeight="1">
      <c r="A30" s="165"/>
      <c r="B30" s="47" t="s">
        <v>46</v>
      </c>
      <c r="C30" s="43" t="s">
        <v>116</v>
      </c>
      <c r="D30" s="168"/>
      <c r="E30" s="112"/>
      <c r="F30" s="115"/>
    </row>
    <row r="31" spans="1:6" ht="22.5">
      <c r="A31" s="163">
        <v>18</v>
      </c>
      <c r="B31" s="47" t="s">
        <v>139</v>
      </c>
      <c r="C31" s="43" t="s">
        <v>108</v>
      </c>
      <c r="D31" s="166">
        <f>Смоленскэнерго!AB121</f>
        <v>-8.219780219780219</v>
      </c>
      <c r="E31" s="110" t="s">
        <v>314</v>
      </c>
      <c r="F31" s="113">
        <f>Смоленскэнерго!AD121</f>
        <v>0.91</v>
      </c>
    </row>
    <row r="32" spans="1:6" ht="15.75" customHeight="1">
      <c r="A32" s="164"/>
      <c r="B32" s="47" t="s">
        <v>45</v>
      </c>
      <c r="C32" s="43" t="s">
        <v>108</v>
      </c>
      <c r="D32" s="167"/>
      <c r="E32" s="111"/>
      <c r="F32" s="114"/>
    </row>
    <row r="33" spans="1:6" ht="15.75" customHeight="1">
      <c r="A33" s="165"/>
      <c r="B33" s="47" t="s">
        <v>46</v>
      </c>
      <c r="C33" s="43" t="s">
        <v>108</v>
      </c>
      <c r="D33" s="168"/>
      <c r="E33" s="112"/>
      <c r="F33" s="115"/>
    </row>
    <row r="34" spans="1:6" ht="22.5">
      <c r="A34" s="42">
        <v>19</v>
      </c>
      <c r="B34" s="47" t="s">
        <v>145</v>
      </c>
      <c r="C34" s="43" t="s">
        <v>32</v>
      </c>
      <c r="D34" s="48">
        <f>Смоленскэнерго!AB133</f>
        <v>-1.2336363636363625</v>
      </c>
      <c r="E34" s="49" t="s">
        <v>314</v>
      </c>
      <c r="F34" s="45">
        <f>Смоленскэнерго!AD133</f>
        <v>0.88</v>
      </c>
    </row>
    <row r="35" spans="1:6" ht="22.5">
      <c r="A35" s="163">
        <v>20</v>
      </c>
      <c r="B35" s="47" t="s">
        <v>158</v>
      </c>
      <c r="C35" s="43" t="s">
        <v>20</v>
      </c>
      <c r="D35" s="166">
        <f>Смоленскэнерго!AB157</f>
        <v>-3.44444444444445E-2</v>
      </c>
      <c r="E35" s="110" t="s">
        <v>314</v>
      </c>
      <c r="F35" s="113">
        <f>Смоленскэнерго!AD157</f>
        <v>0.9</v>
      </c>
    </row>
    <row r="36" spans="1:6" ht="15.75" customHeight="1">
      <c r="A36" s="164"/>
      <c r="B36" s="47" t="s">
        <v>45</v>
      </c>
      <c r="C36" s="43" t="s">
        <v>20</v>
      </c>
      <c r="D36" s="167"/>
      <c r="E36" s="111"/>
      <c r="F36" s="114"/>
    </row>
    <row r="37" spans="1:6" ht="15.75" customHeight="1">
      <c r="A37" s="165"/>
      <c r="B37" s="47" t="s">
        <v>46</v>
      </c>
      <c r="C37" s="43" t="s">
        <v>20</v>
      </c>
      <c r="D37" s="168"/>
      <c r="E37" s="112"/>
      <c r="F37" s="115"/>
    </row>
    <row r="38" spans="1:6" ht="22.5">
      <c r="A38" s="42">
        <v>21</v>
      </c>
      <c r="B38" s="47" t="s">
        <v>167</v>
      </c>
      <c r="C38" s="43" t="s">
        <v>130</v>
      </c>
      <c r="D38" s="48">
        <f>Смоленскэнерго!AB173</f>
        <v>-3.0539361702127668</v>
      </c>
      <c r="E38" s="49" t="s">
        <v>314</v>
      </c>
      <c r="F38" s="45">
        <f>Смоленскэнерго!AD173</f>
        <v>0.94</v>
      </c>
    </row>
    <row r="39" spans="1:6" ht="22.5">
      <c r="A39" s="42">
        <v>22</v>
      </c>
      <c r="B39" s="47" t="s">
        <v>195</v>
      </c>
      <c r="C39" s="43" t="s">
        <v>25</v>
      </c>
      <c r="D39" s="48">
        <f>Смоленскэнерго!AB214</f>
        <v>-1.0881460674157299</v>
      </c>
      <c r="E39" s="49" t="s">
        <v>314</v>
      </c>
      <c r="F39" s="45">
        <f>Смоленскэнерго!AD214</f>
        <v>0.89</v>
      </c>
    </row>
    <row r="40" spans="1:6" ht="22.5">
      <c r="A40" s="42">
        <v>23</v>
      </c>
      <c r="B40" s="47" t="s">
        <v>213</v>
      </c>
      <c r="C40" s="43" t="s">
        <v>22</v>
      </c>
      <c r="D40" s="48">
        <f>Смоленскэнерго!AB239</f>
        <v>-5.4196629213483156</v>
      </c>
      <c r="E40" s="49" t="s">
        <v>314</v>
      </c>
      <c r="F40" s="45">
        <f>Смоленскэнерго!AD239</f>
        <v>0.89</v>
      </c>
    </row>
    <row r="41" spans="1:6" ht="22.5">
      <c r="A41" s="163">
        <v>24</v>
      </c>
      <c r="B41" s="47" t="s">
        <v>264</v>
      </c>
      <c r="C41" s="43" t="s">
        <v>108</v>
      </c>
      <c r="D41" s="166">
        <f>Смоленскэнерго!AB310</f>
        <v>-15.81557413962684</v>
      </c>
      <c r="E41" s="110" t="s">
        <v>314</v>
      </c>
      <c r="F41" s="113">
        <f>Смоленскэнерго!AD310</f>
        <v>0.91</v>
      </c>
    </row>
    <row r="42" spans="1:6" ht="15.75" customHeight="1">
      <c r="A42" s="164"/>
      <c r="B42" s="47" t="s">
        <v>45</v>
      </c>
      <c r="C42" s="43" t="s">
        <v>108</v>
      </c>
      <c r="D42" s="167"/>
      <c r="E42" s="111"/>
      <c r="F42" s="114"/>
    </row>
    <row r="43" spans="1:6" ht="15.75" customHeight="1">
      <c r="A43" s="165"/>
      <c r="B43" s="47" t="s">
        <v>46</v>
      </c>
      <c r="C43" s="43" t="s">
        <v>108</v>
      </c>
      <c r="D43" s="168"/>
      <c r="E43" s="112"/>
      <c r="F43" s="115"/>
    </row>
    <row r="44" spans="1:6" ht="22.5">
      <c r="A44" s="42">
        <v>25</v>
      </c>
      <c r="B44" s="47" t="s">
        <v>273</v>
      </c>
      <c r="C44" s="43" t="s">
        <v>119</v>
      </c>
      <c r="D44" s="48">
        <f>Смоленскэнерго!AB320</f>
        <v>-6.0751685393258441</v>
      </c>
      <c r="E44" s="49" t="s">
        <v>314</v>
      </c>
      <c r="F44" s="45">
        <f>Смоленскэнерго!AD320</f>
        <v>0.89</v>
      </c>
    </row>
    <row r="45" spans="1:6" ht="22.5">
      <c r="A45" s="42">
        <v>26</v>
      </c>
      <c r="B45" s="47" t="s">
        <v>275</v>
      </c>
      <c r="C45" s="43" t="s">
        <v>22</v>
      </c>
      <c r="D45" s="48">
        <f>Смоленскэнерго!AB322</f>
        <v>-5.0303191489361687</v>
      </c>
      <c r="E45" s="49" t="s">
        <v>314</v>
      </c>
      <c r="F45" s="45">
        <f>Смоленскэнерго!AD322</f>
        <v>0.94</v>
      </c>
    </row>
    <row r="46" spans="1:6" ht="22.5">
      <c r="A46" s="163">
        <v>27</v>
      </c>
      <c r="B46" s="47" t="s">
        <v>280</v>
      </c>
      <c r="C46" s="43" t="s">
        <v>116</v>
      </c>
      <c r="D46" s="166">
        <f>Смоленскэнерго!AB331</f>
        <v>-4.2960439560439525</v>
      </c>
      <c r="E46" s="110" t="s">
        <v>314</v>
      </c>
      <c r="F46" s="113">
        <f>Смоленскэнерго!AD331</f>
        <v>0.91</v>
      </c>
    </row>
    <row r="47" spans="1:6" ht="15.75" customHeight="1">
      <c r="A47" s="164"/>
      <c r="B47" s="47" t="s">
        <v>45</v>
      </c>
      <c r="C47" s="43" t="s">
        <v>116</v>
      </c>
      <c r="D47" s="167"/>
      <c r="E47" s="111"/>
      <c r="F47" s="114"/>
    </row>
    <row r="48" spans="1:6" ht="15.75" customHeight="1">
      <c r="A48" s="165"/>
      <c r="B48" s="47" t="s">
        <v>46</v>
      </c>
      <c r="C48" s="43" t="s">
        <v>116</v>
      </c>
      <c r="D48" s="168"/>
      <c r="E48" s="112"/>
      <c r="F48" s="115"/>
    </row>
    <row r="49" spans="1:6" ht="22.5">
      <c r="A49" s="42">
        <v>28</v>
      </c>
      <c r="B49" s="47" t="s">
        <v>284</v>
      </c>
      <c r="C49" s="43" t="s">
        <v>32</v>
      </c>
      <c r="D49" s="48">
        <f>Смоленскэнерго!AB337</f>
        <v>-0.43404255319148888</v>
      </c>
      <c r="E49" s="49" t="s">
        <v>314</v>
      </c>
      <c r="F49" s="45">
        <f>Смоленскэнерго!AD337</f>
        <v>0.94</v>
      </c>
    </row>
    <row r="50" spans="1:6" ht="22.5">
      <c r="A50" s="185">
        <v>29</v>
      </c>
      <c r="B50" s="47" t="s">
        <v>118</v>
      </c>
      <c r="C50" s="90" t="s">
        <v>119</v>
      </c>
      <c r="D50" s="186">
        <f>Смоленскэнерго!AB91</f>
        <v>-0.15333333333333421</v>
      </c>
      <c r="E50" s="49" t="s">
        <v>314</v>
      </c>
      <c r="F50" s="89">
        <f>Смоленскэнерго!AD91</f>
        <v>0.96</v>
      </c>
    </row>
    <row r="51" spans="1:6" ht="15" customHeight="1">
      <c r="A51" s="51"/>
      <c r="B51" s="184" t="s">
        <v>29</v>
      </c>
      <c r="C51" s="184"/>
      <c r="D51" s="50">
        <f>SUM(D6:D50)</f>
        <v>-117.50915638062818</v>
      </c>
      <c r="E51" s="42"/>
      <c r="F51" s="45"/>
    </row>
    <row r="55" spans="1:6">
      <c r="B55" s="10" t="s">
        <v>326</v>
      </c>
    </row>
  </sheetData>
  <mergeCells count="41">
    <mergeCell ref="E13:E15"/>
    <mergeCell ref="F13:F15"/>
    <mergeCell ref="A13:A15"/>
    <mergeCell ref="A23:A25"/>
    <mergeCell ref="D23:D25"/>
    <mergeCell ref="E23:E25"/>
    <mergeCell ref="F23:F25"/>
    <mergeCell ref="B51:C51"/>
    <mergeCell ref="A35:A37"/>
    <mergeCell ref="A41:A43"/>
    <mergeCell ref="D41:D43"/>
    <mergeCell ref="E41:E43"/>
    <mergeCell ref="F41:F43"/>
    <mergeCell ref="D46:D48"/>
    <mergeCell ref="E46:E48"/>
    <mergeCell ref="F46:F48"/>
    <mergeCell ref="A46:A48"/>
    <mergeCell ref="F28:F30"/>
    <mergeCell ref="D31:D33"/>
    <mergeCell ref="E31:E33"/>
    <mergeCell ref="F31:F33"/>
    <mergeCell ref="D35:D37"/>
    <mergeCell ref="E35:E37"/>
    <mergeCell ref="F35:F37"/>
    <mergeCell ref="E28:E30"/>
    <mergeCell ref="F2:F4"/>
    <mergeCell ref="A5:F5"/>
    <mergeCell ref="D18:D20"/>
    <mergeCell ref="E18:E20"/>
    <mergeCell ref="F18:F20"/>
    <mergeCell ref="A18:A20"/>
    <mergeCell ref="B2:B4"/>
    <mergeCell ref="C2:C4"/>
    <mergeCell ref="E2:E4"/>
    <mergeCell ref="D13:D15"/>
    <mergeCell ref="A1:D1"/>
    <mergeCell ref="A2:A4"/>
    <mergeCell ref="D2:D4"/>
    <mergeCell ref="A28:A30"/>
    <mergeCell ref="A31:A33"/>
    <mergeCell ref="D28:D30"/>
  </mergeCells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Смоленскэнерго</vt:lpstr>
      <vt:lpstr>Свод. тек. дефицит март 2012</vt:lpstr>
      <vt:lpstr>Свод. ожид. деф.март 2012</vt:lpstr>
      <vt:lpstr>Лист1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Шелевский А.В.</cp:lastModifiedBy>
  <cp:lastPrinted>2009-07-30T07:17:51Z</cp:lastPrinted>
  <dcterms:created xsi:type="dcterms:W3CDTF">2008-10-03T08:18:33Z</dcterms:created>
  <dcterms:modified xsi:type="dcterms:W3CDTF">2012-03-30T05:36:46Z</dcterms:modified>
</cp:coreProperties>
</file>