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985" windowWidth="19260" windowHeight="6030" tabRatio="539" activeTab="1"/>
  </bookViews>
  <sheets>
    <sheet name="Орел " sheetId="13" r:id="rId1"/>
    <sheet name="Интерактивная карта" sheetId="14" r:id="rId2"/>
    <sheet name="Свод.тек.деф." sheetId="15" r:id="rId3"/>
    <sheet name="Свод.ожид.деф." sheetId="16" r:id="rId4"/>
  </sheets>
  <definedNames>
    <definedName name="_xlnm._FilterDatabase" localSheetId="0" hidden="1">'Орел '!$A$7:$Z$211</definedName>
    <definedName name="_xlnm._FilterDatabase" localSheetId="3" hidden="1">Свод.ожид.деф.!$M$1:$M$18</definedName>
    <definedName name="_xlnm.Print_Area" localSheetId="1">'Интерактивная карта'!$A$5:$M$166</definedName>
    <definedName name="_xlnm.Print_Area" localSheetId="0">'Орел '!$A$1:$Z$211</definedName>
  </definedNames>
  <calcPr calcId="145621"/>
</workbook>
</file>

<file path=xl/calcChain.xml><?xml version="1.0" encoding="utf-8"?>
<calcChain xmlns="http://schemas.openxmlformats.org/spreadsheetml/2006/main">
  <c r="C25" i="16" l="1"/>
  <c r="C17" i="15"/>
  <c r="Q182" i="13" l="1"/>
  <c r="Q43" i="13"/>
  <c r="Q30" i="13"/>
  <c r="J14" i="16"/>
  <c r="K13" i="16"/>
  <c r="J13" i="16"/>
  <c r="I13" i="16"/>
  <c r="H13" i="16"/>
  <c r="G13" i="16"/>
  <c r="F13" i="16"/>
  <c r="E13" i="16"/>
  <c r="D13" i="16"/>
  <c r="J10" i="16"/>
  <c r="J7" i="16"/>
  <c r="D12" i="15"/>
  <c r="E12" i="15"/>
  <c r="F12" i="15"/>
  <c r="G12" i="15"/>
  <c r="H12" i="15"/>
  <c r="I12" i="15"/>
  <c r="D13" i="15"/>
  <c r="E13" i="15"/>
  <c r="F13" i="15"/>
  <c r="G13" i="15"/>
  <c r="H13" i="15"/>
  <c r="I13" i="15"/>
  <c r="D14" i="15"/>
  <c r="E14" i="15"/>
  <c r="F14" i="15"/>
  <c r="G14" i="15"/>
  <c r="H14" i="15"/>
  <c r="I14" i="15"/>
  <c r="D15" i="15"/>
  <c r="E15" i="15"/>
  <c r="F15" i="15"/>
  <c r="G15" i="15"/>
  <c r="H15" i="15"/>
  <c r="I15" i="15"/>
  <c r="D16" i="15"/>
  <c r="E16" i="15"/>
  <c r="F16" i="15"/>
  <c r="G16" i="15"/>
  <c r="H16" i="15"/>
  <c r="I16" i="15"/>
  <c r="T208" i="13"/>
  <c r="S208" i="13"/>
  <c r="R208" i="13"/>
  <c r="I208" i="13"/>
  <c r="G208" i="13"/>
  <c r="J208" i="13" s="1"/>
  <c r="K208" i="13" s="1"/>
  <c r="T207" i="13"/>
  <c r="S207" i="13"/>
  <c r="R207" i="13"/>
  <c r="I207" i="13"/>
  <c r="W207" i="13" s="1"/>
  <c r="G207" i="13"/>
  <c r="S206" i="13"/>
  <c r="R206" i="13"/>
  <c r="I206" i="13"/>
  <c r="W206" i="13" s="1"/>
  <c r="G206" i="13"/>
  <c r="S205" i="13"/>
  <c r="R205" i="13"/>
  <c r="I205" i="13"/>
  <c r="W205" i="13" s="1"/>
  <c r="G205" i="13"/>
  <c r="T204" i="13"/>
  <c r="S204" i="13"/>
  <c r="R204" i="13"/>
  <c r="I204" i="13"/>
  <c r="W204" i="13" s="1"/>
  <c r="G204" i="13"/>
  <c r="T203" i="13"/>
  <c r="S203" i="13"/>
  <c r="R203" i="13"/>
  <c r="I203" i="13"/>
  <c r="G203" i="13"/>
  <c r="T202" i="13"/>
  <c r="S202" i="13"/>
  <c r="R202" i="13"/>
  <c r="I202" i="13"/>
  <c r="W202" i="13" s="1"/>
  <c r="G202" i="13"/>
  <c r="T201" i="13"/>
  <c r="S201" i="13"/>
  <c r="R201" i="13"/>
  <c r="I201" i="13"/>
  <c r="W201" i="13" s="1"/>
  <c r="G201" i="13"/>
  <c r="S200" i="13"/>
  <c r="R200" i="13"/>
  <c r="I200" i="13"/>
  <c r="G200" i="13"/>
  <c r="T199" i="13"/>
  <c r="S199" i="13"/>
  <c r="R199" i="13"/>
  <c r="I199" i="13"/>
  <c r="W199" i="13" s="1"/>
  <c r="G199" i="13"/>
  <c r="T198" i="13"/>
  <c r="S198" i="13"/>
  <c r="R198" i="13"/>
  <c r="I198" i="13"/>
  <c r="W198" i="13" s="1"/>
  <c r="G198" i="13"/>
  <c r="S197" i="13"/>
  <c r="R197" i="13"/>
  <c r="I197" i="13"/>
  <c r="W197" i="13" s="1"/>
  <c r="G197" i="13"/>
  <c r="S196" i="13"/>
  <c r="R196" i="13"/>
  <c r="I196" i="13"/>
  <c r="W196" i="13" s="1"/>
  <c r="G196" i="13"/>
  <c r="T195" i="13"/>
  <c r="S195" i="13"/>
  <c r="R195" i="13"/>
  <c r="I195" i="13"/>
  <c r="W195" i="13" s="1"/>
  <c r="G195" i="13"/>
  <c r="T194" i="13"/>
  <c r="S194" i="13"/>
  <c r="R194" i="13"/>
  <c r="I194" i="13"/>
  <c r="W194" i="13" s="1"/>
  <c r="G194" i="13"/>
  <c r="T193" i="13"/>
  <c r="S193" i="13"/>
  <c r="R193" i="13"/>
  <c r="I193" i="13"/>
  <c r="W193" i="13" s="1"/>
  <c r="G193" i="13"/>
  <c r="S192" i="13"/>
  <c r="R192" i="13"/>
  <c r="I192" i="13"/>
  <c r="G192" i="13"/>
  <c r="T191" i="13"/>
  <c r="S191" i="13"/>
  <c r="R191" i="13"/>
  <c r="I191" i="13"/>
  <c r="W191" i="13" s="1"/>
  <c r="G191" i="13"/>
  <c r="T190" i="13"/>
  <c r="S190" i="13"/>
  <c r="R190" i="13"/>
  <c r="I190" i="13"/>
  <c r="G190" i="13"/>
  <c r="T189" i="13"/>
  <c r="S189" i="13"/>
  <c r="R189" i="13"/>
  <c r="I189" i="13"/>
  <c r="W189" i="13" s="1"/>
  <c r="G189" i="13"/>
  <c r="T188" i="13"/>
  <c r="S188" i="13"/>
  <c r="R188" i="13"/>
  <c r="I188" i="13"/>
  <c r="W188" i="13" s="1"/>
  <c r="G188" i="13"/>
  <c r="T187" i="13"/>
  <c r="S187" i="13"/>
  <c r="R187" i="13"/>
  <c r="I187" i="13"/>
  <c r="G187" i="13"/>
  <c r="T186" i="13"/>
  <c r="S186" i="13"/>
  <c r="R186" i="13"/>
  <c r="I186" i="13"/>
  <c r="G186" i="13"/>
  <c r="S185" i="13"/>
  <c r="R185" i="13"/>
  <c r="I185" i="13"/>
  <c r="W185" i="13" s="1"/>
  <c r="G185" i="13"/>
  <c r="S184" i="13"/>
  <c r="R184" i="13"/>
  <c r="U184" i="13" s="1"/>
  <c r="I184" i="13"/>
  <c r="G184" i="13"/>
  <c r="J184" i="13" s="1"/>
  <c r="K184" i="13" s="1"/>
  <c r="T183" i="13"/>
  <c r="S183" i="13"/>
  <c r="R183" i="13"/>
  <c r="I183" i="13"/>
  <c r="W183" i="13" s="1"/>
  <c r="G183" i="13"/>
  <c r="T182" i="13"/>
  <c r="S182" i="13"/>
  <c r="R182" i="13"/>
  <c r="I182" i="13"/>
  <c r="W182" i="13" s="1"/>
  <c r="G182" i="13"/>
  <c r="T181" i="13"/>
  <c r="I181" i="13"/>
  <c r="W181" i="13" s="1"/>
  <c r="E181" i="13"/>
  <c r="G181" i="13" s="1"/>
  <c r="S181" i="13"/>
  <c r="T180" i="13"/>
  <c r="S180" i="13"/>
  <c r="R180" i="13"/>
  <c r="I180" i="13"/>
  <c r="W180" i="13" s="1"/>
  <c r="G180" i="13"/>
  <c r="T179" i="13"/>
  <c r="S179" i="13"/>
  <c r="Q179" i="13"/>
  <c r="R179" i="13" s="1"/>
  <c r="I179" i="13"/>
  <c r="G179" i="13"/>
  <c r="T178" i="13"/>
  <c r="I178" i="13"/>
  <c r="W178" i="13" s="1"/>
  <c r="E178" i="13"/>
  <c r="G178" i="13" s="1"/>
  <c r="S178" i="13"/>
  <c r="T177" i="13"/>
  <c r="S177" i="13"/>
  <c r="R177" i="13"/>
  <c r="I177" i="13"/>
  <c r="W177" i="13" s="1"/>
  <c r="G177" i="13"/>
  <c r="T176" i="13"/>
  <c r="S176" i="13"/>
  <c r="Q176" i="13"/>
  <c r="R176" i="13" s="1"/>
  <c r="I176" i="13"/>
  <c r="W176" i="13" s="1"/>
  <c r="G176" i="13"/>
  <c r="T175" i="13"/>
  <c r="I175" i="13"/>
  <c r="W175" i="13" s="1"/>
  <c r="E175" i="13"/>
  <c r="G175" i="13" s="1"/>
  <c r="T174" i="13"/>
  <c r="S174" i="13"/>
  <c r="R174" i="13"/>
  <c r="I174" i="13"/>
  <c r="W174" i="13" s="1"/>
  <c r="G174" i="13"/>
  <c r="T173" i="13"/>
  <c r="S173" i="13"/>
  <c r="Q173" i="13"/>
  <c r="R173" i="13" s="1"/>
  <c r="I173" i="13"/>
  <c r="W173" i="13" s="1"/>
  <c r="G173" i="13"/>
  <c r="T172" i="13"/>
  <c r="I172" i="13"/>
  <c r="W172" i="13" s="1"/>
  <c r="E172" i="13"/>
  <c r="G172" i="13" s="1"/>
  <c r="J172" i="13" s="1"/>
  <c r="T171" i="13"/>
  <c r="S171" i="13"/>
  <c r="R171" i="13"/>
  <c r="I171" i="13"/>
  <c r="W171" i="13" s="1"/>
  <c r="G171" i="13"/>
  <c r="T170" i="13"/>
  <c r="S170" i="13"/>
  <c r="Q170" i="13"/>
  <c r="R170" i="13" s="1"/>
  <c r="I170" i="13"/>
  <c r="W170" i="13" s="1"/>
  <c r="G170" i="13"/>
  <c r="T169" i="13"/>
  <c r="S169" i="13"/>
  <c r="I169" i="13"/>
  <c r="W169" i="13" s="1"/>
  <c r="G169" i="13"/>
  <c r="S168" i="13"/>
  <c r="R168" i="13"/>
  <c r="I168" i="13"/>
  <c r="W168" i="13" s="1"/>
  <c r="G168" i="13"/>
  <c r="S167" i="13"/>
  <c r="Q167" i="13"/>
  <c r="R167" i="13" s="1"/>
  <c r="I167" i="13"/>
  <c r="G167" i="13"/>
  <c r="I166" i="13"/>
  <c r="W166" i="13" s="1"/>
  <c r="E166" i="13"/>
  <c r="G166" i="13" s="1"/>
  <c r="T165" i="13"/>
  <c r="S165" i="13"/>
  <c r="R165" i="13"/>
  <c r="I165" i="13"/>
  <c r="W165" i="13" s="1"/>
  <c r="G165" i="13"/>
  <c r="T164" i="13"/>
  <c r="S164" i="13"/>
  <c r="Q164" i="13"/>
  <c r="R164" i="13" s="1"/>
  <c r="I164" i="13"/>
  <c r="W164" i="13" s="1"/>
  <c r="G164" i="13"/>
  <c r="T163" i="13"/>
  <c r="I163" i="13"/>
  <c r="W163" i="13" s="1"/>
  <c r="E163" i="13"/>
  <c r="G163" i="13" s="1"/>
  <c r="S162" i="13"/>
  <c r="R162" i="13"/>
  <c r="I162" i="13"/>
  <c r="G162" i="13"/>
  <c r="T161" i="13"/>
  <c r="S161" i="13"/>
  <c r="R161" i="13"/>
  <c r="I161" i="13"/>
  <c r="G161" i="13"/>
  <c r="T160" i="13"/>
  <c r="S160" i="13"/>
  <c r="R160" i="13"/>
  <c r="I160" i="13"/>
  <c r="G160" i="13"/>
  <c r="T159" i="13"/>
  <c r="S159" i="13"/>
  <c r="R159" i="13"/>
  <c r="I159" i="13"/>
  <c r="G159" i="13"/>
  <c r="S158" i="13"/>
  <c r="R158" i="13"/>
  <c r="I158" i="13"/>
  <c r="W158" i="13" s="1"/>
  <c r="G158" i="13"/>
  <c r="T157" i="13"/>
  <c r="S157" i="13"/>
  <c r="R157" i="13"/>
  <c r="I157" i="13"/>
  <c r="G157" i="13"/>
  <c r="T156" i="13"/>
  <c r="S156" i="13"/>
  <c r="R156" i="13"/>
  <c r="I156" i="13"/>
  <c r="G156" i="13"/>
  <c r="J156" i="13" s="1"/>
  <c r="K156" i="13" s="1"/>
  <c r="T155" i="13"/>
  <c r="S155" i="13"/>
  <c r="R155" i="13"/>
  <c r="I155" i="13"/>
  <c r="G155" i="13"/>
  <c r="S154" i="13"/>
  <c r="R154" i="13"/>
  <c r="I154" i="13"/>
  <c r="G154" i="13"/>
  <c r="T153" i="13"/>
  <c r="S153" i="13"/>
  <c r="R153" i="13"/>
  <c r="I153" i="13"/>
  <c r="W153" i="13" s="1"/>
  <c r="G153" i="13"/>
  <c r="T152" i="13"/>
  <c r="S152" i="13"/>
  <c r="R152" i="13"/>
  <c r="I152" i="13"/>
  <c r="W152" i="13" s="1"/>
  <c r="G152" i="13"/>
  <c r="S151" i="13"/>
  <c r="R151" i="13"/>
  <c r="I151" i="13"/>
  <c r="G151" i="13"/>
  <c r="T150" i="13"/>
  <c r="S150" i="13"/>
  <c r="R150" i="13"/>
  <c r="I150" i="13"/>
  <c r="G150" i="13"/>
  <c r="S149" i="13"/>
  <c r="R149" i="13"/>
  <c r="I149" i="13"/>
  <c r="W149" i="13" s="1"/>
  <c r="G149" i="13"/>
  <c r="T148" i="13"/>
  <c r="S148" i="13"/>
  <c r="R148" i="13"/>
  <c r="I148" i="13"/>
  <c r="G148" i="13"/>
  <c r="T147" i="13"/>
  <c r="S147" i="13"/>
  <c r="R147" i="13"/>
  <c r="I147" i="13"/>
  <c r="W147" i="13" s="1"/>
  <c r="G147" i="13"/>
  <c r="T146" i="13"/>
  <c r="S146" i="13"/>
  <c r="R146" i="13"/>
  <c r="I146" i="13"/>
  <c r="W146" i="13" s="1"/>
  <c r="G146" i="13"/>
  <c r="T145" i="13"/>
  <c r="S145" i="13"/>
  <c r="Q145" i="13"/>
  <c r="R145" i="13" s="1"/>
  <c r="I145" i="13"/>
  <c r="G145" i="13"/>
  <c r="T144" i="13"/>
  <c r="I144" i="13"/>
  <c r="W144" i="13" s="1"/>
  <c r="E144" i="13"/>
  <c r="G144" i="13" s="1"/>
  <c r="T143" i="13"/>
  <c r="S143" i="13"/>
  <c r="R143" i="13"/>
  <c r="I143" i="13"/>
  <c r="W143" i="13" s="1"/>
  <c r="G143" i="13"/>
  <c r="T142" i="13"/>
  <c r="S142" i="13"/>
  <c r="Q142" i="13"/>
  <c r="R142" i="13" s="1"/>
  <c r="I142" i="13"/>
  <c r="G142" i="13"/>
  <c r="T141" i="13"/>
  <c r="I141" i="13"/>
  <c r="W141" i="13" s="1"/>
  <c r="E141" i="13"/>
  <c r="T140" i="13"/>
  <c r="S140" i="13"/>
  <c r="R140" i="13"/>
  <c r="I140" i="13"/>
  <c r="G140" i="13"/>
  <c r="T139" i="13"/>
  <c r="S139" i="13"/>
  <c r="Q139" i="13"/>
  <c r="R139" i="13" s="1"/>
  <c r="I139" i="13"/>
  <c r="G139" i="13"/>
  <c r="T138" i="13"/>
  <c r="I138" i="13"/>
  <c r="E138" i="13"/>
  <c r="S138" i="13" s="1"/>
  <c r="T137" i="13"/>
  <c r="S137" i="13"/>
  <c r="R137" i="13"/>
  <c r="I137" i="13"/>
  <c r="W137" i="13" s="1"/>
  <c r="G137" i="13"/>
  <c r="T136" i="13"/>
  <c r="S136" i="13"/>
  <c r="R136" i="13"/>
  <c r="I136" i="13"/>
  <c r="W136" i="13" s="1"/>
  <c r="G136" i="13"/>
  <c r="T135" i="13"/>
  <c r="S135" i="13"/>
  <c r="Q135" i="13"/>
  <c r="R135" i="13" s="1"/>
  <c r="I135" i="13"/>
  <c r="W135" i="13" s="1"/>
  <c r="G135" i="13"/>
  <c r="T134" i="13"/>
  <c r="I134" i="13"/>
  <c r="W134" i="13" s="1"/>
  <c r="E134" i="13"/>
  <c r="G134" i="13" s="1"/>
  <c r="T133" i="13"/>
  <c r="S133" i="13"/>
  <c r="R133" i="13"/>
  <c r="I133" i="13"/>
  <c r="W133" i="13" s="1"/>
  <c r="G133" i="13"/>
  <c r="T132" i="13"/>
  <c r="S132" i="13"/>
  <c r="R132" i="13"/>
  <c r="I132" i="13"/>
  <c r="G132" i="13"/>
  <c r="T131" i="13"/>
  <c r="S131" i="13"/>
  <c r="Q131" i="13"/>
  <c r="R131" i="13" s="1"/>
  <c r="I131" i="13"/>
  <c r="G131" i="13"/>
  <c r="T130" i="13"/>
  <c r="I130" i="13"/>
  <c r="E130" i="13"/>
  <c r="S130" i="13" s="1"/>
  <c r="T129" i="13"/>
  <c r="S129" i="13"/>
  <c r="R129" i="13"/>
  <c r="I129" i="13"/>
  <c r="W129" i="13" s="1"/>
  <c r="G129" i="13"/>
  <c r="S128" i="13"/>
  <c r="R128" i="13"/>
  <c r="I128" i="13"/>
  <c r="G128" i="13"/>
  <c r="T127" i="13"/>
  <c r="Q127" i="13"/>
  <c r="I127" i="13"/>
  <c r="E127" i="13"/>
  <c r="S127" i="13" s="1"/>
  <c r="S126" i="13"/>
  <c r="R126" i="13"/>
  <c r="I126" i="13"/>
  <c r="G126" i="13"/>
  <c r="T125" i="13"/>
  <c r="S125" i="13"/>
  <c r="R125" i="13"/>
  <c r="I125" i="13"/>
  <c r="G125" i="13"/>
  <c r="T124" i="13"/>
  <c r="S124" i="13"/>
  <c r="R124" i="13"/>
  <c r="I124" i="13"/>
  <c r="W124" i="13" s="1"/>
  <c r="G124" i="13"/>
  <c r="T123" i="13"/>
  <c r="S123" i="13"/>
  <c r="R123" i="13"/>
  <c r="I123" i="13"/>
  <c r="W123" i="13" s="1"/>
  <c r="G123" i="13"/>
  <c r="T122" i="13"/>
  <c r="S122" i="13"/>
  <c r="R122" i="13"/>
  <c r="I122" i="13"/>
  <c r="W122" i="13" s="1"/>
  <c r="G122" i="13"/>
  <c r="T121" i="13"/>
  <c r="S121" i="13"/>
  <c r="Q121" i="13"/>
  <c r="R121" i="13" s="1"/>
  <c r="I121" i="13"/>
  <c r="W121" i="13" s="1"/>
  <c r="G121" i="13"/>
  <c r="T120" i="13"/>
  <c r="I120" i="13"/>
  <c r="W120" i="13" s="1"/>
  <c r="E120" i="13"/>
  <c r="G120" i="13" s="1"/>
  <c r="T119" i="13"/>
  <c r="S119" i="13"/>
  <c r="R119" i="13"/>
  <c r="I119" i="13"/>
  <c r="G119" i="13"/>
  <c r="T118" i="13"/>
  <c r="S118" i="13"/>
  <c r="Q118" i="13"/>
  <c r="Q117" i="13" s="1"/>
  <c r="I118" i="13"/>
  <c r="W118" i="13" s="1"/>
  <c r="G118" i="13"/>
  <c r="T117" i="13"/>
  <c r="I117" i="13"/>
  <c r="W117" i="13" s="1"/>
  <c r="E117" i="13"/>
  <c r="S117" i="13" s="1"/>
  <c r="T116" i="13"/>
  <c r="S116" i="13"/>
  <c r="R116" i="13"/>
  <c r="I116" i="13"/>
  <c r="G116" i="13"/>
  <c r="J116" i="13" s="1"/>
  <c r="K116" i="13" s="1"/>
  <c r="T115" i="13"/>
  <c r="S115" i="13"/>
  <c r="R115" i="13"/>
  <c r="I115" i="13"/>
  <c r="W115" i="13" s="1"/>
  <c r="G115" i="13"/>
  <c r="T114" i="13"/>
  <c r="S114" i="13"/>
  <c r="R114" i="13"/>
  <c r="I114" i="13"/>
  <c r="W114" i="13" s="1"/>
  <c r="G114" i="13"/>
  <c r="S113" i="13"/>
  <c r="R113" i="13"/>
  <c r="I113" i="13"/>
  <c r="G113" i="13"/>
  <c r="T112" i="13"/>
  <c r="S112" i="13"/>
  <c r="R112" i="13"/>
  <c r="I112" i="13"/>
  <c r="G112" i="13"/>
  <c r="T111" i="13"/>
  <c r="S111" i="13"/>
  <c r="R111" i="13"/>
  <c r="I111" i="13"/>
  <c r="G111" i="13"/>
  <c r="T110" i="13"/>
  <c r="S110" i="13"/>
  <c r="R110" i="13"/>
  <c r="I110" i="13"/>
  <c r="W110" i="13" s="1"/>
  <c r="G110" i="13"/>
  <c r="T109" i="13"/>
  <c r="S109" i="13"/>
  <c r="R109" i="13"/>
  <c r="I109" i="13"/>
  <c r="G109" i="13"/>
  <c r="T108" i="13"/>
  <c r="S108" i="13"/>
  <c r="R108" i="13"/>
  <c r="I108" i="13"/>
  <c r="G108" i="13"/>
  <c r="T107" i="13"/>
  <c r="S107" i="13"/>
  <c r="Q107" i="13"/>
  <c r="R107" i="13" s="1"/>
  <c r="I107" i="13"/>
  <c r="W107" i="13" s="1"/>
  <c r="G107" i="13"/>
  <c r="T106" i="13"/>
  <c r="S106" i="13"/>
  <c r="I106" i="13"/>
  <c r="W106" i="13" s="1"/>
  <c r="G106" i="13"/>
  <c r="T105" i="13"/>
  <c r="S105" i="13"/>
  <c r="R105" i="13"/>
  <c r="I105" i="13"/>
  <c r="W105" i="13" s="1"/>
  <c r="G105" i="13"/>
  <c r="T104" i="13"/>
  <c r="S104" i="13"/>
  <c r="R104" i="13"/>
  <c r="I104" i="13"/>
  <c r="G104" i="13"/>
  <c r="T103" i="13"/>
  <c r="S103" i="13"/>
  <c r="Q103" i="13"/>
  <c r="R103" i="13" s="1"/>
  <c r="I103" i="13"/>
  <c r="G103" i="13"/>
  <c r="T102" i="13"/>
  <c r="I102" i="13"/>
  <c r="W102" i="13" s="1"/>
  <c r="E102" i="13"/>
  <c r="G102" i="13" s="1"/>
  <c r="J102" i="13" s="1"/>
  <c r="T101" i="13"/>
  <c r="S101" i="13"/>
  <c r="R101" i="13"/>
  <c r="I101" i="13"/>
  <c r="W101" i="13" s="1"/>
  <c r="G101" i="13"/>
  <c r="T100" i="13"/>
  <c r="S100" i="13"/>
  <c r="R100" i="13"/>
  <c r="U100" i="13" s="1"/>
  <c r="I100" i="13"/>
  <c r="G100" i="13"/>
  <c r="J100" i="13" s="1"/>
  <c r="K100" i="13" s="1"/>
  <c r="T99" i="13"/>
  <c r="S99" i="13"/>
  <c r="R99" i="13"/>
  <c r="I99" i="13"/>
  <c r="W99" i="13" s="1"/>
  <c r="G99" i="13"/>
  <c r="T98" i="13"/>
  <c r="S98" i="13"/>
  <c r="R98" i="13"/>
  <c r="U98" i="13" s="1"/>
  <c r="I98" i="13"/>
  <c r="G98" i="13"/>
  <c r="T97" i="13"/>
  <c r="S97" i="13"/>
  <c r="R97" i="13"/>
  <c r="I97" i="13"/>
  <c r="G97" i="13"/>
  <c r="T96" i="13"/>
  <c r="S96" i="13"/>
  <c r="R96" i="13"/>
  <c r="I96" i="13"/>
  <c r="W96" i="13" s="1"/>
  <c r="G96" i="13"/>
  <c r="T95" i="13"/>
  <c r="S95" i="13"/>
  <c r="Q95" i="13"/>
  <c r="R95" i="13" s="1"/>
  <c r="I95" i="13"/>
  <c r="G95" i="13"/>
  <c r="T94" i="13"/>
  <c r="I94" i="13"/>
  <c r="W94" i="13"/>
  <c r="E94" i="13"/>
  <c r="S94" i="13"/>
  <c r="G94" i="13"/>
  <c r="T93" i="13"/>
  <c r="S93" i="13"/>
  <c r="R93" i="13"/>
  <c r="U93" i="13" s="1"/>
  <c r="I93" i="13"/>
  <c r="W93" i="13"/>
  <c r="G93" i="13"/>
  <c r="T92" i="13"/>
  <c r="S92" i="13"/>
  <c r="R92" i="13"/>
  <c r="U92" i="13" s="1"/>
  <c r="I92" i="13"/>
  <c r="W92" i="13" s="1"/>
  <c r="G92" i="13"/>
  <c r="T91" i="13"/>
  <c r="S91" i="13"/>
  <c r="R91" i="13"/>
  <c r="I91" i="13"/>
  <c r="G91" i="13"/>
  <c r="T90" i="13"/>
  <c r="S90" i="13"/>
  <c r="R90" i="13"/>
  <c r="U90" i="13" s="1"/>
  <c r="I90" i="13"/>
  <c r="W90" i="13" s="1"/>
  <c r="G90" i="13"/>
  <c r="T89" i="13"/>
  <c r="S89" i="13"/>
  <c r="R89" i="13"/>
  <c r="I89" i="13"/>
  <c r="W89" i="13" s="1"/>
  <c r="G89" i="13"/>
  <c r="S88" i="13"/>
  <c r="R88" i="13"/>
  <c r="I88" i="13"/>
  <c r="W88" i="13" s="1"/>
  <c r="G88" i="13"/>
  <c r="T87" i="13"/>
  <c r="S87" i="13"/>
  <c r="R87" i="13"/>
  <c r="I87" i="13"/>
  <c r="W87" i="13" s="1"/>
  <c r="G87" i="13"/>
  <c r="T86" i="13"/>
  <c r="S86" i="13"/>
  <c r="R86" i="13"/>
  <c r="I86" i="13"/>
  <c r="W86" i="13" s="1"/>
  <c r="G86" i="13"/>
  <c r="T85" i="13"/>
  <c r="S85" i="13"/>
  <c r="Q85" i="13"/>
  <c r="I85" i="13"/>
  <c r="G85" i="13"/>
  <c r="T84" i="13"/>
  <c r="I84" i="13"/>
  <c r="E84" i="13"/>
  <c r="S84" i="13" s="1"/>
  <c r="T83" i="13"/>
  <c r="S83" i="13"/>
  <c r="R83" i="13"/>
  <c r="I83" i="13"/>
  <c r="G83" i="13"/>
  <c r="T82" i="13"/>
  <c r="S82" i="13"/>
  <c r="Q82" i="13"/>
  <c r="I82" i="13"/>
  <c r="G82" i="13"/>
  <c r="T81" i="13"/>
  <c r="I81" i="13"/>
  <c r="W81" i="13" s="1"/>
  <c r="E81" i="13"/>
  <c r="T80" i="13"/>
  <c r="S80" i="13"/>
  <c r="R80" i="13"/>
  <c r="I80" i="13"/>
  <c r="G80" i="13"/>
  <c r="T79" i="13"/>
  <c r="S79" i="13"/>
  <c r="R79" i="13"/>
  <c r="I79" i="13"/>
  <c r="W79" i="13" s="1"/>
  <c r="G79" i="13"/>
  <c r="T78" i="13"/>
  <c r="R78" i="13"/>
  <c r="U78" i="13" s="1"/>
  <c r="I78" i="13"/>
  <c r="W78" i="13" s="1"/>
  <c r="G78" i="13"/>
  <c r="T77" i="13"/>
  <c r="S77" i="13"/>
  <c r="R77" i="13"/>
  <c r="I77" i="13"/>
  <c r="W77" i="13" s="1"/>
  <c r="G77" i="13"/>
  <c r="T76" i="13"/>
  <c r="S76" i="13"/>
  <c r="R76" i="13"/>
  <c r="I76" i="13"/>
  <c r="G76" i="13"/>
  <c r="T75" i="13"/>
  <c r="S75" i="13"/>
  <c r="R75" i="13"/>
  <c r="I75" i="13"/>
  <c r="G75" i="13"/>
  <c r="T74" i="13"/>
  <c r="S74" i="13"/>
  <c r="R74" i="13"/>
  <c r="I74" i="13"/>
  <c r="G74" i="13"/>
  <c r="S73" i="13"/>
  <c r="Q73" i="13"/>
  <c r="R73" i="13" s="1"/>
  <c r="I73" i="13"/>
  <c r="G73" i="13"/>
  <c r="T72" i="13"/>
  <c r="I72" i="13"/>
  <c r="E72" i="13"/>
  <c r="G72" i="13" s="1"/>
  <c r="T71" i="13"/>
  <c r="S71" i="13"/>
  <c r="R71" i="13"/>
  <c r="I71" i="13"/>
  <c r="W71" i="13" s="1"/>
  <c r="G71" i="13"/>
  <c r="T70" i="13"/>
  <c r="S70" i="13"/>
  <c r="R70" i="13"/>
  <c r="I70" i="13"/>
  <c r="W70" i="13" s="1"/>
  <c r="G70" i="13"/>
  <c r="T69" i="13"/>
  <c r="S69" i="13"/>
  <c r="R69" i="13"/>
  <c r="I69" i="13"/>
  <c r="G69" i="13"/>
  <c r="T68" i="13"/>
  <c r="S68" i="13"/>
  <c r="R68" i="13"/>
  <c r="I68" i="13"/>
  <c r="W68" i="13" s="1"/>
  <c r="G68" i="13"/>
  <c r="T67" i="13"/>
  <c r="S67" i="13"/>
  <c r="R67" i="13"/>
  <c r="I67" i="13"/>
  <c r="W67" i="13" s="1"/>
  <c r="G67" i="13"/>
  <c r="T66" i="13"/>
  <c r="S66" i="13"/>
  <c r="Q66" i="13"/>
  <c r="R66" i="13" s="1"/>
  <c r="I66" i="13"/>
  <c r="W66" i="13" s="1"/>
  <c r="G66" i="13"/>
  <c r="T65" i="13"/>
  <c r="I65" i="13"/>
  <c r="W65" i="13" s="1"/>
  <c r="E65" i="13"/>
  <c r="S65" i="13" s="1"/>
  <c r="S64" i="13"/>
  <c r="R64" i="13"/>
  <c r="I64" i="13"/>
  <c r="W64" i="13" s="1"/>
  <c r="G64" i="13"/>
  <c r="T63" i="13"/>
  <c r="S63" i="13"/>
  <c r="R63" i="13"/>
  <c r="I63" i="13"/>
  <c r="G63" i="13"/>
  <c r="T62" i="13"/>
  <c r="S62" i="13"/>
  <c r="R62" i="13"/>
  <c r="I62" i="13"/>
  <c r="W62" i="13" s="1"/>
  <c r="G62" i="13"/>
  <c r="T61" i="13"/>
  <c r="S61" i="13"/>
  <c r="U61" i="13" s="1"/>
  <c r="W61" i="13" s="1"/>
  <c r="R61" i="13"/>
  <c r="G61" i="13"/>
  <c r="I61" i="13" s="1"/>
  <c r="J61" i="13" s="1"/>
  <c r="K61" i="13" s="1"/>
  <c r="T60" i="13"/>
  <c r="S60" i="13"/>
  <c r="U60" i="13" s="1"/>
  <c r="W60" i="13" s="1"/>
  <c r="R60" i="13"/>
  <c r="G60" i="13"/>
  <c r="I60" i="13" s="1"/>
  <c r="J60" i="13" s="1"/>
  <c r="K60" i="13" s="1"/>
  <c r="T59" i="13"/>
  <c r="S59" i="13"/>
  <c r="U59" i="13" s="1"/>
  <c r="W59" i="13" s="1"/>
  <c r="R59" i="13"/>
  <c r="G59" i="13"/>
  <c r="I59" i="13" s="1"/>
  <c r="J59" i="13" s="1"/>
  <c r="K59" i="13" s="1"/>
  <c r="T58" i="13"/>
  <c r="S58" i="13"/>
  <c r="U58" i="13" s="1"/>
  <c r="W58" i="13" s="1"/>
  <c r="R58" i="13"/>
  <c r="G58" i="13"/>
  <c r="I58" i="13" s="1"/>
  <c r="J58" i="13" s="1"/>
  <c r="K58" i="13" s="1"/>
  <c r="T57" i="13"/>
  <c r="S57" i="13"/>
  <c r="U57" i="13" s="1"/>
  <c r="W57" i="13" s="1"/>
  <c r="R57" i="13"/>
  <c r="G57" i="13"/>
  <c r="I57" i="13" s="1"/>
  <c r="J57" i="13" s="1"/>
  <c r="K57" i="13" s="1"/>
  <c r="T56" i="13"/>
  <c r="S56" i="13"/>
  <c r="U56" i="13" s="1"/>
  <c r="W56" i="13" s="1"/>
  <c r="R56" i="13"/>
  <c r="G56" i="13"/>
  <c r="I56" i="13" s="1"/>
  <c r="J56" i="13" s="1"/>
  <c r="K56" i="13" s="1"/>
  <c r="S55" i="13"/>
  <c r="U55" i="13" s="1"/>
  <c r="W55" i="13" s="1"/>
  <c r="R55" i="13"/>
  <c r="G55" i="13"/>
  <c r="I55" i="13" s="1"/>
  <c r="J55" i="13" s="1"/>
  <c r="K55" i="13" s="1"/>
  <c r="T54" i="13"/>
  <c r="S54" i="13"/>
  <c r="U54" i="13" s="1"/>
  <c r="W54" i="13" s="1"/>
  <c r="R54" i="13"/>
  <c r="G54" i="13"/>
  <c r="I54" i="13" s="1"/>
  <c r="J54" i="13" s="1"/>
  <c r="K54" i="13" s="1"/>
  <c r="T53" i="13"/>
  <c r="S53" i="13"/>
  <c r="U53" i="13" s="1"/>
  <c r="W53" i="13" s="1"/>
  <c r="R53" i="13"/>
  <c r="G53" i="13"/>
  <c r="I53" i="13" s="1"/>
  <c r="J53" i="13" s="1"/>
  <c r="K53" i="13" s="1"/>
  <c r="T52" i="13"/>
  <c r="S52" i="13"/>
  <c r="U52" i="13" s="1"/>
  <c r="W52" i="13" s="1"/>
  <c r="R52" i="13"/>
  <c r="G52" i="13"/>
  <c r="I52" i="13" s="1"/>
  <c r="J52" i="13" s="1"/>
  <c r="K52" i="13" s="1"/>
  <c r="T51" i="13"/>
  <c r="S51" i="13"/>
  <c r="U51" i="13" s="1"/>
  <c r="W51" i="13" s="1"/>
  <c r="R51" i="13"/>
  <c r="G51" i="13"/>
  <c r="I51" i="13" s="1"/>
  <c r="J51" i="13" s="1"/>
  <c r="T50" i="13"/>
  <c r="S50" i="13"/>
  <c r="U50" i="13" s="1"/>
  <c r="W50" i="13" s="1"/>
  <c r="Q50" i="13"/>
  <c r="R50" i="13" s="1"/>
  <c r="G50" i="13"/>
  <c r="I50" i="13" s="1"/>
  <c r="J50" i="13" s="1"/>
  <c r="T49" i="13"/>
  <c r="E49" i="13"/>
  <c r="S49" i="13" s="1"/>
  <c r="U49" i="13" s="1"/>
  <c r="W49" i="13" s="1"/>
  <c r="U48" i="13"/>
  <c r="W48" i="13" s="1"/>
  <c r="T48" i="13"/>
  <c r="R48" i="13"/>
  <c r="G48" i="13"/>
  <c r="I48" i="13" s="1"/>
  <c r="J48" i="13" s="1"/>
  <c r="U47" i="13"/>
  <c r="W47" i="13" s="1"/>
  <c r="T47" i="13"/>
  <c r="Q47" i="13"/>
  <c r="Q46" i="13" s="1"/>
  <c r="G47" i="13"/>
  <c r="I47" i="13" s="1"/>
  <c r="J47" i="13" s="1"/>
  <c r="T46" i="13"/>
  <c r="S46" i="13"/>
  <c r="U46" i="13" s="1"/>
  <c r="W46" i="13" s="1"/>
  <c r="E46" i="13"/>
  <c r="G46" i="13" s="1"/>
  <c r="I46" i="13" s="1"/>
  <c r="J46" i="13" s="1"/>
  <c r="T45" i="13"/>
  <c r="S45" i="13"/>
  <c r="U45" i="13" s="1"/>
  <c r="W45" i="13" s="1"/>
  <c r="R45" i="13"/>
  <c r="G45" i="13"/>
  <c r="I45" i="13" s="1"/>
  <c r="J45" i="13" s="1"/>
  <c r="T44" i="13"/>
  <c r="S44" i="13"/>
  <c r="U44" i="13" s="1"/>
  <c r="W44" i="13" s="1"/>
  <c r="R44" i="13"/>
  <c r="G44" i="13"/>
  <c r="I44" i="13" s="1"/>
  <c r="J44" i="13" s="1"/>
  <c r="T43" i="13"/>
  <c r="L43" i="13"/>
  <c r="E43" i="13"/>
  <c r="G43" i="13" s="1"/>
  <c r="I43" i="13" s="1"/>
  <c r="J43" i="13" s="1"/>
  <c r="T42" i="13"/>
  <c r="S42" i="13"/>
  <c r="U42" i="13" s="1"/>
  <c r="W42" i="13" s="1"/>
  <c r="R42" i="13"/>
  <c r="G42" i="13"/>
  <c r="I42" i="13" s="1"/>
  <c r="J42" i="13" s="1"/>
  <c r="K42" i="13" s="1"/>
  <c r="T41" i="13"/>
  <c r="S41" i="13"/>
  <c r="U41" i="13" s="1"/>
  <c r="W41" i="13" s="1"/>
  <c r="R41" i="13"/>
  <c r="G41" i="13"/>
  <c r="I41" i="13" s="1"/>
  <c r="J41" i="13" s="1"/>
  <c r="K41" i="13" s="1"/>
  <c r="S40" i="13"/>
  <c r="U40" i="13" s="1"/>
  <c r="W40" i="13" s="1"/>
  <c r="X40" i="13" s="1"/>
  <c r="Y40" i="13" s="1"/>
  <c r="R40" i="13"/>
  <c r="G40" i="13"/>
  <c r="I40" i="13" s="1"/>
  <c r="J40" i="13" s="1"/>
  <c r="K40" i="13" s="1"/>
  <c r="T39" i="13"/>
  <c r="S39" i="13"/>
  <c r="U39" i="13" s="1"/>
  <c r="W39" i="13" s="1"/>
  <c r="R39" i="13"/>
  <c r="G39" i="13"/>
  <c r="I39" i="13" s="1"/>
  <c r="J39" i="13" s="1"/>
  <c r="K39" i="13" s="1"/>
  <c r="T38" i="13"/>
  <c r="S38" i="13"/>
  <c r="U38" i="13" s="1"/>
  <c r="W38" i="13" s="1"/>
  <c r="R38" i="13"/>
  <c r="G38" i="13"/>
  <c r="I38" i="13" s="1"/>
  <c r="J38" i="13" s="1"/>
  <c r="K38" i="13" s="1"/>
  <c r="T37" i="13"/>
  <c r="S37" i="13"/>
  <c r="U37" i="13" s="1"/>
  <c r="W37" i="13" s="1"/>
  <c r="R37" i="13"/>
  <c r="G37" i="13"/>
  <c r="I37" i="13" s="1"/>
  <c r="J37" i="13" s="1"/>
  <c r="K37" i="13" s="1"/>
  <c r="T36" i="13"/>
  <c r="S36" i="13"/>
  <c r="U36" i="13" s="1"/>
  <c r="W36" i="13" s="1"/>
  <c r="R36" i="13"/>
  <c r="G36" i="13"/>
  <c r="I36" i="13" s="1"/>
  <c r="J36" i="13" s="1"/>
  <c r="K36" i="13" s="1"/>
  <c r="L36" i="13" s="1"/>
  <c r="T35" i="13"/>
  <c r="S35" i="13"/>
  <c r="U35" i="13" s="1"/>
  <c r="W35" i="13" s="1"/>
  <c r="R35" i="13"/>
  <c r="G35" i="13"/>
  <c r="I35" i="13" s="1"/>
  <c r="J35" i="13" s="1"/>
  <c r="K35" i="13" s="1"/>
  <c r="U34" i="13"/>
  <c r="W34" i="13" s="1"/>
  <c r="R34" i="13"/>
  <c r="G34" i="13"/>
  <c r="I34" i="13" s="1"/>
  <c r="J34" i="13" s="1"/>
  <c r="K34" i="13" s="1"/>
  <c r="J12" i="15" s="1"/>
  <c r="U33" i="13"/>
  <c r="W33" i="13" s="1"/>
  <c r="R33" i="13"/>
  <c r="G33" i="13"/>
  <c r="I33" i="13" s="1"/>
  <c r="J33" i="13" s="1"/>
  <c r="K33" i="13" s="1"/>
  <c r="T32" i="13"/>
  <c r="S32" i="13"/>
  <c r="U32" i="13" s="1"/>
  <c r="W32" i="13" s="1"/>
  <c r="R32" i="13"/>
  <c r="G32" i="13"/>
  <c r="I32" i="13" s="1"/>
  <c r="J32" i="13" s="1"/>
  <c r="S31" i="13"/>
  <c r="U31" i="13" s="1"/>
  <c r="W31" i="13" s="1"/>
  <c r="R31" i="13"/>
  <c r="G31" i="13"/>
  <c r="I31" i="13" s="1"/>
  <c r="J31" i="13" s="1"/>
  <c r="T30" i="13"/>
  <c r="L30" i="13"/>
  <c r="E30" i="13"/>
  <c r="S30" i="13" s="1"/>
  <c r="U30" i="13" s="1"/>
  <c r="W30" i="13" s="1"/>
  <c r="T29" i="13"/>
  <c r="S29" i="13"/>
  <c r="U29" i="13" s="1"/>
  <c r="W29" i="13" s="1"/>
  <c r="R29" i="13"/>
  <c r="G29" i="13"/>
  <c r="I29" i="13" s="1"/>
  <c r="J29" i="13" s="1"/>
  <c r="K29" i="13" s="1"/>
  <c r="T28" i="13"/>
  <c r="S28" i="13"/>
  <c r="U28" i="13" s="1"/>
  <c r="W28" i="13" s="1"/>
  <c r="R28" i="13"/>
  <c r="G28" i="13"/>
  <c r="I28" i="13" s="1"/>
  <c r="J28" i="13" s="1"/>
  <c r="K28" i="13" s="1"/>
  <c r="T27" i="13"/>
  <c r="S27" i="13"/>
  <c r="U27" i="13" s="1"/>
  <c r="W27" i="13" s="1"/>
  <c r="R27" i="13"/>
  <c r="G27" i="13"/>
  <c r="I27" i="13" s="1"/>
  <c r="J27" i="13" s="1"/>
  <c r="T26" i="13"/>
  <c r="S26" i="13"/>
  <c r="U26" i="13" s="1"/>
  <c r="W26" i="13" s="1"/>
  <c r="Q26" i="13"/>
  <c r="R26" i="13" s="1"/>
  <c r="G26" i="13"/>
  <c r="I26" i="13" s="1"/>
  <c r="J26" i="13" s="1"/>
  <c r="T25" i="13"/>
  <c r="E25" i="13"/>
  <c r="G25" i="13" s="1"/>
  <c r="I25" i="13" s="1"/>
  <c r="J25" i="13" s="1"/>
  <c r="T24" i="13"/>
  <c r="S24" i="13"/>
  <c r="U24" i="13" s="1"/>
  <c r="W24" i="13" s="1"/>
  <c r="R24" i="13"/>
  <c r="G24" i="13"/>
  <c r="I24" i="13" s="1"/>
  <c r="J24" i="13" s="1"/>
  <c r="K24" i="13" s="1"/>
  <c r="L24" i="13" s="1"/>
  <c r="T23" i="13"/>
  <c r="S23" i="13"/>
  <c r="U23" i="13" s="1"/>
  <c r="W23" i="13" s="1"/>
  <c r="R23" i="13"/>
  <c r="G23" i="13"/>
  <c r="I23" i="13" s="1"/>
  <c r="J23" i="13" s="1"/>
  <c r="K23" i="13" s="1"/>
  <c r="T22" i="13"/>
  <c r="S22" i="13"/>
  <c r="U22" i="13" s="1"/>
  <c r="W22" i="13" s="1"/>
  <c r="R22" i="13"/>
  <c r="G22" i="13"/>
  <c r="I22" i="13" s="1"/>
  <c r="J22" i="13" s="1"/>
  <c r="K22" i="13" s="1"/>
  <c r="T21" i="13"/>
  <c r="S21" i="13"/>
  <c r="U21" i="13" s="1"/>
  <c r="W21" i="13" s="1"/>
  <c r="R21" i="13"/>
  <c r="G21" i="13"/>
  <c r="I21" i="13" s="1"/>
  <c r="J21" i="13" s="1"/>
  <c r="K21" i="13" s="1"/>
  <c r="T20" i="13"/>
  <c r="S20" i="13"/>
  <c r="U20" i="13" s="1"/>
  <c r="W20" i="13" s="1"/>
  <c r="R20" i="13"/>
  <c r="G20" i="13"/>
  <c r="I20" i="13" s="1"/>
  <c r="J20" i="13" s="1"/>
  <c r="T19" i="13"/>
  <c r="S19" i="13"/>
  <c r="U19" i="13" s="1"/>
  <c r="W19" i="13" s="1"/>
  <c r="Q19" i="13"/>
  <c r="R19" i="13" s="1"/>
  <c r="G19" i="13"/>
  <c r="I19" i="13" s="1"/>
  <c r="J19" i="13" s="1"/>
  <c r="T18" i="13"/>
  <c r="E18" i="13"/>
  <c r="S18" i="13" s="1"/>
  <c r="U18" i="13" s="1"/>
  <c r="W18" i="13" s="1"/>
  <c r="U17" i="13"/>
  <c r="W17" i="13" s="1"/>
  <c r="R17" i="13"/>
  <c r="I17" i="13"/>
  <c r="J17" i="13" s="1"/>
  <c r="G17" i="13"/>
  <c r="U16" i="13"/>
  <c r="W16" i="13" s="1"/>
  <c r="Q16" i="13"/>
  <c r="R16" i="13" s="1"/>
  <c r="G16" i="13"/>
  <c r="I16" i="13" s="1"/>
  <c r="J16" i="13" s="1"/>
  <c r="T15" i="13"/>
  <c r="S15" i="13"/>
  <c r="U15" i="13" s="1"/>
  <c r="W15" i="13" s="1"/>
  <c r="E15" i="13"/>
  <c r="G15" i="13" s="1"/>
  <c r="T14" i="13"/>
  <c r="S14" i="13"/>
  <c r="U14" i="13" s="1"/>
  <c r="W14" i="13" s="1"/>
  <c r="R14" i="13"/>
  <c r="G14" i="13"/>
  <c r="I14" i="13" s="1"/>
  <c r="J14" i="13" s="1"/>
  <c r="K14" i="13" s="1"/>
  <c r="T13" i="13"/>
  <c r="S13" i="13"/>
  <c r="U13" i="13" s="1"/>
  <c r="W13" i="13" s="1"/>
  <c r="R13" i="13"/>
  <c r="G13" i="13"/>
  <c r="I13" i="13" s="1"/>
  <c r="J13" i="13" s="1"/>
  <c r="K13" i="13" s="1"/>
  <c r="T12" i="13"/>
  <c r="S12" i="13"/>
  <c r="U12" i="13" s="1"/>
  <c r="W12" i="13" s="1"/>
  <c r="R12" i="13"/>
  <c r="G12" i="13"/>
  <c r="I12" i="13" s="1"/>
  <c r="J12" i="13" s="1"/>
  <c r="K12" i="13" s="1"/>
  <c r="T11" i="13"/>
  <c r="S11" i="13"/>
  <c r="U11" i="13" s="1"/>
  <c r="W11" i="13" s="1"/>
  <c r="R11" i="13"/>
  <c r="G11" i="13"/>
  <c r="I11" i="13" s="1"/>
  <c r="J11" i="13" s="1"/>
  <c r="K11" i="13" s="1"/>
  <c r="U10" i="13"/>
  <c r="W10" i="13" s="1"/>
  <c r="R10" i="13"/>
  <c r="G10" i="13"/>
  <c r="I10" i="13" s="1"/>
  <c r="J10" i="13" s="1"/>
  <c r="K10" i="13" s="1"/>
  <c r="T9" i="13"/>
  <c r="S9" i="13"/>
  <c r="U9" i="13" s="1"/>
  <c r="W9" i="13" s="1"/>
  <c r="R9" i="13"/>
  <c r="G9" i="13"/>
  <c r="I9" i="13" s="1"/>
  <c r="J9" i="13" s="1"/>
  <c r="K9" i="13" s="1"/>
  <c r="T8" i="13"/>
  <c r="S8" i="13"/>
  <c r="U8" i="13" s="1"/>
  <c r="W8" i="13" s="1"/>
  <c r="R8" i="13"/>
  <c r="G8" i="13"/>
  <c r="I8" i="13" s="1"/>
  <c r="J8" i="13" s="1"/>
  <c r="K8" i="13" s="1"/>
  <c r="G30" i="13"/>
  <c r="I30" i="13" s="1"/>
  <c r="J30" i="13" s="1"/>
  <c r="J63" i="13"/>
  <c r="K63" i="13" s="1"/>
  <c r="W63" i="13"/>
  <c r="J75" i="13"/>
  <c r="K75" i="13" s="1"/>
  <c r="W75" i="13"/>
  <c r="J98" i="13"/>
  <c r="K98" i="13" s="1"/>
  <c r="W98" i="13"/>
  <c r="W104" i="13"/>
  <c r="J104" i="13"/>
  <c r="J167" i="13"/>
  <c r="W167" i="13"/>
  <c r="J64" i="13"/>
  <c r="K64" i="13" s="1"/>
  <c r="W85" i="13"/>
  <c r="J85" i="13"/>
  <c r="J126" i="13"/>
  <c r="K126" i="13" s="1"/>
  <c r="W126" i="13"/>
  <c r="R43" i="13"/>
  <c r="G84" i="13"/>
  <c r="J84" i="13" s="1"/>
  <c r="J90" i="13"/>
  <c r="K90" i="13" s="1"/>
  <c r="Q81" i="13"/>
  <c r="R82" i="13"/>
  <c r="U82" i="13" s="1"/>
  <c r="W157" i="13"/>
  <c r="J157" i="13"/>
  <c r="K157" i="13" s="1"/>
  <c r="W200" i="13"/>
  <c r="J200" i="13"/>
  <c r="K200" i="13" s="1"/>
  <c r="J66" i="13"/>
  <c r="J89" i="13"/>
  <c r="K89" i="13" s="1"/>
  <c r="J125" i="13"/>
  <c r="K125" i="13" s="1"/>
  <c r="W125" i="13"/>
  <c r="J69" i="13"/>
  <c r="K69" i="13" s="1"/>
  <c r="W69" i="13"/>
  <c r="J95" i="13"/>
  <c r="W95" i="13"/>
  <c r="U109" i="13"/>
  <c r="G141" i="13"/>
  <c r="J141" i="13" s="1"/>
  <c r="S141" i="13"/>
  <c r="W72" i="13"/>
  <c r="J72" i="13"/>
  <c r="J88" i="13"/>
  <c r="K88" i="13" s="1"/>
  <c r="J132" i="13"/>
  <c r="W132" i="13"/>
  <c r="J93" i="13"/>
  <c r="K93" i="13" s="1"/>
  <c r="J105" i="13"/>
  <c r="K105" i="13" s="1"/>
  <c r="J110" i="13"/>
  <c r="K110" i="13" s="1"/>
  <c r="G117" i="13"/>
  <c r="J117" i="13" s="1"/>
  <c r="U119" i="13"/>
  <c r="W179" i="13"/>
  <c r="J179" i="13"/>
  <c r="J140" i="13"/>
  <c r="W140" i="13"/>
  <c r="J78" i="13"/>
  <c r="K78" i="13" s="1"/>
  <c r="L78" i="13" s="1"/>
  <c r="U89" i="13"/>
  <c r="X89" i="13" s="1"/>
  <c r="Y89" i="13" s="1"/>
  <c r="W159" i="13"/>
  <c r="J159" i="13"/>
  <c r="K159" i="13" s="1"/>
  <c r="J91" i="13"/>
  <c r="K91" i="13" s="1"/>
  <c r="L91" i="13" s="1"/>
  <c r="J80" i="13"/>
  <c r="K80" i="13" s="1"/>
  <c r="W80" i="13"/>
  <c r="Q84" i="13"/>
  <c r="R85" i="13"/>
  <c r="R84" i="13" s="1"/>
  <c r="U84" i="13" s="1"/>
  <c r="U88" i="13"/>
  <c r="J131" i="13"/>
  <c r="W131" i="13"/>
  <c r="W138" i="13"/>
  <c r="J139" i="13"/>
  <c r="W139" i="13"/>
  <c r="W162" i="13"/>
  <c r="J162" i="13"/>
  <c r="K162" i="13" s="1"/>
  <c r="R72" i="13"/>
  <c r="U73" i="13"/>
  <c r="W128" i="13"/>
  <c r="J190" i="13"/>
  <c r="K190" i="13" s="1"/>
  <c r="W190" i="13"/>
  <c r="J79" i="13"/>
  <c r="K79" i="13" s="1"/>
  <c r="L79" i="13" s="1"/>
  <c r="W84" i="13"/>
  <c r="J86" i="13"/>
  <c r="R127" i="13"/>
  <c r="U127" i="13" s="1"/>
  <c r="U128" i="13"/>
  <c r="J202" i="13"/>
  <c r="K202" i="13" s="1"/>
  <c r="J177" i="13"/>
  <c r="J142" i="13"/>
  <c r="W142" i="13"/>
  <c r="U143" i="13"/>
  <c r="X143" i="13" s="1"/>
  <c r="W154" i="13"/>
  <c r="W127" i="13"/>
  <c r="J185" i="13"/>
  <c r="K185" i="13" s="1"/>
  <c r="J192" i="13"/>
  <c r="K192" i="13" s="1"/>
  <c r="W192" i="13"/>
  <c r="J195" i="13"/>
  <c r="K195" i="13" s="1"/>
  <c r="W91" i="13"/>
  <c r="X91" i="13" s="1"/>
  <c r="Y91" i="13" s="1"/>
  <c r="W100" i="13"/>
  <c r="W111" i="13"/>
  <c r="W116" i="13"/>
  <c r="W130" i="13"/>
  <c r="J151" i="13"/>
  <c r="K151" i="13" s="1"/>
  <c r="W151" i="13"/>
  <c r="J94" i="13"/>
  <c r="J123" i="13"/>
  <c r="K123" i="13" s="1"/>
  <c r="U126" i="13"/>
  <c r="U204" i="13"/>
  <c r="U206" i="13"/>
  <c r="X206" i="13" s="1"/>
  <c r="Y206" i="13" s="1"/>
  <c r="Q166" i="13"/>
  <c r="W145" i="13"/>
  <c r="W184" i="13"/>
  <c r="S144" i="13"/>
  <c r="W148" i="13"/>
  <c r="W155" i="13"/>
  <c r="W160" i="13"/>
  <c r="W186" i="13"/>
  <c r="W208" i="13"/>
  <c r="U140" i="13"/>
  <c r="X140" i="13" s="1"/>
  <c r="U133" i="13"/>
  <c r="U99" i="13"/>
  <c r="X99" i="13" s="1"/>
  <c r="Y99" i="13" s="1"/>
  <c r="U91" i="13"/>
  <c r="Q25" i="13"/>
  <c r="U69" i="13"/>
  <c r="Q138" i="13"/>
  <c r="Q130" i="13"/>
  <c r="Q106" i="13"/>
  <c r="L42" i="13"/>
  <c r="L53" i="13"/>
  <c r="L55" i="13"/>
  <c r="L58" i="13"/>
  <c r="Q15" i="13"/>
  <c r="G18" i="13"/>
  <c r="I18" i="13" s="1"/>
  <c r="J18" i="13" s="1"/>
  <c r="S25" i="13"/>
  <c r="U25" i="13" s="1"/>
  <c r="W25" i="13" s="1"/>
  <c r="L56" i="13"/>
  <c r="L60" i="13"/>
  <c r="L100" i="13"/>
  <c r="L184" i="13"/>
  <c r="G49" i="13"/>
  <c r="I49" i="13" s="1"/>
  <c r="J49" i="13" s="1"/>
  <c r="K49" i="13" s="1"/>
  <c r="Q49" i="13"/>
  <c r="J68" i="13"/>
  <c r="K68" i="13" s="1"/>
  <c r="J70" i="13"/>
  <c r="K70" i="13" s="1"/>
  <c r="L70" i="13" s="1"/>
  <c r="J71" i="13"/>
  <c r="K71" i="13" s="1"/>
  <c r="W76" i="13"/>
  <c r="J77" i="13"/>
  <c r="K77" i="13" s="1"/>
  <c r="J92" i="13"/>
  <c r="K92" i="13" s="1"/>
  <c r="L92" i="13" s="1"/>
  <c r="W97" i="13"/>
  <c r="J99" i="13"/>
  <c r="K99" i="13" s="1"/>
  <c r="S102" i="13"/>
  <c r="W103" i="13"/>
  <c r="J106" i="13"/>
  <c r="W108" i="13"/>
  <c r="W109" i="13"/>
  <c r="W112" i="13"/>
  <c r="W113" i="13"/>
  <c r="J114" i="13"/>
  <c r="K114" i="13" s="1"/>
  <c r="S120" i="13"/>
  <c r="G127" i="13"/>
  <c r="J127" i="13" s="1"/>
  <c r="J129" i="13"/>
  <c r="S134" i="13"/>
  <c r="J137" i="13"/>
  <c r="K137" i="13" s="1"/>
  <c r="J143" i="13"/>
  <c r="Q144" i="13"/>
  <c r="J147" i="13"/>
  <c r="K147" i="13" s="1"/>
  <c r="J153" i="13"/>
  <c r="K153" i="13" s="1"/>
  <c r="L153" i="13" s="1"/>
  <c r="W156" i="13"/>
  <c r="W161" i="13"/>
  <c r="Q163" i="13"/>
  <c r="J164" i="13"/>
  <c r="J165" i="13"/>
  <c r="S166" i="13"/>
  <c r="S175" i="13"/>
  <c r="Q175" i="13"/>
  <c r="Q178" i="13"/>
  <c r="Q181" i="13"/>
  <c r="J183" i="13"/>
  <c r="W187" i="13"/>
  <c r="J194" i="13"/>
  <c r="K194" i="13" s="1"/>
  <c r="J197" i="13"/>
  <c r="K197" i="13" s="1"/>
  <c r="J204" i="13"/>
  <c r="K204" i="13" s="1"/>
  <c r="J207" i="13"/>
  <c r="K207" i="13" s="1"/>
  <c r="J73" i="13"/>
  <c r="W73" i="13"/>
  <c r="X73" i="13" s="1"/>
  <c r="W82" i="13"/>
  <c r="J82" i="13"/>
  <c r="I15" i="13"/>
  <c r="J15" i="13" s="1"/>
  <c r="K15" i="13" s="1"/>
  <c r="S43" i="13"/>
  <c r="U43" i="13" s="1"/>
  <c r="W43" i="13" s="1"/>
  <c r="X43" i="13" s="1"/>
  <c r="Y43" i="13" s="1"/>
  <c r="W74" i="13"/>
  <c r="J74" i="13"/>
  <c r="G81" i="13"/>
  <c r="J81" i="13" s="1"/>
  <c r="S81" i="13"/>
  <c r="J83" i="13"/>
  <c r="W83" i="13"/>
  <c r="G65" i="13"/>
  <c r="J65" i="13" s="1"/>
  <c r="U67" i="13"/>
  <c r="R47" i="13"/>
  <c r="J96" i="13"/>
  <c r="J115" i="13"/>
  <c r="K115" i="13" s="1"/>
  <c r="J118" i="13"/>
  <c r="R118" i="13"/>
  <c r="U118" i="13" s="1"/>
  <c r="W119" i="13"/>
  <c r="X119" i="13" s="1"/>
  <c r="Q120" i="13"/>
  <c r="J121" i="13"/>
  <c r="G130" i="13"/>
  <c r="J130" i="13" s="1"/>
  <c r="J133" i="13"/>
  <c r="K133" i="13" s="1"/>
  <c r="L133" i="13" s="1"/>
  <c r="J134" i="13"/>
  <c r="Q134" i="13"/>
  <c r="Q141" i="13"/>
  <c r="J158" i="13"/>
  <c r="K158" i="13" s="1"/>
  <c r="S163" i="13"/>
  <c r="J171" i="13"/>
  <c r="S172" i="13"/>
  <c r="J174" i="13"/>
  <c r="J189" i="13"/>
  <c r="K189" i="13" s="1"/>
  <c r="J198" i="13"/>
  <c r="K198" i="13" s="1"/>
  <c r="J199" i="13"/>
  <c r="K199" i="13" s="1"/>
  <c r="L37" i="13"/>
  <c r="L39" i="13"/>
  <c r="Q18" i="13"/>
  <c r="J101" i="13"/>
  <c r="K101" i="13" s="1"/>
  <c r="L101" i="13" s="1"/>
  <c r="J107" i="13"/>
  <c r="J149" i="13"/>
  <c r="K149" i="13" s="1"/>
  <c r="W150" i="13"/>
  <c r="J152" i="13"/>
  <c r="K152" i="13" s="1"/>
  <c r="L152" i="13" s="1"/>
  <c r="J169" i="13"/>
  <c r="J173" i="13"/>
  <c r="Q172" i="13"/>
  <c r="J196" i="13"/>
  <c r="K196" i="13" s="1"/>
  <c r="J205" i="13"/>
  <c r="K205" i="13" s="1"/>
  <c r="Q169" i="13"/>
  <c r="R30" i="13"/>
  <c r="R18" i="13"/>
  <c r="Q102" i="13"/>
  <c r="Q94" i="13"/>
  <c r="L125" i="13"/>
  <c r="L29" i="13"/>
  <c r="L33" i="13"/>
  <c r="L34" i="13"/>
  <c r="L35" i="13"/>
  <c r="L40" i="13"/>
  <c r="L77" i="13"/>
  <c r="L49" i="13"/>
  <c r="Z206" i="13"/>
  <c r="L159" i="13"/>
  <c r="L89" i="13"/>
  <c r="L64" i="13"/>
  <c r="L8" i="13"/>
  <c r="L9" i="13"/>
  <c r="X34" i="13"/>
  <c r="Y34" i="13" s="1"/>
  <c r="X48" i="13"/>
  <c r="X90" i="13"/>
  <c r="Y90" i="13" s="1"/>
  <c r="X92" i="13"/>
  <c r="Y92" i="13" s="1"/>
  <c r="J62" i="13"/>
  <c r="K62" i="13" s="1"/>
  <c r="Q65" i="13"/>
  <c r="J67" i="13"/>
  <c r="K65" i="13" s="1"/>
  <c r="S72" i="13"/>
  <c r="U72" i="13" s="1"/>
  <c r="X72" i="13" s="1"/>
  <c r="Y72" i="13" s="1"/>
  <c r="Q72" i="13"/>
  <c r="J87" i="13"/>
  <c r="K87" i="13" s="1"/>
  <c r="L87" i="13" s="1"/>
  <c r="U111" i="13"/>
  <c r="X111" i="13" s="1"/>
  <c r="Y111" i="13" s="1"/>
  <c r="U114" i="13"/>
  <c r="X114" i="13" s="1"/>
  <c r="Y114" i="13" s="1"/>
  <c r="U116" i="13"/>
  <c r="X116" i="13" s="1"/>
  <c r="Y116" i="13" s="1"/>
  <c r="J122" i="13"/>
  <c r="U122" i="13"/>
  <c r="X122" i="13" s="1"/>
  <c r="U123" i="13"/>
  <c r="X123" i="13" s="1"/>
  <c r="Y123" i="13" s="1"/>
  <c r="J124" i="13"/>
  <c r="K124" i="13" s="1"/>
  <c r="L124" i="13" s="1"/>
  <c r="U124" i="13"/>
  <c r="X124" i="13" s="1"/>
  <c r="Y124" i="13" s="1"/>
  <c r="J136" i="13"/>
  <c r="U136" i="13"/>
  <c r="J146" i="13"/>
  <c r="U146" i="13"/>
  <c r="X146" i="13" s="1"/>
  <c r="U147" i="13"/>
  <c r="X147" i="13" s="1"/>
  <c r="Y147" i="13" s="1"/>
  <c r="U154" i="13"/>
  <c r="X154" i="13" s="1"/>
  <c r="Y154" i="13" s="1"/>
  <c r="U155" i="13"/>
  <c r="X155" i="13" s="1"/>
  <c r="Y155" i="13" s="1"/>
  <c r="U157" i="13"/>
  <c r="X157" i="13" s="1"/>
  <c r="Y157" i="13" s="1"/>
  <c r="U158" i="13"/>
  <c r="X158" i="13" s="1"/>
  <c r="Y158" i="13" s="1"/>
  <c r="U160" i="13"/>
  <c r="X160" i="13" s="1"/>
  <c r="Y160" i="13" s="1"/>
  <c r="U162" i="13"/>
  <c r="X162" i="13" s="1"/>
  <c r="Y162" i="13" s="1"/>
  <c r="U185" i="13"/>
  <c r="X185" i="13" s="1"/>
  <c r="Y185" i="13" s="1"/>
  <c r="U186" i="13"/>
  <c r="X186" i="13" s="1"/>
  <c r="Y186" i="13" s="1"/>
  <c r="J193" i="13"/>
  <c r="K193" i="13" s="1"/>
  <c r="U193" i="13"/>
  <c r="X193" i="13" s="1"/>
  <c r="Y193" i="13" s="1"/>
  <c r="U194" i="13"/>
  <c r="X194" i="13" s="1"/>
  <c r="Y194" i="13" s="1"/>
  <c r="U195" i="13"/>
  <c r="X195" i="13" s="1"/>
  <c r="Y195" i="13" s="1"/>
  <c r="U197" i="13"/>
  <c r="X197" i="13" s="1"/>
  <c r="Y197" i="13" s="1"/>
  <c r="J201" i="13"/>
  <c r="K201" i="13" s="1"/>
  <c r="W203" i="13"/>
  <c r="U203" i="13"/>
  <c r="U205" i="13"/>
  <c r="X205" i="13" s="1"/>
  <c r="Y205" i="13" s="1"/>
  <c r="U207" i="13"/>
  <c r="U164" i="13"/>
  <c r="X164" i="13" s="1"/>
  <c r="R163" i="13"/>
  <c r="U163" i="13" s="1"/>
  <c r="X163" i="13" s="1"/>
  <c r="Y163" i="13" s="1"/>
  <c r="R166" i="13"/>
  <c r="U166" i="13" s="1"/>
  <c r="X166" i="13" s="1"/>
  <c r="Y166" i="13" s="1"/>
  <c r="U167" i="13"/>
  <c r="X167" i="13" s="1"/>
  <c r="U182" i="13"/>
  <c r="X182" i="13" s="1"/>
  <c r="R181" i="13"/>
  <c r="U181" i="13" s="1"/>
  <c r="X181" i="13" s="1"/>
  <c r="Y181" i="13" s="1"/>
  <c r="U66" i="13"/>
  <c r="X66" i="13" s="1"/>
  <c r="R65" i="13"/>
  <c r="U65" i="13" s="1"/>
  <c r="X65" i="13" s="1"/>
  <c r="Y65" i="13" s="1"/>
  <c r="U81" i="13" l="1"/>
  <c r="R81" i="13"/>
  <c r="L149" i="13"/>
  <c r="U199" i="13"/>
  <c r="X199" i="13" s="1"/>
  <c r="Y199" i="13" s="1"/>
  <c r="L23" i="13"/>
  <c r="L41" i="13"/>
  <c r="L54" i="13"/>
  <c r="Z40" i="13"/>
  <c r="X126" i="13"/>
  <c r="Y126" i="13" s="1"/>
  <c r="X22" i="13"/>
  <c r="Y22" i="13" s="1"/>
  <c r="X44" i="13"/>
  <c r="X52" i="13"/>
  <c r="Y52" i="13" s="1"/>
  <c r="X53" i="13"/>
  <c r="Y53" i="13" s="1"/>
  <c r="J160" i="13"/>
  <c r="K160" i="13" s="1"/>
  <c r="J175" i="13"/>
  <c r="J178" i="13"/>
  <c r="L199" i="13"/>
  <c r="L190" i="13"/>
  <c r="L147" i="13"/>
  <c r="K130" i="13"/>
  <c r="K84" i="13"/>
  <c r="X10" i="13"/>
  <c r="Y10" i="13" s="1"/>
  <c r="Z10" i="13" s="1"/>
  <c r="X31" i="13"/>
  <c r="J103" i="13"/>
  <c r="J108" i="13"/>
  <c r="L156" i="13"/>
  <c r="L160" i="13"/>
  <c r="L194" i="13"/>
  <c r="K172" i="13"/>
  <c r="L172" i="13" s="1"/>
  <c r="K94" i="13"/>
  <c r="L94" i="13" s="1"/>
  <c r="X109" i="13"/>
  <c r="X82" i="13"/>
  <c r="X59" i="13"/>
  <c r="Y59" i="13" s="1"/>
  <c r="Z59" i="13" s="1"/>
  <c r="U62" i="13"/>
  <c r="U64" i="13"/>
  <c r="X64" i="13" s="1"/>
  <c r="Y64" i="13" s="1"/>
  <c r="U71" i="13"/>
  <c r="U74" i="13"/>
  <c r="J76" i="13"/>
  <c r="K76" i="13" s="1"/>
  <c r="U76" i="13"/>
  <c r="U77" i="13"/>
  <c r="X77" i="13" s="1"/>
  <c r="Y77" i="13" s="1"/>
  <c r="J112" i="13"/>
  <c r="K112" i="13" s="1"/>
  <c r="U150" i="13"/>
  <c r="X150" i="13" s="1"/>
  <c r="Y150" i="13" s="1"/>
  <c r="U153" i="13"/>
  <c r="X153" i="13" s="1"/>
  <c r="Y153" i="13" s="1"/>
  <c r="Z153" i="13" s="1"/>
  <c r="J161" i="13"/>
  <c r="K161" i="13" s="1"/>
  <c r="U161" i="13"/>
  <c r="U168" i="13"/>
  <c r="J180" i="13"/>
  <c r="K178" i="13" s="1"/>
  <c r="U180" i="13"/>
  <c r="X180" i="13" s="1"/>
  <c r="K141" i="13"/>
  <c r="L141" i="13" s="1"/>
  <c r="X45" i="13"/>
  <c r="X38" i="13"/>
  <c r="Y38" i="13" s="1"/>
  <c r="Z38" i="13" s="1"/>
  <c r="X28" i="13"/>
  <c r="Y28" i="13" s="1"/>
  <c r="X13" i="13"/>
  <c r="Y13" i="13" s="1"/>
  <c r="Z13" i="13" s="1"/>
  <c r="L204" i="13"/>
  <c r="L99" i="13"/>
  <c r="L162" i="13"/>
  <c r="L105" i="13"/>
  <c r="L88" i="13"/>
  <c r="J13" i="15"/>
  <c r="L200" i="13"/>
  <c r="L116" i="13"/>
  <c r="L207" i="13"/>
  <c r="L197" i="13"/>
  <c r="L137" i="13"/>
  <c r="L71" i="13"/>
  <c r="L68" i="13"/>
  <c r="L110" i="13"/>
  <c r="L93" i="13"/>
  <c r="L69" i="13"/>
  <c r="L75" i="13"/>
  <c r="L22" i="13"/>
  <c r="L52" i="13"/>
  <c r="L112" i="13"/>
  <c r="X30" i="13"/>
  <c r="Y30" i="13" s="1"/>
  <c r="X118" i="13"/>
  <c r="X47" i="13"/>
  <c r="K72" i="13"/>
  <c r="L72" i="13" s="1"/>
  <c r="X88" i="13"/>
  <c r="Y88" i="13" s="1"/>
  <c r="X161" i="13"/>
  <c r="Y161" i="13" s="1"/>
  <c r="Z161" i="13" s="1"/>
  <c r="X207" i="13"/>
  <c r="Y207" i="13" s="1"/>
  <c r="L130" i="13"/>
  <c r="X69" i="13"/>
  <c r="Y69" i="13" s="1"/>
  <c r="U85" i="13"/>
  <c r="X85" i="13" s="1"/>
  <c r="X128" i="13"/>
  <c r="X21" i="13"/>
  <c r="Y21" i="13" s="1"/>
  <c r="Z21" i="13" s="1"/>
  <c r="X23" i="13"/>
  <c r="Y23" i="13" s="1"/>
  <c r="X24" i="13"/>
  <c r="Y24" i="13" s="1"/>
  <c r="K46" i="13"/>
  <c r="X54" i="13"/>
  <c r="Y54" i="13" s="1"/>
  <c r="Z54" i="13" s="1"/>
  <c r="X55" i="13"/>
  <c r="Y55" i="13" s="1"/>
  <c r="U97" i="13"/>
  <c r="X97" i="13" s="1"/>
  <c r="Y97" i="13" s="1"/>
  <c r="U101" i="13"/>
  <c r="U108" i="13"/>
  <c r="X108" i="13" s="1"/>
  <c r="J109" i="13"/>
  <c r="J113" i="13"/>
  <c r="K113" i="13" s="1"/>
  <c r="U113" i="13"/>
  <c r="U125" i="13"/>
  <c r="J128" i="13"/>
  <c r="K127" i="13" s="1"/>
  <c r="U129" i="13"/>
  <c r="X129" i="13" s="1"/>
  <c r="U137" i="13"/>
  <c r="J144" i="13"/>
  <c r="K144" i="13" s="1"/>
  <c r="J145" i="13"/>
  <c r="U148" i="13"/>
  <c r="X148" i="13" s="1"/>
  <c r="Y148" i="13" s="1"/>
  <c r="U151" i="13"/>
  <c r="J163" i="13"/>
  <c r="K163" i="13" s="1"/>
  <c r="U165" i="13"/>
  <c r="X165" i="13" s="1"/>
  <c r="X168" i="13"/>
  <c r="J181" i="13"/>
  <c r="U187" i="13"/>
  <c r="X187" i="13" s="1"/>
  <c r="Y187" i="13" s="1"/>
  <c r="Z187" i="13" s="1"/>
  <c r="U196" i="13"/>
  <c r="X196" i="13" s="1"/>
  <c r="Y196" i="13" s="1"/>
  <c r="U208" i="13"/>
  <c r="X208" i="13" s="1"/>
  <c r="Y208" i="13" s="1"/>
  <c r="Z208" i="13" s="1"/>
  <c r="X133" i="13"/>
  <c r="Y133" i="13" s="1"/>
  <c r="X61" i="13"/>
  <c r="Y61" i="13" s="1"/>
  <c r="X42" i="13"/>
  <c r="Y42" i="13" s="1"/>
  <c r="X100" i="13"/>
  <c r="Y100" i="13" s="1"/>
  <c r="Z100" i="13" s="1"/>
  <c r="L201" i="13"/>
  <c r="L195" i="13"/>
  <c r="L84" i="13"/>
  <c r="L90" i="13"/>
  <c r="L10" i="13"/>
  <c r="L13" i="13"/>
  <c r="L38" i="13"/>
  <c r="J14" i="15"/>
  <c r="L46" i="13"/>
  <c r="L59" i="13"/>
  <c r="R144" i="13"/>
  <c r="U144" i="13" s="1"/>
  <c r="X144" i="13" s="1"/>
  <c r="Y144" i="13" s="1"/>
  <c r="U145" i="13"/>
  <c r="X145" i="13" s="1"/>
  <c r="L208" i="13"/>
  <c r="X137" i="13"/>
  <c r="Y137" i="13" s="1"/>
  <c r="Z89" i="13"/>
  <c r="L11" i="13"/>
  <c r="L21" i="13"/>
  <c r="Z52" i="13"/>
  <c r="L57" i="13"/>
  <c r="L61" i="13"/>
  <c r="U103" i="13"/>
  <c r="X103" i="13" s="1"/>
  <c r="R102" i="13"/>
  <c r="U102" i="13" s="1"/>
  <c r="X102" i="13" s="1"/>
  <c r="Y102" i="13" s="1"/>
  <c r="Z102" i="13" s="1"/>
  <c r="X203" i="13"/>
  <c r="Y203" i="13" s="1"/>
  <c r="K81" i="13"/>
  <c r="K18" i="13"/>
  <c r="K210" i="13" s="1"/>
  <c r="X204" i="13"/>
  <c r="Y204" i="13" s="1"/>
  <c r="X151" i="13"/>
  <c r="Y151" i="13" s="1"/>
  <c r="K25" i="13"/>
  <c r="J9" i="15" s="1"/>
  <c r="X26" i="13"/>
  <c r="Y25" i="13" s="1"/>
  <c r="Z25" i="13" s="1"/>
  <c r="X29" i="13"/>
  <c r="Y29" i="13" s="1"/>
  <c r="X136" i="13"/>
  <c r="Q209" i="13"/>
  <c r="K106" i="13"/>
  <c r="L106" i="13" s="1"/>
  <c r="R117" i="13"/>
  <c r="U117" i="13" s="1"/>
  <c r="X117" i="13" s="1"/>
  <c r="Y117" i="13" s="1"/>
  <c r="X67" i="13"/>
  <c r="X81" i="13"/>
  <c r="Y81" i="13" s="1"/>
  <c r="Z81" i="13" s="1"/>
  <c r="X127" i="13"/>
  <c r="Y127" i="13" s="1"/>
  <c r="Z127" i="13" s="1"/>
  <c r="X84" i="13"/>
  <c r="Y84" i="13" s="1"/>
  <c r="Z84" i="13" s="1"/>
  <c r="K102" i="13"/>
  <c r="X98" i="13"/>
  <c r="Y98" i="13" s="1"/>
  <c r="Z98" i="13" s="1"/>
  <c r="X9" i="13"/>
  <c r="Y9" i="13" s="1"/>
  <c r="Z9" i="13" s="1"/>
  <c r="X12" i="13"/>
  <c r="Y12" i="13" s="1"/>
  <c r="Z12" i="13" s="1"/>
  <c r="X14" i="13"/>
  <c r="Y14" i="13" s="1"/>
  <c r="X19" i="13"/>
  <c r="X35" i="13"/>
  <c r="Y35" i="13" s="1"/>
  <c r="X60" i="13"/>
  <c r="Y60" i="13" s="1"/>
  <c r="U63" i="13"/>
  <c r="X63" i="13" s="1"/>
  <c r="Y63" i="13" s="1"/>
  <c r="U68" i="13"/>
  <c r="X71" i="13"/>
  <c r="Y71" i="13" s="1"/>
  <c r="X78" i="13"/>
  <c r="Y78" i="13" s="1"/>
  <c r="U80" i="13"/>
  <c r="X80" i="13" s="1"/>
  <c r="Y80" i="13" s="1"/>
  <c r="U83" i="13"/>
  <c r="X83" i="13" s="1"/>
  <c r="U87" i="13"/>
  <c r="J97" i="13"/>
  <c r="K97" i="13" s="1"/>
  <c r="X101" i="13"/>
  <c r="Y101" i="13" s="1"/>
  <c r="U104" i="13"/>
  <c r="X104" i="13" s="1"/>
  <c r="U105" i="13"/>
  <c r="X105" i="13" s="1"/>
  <c r="Y105" i="13" s="1"/>
  <c r="J111" i="13"/>
  <c r="K111" i="13" s="1"/>
  <c r="U115" i="13"/>
  <c r="X115" i="13" s="1"/>
  <c r="Y115" i="13" s="1"/>
  <c r="J119" i="13"/>
  <c r="K117" i="13" s="1"/>
  <c r="J120" i="13"/>
  <c r="K120" i="13" s="1"/>
  <c r="U132" i="13"/>
  <c r="J135" i="13"/>
  <c r="K134" i="13" s="1"/>
  <c r="G138" i="13"/>
  <c r="J138" i="13" s="1"/>
  <c r="K138" i="13" s="1"/>
  <c r="J148" i="13"/>
  <c r="K148" i="13" s="1"/>
  <c r="U149" i="13"/>
  <c r="X149" i="13" s="1"/>
  <c r="Y149" i="13" s="1"/>
  <c r="Z149" i="13" s="1"/>
  <c r="J150" i="13"/>
  <c r="K150" i="13" s="1"/>
  <c r="U152" i="13"/>
  <c r="J154" i="13"/>
  <c r="K154" i="13" s="1"/>
  <c r="J155" i="13"/>
  <c r="K155" i="13" s="1"/>
  <c r="U156" i="13"/>
  <c r="X156" i="13" s="1"/>
  <c r="Y156" i="13" s="1"/>
  <c r="U159" i="13"/>
  <c r="X159" i="13" s="1"/>
  <c r="Y159" i="13" s="1"/>
  <c r="J166" i="13"/>
  <c r="J168" i="13"/>
  <c r="J170" i="13"/>
  <c r="K169" i="13" s="1"/>
  <c r="U171" i="13"/>
  <c r="X171" i="13" s="1"/>
  <c r="Y169" i="13" s="1"/>
  <c r="U174" i="13"/>
  <c r="X174" i="13" s="1"/>
  <c r="Y172" i="13" s="1"/>
  <c r="J176" i="13"/>
  <c r="K175" i="13" s="1"/>
  <c r="J186" i="13"/>
  <c r="K186" i="13" s="1"/>
  <c r="J187" i="13"/>
  <c r="K187" i="13" s="1"/>
  <c r="U188" i="13"/>
  <c r="X188" i="13" s="1"/>
  <c r="Y188" i="13" s="1"/>
  <c r="Z188" i="13" s="1"/>
  <c r="U189" i="13"/>
  <c r="U191" i="13"/>
  <c r="X191" i="13" s="1"/>
  <c r="Y191" i="13" s="1"/>
  <c r="Z191" i="13" s="1"/>
  <c r="U200" i="13"/>
  <c r="X200" i="13" s="1"/>
  <c r="Y200" i="13" s="1"/>
  <c r="J203" i="13"/>
  <c r="K203" i="13" s="1"/>
  <c r="R172" i="13"/>
  <c r="U172" i="13" s="1"/>
  <c r="X172" i="13" s="1"/>
  <c r="U173" i="13"/>
  <c r="X173" i="13" s="1"/>
  <c r="X58" i="13"/>
  <c r="Y58" i="13" s="1"/>
  <c r="X57" i="13"/>
  <c r="Y57" i="13" s="1"/>
  <c r="X56" i="13"/>
  <c r="Y56" i="13" s="1"/>
  <c r="X33" i="13"/>
  <c r="Y33" i="13" s="1"/>
  <c r="R25" i="13"/>
  <c r="X25" i="13" s="1"/>
  <c r="X27" i="13"/>
  <c r="Z207" i="13"/>
  <c r="Z197" i="13"/>
  <c r="Z160" i="13"/>
  <c r="Z154" i="13"/>
  <c r="Z147" i="13"/>
  <c r="Z114" i="13"/>
  <c r="Z65" i="13"/>
  <c r="Z166" i="13"/>
  <c r="Z163" i="13"/>
  <c r="Z199" i="13"/>
  <c r="Z172" i="13"/>
  <c r="L193" i="13"/>
  <c r="Z185" i="13"/>
  <c r="Z162" i="13"/>
  <c r="Z157" i="13"/>
  <c r="Z124" i="13"/>
  <c r="Z111" i="13"/>
  <c r="L65" i="13"/>
  <c r="L62" i="13"/>
  <c r="Z90" i="13"/>
  <c r="Z205" i="13"/>
  <c r="Z193" i="13"/>
  <c r="Z116" i="13"/>
  <c r="Z92" i="13"/>
  <c r="L196" i="13"/>
  <c r="L189" i="13"/>
  <c r="Z91" i="13"/>
  <c r="L123" i="13"/>
  <c r="L192" i="13"/>
  <c r="L80" i="13"/>
  <c r="Z159" i="13"/>
  <c r="L126" i="13"/>
  <c r="L98" i="13"/>
  <c r="L25" i="13"/>
  <c r="L205" i="13"/>
  <c r="L198" i="13"/>
  <c r="L158" i="13"/>
  <c r="L115" i="13"/>
  <c r="L15" i="13"/>
  <c r="L114" i="13"/>
  <c r="Z204" i="13"/>
  <c r="L151" i="13"/>
  <c r="L185" i="13"/>
  <c r="L202" i="13"/>
  <c r="L157" i="13"/>
  <c r="L102" i="13"/>
  <c r="L63" i="13"/>
  <c r="L12" i="13"/>
  <c r="L14" i="13"/>
  <c r="L28" i="13"/>
  <c r="X18" i="13"/>
  <c r="R46" i="13"/>
  <c r="X46" i="13" s="1"/>
  <c r="Y46" i="13" s="1"/>
  <c r="X17" i="13"/>
  <c r="Y15" i="13" s="1"/>
  <c r="X87" i="13"/>
  <c r="Y87" i="13" s="1"/>
  <c r="X8" i="13"/>
  <c r="Y8" i="13" s="1"/>
  <c r="X11" i="13"/>
  <c r="Y11" i="13" s="1"/>
  <c r="Z11" i="13" s="1"/>
  <c r="X32" i="13"/>
  <c r="X36" i="13"/>
  <c r="Y36" i="13" s="1"/>
  <c r="Z36" i="13" s="1"/>
  <c r="X41" i="13"/>
  <c r="Y41" i="13" s="1"/>
  <c r="X62" i="13"/>
  <c r="Y62" i="13" s="1"/>
  <c r="Z62" i="13" s="1"/>
  <c r="X68" i="13"/>
  <c r="Y68" i="13" s="1"/>
  <c r="X74" i="13"/>
  <c r="X76" i="13"/>
  <c r="Y76" i="13" s="1"/>
  <c r="Z76" i="13" s="1"/>
  <c r="X93" i="13"/>
  <c r="Y93" i="13" s="1"/>
  <c r="Z93" i="13" s="1"/>
  <c r="X113" i="13"/>
  <c r="Y113" i="13" s="1"/>
  <c r="Z113" i="13" s="1"/>
  <c r="X125" i="13"/>
  <c r="Y125" i="13" s="1"/>
  <c r="X132" i="13"/>
  <c r="X152" i="13"/>
  <c r="Y152" i="13" s="1"/>
  <c r="Z152" i="13" s="1"/>
  <c r="X184" i="13"/>
  <c r="Y184" i="13" s="1"/>
  <c r="Z184" i="13" s="1"/>
  <c r="X189" i="13"/>
  <c r="Y189" i="13" s="1"/>
  <c r="Z189" i="13" s="1"/>
  <c r="X20" i="13"/>
  <c r="Y18" i="13" s="1"/>
  <c r="X37" i="13"/>
  <c r="Y37" i="13" s="1"/>
  <c r="X39" i="13"/>
  <c r="Y39" i="13" s="1"/>
  <c r="Z39" i="13" s="1"/>
  <c r="X51" i="13"/>
  <c r="Y49" i="13" s="1"/>
  <c r="U70" i="13"/>
  <c r="X70" i="13" s="1"/>
  <c r="Y70" i="13" s="1"/>
  <c r="Z70" i="13" s="1"/>
  <c r="U75" i="13"/>
  <c r="X75" i="13" s="1"/>
  <c r="Y75" i="13" s="1"/>
  <c r="U79" i="13"/>
  <c r="X79" i="13" s="1"/>
  <c r="Y79" i="13" s="1"/>
  <c r="Z79" i="13" s="1"/>
  <c r="U86" i="13"/>
  <c r="X86" i="13" s="1"/>
  <c r="U96" i="13"/>
  <c r="X96" i="13" s="1"/>
  <c r="U110" i="13"/>
  <c r="X110" i="13" s="1"/>
  <c r="Y110" i="13" s="1"/>
  <c r="Z110" i="13" s="1"/>
  <c r="U112" i="13"/>
  <c r="X112" i="13" s="1"/>
  <c r="Y112" i="13" s="1"/>
  <c r="Z112" i="13" s="1"/>
  <c r="U177" i="13"/>
  <c r="X177" i="13" s="1"/>
  <c r="J182" i="13"/>
  <c r="K181" i="13" s="1"/>
  <c r="U183" i="13"/>
  <c r="X183" i="13" s="1"/>
  <c r="J188" i="13"/>
  <c r="K188" i="13" s="1"/>
  <c r="U190" i="13"/>
  <c r="X190" i="13" s="1"/>
  <c r="Y190" i="13" s="1"/>
  <c r="J191" i="13"/>
  <c r="K191" i="13" s="1"/>
  <c r="U192" i="13"/>
  <c r="X192" i="13" s="1"/>
  <c r="Y192" i="13" s="1"/>
  <c r="U198" i="13"/>
  <c r="X198" i="13" s="1"/>
  <c r="Y198" i="13" s="1"/>
  <c r="U201" i="13"/>
  <c r="X201" i="13" s="1"/>
  <c r="Y201" i="13" s="1"/>
  <c r="U202" i="13"/>
  <c r="X202" i="13" s="1"/>
  <c r="Y202" i="13" s="1"/>
  <c r="J206" i="13"/>
  <c r="K206" i="13" s="1"/>
  <c r="Z202" i="13"/>
  <c r="Z194" i="13"/>
  <c r="R169" i="13"/>
  <c r="U169" i="13" s="1"/>
  <c r="X169" i="13" s="1"/>
  <c r="U170" i="13"/>
  <c r="X170" i="13" s="1"/>
  <c r="Z190" i="13"/>
  <c r="Z186" i="13"/>
  <c r="Z144" i="13"/>
  <c r="Z75" i="13"/>
  <c r="R130" i="13"/>
  <c r="U130" i="13" s="1"/>
  <c r="X130" i="13" s="1"/>
  <c r="U131" i="13"/>
  <c r="X131" i="13" s="1"/>
  <c r="Y130" i="13" s="1"/>
  <c r="X16" i="13"/>
  <c r="R15" i="13"/>
  <c r="X15" i="13" s="1"/>
  <c r="Z203" i="13"/>
  <c r="X50" i="13"/>
  <c r="R49" i="13"/>
  <c r="X49" i="13" s="1"/>
  <c r="U176" i="13"/>
  <c r="X176" i="13" s="1"/>
  <c r="R175" i="13"/>
  <c r="U175" i="13" s="1"/>
  <c r="X175" i="13" s="1"/>
  <c r="Y175" i="13" s="1"/>
  <c r="Z195" i="13"/>
  <c r="U179" i="13"/>
  <c r="X179" i="13" s="1"/>
  <c r="R178" i="13"/>
  <c r="U178" i="13" s="1"/>
  <c r="X178" i="13" s="1"/>
  <c r="Y178" i="13" s="1"/>
  <c r="Z192" i="13"/>
  <c r="Z181" i="13"/>
  <c r="R141" i="13"/>
  <c r="U141" i="13" s="1"/>
  <c r="X141" i="13" s="1"/>
  <c r="Y141" i="13" s="1"/>
  <c r="Z141" i="13" s="1"/>
  <c r="U142" i="13"/>
  <c r="X142" i="13" s="1"/>
  <c r="Z158" i="13"/>
  <c r="Z155" i="13"/>
  <c r="R134" i="13"/>
  <c r="U134" i="13" s="1"/>
  <c r="X134" i="13" s="1"/>
  <c r="Y134" i="13" s="1"/>
  <c r="U135" i="13"/>
  <c r="X135" i="13" s="1"/>
  <c r="Z126" i="13"/>
  <c r="Z123" i="13"/>
  <c r="L23" i="16"/>
  <c r="Z99" i="13"/>
  <c r="U121" i="13"/>
  <c r="X121" i="13" s="1"/>
  <c r="R120" i="13"/>
  <c r="U120" i="13" s="1"/>
  <c r="X120" i="13" s="1"/>
  <c r="Y120" i="13" s="1"/>
  <c r="L22" i="16"/>
  <c r="Z72" i="13"/>
  <c r="Z69" i="13"/>
  <c r="U107" i="13"/>
  <c r="X107" i="13" s="1"/>
  <c r="Y106" i="13" s="1"/>
  <c r="R106" i="13"/>
  <c r="U106" i="13" s="1"/>
  <c r="X106" i="13" s="1"/>
  <c r="Z68" i="13"/>
  <c r="Z43" i="13"/>
  <c r="Z41" i="13"/>
  <c r="R138" i="13"/>
  <c r="U138" i="13" s="1"/>
  <c r="X138" i="13" s="1"/>
  <c r="Y138" i="13" s="1"/>
  <c r="U139" i="13"/>
  <c r="X139" i="13" s="1"/>
  <c r="Z34" i="13"/>
  <c r="L13" i="16"/>
  <c r="Z30" i="13"/>
  <c r="R94" i="13"/>
  <c r="U95" i="13"/>
  <c r="X95" i="13" s="1"/>
  <c r="Y210" i="13" l="1"/>
  <c r="Z18" i="13"/>
  <c r="Z105" i="13"/>
  <c r="Z125" i="13"/>
  <c r="L24" i="16"/>
  <c r="Z49" i="13"/>
  <c r="J6" i="15"/>
  <c r="J17" i="15" s="1"/>
  <c r="Z53" i="13"/>
  <c r="Z22" i="13"/>
  <c r="Z201" i="13"/>
  <c r="Z37" i="13"/>
  <c r="L19" i="16"/>
  <c r="L178" i="13"/>
  <c r="L10" i="16"/>
  <c r="L161" i="13"/>
  <c r="L76" i="13"/>
  <c r="L17" i="16"/>
  <c r="Z169" i="13"/>
  <c r="Z77" i="13"/>
  <c r="Z28" i="13"/>
  <c r="Z8" i="13"/>
  <c r="L163" i="13"/>
  <c r="Z63" i="13"/>
  <c r="Z196" i="13"/>
  <c r="L127" i="13"/>
  <c r="Z55" i="13"/>
  <c r="Z23" i="13"/>
  <c r="Z148" i="13"/>
  <c r="L113" i="13"/>
  <c r="Z24" i="13"/>
  <c r="Z88" i="13"/>
  <c r="Z133" i="13"/>
  <c r="Z80" i="13"/>
  <c r="Z61" i="13"/>
  <c r="Z42" i="13"/>
  <c r="L169" i="13"/>
  <c r="L134" i="13"/>
  <c r="L120" i="13"/>
  <c r="L18" i="16"/>
  <c r="Z200" i="13"/>
  <c r="L175" i="13"/>
  <c r="L138" i="13"/>
  <c r="L117" i="13"/>
  <c r="L187" i="13"/>
  <c r="L155" i="13"/>
  <c r="L111" i="13"/>
  <c r="L97" i="13"/>
  <c r="Z78" i="13"/>
  <c r="Z60" i="13"/>
  <c r="Z151" i="13"/>
  <c r="L18" i="13"/>
  <c r="L144" i="13"/>
  <c r="Z64" i="13"/>
  <c r="L203" i="13"/>
  <c r="L186" i="13"/>
  <c r="Z156" i="13"/>
  <c r="L154" i="13"/>
  <c r="L150" i="13"/>
  <c r="L148" i="13"/>
  <c r="Z115" i="13"/>
  <c r="Z101" i="13"/>
  <c r="Z71" i="13"/>
  <c r="Z35" i="13"/>
  <c r="Z14" i="13"/>
  <c r="Z117" i="13"/>
  <c r="Z150" i="13"/>
  <c r="Z29" i="13"/>
  <c r="Z97" i="13"/>
  <c r="L81" i="13"/>
  <c r="Z137" i="13"/>
  <c r="Z198" i="13"/>
  <c r="K166" i="13"/>
  <c r="K211" i="13" s="1"/>
  <c r="Z58" i="13"/>
  <c r="Z57" i="13"/>
  <c r="Z56" i="13"/>
  <c r="Z33" i="13"/>
  <c r="L206" i="13"/>
  <c r="Z87" i="13"/>
  <c r="L191" i="13"/>
  <c r="L188" i="13"/>
  <c r="L181" i="13"/>
  <c r="Z46" i="13"/>
  <c r="L14" i="16"/>
  <c r="Z130" i="13"/>
  <c r="Z15" i="13"/>
  <c r="L7" i="16"/>
  <c r="Z175" i="13"/>
  <c r="Z178" i="13"/>
  <c r="Z134" i="13"/>
  <c r="Z120" i="13"/>
  <c r="Z106" i="13"/>
  <c r="Z138" i="13"/>
  <c r="U94" i="13"/>
  <c r="X94" i="13" s="1"/>
  <c r="Y94" i="13" s="1"/>
  <c r="R209" i="13"/>
  <c r="L25" i="16" l="1"/>
  <c r="L166" i="13"/>
  <c r="Z94" i="13"/>
  <c r="Y211" i="13"/>
</calcChain>
</file>

<file path=xl/sharedStrings.xml><?xml version="1.0" encoding="utf-8"?>
<sst xmlns="http://schemas.openxmlformats.org/spreadsheetml/2006/main" count="1420" uniqueCount="292">
  <si>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</si>
  <si>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</si>
  <si>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</si>
  <si>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</si>
  <si>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</si>
  <si>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</si>
  <si>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</si>
  <si>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</si>
  <si>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</si>
  <si>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</si>
  <si>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</si>
  <si>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</si>
  <si>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</si>
  <si>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</si>
  <si>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</si>
  <si>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</si>
  <si>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</si>
  <si>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</si>
  <si>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</si>
  <si>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</si>
  <si>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</si>
  <si>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</si>
  <si>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</si>
  <si>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</si>
  <si>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</si>
  <si>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</si>
  <si>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</si>
  <si>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</si>
  <si>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</si>
  <si>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</si>
  <si>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</si>
  <si>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</si>
  <si>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</si>
  <si>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</si>
  <si>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</si>
  <si>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</si>
  <si>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</si>
  <si>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</si>
  <si>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</si>
  <si>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</si>
  <si>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</si>
  <si>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</si>
  <si>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25+40</t>
  </si>
  <si>
    <t>Текущий дефицит , МВА</t>
  </si>
  <si>
    <t xml:space="preserve"> Пропускная способность ЦП, МВА</t>
  </si>
  <si>
    <t>Текущий дефицит/ профицит,         МВА</t>
  </si>
  <si>
    <t>Долгота</t>
  </si>
  <si>
    <t>Широта</t>
  </si>
  <si>
    <t>Перспективный статус</t>
  </si>
  <si>
    <t>Текущий статус</t>
  </si>
  <si>
    <t xml:space="preserve"> Пропускная способность, МВА</t>
  </si>
  <si>
    <t>Дефицит /профицит ЦП,           МВА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</si>
  <si>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</si>
  <si>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</si>
  <si>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</si>
  <si>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</si>
  <si>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</si>
  <si>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</si>
  <si>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</si>
  <si>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</si>
  <si>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>Ном. мощность СН; МВА</t>
  </si>
  <si>
    <t>Ном. мощность НН; МВА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</si>
  <si>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</si>
  <si>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</si>
  <si>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</si>
  <si>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</si>
  <si>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</si>
  <si>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</si>
  <si>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</si>
  <si>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</si>
  <si>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</si>
  <si>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</si>
  <si>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</si>
  <si>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</si>
  <si>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</si>
  <si>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</si>
  <si>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</si>
  <si>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</si>
  <si>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</si>
  <si>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</si>
  <si>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</si>
  <si>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</si>
  <si>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</si>
  <si>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</si>
  <si>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</si>
  <si>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</si>
  <si>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</si>
  <si>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</si>
  <si>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1сутки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</si>
  <si>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</si>
  <si>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</si>
  <si>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</si>
  <si>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</si>
  <si>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</si>
  <si>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</si>
  <si>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</si>
  <si>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</si>
  <si>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</si>
  <si>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>1,6+2,5</t>
  </si>
  <si>
    <t>-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</si>
  <si>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</si>
  <si>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</si>
  <si>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</si>
  <si>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</si>
  <si>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2,5+6,3</t>
  </si>
  <si>
    <t>ПС 110/10 кВ Восточная</t>
  </si>
  <si>
    <t>15+15</t>
  </si>
  <si>
    <t xml:space="preserve">ПС 110/35/10 кВ Дмитровская </t>
  </si>
  <si>
    <t xml:space="preserve">ПС 110/6 кВ Железнодорожная </t>
  </si>
  <si>
    <t xml:space="preserve">ПС 110/10 кВ Железнодорожная </t>
  </si>
  <si>
    <t xml:space="preserve">ПС 35/10 кВ  Жиляевская </t>
  </si>
  <si>
    <t>1,8+1,8</t>
  </si>
  <si>
    <t xml:space="preserve">ПС 110/6 кВ Заводская </t>
  </si>
  <si>
    <t>40+25</t>
  </si>
  <si>
    <t xml:space="preserve">ПС 110/10/6 кВ Западная </t>
  </si>
  <si>
    <t>63+63</t>
  </si>
  <si>
    <t xml:space="preserve">ПС 110/11/6 кВ Западная </t>
  </si>
  <si>
    <t xml:space="preserve">ПС 35/10 кВ Звягинки </t>
  </si>
  <si>
    <t>ПС 35/10 кВ  Ильинская</t>
  </si>
  <si>
    <t>3,2+2,5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</si>
  <si>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</si>
  <si>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</si>
  <si>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</si>
  <si>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</si>
  <si>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</si>
  <si>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</si>
  <si>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</si>
  <si>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>1+1,6</t>
  </si>
  <si>
    <t xml:space="preserve">ПС 35/10 кВ Луковец </t>
  </si>
  <si>
    <t>1,8+2,5</t>
  </si>
  <si>
    <t>ПС 35/10 кВ Малорхангельская</t>
  </si>
  <si>
    <t>5,6+5,6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</si>
  <si>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</si>
  <si>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</si>
  <si>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</si>
  <si>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>2,5+5,6</t>
  </si>
  <si>
    <t xml:space="preserve">ПС 35/10 кВ  Новопетровка </t>
  </si>
  <si>
    <t xml:space="preserve">ПС 35/10 кВ  Путимец </t>
  </si>
  <si>
    <t>ПС 110/10 кВ Пищевая *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</si>
  <si>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</si>
  <si>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</si>
  <si>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</si>
  <si>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</si>
  <si>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>20+20+25+40</t>
  </si>
  <si>
    <t>Ном. мощность СН-35кВ; МВА</t>
  </si>
  <si>
    <t>Ном. мощность НН-10кВ; МВА</t>
  </si>
  <si>
    <t>Ном. мощность НН-6кВ; МВА</t>
  </si>
  <si>
    <t>20+20+40</t>
  </si>
  <si>
    <t xml:space="preserve">ПС 35/10 кВ  Сосковская </t>
  </si>
  <si>
    <t>4+3,2</t>
  </si>
  <si>
    <t xml:space="preserve">ПС 35/10 кВ Тросна </t>
  </si>
  <si>
    <t>5,6+3,2</t>
  </si>
  <si>
    <t>ПС 110/6 кВ Химмаш</t>
  </si>
  <si>
    <t>ПС 35/10кВ Хлебопродукты</t>
  </si>
  <si>
    <t>5,6+6,3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</si>
  <si>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</si>
  <si>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</si>
  <si>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</si>
  <si>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</si>
  <si>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</si>
  <si>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</si>
  <si>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</si>
  <si>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</si>
  <si>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220/110/10 кВ  Мценск *</t>
  </si>
  <si>
    <t>ПС 220/110/10 кВ  Мценск*</t>
  </si>
  <si>
    <t>ПС 110/35/10 кВ  Коммаш</t>
  </si>
  <si>
    <t>ПС 110/35/10 кВ  Новосергиевка</t>
  </si>
  <si>
    <t>6,3+10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</si>
  <si>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</si>
  <si>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</si>
  <si>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</si>
  <si>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</si>
  <si>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</si>
  <si>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</si>
  <si>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</si>
  <si>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</si>
  <si>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4+1</t>
  </si>
  <si>
    <t>ПС 35/10 кВ Протасово</t>
  </si>
  <si>
    <t>ПС 35/10 кВ Алёшня</t>
  </si>
  <si>
    <t>1+1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</si>
  <si>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</si>
  <si>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</si>
  <si>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</si>
  <si>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</si>
  <si>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</si>
  <si>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</si>
  <si>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</si>
  <si>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</si>
  <si>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</si>
  <si>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1,6+1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</si>
  <si>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</si>
  <si>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</si>
  <si>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</si>
  <si>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</si>
  <si>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</si>
  <si>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</si>
  <si>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</si>
  <si>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</si>
  <si>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</si>
  <si>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</si>
  <si>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</si>
  <si>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</si>
  <si>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</si>
  <si>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</si>
  <si>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5,6+10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</si>
  <si>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</si>
  <si>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</si>
  <si>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</si>
  <si>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</si>
  <si>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</si>
  <si>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</si>
  <si>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</si>
  <si>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</si>
  <si>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</si>
  <si>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</si>
  <si>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</si>
  <si>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</si>
  <si>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3,2+3,2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</si>
  <si>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</si>
  <si>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</si>
  <si>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</si>
  <si>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</si>
  <si>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</si>
  <si>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</si>
  <si>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</si>
  <si>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 xml:space="preserve"> </t>
  </si>
  <si>
    <t>ПС 35/10 кВ Урынок</t>
  </si>
  <si>
    <t>ПС 35/10 кВ Хомутово</t>
  </si>
  <si>
    <t>*</t>
  </si>
  <si>
    <t>Подстанции не находятся на балансе филиала, но филиал ОАО "МРСК Центра"-"Орёлэнерго" выдаёт техусловия на присоединение потребителей.</t>
  </si>
  <si>
    <t>РУ-10кВ ПС Мценск находиться в субаренде, а ПС Пищевая фактически бесхозная.</t>
  </si>
  <si>
    <t>1960, 1968</t>
  </si>
  <si>
    <t>1961, 1970</t>
  </si>
  <si>
    <t xml:space="preserve">Итого текущий дефицит </t>
  </si>
  <si>
    <t>Орелэнерго</t>
  </si>
  <si>
    <t>Перечень закрытых центров питания ОАО "МРСК Центра"  - "Орелэнерго" по ожидаемым нагрузкам  с учетом подключения новых мощностей по технологическому присоединению и др.развития э/сетевого комплекса.</t>
  </si>
  <si>
    <t>Пропускная способность Центров питания филиала ОАО "МРСК Центра" - "Орёлэнерго" по итогам зимнего замера максимума нагрузки 2012-2013г.г.</t>
  </si>
  <si>
    <t>Перечень закрытых центров питания ОАО "МРСК Центра"  - "Орелэнерго" по зимним нагрузкам 2012 года (текущий дефицит мощности).</t>
  </si>
  <si>
    <t>открыт</t>
  </si>
  <si>
    <t>1960/1984</t>
  </si>
  <si>
    <t>1979/1987</t>
  </si>
  <si>
    <t>1990/2011</t>
  </si>
  <si>
    <t>1969/1981</t>
  </si>
  <si>
    <t>1967/2012</t>
  </si>
  <si>
    <t>1993/2010</t>
  </si>
  <si>
    <t>1964/2004</t>
  </si>
  <si>
    <t>1986/2001</t>
  </si>
  <si>
    <t>1977/2006</t>
  </si>
  <si>
    <t>1957/1987</t>
  </si>
  <si>
    <t>1961/2001</t>
  </si>
  <si>
    <t>1967/1976</t>
  </si>
  <si>
    <t>1984/1988</t>
  </si>
  <si>
    <t>1964/2010</t>
  </si>
  <si>
    <t>1970/2012</t>
  </si>
  <si>
    <t>1987/1994</t>
  </si>
  <si>
    <t>1962/1977</t>
  </si>
  <si>
    <t>1968/1987</t>
  </si>
  <si>
    <t>1978/1987</t>
  </si>
  <si>
    <t>1959/2002</t>
  </si>
  <si>
    <t>197/19889</t>
  </si>
  <si>
    <t>1985/200</t>
  </si>
  <si>
    <t>1964/1997</t>
  </si>
  <si>
    <t>1972/1989</t>
  </si>
  <si>
    <t>1985/2011</t>
  </si>
  <si>
    <t>1975/1991</t>
  </si>
  <si>
    <t>1983/2012</t>
  </si>
  <si>
    <t>1961/2009</t>
  </si>
  <si>
    <t>1974/2012</t>
  </si>
  <si>
    <t>1997/2010</t>
  </si>
  <si>
    <t>1984/2012</t>
  </si>
  <si>
    <t>1981/2001</t>
  </si>
  <si>
    <t>1972/2004</t>
  </si>
  <si>
    <t>1977/2005</t>
  </si>
  <si>
    <t>198/2003</t>
  </si>
  <si>
    <t>1973/2004</t>
  </si>
  <si>
    <t>1969/2005</t>
  </si>
  <si>
    <t>1987/2001</t>
  </si>
  <si>
    <t>1980/2000</t>
  </si>
  <si>
    <t>1979/2005</t>
  </si>
  <si>
    <t>1983/2001</t>
  </si>
  <si>
    <t>1975/2010</t>
  </si>
  <si>
    <t>1964/2002</t>
  </si>
  <si>
    <t>1975/2004</t>
  </si>
  <si>
    <t>1972/2010</t>
  </si>
  <si>
    <t>Год ввода / Год реконструкции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</si>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</sst>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#,##0.000_ ;\-#,##0.000\ "/>
    <numFmt numFmtId="166" formatCode="0.00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b/>
      <i/>
      <sz val="8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3" fontId="17" fillId="0" borderId="0" applyFont="0" applyFill="0" applyBorder="0" applyAlignment="0" applyProtection="0"/>
  </cellStyleXfs>
  <cellXfs count="246">
    <xf numFmtId="0" fontId="0" fillId="0" borderId="0" xfId="0"/>
    <xf numFmtId="0" fontId="18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Border="1"/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1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Alignment="1">
      <alignment horizontal="center"/>
    </xf>
    <xf numFmtId="0" fontId="18" fillId="4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 wrapText="1"/>
    </xf>
    <xf numFmtId="2" fontId="13" fillId="4" borderId="5" xfId="9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13" fillId="2" borderId="5" xfId="9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1" fillId="4" borderId="0" xfId="0" applyFont="1" applyFill="1"/>
    <xf numFmtId="0" fontId="14" fillId="0" borderId="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0" fillId="0" borderId="0" xfId="0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164" fontId="3" fillId="0" borderId="3" xfId="0" applyNumberFormat="1" applyFont="1" applyFill="1" applyBorder="1" applyAlignment="1">
      <alignment horizontal="center" vertical="center" wrapText="1"/>
    </xf>
    <xf numFmtId="0" fontId="24" fillId="0" borderId="0" xfId="0" applyFont="1" applyBorder="1"/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2" fillId="0" borderId="9" xfId="9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0" fillId="0" borderId="1" xfId="0" applyBorder="1"/>
    <xf numFmtId="0" fontId="2" fillId="0" borderId="10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/>
    <xf numFmtId="164" fontId="2" fillId="0" borderId="15" xfId="0" applyNumberFormat="1" applyFont="1" applyFill="1" applyBorder="1" applyAlignment="1">
      <alignment horizontal="center"/>
    </xf>
    <xf numFmtId="165" fontId="10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/>
    <xf numFmtId="2" fontId="0" fillId="0" borderId="0" xfId="0" applyNumberFormat="1"/>
    <xf numFmtId="165" fontId="15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3" fillId="0" borderId="5" xfId="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164" fontId="2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Alignment="1"/>
    <xf numFmtId="0" fontId="18" fillId="0" borderId="0" xfId="0" applyFont="1" applyAlignment="1"/>
    <xf numFmtId="0" fontId="20" fillId="0" borderId="0" xfId="0" applyFont="1" applyAlignment="1"/>
    <xf numFmtId="0" fontId="2" fillId="5" borderId="5" xfId="0" applyFont="1" applyFill="1" applyBorder="1" applyAlignment="1"/>
    <xf numFmtId="0" fontId="2" fillId="5" borderId="1" xfId="0" applyFont="1" applyFill="1" applyBorder="1" applyAlignment="1"/>
    <xf numFmtId="0" fontId="3" fillId="5" borderId="1" xfId="0" applyFont="1" applyFill="1" applyBorder="1" applyAlignment="1"/>
    <xf numFmtId="0" fontId="22" fillId="0" borderId="0" xfId="0" applyFont="1" applyAlignment="1"/>
    <xf numFmtId="164" fontId="0" fillId="0" borderId="0" xfId="0" applyNumberFormat="1" applyAlignment="1"/>
    <xf numFmtId="2" fontId="0" fillId="0" borderId="0" xfId="0" applyNumberFormat="1" applyAlignment="1"/>
    <xf numFmtId="2" fontId="0" fillId="0" borderId="0" xfId="0" applyNumberFormat="1" applyAlignment="1">
      <alignment horizontal="center"/>
    </xf>
    <xf numFmtId="0" fontId="25" fillId="0" borderId="1" xfId="0" applyFont="1" applyFill="1" applyBorder="1" applyAlignment="1">
      <alignment horizontal="center" vertical="top" wrapText="1"/>
    </xf>
    <xf numFmtId="164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center" vertical="top"/>
    </xf>
    <xf numFmtId="166" fontId="23" fillId="0" borderId="1" xfId="0" applyNumberFormat="1" applyFont="1" applyBorder="1" applyAlignment="1">
      <alignment horizontal="center" vertical="top" wrapText="1"/>
    </xf>
    <xf numFmtId="166" fontId="0" fillId="0" borderId="1" xfId="0" applyNumberFormat="1" applyFont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/>
    </xf>
    <xf numFmtId="0" fontId="0" fillId="0" borderId="0" xfId="0" applyNumberFormat="1" applyAlignment="1">
      <alignment horizontal="center"/>
    </xf>
    <xf numFmtId="0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5" fontId="13" fillId="0" borderId="3" xfId="9" applyNumberFormat="1" applyFont="1" applyFill="1" applyBorder="1" applyAlignment="1">
      <alignment horizontal="center" vertical="center"/>
    </xf>
    <xf numFmtId="165" fontId="13" fillId="0" borderId="17" xfId="9" applyNumberFormat="1" applyFont="1" applyFill="1" applyBorder="1" applyAlignment="1">
      <alignment horizontal="center" vertical="center"/>
    </xf>
    <xf numFmtId="165" fontId="13" fillId="0" borderId="5" xfId="9" applyNumberFormat="1" applyFont="1" applyFill="1" applyBorder="1" applyAlignment="1">
      <alignment horizontal="center" vertical="center"/>
    </xf>
    <xf numFmtId="43" fontId="2" fillId="0" borderId="23" xfId="9" applyFont="1" applyFill="1" applyBorder="1" applyAlignment="1">
      <alignment horizontal="center" vertical="center"/>
    </xf>
    <xf numFmtId="43" fontId="2" fillId="0" borderId="24" xfId="9" applyFont="1" applyFill="1" applyBorder="1" applyAlignment="1">
      <alignment horizontal="center" vertical="center"/>
    </xf>
    <xf numFmtId="43" fontId="2" fillId="0" borderId="25" xfId="9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" xfId="1"/>
    <cellStyle name="Обычный 2" xfId="2"/>
    <cellStyle name="Обычный 3" xfId="3"/>
    <cellStyle name="Обычный 4" xfId="4"/>
    <cellStyle name="Обычный 5" xfId="5"/>
    <cellStyle name="Обычный 7" xfId="6"/>
    <cellStyle name="Обычный 8" xfId="7"/>
    <cellStyle name="Обычный 9" xfId="8"/>
    <cellStyle name="Финансовый" xfId="9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topLeftCell="G1" zoomScaleNormal="100" zoomScaleSheetLayoutView="100" workbookViewId="0">
      <selection activeCell="O8" sqref="O8:Q208"/>
    </sheetView>
  </sheetViews>
  <sheetFormatPr defaultRowHeight="15" x14ac:dyDescent="0.25"/>
  <cols>
    <col min="1" max="1" width="9.140625" style="83"/>
    <col min="2" max="2" width="20.5703125" customWidth="1"/>
    <col min="12" max="12" width="9.85546875" customWidth="1"/>
    <col min="13" max="13" width="2" style="85" customWidth="1"/>
    <col min="15" max="15" width="20.5703125" style="173" customWidth="1"/>
    <col min="16" max="16" width="9.140625" style="173"/>
    <col min="17" max="17" width="9.140625" style="179"/>
    <col min="18" max="26" width="9.140625" style="173"/>
    <col min="27" max="27" width="9.28515625" bestFit="1" customWidth="1"/>
  </cols>
  <sheetData>
    <row r="1" spans="1:26" s="1" customFormat="1" ht="11.25" x14ac:dyDescent="0.2">
      <c r="A1" s="21"/>
      <c r="B1" s="22"/>
      <c r="C1" s="22"/>
      <c r="D1" s="22"/>
      <c r="E1" s="22"/>
      <c r="F1" s="22"/>
      <c r="G1" s="22"/>
      <c r="H1" s="22"/>
      <c r="I1" s="22"/>
      <c r="J1" s="23"/>
      <c r="K1" s="23"/>
      <c r="L1" s="22"/>
      <c r="M1" s="24"/>
      <c r="O1" s="174"/>
      <c r="P1" s="174"/>
      <c r="Q1" s="175"/>
      <c r="R1" s="174"/>
      <c r="S1" s="174"/>
      <c r="T1" s="174"/>
      <c r="U1" s="174"/>
      <c r="V1" s="174"/>
      <c r="W1" s="174"/>
      <c r="X1" s="174"/>
      <c r="Y1" s="174"/>
      <c r="Z1" s="174"/>
    </row>
    <row r="2" spans="1:26" s="1" customFormat="1" ht="11.25" customHeight="1" x14ac:dyDescent="0.2">
      <c r="A2" s="196" t="s">
        <v>236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25"/>
      <c r="N2" s="26"/>
      <c r="O2" s="26"/>
      <c r="P2" s="26"/>
      <c r="Q2" s="27"/>
      <c r="R2" s="174"/>
      <c r="S2" s="174"/>
      <c r="T2" s="174"/>
      <c r="U2" s="174"/>
      <c r="V2" s="174"/>
      <c r="W2" s="174"/>
      <c r="X2" s="174"/>
      <c r="Y2" s="174"/>
      <c r="Z2" s="174"/>
    </row>
    <row r="3" spans="1:26" s="1" customFormat="1" ht="11.25" x14ac:dyDescent="0.2">
      <c r="A3" s="28"/>
      <c r="B3" s="22"/>
      <c r="C3" s="22"/>
      <c r="D3" s="22"/>
      <c r="E3" s="22"/>
      <c r="F3" s="22"/>
      <c r="G3" s="22"/>
      <c r="H3" s="22"/>
      <c r="I3" s="22"/>
      <c r="J3" s="29" t="s">
        <v>0</v>
      </c>
      <c r="K3" s="29"/>
      <c r="L3" s="22"/>
      <c r="M3" s="24"/>
      <c r="O3" s="174"/>
      <c r="P3" s="174"/>
      <c r="Q3" s="175"/>
      <c r="R3" s="174"/>
      <c r="S3" s="174"/>
      <c r="T3" s="174"/>
      <c r="U3" s="174"/>
      <c r="V3" s="174"/>
      <c r="W3" s="174"/>
      <c r="X3" s="174"/>
      <c r="Y3" s="174"/>
      <c r="Z3" s="174"/>
    </row>
    <row r="4" spans="1:26" s="1" customFormat="1" ht="11.25" customHeight="1" x14ac:dyDescent="0.2">
      <c r="A4" s="197" t="s">
        <v>1</v>
      </c>
      <c r="B4" s="199" t="s">
        <v>2</v>
      </c>
      <c r="C4" s="199" t="s">
        <v>3</v>
      </c>
      <c r="D4" s="199"/>
      <c r="E4" s="199"/>
      <c r="F4" s="199"/>
      <c r="G4" s="199"/>
      <c r="H4" s="199"/>
      <c r="I4" s="199"/>
      <c r="J4" s="199"/>
      <c r="K4" s="199"/>
      <c r="L4" s="200" t="s">
        <v>15</v>
      </c>
      <c r="M4" s="24"/>
      <c r="N4" s="197" t="s">
        <v>1</v>
      </c>
      <c r="O4" s="141" t="s">
        <v>2</v>
      </c>
      <c r="P4" s="144" t="s">
        <v>16</v>
      </c>
      <c r="Q4" s="145"/>
      <c r="R4" s="145"/>
      <c r="S4" s="145"/>
      <c r="T4" s="145"/>
      <c r="U4" s="145"/>
      <c r="V4" s="145"/>
      <c r="W4" s="145"/>
      <c r="X4" s="145"/>
      <c r="Y4" s="146"/>
      <c r="Z4" s="139" t="s">
        <v>15</v>
      </c>
    </row>
    <row r="5" spans="1:26" s="1" customFormat="1" ht="34.5" customHeight="1" x14ac:dyDescent="0.2">
      <c r="A5" s="197"/>
      <c r="B5" s="199"/>
      <c r="C5" s="199" t="s">
        <v>4</v>
      </c>
      <c r="D5" s="199" t="s">
        <v>5</v>
      </c>
      <c r="E5" s="199" t="s">
        <v>6</v>
      </c>
      <c r="F5" s="199"/>
      <c r="G5" s="199" t="s">
        <v>7</v>
      </c>
      <c r="H5" s="199" t="s">
        <v>8</v>
      </c>
      <c r="I5" s="199" t="s">
        <v>9</v>
      </c>
      <c r="J5" s="199" t="s">
        <v>50</v>
      </c>
      <c r="K5" s="199" t="s">
        <v>17</v>
      </c>
      <c r="L5" s="200"/>
      <c r="M5" s="24"/>
      <c r="N5" s="197"/>
      <c r="O5" s="142"/>
      <c r="P5" s="141" t="s">
        <v>18</v>
      </c>
      <c r="Q5" s="141" t="s">
        <v>19</v>
      </c>
      <c r="R5" s="141" t="s">
        <v>20</v>
      </c>
      <c r="S5" s="149" t="s">
        <v>21</v>
      </c>
      <c r="T5" s="150"/>
      <c r="U5" s="141" t="s">
        <v>22</v>
      </c>
      <c r="V5" s="141" t="s">
        <v>8</v>
      </c>
      <c r="W5" s="141" t="s">
        <v>9</v>
      </c>
      <c r="X5" s="140" t="s">
        <v>50</v>
      </c>
      <c r="Y5" s="140" t="s">
        <v>51</v>
      </c>
      <c r="Z5" s="147"/>
    </row>
    <row r="6" spans="1:26" s="1" customFormat="1" ht="80.25" customHeight="1" x14ac:dyDescent="0.2">
      <c r="A6" s="198"/>
      <c r="B6" s="199"/>
      <c r="C6" s="199"/>
      <c r="D6" s="199"/>
      <c r="E6" s="128" t="s">
        <v>10</v>
      </c>
      <c r="F6" s="6" t="s">
        <v>11</v>
      </c>
      <c r="G6" s="199"/>
      <c r="H6" s="199"/>
      <c r="I6" s="199"/>
      <c r="J6" s="199"/>
      <c r="K6" s="199"/>
      <c r="L6" s="200"/>
      <c r="M6" s="24"/>
      <c r="N6" s="197"/>
      <c r="O6" s="143"/>
      <c r="P6" s="143"/>
      <c r="Q6" s="143"/>
      <c r="R6" s="143"/>
      <c r="S6" s="150" t="s">
        <v>10</v>
      </c>
      <c r="T6" s="141" t="s">
        <v>11</v>
      </c>
      <c r="U6" s="143"/>
      <c r="V6" s="143"/>
      <c r="W6" s="143"/>
      <c r="X6" s="140"/>
      <c r="Y6" s="140"/>
      <c r="Z6" s="148"/>
    </row>
    <row r="7" spans="1:26" s="1" customFormat="1" ht="11.25" x14ac:dyDescent="0.2">
      <c r="A7" s="6">
        <v>1</v>
      </c>
      <c r="B7" s="30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31">
        <v>12</v>
      </c>
      <c r="M7" s="24"/>
      <c r="N7" s="6">
        <v>1</v>
      </c>
      <c r="O7" s="140">
        <v>2</v>
      </c>
      <c r="P7" s="140">
        <v>3</v>
      </c>
      <c r="Q7" s="140">
        <v>4</v>
      </c>
      <c r="R7" s="140">
        <v>5</v>
      </c>
      <c r="S7" s="140">
        <v>6</v>
      </c>
      <c r="T7" s="140">
        <v>7</v>
      </c>
      <c r="U7" s="140">
        <v>8</v>
      </c>
      <c r="V7" s="140">
        <v>9</v>
      </c>
      <c r="W7" s="140">
        <v>10</v>
      </c>
      <c r="X7" s="140">
        <v>11</v>
      </c>
      <c r="Y7" s="140">
        <v>12</v>
      </c>
      <c r="Z7" s="31">
        <v>13</v>
      </c>
    </row>
    <row r="8" spans="1:26" s="1" customFormat="1" ht="11.25" x14ac:dyDescent="0.2">
      <c r="A8" s="5">
        <v>1</v>
      </c>
      <c r="B8" s="32" t="s">
        <v>52</v>
      </c>
      <c r="C8" s="134">
        <v>2.5</v>
      </c>
      <c r="D8" s="6">
        <v>0.67</v>
      </c>
      <c r="E8" s="6">
        <v>0.83</v>
      </c>
      <c r="F8" s="6">
        <v>30</v>
      </c>
      <c r="G8" s="6">
        <f>E8</f>
        <v>0.83</v>
      </c>
      <c r="H8" s="6">
        <v>0</v>
      </c>
      <c r="I8" s="6">
        <f>G8-H8</f>
        <v>0.83</v>
      </c>
      <c r="J8" s="6">
        <f t="shared" ref="J8:J39" si="0">I8-D8</f>
        <v>0.15999999999999992</v>
      </c>
      <c r="K8" s="6">
        <f t="shared" ref="K8:K14" si="1">J8</f>
        <v>0.15999999999999992</v>
      </c>
      <c r="L8" s="31" t="str">
        <f t="shared" ref="L8:L46" si="2">IF(K8&lt;0,"закрыт","открыт")</f>
        <v>открыт</v>
      </c>
      <c r="M8" s="24"/>
      <c r="N8" s="5">
        <v>1</v>
      </c>
      <c r="O8" s="33" t="s">
        <v>52</v>
      </c>
      <c r="P8" s="140">
        <v>2.5</v>
      </c>
      <c r="Q8" s="18">
        <v>0.13300000000000001</v>
      </c>
      <c r="R8" s="18">
        <f t="shared" ref="R8:R14" si="3">Q8+D8</f>
        <v>0.80300000000000005</v>
      </c>
      <c r="S8" s="2">
        <f>E8</f>
        <v>0.83</v>
      </c>
      <c r="T8" s="34">
        <f>F8</f>
        <v>30</v>
      </c>
      <c r="U8" s="140">
        <f>S8</f>
        <v>0.83</v>
      </c>
      <c r="V8" s="140">
        <v>0</v>
      </c>
      <c r="W8" s="154">
        <f>U8-V8</f>
        <v>0.83</v>
      </c>
      <c r="X8" s="2">
        <f>W8-R8</f>
        <v>2.6999999999999913E-2</v>
      </c>
      <c r="Y8" s="151">
        <f>X8</f>
        <v>2.6999999999999913E-2</v>
      </c>
      <c r="Z8" s="31" t="str">
        <f t="shared" ref="Z8:Z42" si="4">IF(Y8&lt;0,"закрыт","открыт")</f>
        <v>открыт</v>
      </c>
    </row>
    <row r="9" spans="1:26" s="1" customFormat="1" ht="11.25" x14ac:dyDescent="0.2">
      <c r="A9" s="5">
        <v>2</v>
      </c>
      <c r="B9" s="32" t="s">
        <v>53</v>
      </c>
      <c r="C9" s="134">
        <v>2.5</v>
      </c>
      <c r="D9" s="6">
        <v>0.24</v>
      </c>
      <c r="E9" s="6">
        <v>0.91</v>
      </c>
      <c r="F9" s="6">
        <v>90</v>
      </c>
      <c r="G9" s="6">
        <f t="shared" ref="G9:G61" si="5">E9</f>
        <v>0.91</v>
      </c>
      <c r="H9" s="6">
        <v>0</v>
      </c>
      <c r="I9" s="6">
        <f t="shared" ref="I9:I61" si="6">G9-H9</f>
        <v>0.91</v>
      </c>
      <c r="J9" s="6">
        <f t="shared" si="0"/>
        <v>0.67</v>
      </c>
      <c r="K9" s="6">
        <f t="shared" si="1"/>
        <v>0.67</v>
      </c>
      <c r="L9" s="31" t="str">
        <f t="shared" si="2"/>
        <v>открыт</v>
      </c>
      <c r="M9" s="24"/>
      <c r="N9" s="5">
        <v>2</v>
      </c>
      <c r="O9" s="33" t="s">
        <v>53</v>
      </c>
      <c r="P9" s="140">
        <v>2.5</v>
      </c>
      <c r="Q9" s="18">
        <v>7.0000000000000001E-3</v>
      </c>
      <c r="R9" s="18">
        <f t="shared" si="3"/>
        <v>0.247</v>
      </c>
      <c r="S9" s="2">
        <f t="shared" ref="S9:T62" si="7">E9</f>
        <v>0.91</v>
      </c>
      <c r="T9" s="34">
        <f t="shared" si="7"/>
        <v>90</v>
      </c>
      <c r="U9" s="140">
        <f t="shared" ref="U9:U61" si="8">S9</f>
        <v>0.91</v>
      </c>
      <c r="V9" s="140">
        <v>0</v>
      </c>
      <c r="W9" s="154">
        <f t="shared" ref="W9:W61" si="9">U9-V9</f>
        <v>0.91</v>
      </c>
      <c r="X9" s="2">
        <f t="shared" ref="X9:X61" si="10">W9-R9</f>
        <v>0.66300000000000003</v>
      </c>
      <c r="Y9" s="152">
        <f t="shared" ref="Y9:Y61" si="11">X9</f>
        <v>0.66300000000000003</v>
      </c>
      <c r="Z9" s="31" t="str">
        <f t="shared" si="4"/>
        <v>открыт</v>
      </c>
    </row>
    <row r="10" spans="1:26" s="1" customFormat="1" ht="11.25" x14ac:dyDescent="0.2">
      <c r="A10" s="36">
        <v>3</v>
      </c>
      <c r="B10" s="32" t="s">
        <v>54</v>
      </c>
      <c r="C10" s="134">
        <v>2.5</v>
      </c>
      <c r="D10" s="6">
        <v>0.73</v>
      </c>
      <c r="E10" s="38">
        <v>1.6</v>
      </c>
      <c r="F10" s="38" t="s">
        <v>12</v>
      </c>
      <c r="G10" s="38">
        <f t="shared" si="5"/>
        <v>1.6</v>
      </c>
      <c r="H10" s="38">
        <v>0</v>
      </c>
      <c r="I10" s="38">
        <f t="shared" si="6"/>
        <v>1.6</v>
      </c>
      <c r="J10" s="38">
        <f t="shared" si="0"/>
        <v>0.87000000000000011</v>
      </c>
      <c r="K10" s="38">
        <f t="shared" si="1"/>
        <v>0.87000000000000011</v>
      </c>
      <c r="L10" s="39" t="str">
        <f t="shared" si="2"/>
        <v>открыт</v>
      </c>
      <c r="M10" s="24"/>
      <c r="N10" s="5">
        <v>3</v>
      </c>
      <c r="O10" s="33" t="s">
        <v>54</v>
      </c>
      <c r="P10" s="140">
        <v>2.5</v>
      </c>
      <c r="Q10" s="18">
        <v>0.124</v>
      </c>
      <c r="R10" s="18">
        <f t="shared" si="3"/>
        <v>0.85399999999999998</v>
      </c>
      <c r="S10" s="154">
        <v>1.6</v>
      </c>
      <c r="T10" s="34" t="s">
        <v>12</v>
      </c>
      <c r="U10" s="140">
        <f t="shared" si="8"/>
        <v>1.6</v>
      </c>
      <c r="V10" s="140">
        <v>0</v>
      </c>
      <c r="W10" s="154">
        <f t="shared" si="9"/>
        <v>1.6</v>
      </c>
      <c r="X10" s="2">
        <f t="shared" si="10"/>
        <v>0.74600000000000011</v>
      </c>
      <c r="Y10" s="153">
        <f t="shared" si="11"/>
        <v>0.74600000000000011</v>
      </c>
      <c r="Z10" s="31" t="str">
        <f t="shared" si="4"/>
        <v>открыт</v>
      </c>
    </row>
    <row r="11" spans="1:26" s="1" customFormat="1" ht="11.25" x14ac:dyDescent="0.2">
      <c r="A11" s="5">
        <v>4</v>
      </c>
      <c r="B11" s="32" t="s">
        <v>55</v>
      </c>
      <c r="C11" s="134">
        <v>3.2</v>
      </c>
      <c r="D11" s="6">
        <v>0.36</v>
      </c>
      <c r="E11" s="6">
        <v>1.56</v>
      </c>
      <c r="F11" s="6">
        <v>30</v>
      </c>
      <c r="G11" s="6">
        <f t="shared" si="5"/>
        <v>1.56</v>
      </c>
      <c r="H11" s="6">
        <v>0</v>
      </c>
      <c r="I11" s="6">
        <f t="shared" si="6"/>
        <v>1.56</v>
      </c>
      <c r="J11" s="6">
        <f t="shared" si="0"/>
        <v>1.2000000000000002</v>
      </c>
      <c r="K11" s="6">
        <f t="shared" si="1"/>
        <v>1.2000000000000002</v>
      </c>
      <c r="L11" s="31" t="str">
        <f t="shared" si="2"/>
        <v>открыт</v>
      </c>
      <c r="M11" s="24"/>
      <c r="N11" s="5">
        <v>4</v>
      </c>
      <c r="O11" s="33" t="s">
        <v>55</v>
      </c>
      <c r="P11" s="140">
        <v>3.2</v>
      </c>
      <c r="Q11" s="18">
        <v>9.8000000000000004E-2</v>
      </c>
      <c r="R11" s="18">
        <f t="shared" si="3"/>
        <v>0.45799999999999996</v>
      </c>
      <c r="S11" s="2">
        <f t="shared" si="7"/>
        <v>1.56</v>
      </c>
      <c r="T11" s="34">
        <f t="shared" si="7"/>
        <v>30</v>
      </c>
      <c r="U11" s="140">
        <f t="shared" si="8"/>
        <v>1.56</v>
      </c>
      <c r="V11" s="140">
        <v>0</v>
      </c>
      <c r="W11" s="154">
        <f t="shared" si="9"/>
        <v>1.56</v>
      </c>
      <c r="X11" s="2">
        <f t="shared" si="10"/>
        <v>1.1020000000000001</v>
      </c>
      <c r="Y11" s="151">
        <f t="shared" si="11"/>
        <v>1.1020000000000001</v>
      </c>
      <c r="Z11" s="31" t="str">
        <f t="shared" si="4"/>
        <v>открыт</v>
      </c>
    </row>
    <row r="12" spans="1:26" s="1" customFormat="1" ht="11.25" x14ac:dyDescent="0.2">
      <c r="A12" s="5">
        <v>5</v>
      </c>
      <c r="B12" s="32" t="s">
        <v>56</v>
      </c>
      <c r="C12" s="134">
        <v>1.6</v>
      </c>
      <c r="D12" s="6">
        <v>0.19</v>
      </c>
      <c r="E12" s="6">
        <v>0.71</v>
      </c>
      <c r="F12" s="6">
        <v>45</v>
      </c>
      <c r="G12" s="6">
        <f t="shared" si="5"/>
        <v>0.71</v>
      </c>
      <c r="H12" s="6">
        <v>0</v>
      </c>
      <c r="I12" s="6">
        <f t="shared" si="6"/>
        <v>0.71</v>
      </c>
      <c r="J12" s="6">
        <f t="shared" si="0"/>
        <v>0.52</v>
      </c>
      <c r="K12" s="6">
        <f t="shared" si="1"/>
        <v>0.52</v>
      </c>
      <c r="L12" s="31" t="str">
        <f t="shared" si="2"/>
        <v>открыт</v>
      </c>
      <c r="M12" s="24"/>
      <c r="N12" s="5">
        <v>5</v>
      </c>
      <c r="O12" s="33" t="s">
        <v>56</v>
      </c>
      <c r="P12" s="140">
        <v>1.6</v>
      </c>
      <c r="Q12" s="18">
        <v>1.7000000000000001E-2</v>
      </c>
      <c r="R12" s="18">
        <f t="shared" si="3"/>
        <v>0.20700000000000002</v>
      </c>
      <c r="S12" s="2">
        <f t="shared" si="7"/>
        <v>0.71</v>
      </c>
      <c r="T12" s="34">
        <f t="shared" si="7"/>
        <v>45</v>
      </c>
      <c r="U12" s="140">
        <f t="shared" si="8"/>
        <v>0.71</v>
      </c>
      <c r="V12" s="140">
        <v>0</v>
      </c>
      <c r="W12" s="154">
        <f t="shared" si="9"/>
        <v>0.71</v>
      </c>
      <c r="X12" s="2">
        <f t="shared" si="10"/>
        <v>0.50299999999999989</v>
      </c>
      <c r="Y12" s="152">
        <f t="shared" si="11"/>
        <v>0.50299999999999989</v>
      </c>
      <c r="Z12" s="31" t="str">
        <f t="shared" si="4"/>
        <v>открыт</v>
      </c>
    </row>
    <row r="13" spans="1:26" s="1" customFormat="1" ht="11.25" x14ac:dyDescent="0.2">
      <c r="A13" s="5">
        <v>6</v>
      </c>
      <c r="B13" s="32" t="s">
        <v>57</v>
      </c>
      <c r="C13" s="134">
        <v>2.5</v>
      </c>
      <c r="D13" s="6">
        <v>0.68</v>
      </c>
      <c r="E13" s="38">
        <v>1.6</v>
      </c>
      <c r="F13" s="38" t="s">
        <v>12</v>
      </c>
      <c r="G13" s="38">
        <f t="shared" si="5"/>
        <v>1.6</v>
      </c>
      <c r="H13" s="38">
        <v>0</v>
      </c>
      <c r="I13" s="38">
        <f t="shared" si="6"/>
        <v>1.6</v>
      </c>
      <c r="J13" s="38">
        <f t="shared" si="0"/>
        <v>0.92</v>
      </c>
      <c r="K13" s="38">
        <f t="shared" si="1"/>
        <v>0.92</v>
      </c>
      <c r="L13" s="39" t="str">
        <f t="shared" si="2"/>
        <v>открыт</v>
      </c>
      <c r="M13" s="24"/>
      <c r="N13" s="5">
        <v>6</v>
      </c>
      <c r="O13" s="40" t="s">
        <v>57</v>
      </c>
      <c r="P13" s="38">
        <v>2.5</v>
      </c>
      <c r="Q13" s="18">
        <v>4.1000000000000002E-2</v>
      </c>
      <c r="R13" s="41">
        <f t="shared" si="3"/>
        <v>0.72100000000000009</v>
      </c>
      <c r="S13" s="154">
        <f t="shared" si="7"/>
        <v>1.6</v>
      </c>
      <c r="T13" s="42" t="str">
        <f t="shared" si="7"/>
        <v>1 сутки</v>
      </c>
      <c r="U13" s="38">
        <f t="shared" si="8"/>
        <v>1.6</v>
      </c>
      <c r="V13" s="38">
        <v>0</v>
      </c>
      <c r="W13" s="154">
        <f t="shared" si="9"/>
        <v>1.6</v>
      </c>
      <c r="X13" s="154">
        <f t="shared" si="10"/>
        <v>0.879</v>
      </c>
      <c r="Y13" s="153">
        <f t="shared" si="11"/>
        <v>0.879</v>
      </c>
      <c r="Z13" s="39" t="str">
        <f t="shared" si="4"/>
        <v>открыт</v>
      </c>
    </row>
    <row r="14" spans="1:26" s="1" customFormat="1" ht="11.25" x14ac:dyDescent="0.2">
      <c r="A14" s="5">
        <v>7</v>
      </c>
      <c r="B14" s="32" t="s">
        <v>58</v>
      </c>
      <c r="C14" s="134">
        <v>1.6</v>
      </c>
      <c r="D14" s="6">
        <v>0.32</v>
      </c>
      <c r="E14" s="6">
        <v>1.29</v>
      </c>
      <c r="F14" s="6">
        <v>45</v>
      </c>
      <c r="G14" s="6">
        <f t="shared" si="5"/>
        <v>1.29</v>
      </c>
      <c r="H14" s="6">
        <v>0</v>
      </c>
      <c r="I14" s="6">
        <f t="shared" si="6"/>
        <v>1.29</v>
      </c>
      <c r="J14" s="6">
        <f t="shared" si="0"/>
        <v>0.97</v>
      </c>
      <c r="K14" s="6">
        <f t="shared" si="1"/>
        <v>0.97</v>
      </c>
      <c r="L14" s="31" t="str">
        <f t="shared" si="2"/>
        <v>открыт</v>
      </c>
      <c r="M14" s="24"/>
      <c r="N14" s="5">
        <v>7</v>
      </c>
      <c r="O14" s="33" t="s">
        <v>58</v>
      </c>
      <c r="P14" s="140">
        <v>1.6</v>
      </c>
      <c r="Q14" s="18">
        <v>2.7E-2</v>
      </c>
      <c r="R14" s="18">
        <f t="shared" si="3"/>
        <v>0.34700000000000003</v>
      </c>
      <c r="S14" s="2">
        <f t="shared" si="7"/>
        <v>1.29</v>
      </c>
      <c r="T14" s="34">
        <f t="shared" si="7"/>
        <v>45</v>
      </c>
      <c r="U14" s="140">
        <f t="shared" si="8"/>
        <v>1.29</v>
      </c>
      <c r="V14" s="140">
        <v>0</v>
      </c>
      <c r="W14" s="154">
        <f t="shared" si="9"/>
        <v>1.29</v>
      </c>
      <c r="X14" s="2">
        <f t="shared" si="10"/>
        <v>0.94300000000000006</v>
      </c>
      <c r="Y14" s="151">
        <f t="shared" si="11"/>
        <v>0.94300000000000006</v>
      </c>
      <c r="Z14" s="31" t="str">
        <f t="shared" si="4"/>
        <v>открыт</v>
      </c>
    </row>
    <row r="15" spans="1:26" s="1" customFormat="1" ht="22.5" x14ac:dyDescent="0.2">
      <c r="A15" s="200">
        <v>8</v>
      </c>
      <c r="B15" s="32" t="s">
        <v>59</v>
      </c>
      <c r="C15" s="134">
        <v>10</v>
      </c>
      <c r="D15" s="6">
        <v>5.17</v>
      </c>
      <c r="E15" s="6">
        <f>E17+E16</f>
        <v>6.1400000000000006</v>
      </c>
      <c r="F15" s="6">
        <v>60</v>
      </c>
      <c r="G15" s="6">
        <f>E15-D15</f>
        <v>0.97000000000000064</v>
      </c>
      <c r="H15" s="6">
        <v>0</v>
      </c>
      <c r="I15" s="6">
        <f>E15</f>
        <v>6.1400000000000006</v>
      </c>
      <c r="J15" s="6">
        <f t="shared" si="0"/>
        <v>0.97000000000000064</v>
      </c>
      <c r="K15" s="201">
        <f>MIN(J15:J17)</f>
        <v>0.45000000000000018</v>
      </c>
      <c r="L15" s="197" t="str">
        <f t="shared" si="2"/>
        <v>открыт</v>
      </c>
      <c r="M15" s="24"/>
      <c r="N15" s="202">
        <v>8</v>
      </c>
      <c r="O15" s="43" t="s">
        <v>59</v>
      </c>
      <c r="P15" s="3">
        <v>10</v>
      </c>
      <c r="Q15" s="19">
        <f>Q17+Q16</f>
        <v>3.4119999999999999</v>
      </c>
      <c r="R15" s="19">
        <f>R16+R17</f>
        <v>8.5820000000000007</v>
      </c>
      <c r="S15" s="3">
        <f>S17+S16</f>
        <v>6.1400000000000006</v>
      </c>
      <c r="T15" s="44">
        <f t="shared" si="7"/>
        <v>60</v>
      </c>
      <c r="U15" s="3">
        <f t="shared" si="8"/>
        <v>6.1400000000000006</v>
      </c>
      <c r="V15" s="3">
        <v>0</v>
      </c>
      <c r="W15" s="3">
        <f t="shared" si="9"/>
        <v>6.1400000000000006</v>
      </c>
      <c r="X15" s="161">
        <f t="shared" si="10"/>
        <v>-2.4420000000000002</v>
      </c>
      <c r="Y15" s="155">
        <f>X17</f>
        <v>-2.7919999999999998</v>
      </c>
      <c r="Z15" s="158" t="str">
        <f t="shared" si="4"/>
        <v>закрыт</v>
      </c>
    </row>
    <row r="16" spans="1:26" s="46" customFormat="1" ht="11.25" x14ac:dyDescent="0.2">
      <c r="A16" s="200"/>
      <c r="B16" s="37" t="s">
        <v>60</v>
      </c>
      <c r="C16" s="38">
        <v>10</v>
      </c>
      <c r="D16" s="6">
        <v>1.42</v>
      </c>
      <c r="E16" s="38">
        <v>1.94</v>
      </c>
      <c r="F16" s="38">
        <v>60</v>
      </c>
      <c r="G16" s="6">
        <f t="shared" si="5"/>
        <v>1.94</v>
      </c>
      <c r="H16" s="38">
        <v>0</v>
      </c>
      <c r="I16" s="6">
        <f t="shared" si="6"/>
        <v>1.94</v>
      </c>
      <c r="J16" s="6">
        <f t="shared" si="0"/>
        <v>0.52</v>
      </c>
      <c r="K16" s="201"/>
      <c r="L16" s="197"/>
      <c r="M16" s="24"/>
      <c r="N16" s="202"/>
      <c r="O16" s="43" t="s">
        <v>60</v>
      </c>
      <c r="P16" s="3">
        <v>10</v>
      </c>
      <c r="Q16" s="45">
        <f>Q11+Q13+Q92</f>
        <v>0.17</v>
      </c>
      <c r="R16" s="19">
        <f>Q16+D16</f>
        <v>1.5899999999999999</v>
      </c>
      <c r="S16" s="3">
        <v>1.94</v>
      </c>
      <c r="T16" s="3">
        <v>60</v>
      </c>
      <c r="U16" s="3">
        <f>S16</f>
        <v>1.94</v>
      </c>
      <c r="V16" s="3">
        <v>0</v>
      </c>
      <c r="W16" s="3">
        <f>U16-V16</f>
        <v>1.94</v>
      </c>
      <c r="X16" s="161">
        <f>W16-R16</f>
        <v>0.35000000000000009</v>
      </c>
      <c r="Y16" s="156"/>
      <c r="Z16" s="159"/>
    </row>
    <row r="17" spans="1:26" s="1" customFormat="1" ht="11.25" x14ac:dyDescent="0.2">
      <c r="A17" s="200"/>
      <c r="B17" s="32" t="s">
        <v>61</v>
      </c>
      <c r="C17" s="6">
        <v>10</v>
      </c>
      <c r="D17" s="6">
        <v>3.75</v>
      </c>
      <c r="E17" s="6">
        <v>4.2</v>
      </c>
      <c r="F17" s="6">
        <v>60</v>
      </c>
      <c r="G17" s="6">
        <f>E17-D17</f>
        <v>0.45000000000000018</v>
      </c>
      <c r="H17" s="6">
        <v>0</v>
      </c>
      <c r="I17" s="6">
        <f>E17</f>
        <v>4.2</v>
      </c>
      <c r="J17" s="6">
        <f t="shared" si="0"/>
        <v>0.45000000000000018</v>
      </c>
      <c r="K17" s="201"/>
      <c r="L17" s="197"/>
      <c r="M17" s="24"/>
      <c r="N17" s="202"/>
      <c r="O17" s="43" t="s">
        <v>61</v>
      </c>
      <c r="P17" s="3">
        <v>10</v>
      </c>
      <c r="Q17" s="19">
        <v>3.242</v>
      </c>
      <c r="R17" s="19">
        <f>Q17+D17</f>
        <v>6.992</v>
      </c>
      <c r="S17" s="3">
        <v>4.2</v>
      </c>
      <c r="T17" s="3">
        <v>60</v>
      </c>
      <c r="U17" s="3">
        <f t="shared" si="8"/>
        <v>4.2</v>
      </c>
      <c r="V17" s="3">
        <v>0</v>
      </c>
      <c r="W17" s="3">
        <f t="shared" si="9"/>
        <v>4.2</v>
      </c>
      <c r="X17" s="161">
        <f t="shared" si="10"/>
        <v>-2.7919999999999998</v>
      </c>
      <c r="Y17" s="157"/>
      <c r="Z17" s="160"/>
    </row>
    <row r="18" spans="1:26" s="1" customFormat="1" ht="22.5" x14ac:dyDescent="0.2">
      <c r="A18" s="202">
        <v>9</v>
      </c>
      <c r="B18" s="47" t="s">
        <v>62</v>
      </c>
      <c r="C18" s="3">
        <v>16</v>
      </c>
      <c r="D18" s="3">
        <v>3.37</v>
      </c>
      <c r="E18" s="3">
        <f>E19+E20</f>
        <v>4.3100000000000005</v>
      </c>
      <c r="F18" s="3">
        <v>30</v>
      </c>
      <c r="G18" s="3">
        <f t="shared" si="5"/>
        <v>4.3100000000000005</v>
      </c>
      <c r="H18" s="3">
        <v>0</v>
      </c>
      <c r="I18" s="3">
        <f t="shared" si="6"/>
        <v>4.3100000000000005</v>
      </c>
      <c r="J18" s="3">
        <f t="shared" si="0"/>
        <v>0.94000000000000039</v>
      </c>
      <c r="K18" s="203">
        <f>MIN(J18:J20)</f>
        <v>-2.9999999999999805E-2</v>
      </c>
      <c r="L18" s="202" t="str">
        <f t="shared" si="2"/>
        <v>закрыт</v>
      </c>
      <c r="M18" s="24"/>
      <c r="N18" s="202">
        <v>9</v>
      </c>
      <c r="O18" s="43" t="s">
        <v>62</v>
      </c>
      <c r="P18" s="3">
        <v>16</v>
      </c>
      <c r="Q18" s="19">
        <f>Q20+Q19</f>
        <v>0.47199999999999998</v>
      </c>
      <c r="R18" s="19">
        <f>R19+R20</f>
        <v>3.8420000000000001</v>
      </c>
      <c r="S18" s="161">
        <f>E18</f>
        <v>4.3100000000000005</v>
      </c>
      <c r="T18" s="44">
        <f t="shared" si="7"/>
        <v>30</v>
      </c>
      <c r="U18" s="3">
        <f t="shared" si="8"/>
        <v>4.3100000000000005</v>
      </c>
      <c r="V18" s="3">
        <v>0</v>
      </c>
      <c r="W18" s="3">
        <f t="shared" si="9"/>
        <v>4.3100000000000005</v>
      </c>
      <c r="X18" s="161">
        <f t="shared" si="10"/>
        <v>0.46800000000000042</v>
      </c>
      <c r="Y18" s="155">
        <f>X20</f>
        <v>-0.3899999999999999</v>
      </c>
      <c r="Z18" s="158" t="str">
        <f>IF(Y18&lt;0,"закрыт","открыт")</f>
        <v>закрыт</v>
      </c>
    </row>
    <row r="19" spans="1:26" s="1" customFormat="1" ht="11.25" x14ac:dyDescent="0.2">
      <c r="A19" s="202"/>
      <c r="B19" s="47" t="s">
        <v>60</v>
      </c>
      <c r="C19" s="3">
        <v>16</v>
      </c>
      <c r="D19" s="3">
        <v>2.23</v>
      </c>
      <c r="E19" s="3">
        <v>3.2</v>
      </c>
      <c r="F19" s="3">
        <v>30</v>
      </c>
      <c r="G19" s="3">
        <f t="shared" si="5"/>
        <v>3.2</v>
      </c>
      <c r="H19" s="3">
        <v>0</v>
      </c>
      <c r="I19" s="3">
        <f>G19-H19</f>
        <v>3.2</v>
      </c>
      <c r="J19" s="3">
        <f t="shared" si="0"/>
        <v>0.9700000000000002</v>
      </c>
      <c r="K19" s="203"/>
      <c r="L19" s="202"/>
      <c r="M19" s="24"/>
      <c r="N19" s="202"/>
      <c r="O19" s="43" t="s">
        <v>60</v>
      </c>
      <c r="P19" s="3">
        <v>16</v>
      </c>
      <c r="Q19" s="19">
        <f>Q23+Q90+Q88+Q97</f>
        <v>0.112</v>
      </c>
      <c r="R19" s="19">
        <f t="shared" ref="R19:R24" si="12">Q19+D19</f>
        <v>2.3420000000000001</v>
      </c>
      <c r="S19" s="161">
        <f t="shared" si="7"/>
        <v>3.2</v>
      </c>
      <c r="T19" s="44">
        <f t="shared" si="7"/>
        <v>30</v>
      </c>
      <c r="U19" s="3">
        <f t="shared" si="8"/>
        <v>3.2</v>
      </c>
      <c r="V19" s="3">
        <v>0</v>
      </c>
      <c r="W19" s="3">
        <f t="shared" si="9"/>
        <v>3.2</v>
      </c>
      <c r="X19" s="161">
        <f t="shared" si="10"/>
        <v>0.8580000000000001</v>
      </c>
      <c r="Y19" s="156"/>
      <c r="Z19" s="159"/>
    </row>
    <row r="20" spans="1:26" s="1" customFormat="1" ht="11.25" x14ac:dyDescent="0.2">
      <c r="A20" s="202"/>
      <c r="B20" s="47" t="s">
        <v>61</v>
      </c>
      <c r="C20" s="3">
        <v>16</v>
      </c>
      <c r="D20" s="3">
        <v>1.1399999999999999</v>
      </c>
      <c r="E20" s="3">
        <v>1.1100000000000001</v>
      </c>
      <c r="F20" s="3">
        <v>30</v>
      </c>
      <c r="G20" s="3">
        <f t="shared" si="5"/>
        <v>1.1100000000000001</v>
      </c>
      <c r="H20" s="3">
        <v>0</v>
      </c>
      <c r="I20" s="3">
        <f t="shared" si="6"/>
        <v>1.1100000000000001</v>
      </c>
      <c r="J20" s="3">
        <f t="shared" si="0"/>
        <v>-2.9999999999999805E-2</v>
      </c>
      <c r="K20" s="203"/>
      <c r="L20" s="202"/>
      <c r="M20" s="48"/>
      <c r="N20" s="202"/>
      <c r="O20" s="43" t="s">
        <v>61</v>
      </c>
      <c r="P20" s="3">
        <v>16</v>
      </c>
      <c r="Q20" s="19">
        <v>0.36</v>
      </c>
      <c r="R20" s="19">
        <f t="shared" si="12"/>
        <v>1.5</v>
      </c>
      <c r="S20" s="161">
        <f t="shared" si="7"/>
        <v>1.1100000000000001</v>
      </c>
      <c r="T20" s="44">
        <f t="shared" si="7"/>
        <v>30</v>
      </c>
      <c r="U20" s="3">
        <f t="shared" si="8"/>
        <v>1.1100000000000001</v>
      </c>
      <c r="V20" s="3">
        <v>0</v>
      </c>
      <c r="W20" s="3">
        <f t="shared" si="9"/>
        <v>1.1100000000000001</v>
      </c>
      <c r="X20" s="161">
        <f t="shared" si="10"/>
        <v>-0.3899999999999999</v>
      </c>
      <c r="Y20" s="157"/>
      <c r="Z20" s="160"/>
    </row>
    <row r="21" spans="1:26" s="1" customFormat="1" ht="11.25" x14ac:dyDescent="0.2">
      <c r="A21" s="5">
        <v>10</v>
      </c>
      <c r="B21" s="32" t="s">
        <v>63</v>
      </c>
      <c r="C21" s="134">
        <v>2.5</v>
      </c>
      <c r="D21" s="6">
        <v>0.71</v>
      </c>
      <c r="E21" s="6">
        <v>1.33</v>
      </c>
      <c r="F21" s="6">
        <v>45</v>
      </c>
      <c r="G21" s="6">
        <f t="shared" si="5"/>
        <v>1.33</v>
      </c>
      <c r="H21" s="38">
        <v>0</v>
      </c>
      <c r="I21" s="6">
        <f t="shared" si="6"/>
        <v>1.33</v>
      </c>
      <c r="J21" s="6">
        <f t="shared" si="0"/>
        <v>0.62000000000000011</v>
      </c>
      <c r="K21" s="38">
        <f t="shared" ref="K21:K42" si="13">J21</f>
        <v>0.62000000000000011</v>
      </c>
      <c r="L21" s="31" t="str">
        <f t="shared" si="2"/>
        <v>открыт</v>
      </c>
      <c r="M21" s="48"/>
      <c r="N21" s="5">
        <v>10</v>
      </c>
      <c r="O21" s="33" t="s">
        <v>63</v>
      </c>
      <c r="P21" s="140">
        <v>2.5</v>
      </c>
      <c r="Q21" s="18">
        <v>3.4000000000000002E-2</v>
      </c>
      <c r="R21" s="18">
        <f t="shared" si="12"/>
        <v>0.74399999999999999</v>
      </c>
      <c r="S21" s="2">
        <f t="shared" si="7"/>
        <v>1.33</v>
      </c>
      <c r="T21" s="34">
        <f t="shared" si="7"/>
        <v>45</v>
      </c>
      <c r="U21" s="140">
        <f t="shared" si="8"/>
        <v>1.33</v>
      </c>
      <c r="V21" s="140">
        <v>0</v>
      </c>
      <c r="W21" s="140">
        <f t="shared" si="9"/>
        <v>1.33</v>
      </c>
      <c r="X21" s="2">
        <f t="shared" si="10"/>
        <v>0.58600000000000008</v>
      </c>
      <c r="Y21" s="49">
        <f t="shared" si="11"/>
        <v>0.58600000000000008</v>
      </c>
      <c r="Z21" s="31" t="str">
        <f t="shared" si="4"/>
        <v>открыт</v>
      </c>
    </row>
    <row r="22" spans="1:26" s="1" customFormat="1" ht="11.25" x14ac:dyDescent="0.2">
      <c r="A22" s="5">
        <v>11</v>
      </c>
      <c r="B22" s="32" t="s">
        <v>64</v>
      </c>
      <c r="C22" s="134">
        <v>1.8</v>
      </c>
      <c r="D22" s="6">
        <v>0.19</v>
      </c>
      <c r="E22" s="6">
        <v>0.48</v>
      </c>
      <c r="F22" s="6">
        <v>90</v>
      </c>
      <c r="G22" s="6">
        <f t="shared" si="5"/>
        <v>0.48</v>
      </c>
      <c r="H22" s="38">
        <v>0</v>
      </c>
      <c r="I22" s="6">
        <f t="shared" si="6"/>
        <v>0.48</v>
      </c>
      <c r="J22" s="6">
        <f t="shared" si="0"/>
        <v>0.28999999999999998</v>
      </c>
      <c r="K22" s="38">
        <f t="shared" si="13"/>
        <v>0.28999999999999998</v>
      </c>
      <c r="L22" s="31" t="str">
        <f t="shared" si="2"/>
        <v>открыт</v>
      </c>
      <c r="M22" s="48"/>
      <c r="N22" s="5">
        <v>11</v>
      </c>
      <c r="O22" s="33" t="s">
        <v>64</v>
      </c>
      <c r="P22" s="140">
        <v>1.8</v>
      </c>
      <c r="Q22" s="18">
        <v>0</v>
      </c>
      <c r="R22" s="18">
        <f t="shared" si="12"/>
        <v>0.19</v>
      </c>
      <c r="S22" s="2">
        <f t="shared" si="7"/>
        <v>0.48</v>
      </c>
      <c r="T22" s="34">
        <f t="shared" si="7"/>
        <v>90</v>
      </c>
      <c r="U22" s="140">
        <f t="shared" si="8"/>
        <v>0.48</v>
      </c>
      <c r="V22" s="140">
        <v>0</v>
      </c>
      <c r="W22" s="140">
        <f t="shared" si="9"/>
        <v>0.48</v>
      </c>
      <c r="X22" s="2">
        <f t="shared" si="10"/>
        <v>0.28999999999999998</v>
      </c>
      <c r="Y22" s="49">
        <f t="shared" si="11"/>
        <v>0.28999999999999998</v>
      </c>
      <c r="Z22" s="31" t="str">
        <f t="shared" si="4"/>
        <v>открыт</v>
      </c>
    </row>
    <row r="23" spans="1:26" s="1" customFormat="1" ht="11.25" x14ac:dyDescent="0.2">
      <c r="A23" s="5">
        <v>12</v>
      </c>
      <c r="B23" s="32" t="s">
        <v>65</v>
      </c>
      <c r="C23" s="134">
        <v>1.6</v>
      </c>
      <c r="D23" s="6">
        <v>0.48</v>
      </c>
      <c r="E23" s="6">
        <v>1.29</v>
      </c>
      <c r="F23" s="6">
        <v>30</v>
      </c>
      <c r="G23" s="6">
        <f t="shared" si="5"/>
        <v>1.29</v>
      </c>
      <c r="H23" s="38">
        <v>0</v>
      </c>
      <c r="I23" s="6">
        <f t="shared" si="6"/>
        <v>1.29</v>
      </c>
      <c r="J23" s="6">
        <f t="shared" si="0"/>
        <v>0.81</v>
      </c>
      <c r="K23" s="38">
        <f t="shared" si="13"/>
        <v>0.81</v>
      </c>
      <c r="L23" s="31" t="str">
        <f t="shared" si="2"/>
        <v>открыт</v>
      </c>
      <c r="M23" s="48"/>
      <c r="N23" s="5">
        <v>12</v>
      </c>
      <c r="O23" s="33" t="s">
        <v>65</v>
      </c>
      <c r="P23" s="140">
        <v>1.6</v>
      </c>
      <c r="Q23" s="18">
        <v>3.3000000000000002E-2</v>
      </c>
      <c r="R23" s="18">
        <f t="shared" si="12"/>
        <v>0.51300000000000001</v>
      </c>
      <c r="S23" s="2">
        <f t="shared" si="7"/>
        <v>1.29</v>
      </c>
      <c r="T23" s="34">
        <f t="shared" si="7"/>
        <v>30</v>
      </c>
      <c r="U23" s="140">
        <f t="shared" si="8"/>
        <v>1.29</v>
      </c>
      <c r="V23" s="140">
        <v>0</v>
      </c>
      <c r="W23" s="140">
        <f t="shared" si="9"/>
        <v>1.29</v>
      </c>
      <c r="X23" s="2">
        <f t="shared" si="10"/>
        <v>0.77700000000000002</v>
      </c>
      <c r="Y23" s="49">
        <f t="shared" si="11"/>
        <v>0.77700000000000002</v>
      </c>
      <c r="Z23" s="31" t="str">
        <f t="shared" si="4"/>
        <v>открыт</v>
      </c>
    </row>
    <row r="24" spans="1:26" s="1" customFormat="1" ht="11.25" x14ac:dyDescent="0.2">
      <c r="A24" s="5">
        <v>13</v>
      </c>
      <c r="B24" s="32" t="s">
        <v>66</v>
      </c>
      <c r="C24" s="134">
        <v>2.5</v>
      </c>
      <c r="D24" s="6">
        <v>0.37</v>
      </c>
      <c r="E24" s="6">
        <v>0.96</v>
      </c>
      <c r="F24" s="6">
        <v>60</v>
      </c>
      <c r="G24" s="6">
        <f t="shared" si="5"/>
        <v>0.96</v>
      </c>
      <c r="H24" s="38">
        <v>0</v>
      </c>
      <c r="I24" s="6">
        <f t="shared" si="6"/>
        <v>0.96</v>
      </c>
      <c r="J24" s="6">
        <f t="shared" si="0"/>
        <v>0.59</v>
      </c>
      <c r="K24" s="38">
        <f t="shared" si="13"/>
        <v>0.59</v>
      </c>
      <c r="L24" s="31" t="str">
        <f t="shared" si="2"/>
        <v>открыт</v>
      </c>
      <c r="M24" s="48"/>
      <c r="N24" s="5">
        <v>13</v>
      </c>
      <c r="O24" s="33" t="s">
        <v>66</v>
      </c>
      <c r="P24" s="140">
        <v>2.5</v>
      </c>
      <c r="Q24" s="18">
        <v>0</v>
      </c>
      <c r="R24" s="18">
        <f t="shared" si="12"/>
        <v>0.37</v>
      </c>
      <c r="S24" s="2">
        <f t="shared" si="7"/>
        <v>0.96</v>
      </c>
      <c r="T24" s="34">
        <f t="shared" si="7"/>
        <v>60</v>
      </c>
      <c r="U24" s="140">
        <f t="shared" si="8"/>
        <v>0.96</v>
      </c>
      <c r="V24" s="140">
        <v>0</v>
      </c>
      <c r="W24" s="140">
        <f t="shared" si="9"/>
        <v>0.96</v>
      </c>
      <c r="X24" s="2">
        <f t="shared" si="10"/>
        <v>0.59</v>
      </c>
      <c r="Y24" s="49">
        <f t="shared" si="11"/>
        <v>0.59</v>
      </c>
      <c r="Z24" s="31" t="str">
        <f t="shared" si="4"/>
        <v>открыт</v>
      </c>
    </row>
    <row r="25" spans="1:26" s="1" customFormat="1" ht="11.25" x14ac:dyDescent="0.2">
      <c r="A25" s="202">
        <v>14</v>
      </c>
      <c r="B25" s="47" t="s">
        <v>67</v>
      </c>
      <c r="C25" s="3">
        <v>16</v>
      </c>
      <c r="D25" s="3">
        <v>3.74</v>
      </c>
      <c r="E25" s="3">
        <f>E26+E27</f>
        <v>4.16</v>
      </c>
      <c r="F25" s="3">
        <v>45</v>
      </c>
      <c r="G25" s="3">
        <f t="shared" si="5"/>
        <v>4.16</v>
      </c>
      <c r="H25" s="3">
        <v>0</v>
      </c>
      <c r="I25" s="3">
        <f t="shared" si="6"/>
        <v>4.16</v>
      </c>
      <c r="J25" s="3">
        <f t="shared" si="0"/>
        <v>0.41999999999999993</v>
      </c>
      <c r="K25" s="203">
        <f>MIN(J25:J27)</f>
        <v>-0.30000000000000027</v>
      </c>
      <c r="L25" s="204" t="str">
        <f t="shared" si="2"/>
        <v>закрыт</v>
      </c>
      <c r="M25" s="48"/>
      <c r="N25" s="202">
        <v>14</v>
      </c>
      <c r="O25" s="43" t="s">
        <v>67</v>
      </c>
      <c r="P25" s="3">
        <v>16</v>
      </c>
      <c r="Q25" s="19">
        <f>Q27+Q26</f>
        <v>0.40400000000000003</v>
      </c>
      <c r="R25" s="19">
        <f>R26+R27</f>
        <v>4.1440000000000001</v>
      </c>
      <c r="S25" s="161">
        <f t="shared" si="7"/>
        <v>4.16</v>
      </c>
      <c r="T25" s="44">
        <f t="shared" si="7"/>
        <v>45</v>
      </c>
      <c r="U25" s="3">
        <f t="shared" si="8"/>
        <v>4.16</v>
      </c>
      <c r="V25" s="3">
        <v>0</v>
      </c>
      <c r="W25" s="3">
        <f t="shared" si="9"/>
        <v>4.16</v>
      </c>
      <c r="X25" s="161">
        <f t="shared" si="10"/>
        <v>1.6000000000000014E-2</v>
      </c>
      <c r="Y25" s="155">
        <f>X26</f>
        <v>-0.42400000000000038</v>
      </c>
      <c r="Z25" s="158" t="str">
        <f>IF(Y25&lt;0,"закрыт","открыт")</f>
        <v>закрыт</v>
      </c>
    </row>
    <row r="26" spans="1:26" s="46" customFormat="1" ht="11.25" x14ac:dyDescent="0.2">
      <c r="A26" s="202"/>
      <c r="B26" s="47" t="s">
        <v>60</v>
      </c>
      <c r="C26" s="3">
        <v>16</v>
      </c>
      <c r="D26" s="3">
        <v>2.66</v>
      </c>
      <c r="E26" s="3">
        <v>2.36</v>
      </c>
      <c r="F26" s="3">
        <v>45</v>
      </c>
      <c r="G26" s="3">
        <f t="shared" si="5"/>
        <v>2.36</v>
      </c>
      <c r="H26" s="3">
        <v>0</v>
      </c>
      <c r="I26" s="3">
        <f t="shared" si="6"/>
        <v>2.36</v>
      </c>
      <c r="J26" s="3">
        <f t="shared" si="0"/>
        <v>-0.30000000000000027</v>
      </c>
      <c r="K26" s="203"/>
      <c r="L26" s="204"/>
      <c r="M26" s="48"/>
      <c r="N26" s="202"/>
      <c r="O26" s="43" t="s">
        <v>60</v>
      </c>
      <c r="P26" s="3">
        <v>16</v>
      </c>
      <c r="Q26" s="19">
        <f>Q87+Q9</f>
        <v>0.12400000000000001</v>
      </c>
      <c r="R26" s="19">
        <f>Q26+D26</f>
        <v>2.7840000000000003</v>
      </c>
      <c r="S26" s="161">
        <f t="shared" si="7"/>
        <v>2.36</v>
      </c>
      <c r="T26" s="44">
        <f t="shared" si="7"/>
        <v>45</v>
      </c>
      <c r="U26" s="3">
        <f t="shared" si="8"/>
        <v>2.36</v>
      </c>
      <c r="V26" s="3">
        <v>0</v>
      </c>
      <c r="W26" s="3">
        <f t="shared" si="9"/>
        <v>2.36</v>
      </c>
      <c r="X26" s="161">
        <f t="shared" si="10"/>
        <v>-0.42400000000000038</v>
      </c>
      <c r="Y26" s="156"/>
      <c r="Z26" s="159"/>
    </row>
    <row r="27" spans="1:26" s="46" customFormat="1" ht="11.25" x14ac:dyDescent="0.2">
      <c r="A27" s="202"/>
      <c r="B27" s="47" t="s">
        <v>61</v>
      </c>
      <c r="C27" s="3">
        <v>16</v>
      </c>
      <c r="D27" s="3">
        <v>1.08</v>
      </c>
      <c r="E27" s="3">
        <v>1.8</v>
      </c>
      <c r="F27" s="3">
        <v>45</v>
      </c>
      <c r="G27" s="3">
        <f t="shared" si="5"/>
        <v>1.8</v>
      </c>
      <c r="H27" s="3">
        <v>0</v>
      </c>
      <c r="I27" s="3">
        <f t="shared" si="6"/>
        <v>1.8</v>
      </c>
      <c r="J27" s="3">
        <f t="shared" si="0"/>
        <v>0.72</v>
      </c>
      <c r="K27" s="203"/>
      <c r="L27" s="204"/>
      <c r="M27" s="48"/>
      <c r="N27" s="202"/>
      <c r="O27" s="43" t="s">
        <v>61</v>
      </c>
      <c r="P27" s="3">
        <v>16</v>
      </c>
      <c r="Q27" s="19">
        <v>0.28000000000000003</v>
      </c>
      <c r="R27" s="19">
        <f>Q27+D27</f>
        <v>1.36</v>
      </c>
      <c r="S27" s="161">
        <f t="shared" si="7"/>
        <v>1.8</v>
      </c>
      <c r="T27" s="44">
        <f t="shared" si="7"/>
        <v>45</v>
      </c>
      <c r="U27" s="3">
        <f t="shared" si="8"/>
        <v>1.8</v>
      </c>
      <c r="V27" s="3">
        <v>0</v>
      </c>
      <c r="W27" s="3">
        <f t="shared" si="9"/>
        <v>1.8</v>
      </c>
      <c r="X27" s="161">
        <f t="shared" si="10"/>
        <v>0.43999999999999995</v>
      </c>
      <c r="Y27" s="157"/>
      <c r="Z27" s="160"/>
    </row>
    <row r="28" spans="1:26" s="46" customFormat="1" ht="11.25" x14ac:dyDescent="0.2">
      <c r="A28" s="36">
        <v>15</v>
      </c>
      <c r="B28" s="32" t="s">
        <v>68</v>
      </c>
      <c r="C28" s="134">
        <v>5.6</v>
      </c>
      <c r="D28" s="6">
        <v>0.1</v>
      </c>
      <c r="E28" s="38">
        <v>0.8</v>
      </c>
      <c r="F28" s="38">
        <v>90</v>
      </c>
      <c r="G28" s="38">
        <f t="shared" si="5"/>
        <v>0.8</v>
      </c>
      <c r="H28" s="38">
        <v>0</v>
      </c>
      <c r="I28" s="38">
        <f t="shared" si="6"/>
        <v>0.8</v>
      </c>
      <c r="J28" s="38">
        <f t="shared" si="0"/>
        <v>0.70000000000000007</v>
      </c>
      <c r="K28" s="38">
        <f t="shared" si="13"/>
        <v>0.70000000000000007</v>
      </c>
      <c r="L28" s="39" t="str">
        <f t="shared" si="2"/>
        <v>открыт</v>
      </c>
      <c r="M28" s="48"/>
      <c r="N28" s="36">
        <v>15</v>
      </c>
      <c r="O28" s="40" t="s">
        <v>68</v>
      </c>
      <c r="P28" s="38">
        <v>5.6</v>
      </c>
      <c r="Q28" s="18">
        <v>4.9000000000000002E-2</v>
      </c>
      <c r="R28" s="41">
        <f>Q28+D28</f>
        <v>0.14900000000000002</v>
      </c>
      <c r="S28" s="154">
        <f t="shared" si="7"/>
        <v>0.8</v>
      </c>
      <c r="T28" s="42">
        <f t="shared" si="7"/>
        <v>90</v>
      </c>
      <c r="U28" s="38">
        <f t="shared" si="8"/>
        <v>0.8</v>
      </c>
      <c r="V28" s="38">
        <v>0</v>
      </c>
      <c r="W28" s="38">
        <f t="shared" si="9"/>
        <v>0.8</v>
      </c>
      <c r="X28" s="2">
        <f t="shared" si="10"/>
        <v>0.65100000000000002</v>
      </c>
      <c r="Y28" s="2">
        <f t="shared" si="11"/>
        <v>0.65100000000000002</v>
      </c>
      <c r="Z28" s="39" t="str">
        <f t="shared" si="4"/>
        <v>открыт</v>
      </c>
    </row>
    <row r="29" spans="1:26" s="46" customFormat="1" ht="11.25" x14ac:dyDescent="0.2">
      <c r="A29" s="36">
        <v>16</v>
      </c>
      <c r="B29" s="32" t="s">
        <v>69</v>
      </c>
      <c r="C29" s="134">
        <v>2.5</v>
      </c>
      <c r="D29" s="6">
        <v>0.2</v>
      </c>
      <c r="E29" s="38">
        <v>1.07</v>
      </c>
      <c r="F29" s="38">
        <v>60</v>
      </c>
      <c r="G29" s="38">
        <f t="shared" si="5"/>
        <v>1.07</v>
      </c>
      <c r="H29" s="38">
        <v>0</v>
      </c>
      <c r="I29" s="38">
        <f t="shared" si="6"/>
        <v>1.07</v>
      </c>
      <c r="J29" s="38">
        <f t="shared" si="0"/>
        <v>0.87000000000000011</v>
      </c>
      <c r="K29" s="38">
        <f t="shared" si="13"/>
        <v>0.87000000000000011</v>
      </c>
      <c r="L29" s="39" t="str">
        <f t="shared" si="2"/>
        <v>открыт</v>
      </c>
      <c r="M29" s="48"/>
      <c r="N29" s="36">
        <v>16</v>
      </c>
      <c r="O29" s="40" t="s">
        <v>69</v>
      </c>
      <c r="P29" s="38">
        <v>2.5</v>
      </c>
      <c r="Q29" s="18">
        <v>2.9000000000000001E-2</v>
      </c>
      <c r="R29" s="41">
        <f>Q29+D29</f>
        <v>0.22900000000000001</v>
      </c>
      <c r="S29" s="154">
        <f t="shared" si="7"/>
        <v>1.07</v>
      </c>
      <c r="T29" s="42">
        <f t="shared" si="7"/>
        <v>60</v>
      </c>
      <c r="U29" s="38">
        <f t="shared" si="8"/>
        <v>1.07</v>
      </c>
      <c r="V29" s="38">
        <v>0</v>
      </c>
      <c r="W29" s="38">
        <f t="shared" si="9"/>
        <v>1.07</v>
      </c>
      <c r="X29" s="2">
        <f t="shared" si="10"/>
        <v>0.84100000000000008</v>
      </c>
      <c r="Y29" s="2">
        <f t="shared" si="11"/>
        <v>0.84100000000000008</v>
      </c>
      <c r="Z29" s="39" t="str">
        <f t="shared" si="4"/>
        <v>открыт</v>
      </c>
    </row>
    <row r="30" spans="1:26" s="46" customFormat="1" ht="11.25" x14ac:dyDescent="0.2">
      <c r="A30" s="200">
        <v>17</v>
      </c>
      <c r="B30" s="37" t="s">
        <v>70</v>
      </c>
      <c r="C30" s="38">
        <v>10</v>
      </c>
      <c r="D30" s="2">
        <v>3.95</v>
      </c>
      <c r="E30" s="38">
        <f>E31+E32</f>
        <v>5.4</v>
      </c>
      <c r="F30" s="38">
        <v>120</v>
      </c>
      <c r="G30" s="38">
        <f t="shared" si="5"/>
        <v>5.4</v>
      </c>
      <c r="H30" s="38">
        <v>0</v>
      </c>
      <c r="I30" s="38">
        <f t="shared" si="6"/>
        <v>5.4</v>
      </c>
      <c r="J30" s="38">
        <f t="shared" si="0"/>
        <v>1.4500000000000002</v>
      </c>
      <c r="K30" s="201">
        <v>1.87</v>
      </c>
      <c r="L30" s="197" t="str">
        <f t="shared" si="2"/>
        <v>открыт</v>
      </c>
      <c r="M30" s="48"/>
      <c r="N30" s="200">
        <v>17</v>
      </c>
      <c r="O30" s="40" t="s">
        <v>70</v>
      </c>
      <c r="P30" s="38">
        <v>10</v>
      </c>
      <c r="Q30" s="18">
        <f>Q31+Q32</f>
        <v>0.64100000000000001</v>
      </c>
      <c r="R30" s="41">
        <f>R31+R32</f>
        <v>4.5910000000000002</v>
      </c>
      <c r="S30" s="154">
        <f t="shared" si="7"/>
        <v>5.4</v>
      </c>
      <c r="T30" s="42">
        <f t="shared" si="7"/>
        <v>120</v>
      </c>
      <c r="U30" s="38">
        <f t="shared" si="8"/>
        <v>5.4</v>
      </c>
      <c r="V30" s="38">
        <v>0</v>
      </c>
      <c r="W30" s="38">
        <f t="shared" si="9"/>
        <v>5.4</v>
      </c>
      <c r="X30" s="2">
        <f t="shared" si="10"/>
        <v>0.80900000000000016</v>
      </c>
      <c r="Y30" s="163">
        <f t="shared" si="11"/>
        <v>0.80900000000000016</v>
      </c>
      <c r="Z30" s="139" t="str">
        <f>IF(Y30&lt;0,"закрыт","открыт")</f>
        <v>открыт</v>
      </c>
    </row>
    <row r="31" spans="1:26" s="46" customFormat="1" ht="11.25" x14ac:dyDescent="0.2">
      <c r="A31" s="200"/>
      <c r="B31" s="37" t="s">
        <v>60</v>
      </c>
      <c r="C31" s="38">
        <v>10</v>
      </c>
      <c r="D31" s="2">
        <v>0</v>
      </c>
      <c r="E31" s="38">
        <v>0</v>
      </c>
      <c r="F31" s="38"/>
      <c r="G31" s="6">
        <f t="shared" si="5"/>
        <v>0</v>
      </c>
      <c r="H31" s="38">
        <v>0</v>
      </c>
      <c r="I31" s="6">
        <f t="shared" si="6"/>
        <v>0</v>
      </c>
      <c r="J31" s="6">
        <f t="shared" si="0"/>
        <v>0</v>
      </c>
      <c r="K31" s="201"/>
      <c r="L31" s="197"/>
      <c r="M31" s="48"/>
      <c r="N31" s="200"/>
      <c r="O31" s="40" t="s">
        <v>60</v>
      </c>
      <c r="P31" s="38">
        <v>10</v>
      </c>
      <c r="Q31" s="18">
        <v>0</v>
      </c>
      <c r="R31" s="41">
        <f t="shared" ref="R31:R42" si="14">Q31+D31</f>
        <v>0</v>
      </c>
      <c r="S31" s="154">
        <f t="shared" si="7"/>
        <v>0</v>
      </c>
      <c r="T31" s="42"/>
      <c r="U31" s="38">
        <f t="shared" si="8"/>
        <v>0</v>
      </c>
      <c r="V31" s="38">
        <v>0</v>
      </c>
      <c r="W31" s="38">
        <f t="shared" si="9"/>
        <v>0</v>
      </c>
      <c r="X31" s="2">
        <f t="shared" si="10"/>
        <v>0</v>
      </c>
      <c r="Y31" s="164"/>
      <c r="Z31" s="147"/>
    </row>
    <row r="32" spans="1:26" s="1" customFormat="1" ht="11.25" x14ac:dyDescent="0.2">
      <c r="A32" s="200"/>
      <c r="B32" s="32" t="s">
        <v>61</v>
      </c>
      <c r="C32" s="6">
        <v>10</v>
      </c>
      <c r="D32" s="2">
        <v>3.95</v>
      </c>
      <c r="E32" s="6">
        <v>5.4</v>
      </c>
      <c r="F32" s="6">
        <v>120</v>
      </c>
      <c r="G32" s="6">
        <f t="shared" si="5"/>
        <v>5.4</v>
      </c>
      <c r="H32" s="6">
        <v>0</v>
      </c>
      <c r="I32" s="6">
        <f t="shared" si="6"/>
        <v>5.4</v>
      </c>
      <c r="J32" s="6">
        <f t="shared" si="0"/>
        <v>1.4500000000000002</v>
      </c>
      <c r="K32" s="201"/>
      <c r="L32" s="197"/>
      <c r="M32" s="48"/>
      <c r="N32" s="200"/>
      <c r="O32" s="33" t="s">
        <v>61</v>
      </c>
      <c r="P32" s="140">
        <v>10</v>
      </c>
      <c r="Q32" s="18">
        <v>0.64100000000000001</v>
      </c>
      <c r="R32" s="18">
        <f t="shared" si="14"/>
        <v>4.5910000000000002</v>
      </c>
      <c r="S32" s="2">
        <f t="shared" si="7"/>
        <v>5.4</v>
      </c>
      <c r="T32" s="34">
        <f t="shared" si="7"/>
        <v>120</v>
      </c>
      <c r="U32" s="140">
        <f t="shared" si="8"/>
        <v>5.4</v>
      </c>
      <c r="V32" s="140">
        <v>0</v>
      </c>
      <c r="W32" s="140">
        <f t="shared" si="9"/>
        <v>5.4</v>
      </c>
      <c r="X32" s="2">
        <f t="shared" si="10"/>
        <v>0.80900000000000016</v>
      </c>
      <c r="Y32" s="165"/>
      <c r="Z32" s="148"/>
    </row>
    <row r="33" spans="1:26" s="1" customFormat="1" ht="11.25" x14ac:dyDescent="0.2">
      <c r="A33" s="129">
        <v>18</v>
      </c>
      <c r="B33" s="32" t="s">
        <v>71</v>
      </c>
      <c r="C33" s="130">
        <v>6.3</v>
      </c>
      <c r="D33" s="2">
        <v>2.1800000000000002</v>
      </c>
      <c r="E33" s="2">
        <v>3.15</v>
      </c>
      <c r="F33" s="130">
        <v>60</v>
      </c>
      <c r="G33" s="130">
        <f t="shared" si="5"/>
        <v>3.15</v>
      </c>
      <c r="H33" s="130">
        <v>0</v>
      </c>
      <c r="I33" s="130">
        <f t="shared" si="6"/>
        <v>3.15</v>
      </c>
      <c r="J33" s="2">
        <f t="shared" si="0"/>
        <v>0.96999999999999975</v>
      </c>
      <c r="K33" s="2">
        <f t="shared" si="13"/>
        <v>0.96999999999999975</v>
      </c>
      <c r="L33" s="31" t="str">
        <f t="shared" si="2"/>
        <v>открыт</v>
      </c>
      <c r="M33" s="48"/>
      <c r="N33" s="129">
        <v>18</v>
      </c>
      <c r="O33" s="33" t="s">
        <v>71</v>
      </c>
      <c r="P33" s="140">
        <v>6.3</v>
      </c>
      <c r="Q33" s="18">
        <v>3.5000000000000003E-2</v>
      </c>
      <c r="R33" s="18">
        <f t="shared" si="14"/>
        <v>2.2150000000000003</v>
      </c>
      <c r="S33" s="2">
        <v>3.15</v>
      </c>
      <c r="T33" s="140">
        <v>60</v>
      </c>
      <c r="U33" s="140">
        <f t="shared" si="8"/>
        <v>3.15</v>
      </c>
      <c r="V33" s="140">
        <v>0</v>
      </c>
      <c r="W33" s="140">
        <f t="shared" si="9"/>
        <v>3.15</v>
      </c>
      <c r="X33" s="2">
        <f t="shared" si="10"/>
        <v>0.93499999999999961</v>
      </c>
      <c r="Y33" s="49">
        <f t="shared" si="11"/>
        <v>0.93499999999999961</v>
      </c>
      <c r="Z33" s="31" t="str">
        <f t="shared" si="4"/>
        <v>открыт</v>
      </c>
    </row>
    <row r="34" spans="1:26" s="1" customFormat="1" ht="11.25" x14ac:dyDescent="0.2">
      <c r="A34" s="50">
        <v>19</v>
      </c>
      <c r="B34" s="47" t="s">
        <v>72</v>
      </c>
      <c r="C34" s="3">
        <v>3.2</v>
      </c>
      <c r="D34" s="4">
        <v>1.63</v>
      </c>
      <c r="E34" s="3">
        <v>1.46</v>
      </c>
      <c r="F34" s="3">
        <v>120</v>
      </c>
      <c r="G34" s="3">
        <f t="shared" si="5"/>
        <v>1.46</v>
      </c>
      <c r="H34" s="3">
        <v>0</v>
      </c>
      <c r="I34" s="3">
        <f t="shared" si="6"/>
        <v>1.46</v>
      </c>
      <c r="J34" s="3">
        <f t="shared" si="0"/>
        <v>-0.16999999999999993</v>
      </c>
      <c r="K34" s="3">
        <f t="shared" si="13"/>
        <v>-0.16999999999999993</v>
      </c>
      <c r="L34" s="52" t="str">
        <f t="shared" si="2"/>
        <v>закрыт</v>
      </c>
      <c r="M34" s="48"/>
      <c r="N34" s="50">
        <v>19</v>
      </c>
      <c r="O34" s="43" t="s">
        <v>72</v>
      </c>
      <c r="P34" s="3">
        <v>3.2</v>
      </c>
      <c r="Q34" s="19">
        <v>0.28499999999999998</v>
      </c>
      <c r="R34" s="19">
        <f t="shared" si="14"/>
        <v>1.9149999999999998</v>
      </c>
      <c r="S34" s="3">
        <v>1.46</v>
      </c>
      <c r="T34" s="3">
        <v>120</v>
      </c>
      <c r="U34" s="3">
        <f t="shared" si="8"/>
        <v>1.46</v>
      </c>
      <c r="V34" s="3">
        <v>0</v>
      </c>
      <c r="W34" s="3">
        <f t="shared" si="9"/>
        <v>1.46</v>
      </c>
      <c r="X34" s="161">
        <f t="shared" si="10"/>
        <v>-0.45499999999999985</v>
      </c>
      <c r="Y34" s="51">
        <f t="shared" si="11"/>
        <v>-0.45499999999999985</v>
      </c>
      <c r="Z34" s="52" t="str">
        <f t="shared" si="4"/>
        <v>закрыт</v>
      </c>
    </row>
    <row r="35" spans="1:26" s="1" customFormat="1" ht="11.25" x14ac:dyDescent="0.2">
      <c r="A35" s="5">
        <v>20</v>
      </c>
      <c r="B35" s="32" t="s">
        <v>73</v>
      </c>
      <c r="C35" s="6">
        <v>2.5</v>
      </c>
      <c r="D35" s="2">
        <v>0.2</v>
      </c>
      <c r="E35" s="6">
        <v>1</v>
      </c>
      <c r="F35" s="6">
        <v>120</v>
      </c>
      <c r="G35" s="6">
        <f t="shared" si="5"/>
        <v>1</v>
      </c>
      <c r="H35" s="6">
        <v>0</v>
      </c>
      <c r="I35" s="6">
        <f t="shared" si="6"/>
        <v>1</v>
      </c>
      <c r="J35" s="6">
        <f t="shared" si="0"/>
        <v>0.8</v>
      </c>
      <c r="K35" s="6">
        <f t="shared" si="13"/>
        <v>0.8</v>
      </c>
      <c r="L35" s="31" t="str">
        <f t="shared" si="2"/>
        <v>открыт</v>
      </c>
      <c r="M35" s="48"/>
      <c r="N35" s="5">
        <v>20</v>
      </c>
      <c r="O35" s="33" t="s">
        <v>73</v>
      </c>
      <c r="P35" s="140">
        <v>2.5</v>
      </c>
      <c r="Q35" s="18">
        <v>1.4E-2</v>
      </c>
      <c r="R35" s="18">
        <f t="shared" si="14"/>
        <v>0.21400000000000002</v>
      </c>
      <c r="S35" s="2">
        <f t="shared" si="7"/>
        <v>1</v>
      </c>
      <c r="T35" s="34">
        <f t="shared" si="7"/>
        <v>120</v>
      </c>
      <c r="U35" s="140">
        <f t="shared" si="8"/>
        <v>1</v>
      </c>
      <c r="V35" s="140">
        <v>0</v>
      </c>
      <c r="W35" s="140">
        <f t="shared" si="9"/>
        <v>1</v>
      </c>
      <c r="X35" s="2">
        <f t="shared" si="10"/>
        <v>0.78600000000000003</v>
      </c>
      <c r="Y35" s="49">
        <f t="shared" si="11"/>
        <v>0.78600000000000003</v>
      </c>
      <c r="Z35" s="31" t="str">
        <f t="shared" si="4"/>
        <v>открыт</v>
      </c>
    </row>
    <row r="36" spans="1:26" s="1" customFormat="1" ht="11.25" x14ac:dyDescent="0.2">
      <c r="A36" s="5">
        <v>21</v>
      </c>
      <c r="B36" s="32" t="s">
        <v>74</v>
      </c>
      <c r="C36" s="6">
        <v>1.6</v>
      </c>
      <c r="D36" s="2">
        <v>0.36</v>
      </c>
      <c r="E36" s="6">
        <v>0.8</v>
      </c>
      <c r="F36" s="6">
        <v>120</v>
      </c>
      <c r="G36" s="6">
        <f t="shared" si="5"/>
        <v>0.8</v>
      </c>
      <c r="H36" s="6">
        <v>0</v>
      </c>
      <c r="I36" s="6">
        <f t="shared" si="6"/>
        <v>0.8</v>
      </c>
      <c r="J36" s="6">
        <f t="shared" si="0"/>
        <v>0.44000000000000006</v>
      </c>
      <c r="K36" s="6">
        <f t="shared" si="13"/>
        <v>0.44000000000000006</v>
      </c>
      <c r="L36" s="31" t="str">
        <f t="shared" si="2"/>
        <v>открыт</v>
      </c>
      <c r="M36" s="48"/>
      <c r="N36" s="5">
        <v>21</v>
      </c>
      <c r="O36" s="33" t="s">
        <v>74</v>
      </c>
      <c r="P36" s="140">
        <v>1.6</v>
      </c>
      <c r="Q36" s="18">
        <v>8.6999999999999994E-2</v>
      </c>
      <c r="R36" s="18">
        <f t="shared" si="14"/>
        <v>0.44699999999999995</v>
      </c>
      <c r="S36" s="2">
        <f t="shared" si="7"/>
        <v>0.8</v>
      </c>
      <c r="T36" s="34">
        <f t="shared" si="7"/>
        <v>120</v>
      </c>
      <c r="U36" s="140">
        <f t="shared" si="8"/>
        <v>0.8</v>
      </c>
      <c r="V36" s="38">
        <v>0</v>
      </c>
      <c r="W36" s="140">
        <f t="shared" si="9"/>
        <v>0.8</v>
      </c>
      <c r="X36" s="2">
        <f t="shared" si="10"/>
        <v>0.35300000000000009</v>
      </c>
      <c r="Y36" s="49">
        <f t="shared" si="11"/>
        <v>0.35300000000000009</v>
      </c>
      <c r="Z36" s="31" t="str">
        <f t="shared" si="4"/>
        <v>открыт</v>
      </c>
    </row>
    <row r="37" spans="1:26" s="1" customFormat="1" ht="11.25" x14ac:dyDescent="0.2">
      <c r="A37" s="5">
        <v>22</v>
      </c>
      <c r="B37" s="32" t="s">
        <v>75</v>
      </c>
      <c r="C37" s="6">
        <v>1.6</v>
      </c>
      <c r="D37" s="2">
        <v>0.22</v>
      </c>
      <c r="E37" s="6">
        <v>1.24</v>
      </c>
      <c r="F37" s="6">
        <v>120</v>
      </c>
      <c r="G37" s="6">
        <f t="shared" si="5"/>
        <v>1.24</v>
      </c>
      <c r="H37" s="6">
        <v>0</v>
      </c>
      <c r="I37" s="6">
        <f t="shared" si="6"/>
        <v>1.24</v>
      </c>
      <c r="J37" s="6">
        <f t="shared" si="0"/>
        <v>1.02</v>
      </c>
      <c r="K37" s="6">
        <f t="shared" si="13"/>
        <v>1.02</v>
      </c>
      <c r="L37" s="31" t="str">
        <f t="shared" si="2"/>
        <v>открыт</v>
      </c>
      <c r="M37" s="48"/>
      <c r="N37" s="5">
        <v>22</v>
      </c>
      <c r="O37" s="33" t="s">
        <v>75</v>
      </c>
      <c r="P37" s="140">
        <v>1.6</v>
      </c>
      <c r="Q37" s="18">
        <v>4.8000000000000001E-2</v>
      </c>
      <c r="R37" s="18">
        <f t="shared" si="14"/>
        <v>0.26800000000000002</v>
      </c>
      <c r="S37" s="2">
        <f t="shared" si="7"/>
        <v>1.24</v>
      </c>
      <c r="T37" s="34">
        <f t="shared" si="7"/>
        <v>120</v>
      </c>
      <c r="U37" s="140">
        <f t="shared" si="8"/>
        <v>1.24</v>
      </c>
      <c r="V37" s="38">
        <v>0</v>
      </c>
      <c r="W37" s="140">
        <f t="shared" si="9"/>
        <v>1.24</v>
      </c>
      <c r="X37" s="2">
        <f t="shared" si="10"/>
        <v>0.97199999999999998</v>
      </c>
      <c r="Y37" s="49">
        <f t="shared" si="11"/>
        <v>0.97199999999999998</v>
      </c>
      <c r="Z37" s="31" t="str">
        <f t="shared" si="4"/>
        <v>открыт</v>
      </c>
    </row>
    <row r="38" spans="1:26" s="1" customFormat="1" ht="11.25" x14ac:dyDescent="0.2">
      <c r="A38" s="5">
        <v>23</v>
      </c>
      <c r="B38" s="32" t="s">
        <v>76</v>
      </c>
      <c r="C38" s="6">
        <v>2.5</v>
      </c>
      <c r="D38" s="2">
        <v>0.4</v>
      </c>
      <c r="E38" s="6">
        <v>1.46</v>
      </c>
      <c r="F38" s="6">
        <v>120</v>
      </c>
      <c r="G38" s="6">
        <f t="shared" si="5"/>
        <v>1.46</v>
      </c>
      <c r="H38" s="6">
        <v>0</v>
      </c>
      <c r="I38" s="6">
        <f t="shared" si="6"/>
        <v>1.46</v>
      </c>
      <c r="J38" s="6">
        <f t="shared" si="0"/>
        <v>1.06</v>
      </c>
      <c r="K38" s="6">
        <f t="shared" si="13"/>
        <v>1.06</v>
      </c>
      <c r="L38" s="31" t="str">
        <f t="shared" si="2"/>
        <v>открыт</v>
      </c>
      <c r="M38" s="48"/>
      <c r="N38" s="5">
        <v>23</v>
      </c>
      <c r="O38" s="33" t="s">
        <v>76</v>
      </c>
      <c r="P38" s="140">
        <v>2.5</v>
      </c>
      <c r="Q38" s="18">
        <v>2.1000000000000001E-2</v>
      </c>
      <c r="R38" s="18">
        <f t="shared" si="14"/>
        <v>0.42100000000000004</v>
      </c>
      <c r="S38" s="2">
        <f t="shared" si="7"/>
        <v>1.46</v>
      </c>
      <c r="T38" s="34">
        <f t="shared" si="7"/>
        <v>120</v>
      </c>
      <c r="U38" s="140">
        <f t="shared" si="8"/>
        <v>1.46</v>
      </c>
      <c r="V38" s="140">
        <v>0</v>
      </c>
      <c r="W38" s="140">
        <f t="shared" si="9"/>
        <v>1.46</v>
      </c>
      <c r="X38" s="2">
        <f t="shared" si="10"/>
        <v>1.0389999999999999</v>
      </c>
      <c r="Y38" s="49">
        <f t="shared" si="11"/>
        <v>1.0389999999999999</v>
      </c>
      <c r="Z38" s="31" t="str">
        <f t="shared" si="4"/>
        <v>открыт</v>
      </c>
    </row>
    <row r="39" spans="1:26" s="1" customFormat="1" ht="11.25" x14ac:dyDescent="0.2">
      <c r="A39" s="5">
        <v>24</v>
      </c>
      <c r="B39" s="32" t="s">
        <v>77</v>
      </c>
      <c r="C39" s="6">
        <v>2.5</v>
      </c>
      <c r="D39" s="2">
        <v>0.76</v>
      </c>
      <c r="E39" s="6">
        <v>1.24</v>
      </c>
      <c r="F39" s="6">
        <v>120</v>
      </c>
      <c r="G39" s="6">
        <f t="shared" si="5"/>
        <v>1.24</v>
      </c>
      <c r="H39" s="6">
        <v>0</v>
      </c>
      <c r="I39" s="6">
        <f t="shared" si="6"/>
        <v>1.24</v>
      </c>
      <c r="J39" s="6">
        <f t="shared" si="0"/>
        <v>0.48</v>
      </c>
      <c r="K39" s="6">
        <f t="shared" si="13"/>
        <v>0.48</v>
      </c>
      <c r="L39" s="7" t="str">
        <f t="shared" si="2"/>
        <v>открыт</v>
      </c>
      <c r="M39" s="48"/>
      <c r="N39" s="5">
        <v>24</v>
      </c>
      <c r="O39" s="33" t="s">
        <v>77</v>
      </c>
      <c r="P39" s="140">
        <v>2.5</v>
      </c>
      <c r="Q39" s="18">
        <v>0.21199999999999999</v>
      </c>
      <c r="R39" s="18">
        <f t="shared" si="14"/>
        <v>0.97199999999999998</v>
      </c>
      <c r="S39" s="2">
        <f t="shared" si="7"/>
        <v>1.24</v>
      </c>
      <c r="T39" s="34">
        <f t="shared" si="7"/>
        <v>120</v>
      </c>
      <c r="U39" s="140">
        <f t="shared" si="8"/>
        <v>1.24</v>
      </c>
      <c r="V39" s="140">
        <v>0</v>
      </c>
      <c r="W39" s="140">
        <f t="shared" si="9"/>
        <v>1.24</v>
      </c>
      <c r="X39" s="2">
        <f t="shared" si="10"/>
        <v>0.26800000000000002</v>
      </c>
      <c r="Y39" s="49">
        <f t="shared" si="11"/>
        <v>0.26800000000000002</v>
      </c>
      <c r="Z39" s="31" t="str">
        <f t="shared" si="4"/>
        <v>открыт</v>
      </c>
    </row>
    <row r="40" spans="1:26" s="1" customFormat="1" ht="22.5" x14ac:dyDescent="0.2">
      <c r="A40" s="5">
        <v>25</v>
      </c>
      <c r="B40" s="32" t="s">
        <v>78</v>
      </c>
      <c r="C40" s="6">
        <v>4</v>
      </c>
      <c r="D40" s="2">
        <v>0.86</v>
      </c>
      <c r="E40" s="6">
        <v>1</v>
      </c>
      <c r="F40" s="6">
        <v>120</v>
      </c>
      <c r="G40" s="6">
        <f t="shared" si="5"/>
        <v>1</v>
      </c>
      <c r="H40" s="6">
        <v>0</v>
      </c>
      <c r="I40" s="6">
        <f t="shared" si="6"/>
        <v>1</v>
      </c>
      <c r="J40" s="6">
        <f t="shared" ref="J40:J61" si="15">I40-D40</f>
        <v>0.14000000000000001</v>
      </c>
      <c r="K40" s="6">
        <f t="shared" si="13"/>
        <v>0.14000000000000001</v>
      </c>
      <c r="L40" s="7" t="str">
        <f t="shared" si="2"/>
        <v>открыт</v>
      </c>
      <c r="M40" s="48"/>
      <c r="N40" s="5">
        <v>25</v>
      </c>
      <c r="O40" s="33" t="s">
        <v>78</v>
      </c>
      <c r="P40" s="140">
        <v>4</v>
      </c>
      <c r="Q40" s="18">
        <v>0</v>
      </c>
      <c r="R40" s="18">
        <f t="shared" si="14"/>
        <v>0.86</v>
      </c>
      <c r="S40" s="2">
        <f t="shared" si="7"/>
        <v>1</v>
      </c>
      <c r="T40" s="34">
        <v>120</v>
      </c>
      <c r="U40" s="140">
        <f t="shared" si="8"/>
        <v>1</v>
      </c>
      <c r="V40" s="140">
        <v>0</v>
      </c>
      <c r="W40" s="140">
        <f t="shared" si="9"/>
        <v>1</v>
      </c>
      <c r="X40" s="2">
        <f t="shared" si="10"/>
        <v>0.14000000000000001</v>
      </c>
      <c r="Y40" s="49">
        <f t="shared" si="11"/>
        <v>0.14000000000000001</v>
      </c>
      <c r="Z40" s="31" t="str">
        <f t="shared" si="4"/>
        <v>открыт</v>
      </c>
    </row>
    <row r="41" spans="1:26" s="1" customFormat="1" ht="11.25" x14ac:dyDescent="0.2">
      <c r="A41" s="5">
        <v>26</v>
      </c>
      <c r="B41" s="32" t="s">
        <v>79</v>
      </c>
      <c r="C41" s="6">
        <v>1.6</v>
      </c>
      <c r="D41" s="2">
        <v>0.27</v>
      </c>
      <c r="E41" s="6">
        <v>0.68</v>
      </c>
      <c r="F41" s="6">
        <v>120</v>
      </c>
      <c r="G41" s="6">
        <f t="shared" si="5"/>
        <v>0.68</v>
      </c>
      <c r="H41" s="6">
        <v>0</v>
      </c>
      <c r="I41" s="6">
        <f t="shared" si="6"/>
        <v>0.68</v>
      </c>
      <c r="J41" s="6">
        <f t="shared" si="15"/>
        <v>0.41000000000000003</v>
      </c>
      <c r="K41" s="6">
        <f t="shared" si="13"/>
        <v>0.41000000000000003</v>
      </c>
      <c r="L41" s="7" t="str">
        <f t="shared" si="2"/>
        <v>открыт</v>
      </c>
      <c r="M41" s="48"/>
      <c r="N41" s="5">
        <v>26</v>
      </c>
      <c r="O41" s="33" t="s">
        <v>79</v>
      </c>
      <c r="P41" s="140">
        <v>1.6</v>
      </c>
      <c r="Q41" s="18">
        <v>3.9E-2</v>
      </c>
      <c r="R41" s="18">
        <f t="shared" si="14"/>
        <v>0.309</v>
      </c>
      <c r="S41" s="2">
        <f t="shared" si="7"/>
        <v>0.68</v>
      </c>
      <c r="T41" s="34">
        <f t="shared" si="7"/>
        <v>120</v>
      </c>
      <c r="U41" s="140">
        <f t="shared" si="8"/>
        <v>0.68</v>
      </c>
      <c r="V41" s="140">
        <v>0</v>
      </c>
      <c r="W41" s="140">
        <f t="shared" si="9"/>
        <v>0.68</v>
      </c>
      <c r="X41" s="2">
        <f t="shared" si="10"/>
        <v>0.37100000000000005</v>
      </c>
      <c r="Y41" s="49">
        <f t="shared" si="11"/>
        <v>0.37100000000000005</v>
      </c>
      <c r="Z41" s="31" t="str">
        <f t="shared" si="4"/>
        <v>открыт</v>
      </c>
    </row>
    <row r="42" spans="1:26" s="1" customFormat="1" ht="11.25" x14ac:dyDescent="0.2">
      <c r="A42" s="5">
        <v>27</v>
      </c>
      <c r="B42" s="32" t="s">
        <v>80</v>
      </c>
      <c r="C42" s="6">
        <v>1.6</v>
      </c>
      <c r="D42" s="2">
        <v>0.28000000000000003</v>
      </c>
      <c r="E42" s="6">
        <v>0.44</v>
      </c>
      <c r="F42" s="6">
        <v>120</v>
      </c>
      <c r="G42" s="6">
        <f t="shared" si="5"/>
        <v>0.44</v>
      </c>
      <c r="H42" s="6">
        <v>0</v>
      </c>
      <c r="I42" s="6">
        <f t="shared" si="6"/>
        <v>0.44</v>
      </c>
      <c r="J42" s="6">
        <f t="shared" si="15"/>
        <v>0.15999999999999998</v>
      </c>
      <c r="K42" s="6">
        <f t="shared" si="13"/>
        <v>0.15999999999999998</v>
      </c>
      <c r="L42" s="7" t="str">
        <f t="shared" si="2"/>
        <v>открыт</v>
      </c>
      <c r="M42" s="48"/>
      <c r="N42" s="5">
        <v>27</v>
      </c>
      <c r="O42" s="33" t="s">
        <v>80</v>
      </c>
      <c r="P42" s="140">
        <v>1.6</v>
      </c>
      <c r="Q42" s="18">
        <v>2E-3</v>
      </c>
      <c r="R42" s="18">
        <f t="shared" si="14"/>
        <v>0.28200000000000003</v>
      </c>
      <c r="S42" s="2">
        <f t="shared" si="7"/>
        <v>0.44</v>
      </c>
      <c r="T42" s="34">
        <f t="shared" si="7"/>
        <v>120</v>
      </c>
      <c r="U42" s="140">
        <f t="shared" si="8"/>
        <v>0.44</v>
      </c>
      <c r="V42" s="140">
        <v>0</v>
      </c>
      <c r="W42" s="140">
        <f t="shared" si="9"/>
        <v>0.44</v>
      </c>
      <c r="X42" s="2">
        <f t="shared" si="10"/>
        <v>0.15799999999999997</v>
      </c>
      <c r="Y42" s="49">
        <f t="shared" si="11"/>
        <v>0.15799999999999997</v>
      </c>
      <c r="Z42" s="31" t="str">
        <f t="shared" si="4"/>
        <v>открыт</v>
      </c>
    </row>
    <row r="43" spans="1:26" s="1" customFormat="1" ht="22.5" x14ac:dyDescent="0.2">
      <c r="A43" s="200">
        <v>28</v>
      </c>
      <c r="B43" s="32" t="s">
        <v>81</v>
      </c>
      <c r="C43" s="6">
        <v>10</v>
      </c>
      <c r="D43" s="2">
        <v>1.97</v>
      </c>
      <c r="E43" s="6">
        <f>E44+E45</f>
        <v>2.13</v>
      </c>
      <c r="F43" s="6">
        <v>120</v>
      </c>
      <c r="G43" s="6">
        <f t="shared" si="5"/>
        <v>2.13</v>
      </c>
      <c r="H43" s="6">
        <v>0</v>
      </c>
      <c r="I43" s="6">
        <f t="shared" si="6"/>
        <v>2.13</v>
      </c>
      <c r="J43" s="6">
        <f t="shared" si="15"/>
        <v>0.15999999999999992</v>
      </c>
      <c r="K43" s="201">
        <v>0.45</v>
      </c>
      <c r="L43" s="197" t="str">
        <f t="shared" si="2"/>
        <v>открыт</v>
      </c>
      <c r="M43" s="48"/>
      <c r="N43" s="200">
        <v>28</v>
      </c>
      <c r="O43" s="33" t="s">
        <v>81</v>
      </c>
      <c r="P43" s="140">
        <v>10</v>
      </c>
      <c r="Q43" s="18">
        <f>Q44+Q45</f>
        <v>4.8000000000000001E-2</v>
      </c>
      <c r="R43" s="18">
        <f>R44+R45</f>
        <v>2.0179999999999998</v>
      </c>
      <c r="S43" s="2">
        <f t="shared" si="7"/>
        <v>2.13</v>
      </c>
      <c r="T43" s="34">
        <f t="shared" si="7"/>
        <v>120</v>
      </c>
      <c r="U43" s="140">
        <f t="shared" si="8"/>
        <v>2.13</v>
      </c>
      <c r="V43" s="140">
        <v>0</v>
      </c>
      <c r="W43" s="140">
        <f t="shared" si="9"/>
        <v>2.13</v>
      </c>
      <c r="X43" s="140">
        <f t="shared" si="10"/>
        <v>0.1120000000000001</v>
      </c>
      <c r="Y43" s="166">
        <f t="shared" si="11"/>
        <v>0.1120000000000001</v>
      </c>
      <c r="Z43" s="139" t="str">
        <f>IF(Y43&lt;0,"закрыт","открыт")</f>
        <v>открыт</v>
      </c>
    </row>
    <row r="44" spans="1:26" s="46" customFormat="1" ht="11.25" x14ac:dyDescent="0.2">
      <c r="A44" s="200"/>
      <c r="B44" s="37" t="s">
        <v>60</v>
      </c>
      <c r="C44" s="38">
        <v>10</v>
      </c>
      <c r="D44" s="2">
        <v>0</v>
      </c>
      <c r="E44" s="38">
        <v>0</v>
      </c>
      <c r="F44" s="38">
        <v>0</v>
      </c>
      <c r="G44" s="6">
        <f t="shared" si="5"/>
        <v>0</v>
      </c>
      <c r="H44" s="38">
        <v>0</v>
      </c>
      <c r="I44" s="6">
        <f t="shared" si="6"/>
        <v>0</v>
      </c>
      <c r="J44" s="6">
        <f t="shared" si="15"/>
        <v>0</v>
      </c>
      <c r="K44" s="201"/>
      <c r="L44" s="197"/>
      <c r="M44" s="48"/>
      <c r="N44" s="200"/>
      <c r="O44" s="40" t="s">
        <v>60</v>
      </c>
      <c r="P44" s="38">
        <v>10</v>
      </c>
      <c r="Q44" s="18">
        <v>0</v>
      </c>
      <c r="R44" s="41">
        <f>Q44+D44</f>
        <v>0</v>
      </c>
      <c r="S44" s="154">
        <f t="shared" si="7"/>
        <v>0</v>
      </c>
      <c r="T44" s="42">
        <f t="shared" si="7"/>
        <v>0</v>
      </c>
      <c r="U44" s="38">
        <f t="shared" si="8"/>
        <v>0</v>
      </c>
      <c r="V44" s="38">
        <v>0</v>
      </c>
      <c r="W44" s="38">
        <f t="shared" si="9"/>
        <v>0</v>
      </c>
      <c r="X44" s="38">
        <f t="shared" si="10"/>
        <v>0</v>
      </c>
      <c r="Y44" s="167"/>
      <c r="Z44" s="147"/>
    </row>
    <row r="45" spans="1:26" s="1" customFormat="1" ht="11.25" x14ac:dyDescent="0.2">
      <c r="A45" s="200"/>
      <c r="B45" s="32" t="s">
        <v>61</v>
      </c>
      <c r="C45" s="6">
        <v>10</v>
      </c>
      <c r="D45" s="2">
        <v>1.97</v>
      </c>
      <c r="E45" s="6">
        <v>2.13</v>
      </c>
      <c r="F45" s="6">
        <v>120</v>
      </c>
      <c r="G45" s="6">
        <f t="shared" si="5"/>
        <v>2.13</v>
      </c>
      <c r="H45" s="6">
        <v>0</v>
      </c>
      <c r="I45" s="6">
        <f t="shared" si="6"/>
        <v>2.13</v>
      </c>
      <c r="J45" s="6">
        <f t="shared" si="15"/>
        <v>0.15999999999999992</v>
      </c>
      <c r="K45" s="201"/>
      <c r="L45" s="197"/>
      <c r="M45" s="48"/>
      <c r="N45" s="200"/>
      <c r="O45" s="33" t="s">
        <v>61</v>
      </c>
      <c r="P45" s="140">
        <v>10</v>
      </c>
      <c r="Q45" s="18">
        <v>4.8000000000000001E-2</v>
      </c>
      <c r="R45" s="18">
        <f>Q45+D45</f>
        <v>2.0179999999999998</v>
      </c>
      <c r="S45" s="2">
        <f t="shared" si="7"/>
        <v>2.13</v>
      </c>
      <c r="T45" s="34">
        <f t="shared" si="7"/>
        <v>120</v>
      </c>
      <c r="U45" s="140">
        <f t="shared" si="8"/>
        <v>2.13</v>
      </c>
      <c r="V45" s="38">
        <v>0</v>
      </c>
      <c r="W45" s="140">
        <f t="shared" si="9"/>
        <v>2.13</v>
      </c>
      <c r="X45" s="140">
        <f t="shared" si="10"/>
        <v>0.1120000000000001</v>
      </c>
      <c r="Y45" s="168"/>
      <c r="Z45" s="148"/>
    </row>
    <row r="46" spans="1:26" s="1" customFormat="1" ht="22.5" x14ac:dyDescent="0.2">
      <c r="A46" s="202">
        <v>29</v>
      </c>
      <c r="B46" s="47" t="s">
        <v>82</v>
      </c>
      <c r="C46" s="3">
        <v>10</v>
      </c>
      <c r="D46" s="4">
        <v>1.4100000000000001</v>
      </c>
      <c r="E46" s="3">
        <f>E47+E48</f>
        <v>0.69000000000000006</v>
      </c>
      <c r="F46" s="3">
        <v>120</v>
      </c>
      <c r="G46" s="3">
        <f t="shared" si="5"/>
        <v>0.69000000000000006</v>
      </c>
      <c r="H46" s="3">
        <v>0</v>
      </c>
      <c r="I46" s="3">
        <f t="shared" si="6"/>
        <v>0.69000000000000006</v>
      </c>
      <c r="J46" s="3">
        <f t="shared" si="15"/>
        <v>-0.72000000000000008</v>
      </c>
      <c r="K46" s="203">
        <f>MIN(J46:J48)</f>
        <v>-0.72000000000000008</v>
      </c>
      <c r="L46" s="204" t="str">
        <f t="shared" si="2"/>
        <v>закрыт</v>
      </c>
      <c r="M46" s="48"/>
      <c r="N46" s="202">
        <v>29</v>
      </c>
      <c r="O46" s="43" t="s">
        <v>82</v>
      </c>
      <c r="P46" s="3">
        <v>10</v>
      </c>
      <c r="Q46" s="19">
        <f>Q47+Q48</f>
        <v>0.13300000000000001</v>
      </c>
      <c r="R46" s="19">
        <f>R47+R48</f>
        <v>1.5430000000000001</v>
      </c>
      <c r="S46" s="3">
        <f>S47+S48</f>
        <v>0.69000000000000006</v>
      </c>
      <c r="T46" s="44">
        <f t="shared" si="7"/>
        <v>120</v>
      </c>
      <c r="U46" s="3">
        <f t="shared" si="8"/>
        <v>0.69000000000000006</v>
      </c>
      <c r="V46" s="3">
        <v>0</v>
      </c>
      <c r="W46" s="3">
        <f t="shared" si="9"/>
        <v>0.69000000000000006</v>
      </c>
      <c r="X46" s="161">
        <f t="shared" si="10"/>
        <v>-0.85300000000000009</v>
      </c>
      <c r="Y46" s="155">
        <f t="shared" si="11"/>
        <v>-0.85300000000000009</v>
      </c>
      <c r="Z46" s="158" t="str">
        <f>IF(Y46&lt;0,"закрыт","открыт")</f>
        <v>закрыт</v>
      </c>
    </row>
    <row r="47" spans="1:26" s="1" customFormat="1" ht="11.25" x14ac:dyDescent="0.2">
      <c r="A47" s="202"/>
      <c r="B47" s="47" t="s">
        <v>60</v>
      </c>
      <c r="C47" s="3">
        <v>10</v>
      </c>
      <c r="D47" s="4">
        <v>0.73</v>
      </c>
      <c r="E47" s="3">
        <v>0.16</v>
      </c>
      <c r="F47" s="3">
        <v>180</v>
      </c>
      <c r="G47" s="3">
        <f t="shared" si="5"/>
        <v>0.16</v>
      </c>
      <c r="H47" s="3">
        <v>0</v>
      </c>
      <c r="I47" s="3">
        <f t="shared" si="6"/>
        <v>0.16</v>
      </c>
      <c r="J47" s="3">
        <f t="shared" si="15"/>
        <v>-0.56999999999999995</v>
      </c>
      <c r="K47" s="203"/>
      <c r="L47" s="204"/>
      <c r="M47" s="48"/>
      <c r="N47" s="202"/>
      <c r="O47" s="43" t="s">
        <v>60</v>
      </c>
      <c r="P47" s="3">
        <v>10</v>
      </c>
      <c r="Q47" s="19">
        <f>Q57</f>
        <v>9.8000000000000004E-2</v>
      </c>
      <c r="R47" s="19">
        <f>Q47+D47</f>
        <v>0.82799999999999996</v>
      </c>
      <c r="S47" s="3">
        <v>0.16</v>
      </c>
      <c r="T47" s="44">
        <f t="shared" si="7"/>
        <v>180</v>
      </c>
      <c r="U47" s="3">
        <f t="shared" si="8"/>
        <v>0.16</v>
      </c>
      <c r="V47" s="3">
        <v>0</v>
      </c>
      <c r="W47" s="3">
        <f t="shared" si="9"/>
        <v>0.16</v>
      </c>
      <c r="X47" s="161">
        <f t="shared" si="10"/>
        <v>-0.66799999999999993</v>
      </c>
      <c r="Y47" s="156"/>
      <c r="Z47" s="159"/>
    </row>
    <row r="48" spans="1:26" s="1" customFormat="1" ht="11.25" x14ac:dyDescent="0.2">
      <c r="A48" s="202"/>
      <c r="B48" s="47" t="s">
        <v>61</v>
      </c>
      <c r="C48" s="3">
        <v>10</v>
      </c>
      <c r="D48" s="4">
        <v>0.68</v>
      </c>
      <c r="E48" s="3">
        <v>0.53</v>
      </c>
      <c r="F48" s="3">
        <v>120</v>
      </c>
      <c r="G48" s="3">
        <f t="shared" si="5"/>
        <v>0.53</v>
      </c>
      <c r="H48" s="3">
        <v>0</v>
      </c>
      <c r="I48" s="3">
        <f t="shared" si="6"/>
        <v>0.53</v>
      </c>
      <c r="J48" s="3">
        <f t="shared" si="15"/>
        <v>-0.15000000000000002</v>
      </c>
      <c r="K48" s="203"/>
      <c r="L48" s="204"/>
      <c r="M48" s="48"/>
      <c r="N48" s="202"/>
      <c r="O48" s="43" t="s">
        <v>61</v>
      </c>
      <c r="P48" s="3">
        <v>10</v>
      </c>
      <c r="Q48" s="19">
        <v>3.5000000000000003E-2</v>
      </c>
      <c r="R48" s="19">
        <f>Q48+D48</f>
        <v>0.71500000000000008</v>
      </c>
      <c r="S48" s="3">
        <v>0.53</v>
      </c>
      <c r="T48" s="44">
        <f t="shared" si="7"/>
        <v>120</v>
      </c>
      <c r="U48" s="3">
        <f t="shared" si="8"/>
        <v>0.53</v>
      </c>
      <c r="V48" s="3">
        <v>0</v>
      </c>
      <c r="W48" s="3">
        <f t="shared" si="9"/>
        <v>0.53</v>
      </c>
      <c r="X48" s="161">
        <f t="shared" si="10"/>
        <v>-0.18500000000000005</v>
      </c>
      <c r="Y48" s="157"/>
      <c r="Z48" s="160"/>
    </row>
    <row r="49" spans="1:26" s="46" customFormat="1" ht="22.5" x14ac:dyDescent="0.2">
      <c r="A49" s="205">
        <v>30</v>
      </c>
      <c r="B49" s="37" t="s">
        <v>83</v>
      </c>
      <c r="C49" s="38">
        <v>10</v>
      </c>
      <c r="D49" s="2">
        <v>3.3499999999999996</v>
      </c>
      <c r="E49" s="38">
        <f>E50+E51</f>
        <v>8.9600000000000009</v>
      </c>
      <c r="F49" s="38">
        <v>120</v>
      </c>
      <c r="G49" s="38">
        <f t="shared" si="5"/>
        <v>8.9600000000000009</v>
      </c>
      <c r="H49" s="38">
        <v>0</v>
      </c>
      <c r="I49" s="38">
        <f t="shared" si="6"/>
        <v>8.9600000000000009</v>
      </c>
      <c r="J49" s="38">
        <f t="shared" si="15"/>
        <v>5.6100000000000012</v>
      </c>
      <c r="K49" s="201">
        <f>MIN(J49:J51)</f>
        <v>1.3499999999999999</v>
      </c>
      <c r="L49" s="206" t="str">
        <f>IF(K49&lt;0,"закрыт","открыт")</f>
        <v>открыт</v>
      </c>
      <c r="M49" s="48"/>
      <c r="N49" s="205">
        <v>30</v>
      </c>
      <c r="O49" s="40" t="s">
        <v>83</v>
      </c>
      <c r="P49" s="38">
        <v>10</v>
      </c>
      <c r="Q49" s="18">
        <f>Q50+Q51</f>
        <v>0.62</v>
      </c>
      <c r="R49" s="41">
        <f>R50+R51</f>
        <v>3.9699999999999998</v>
      </c>
      <c r="S49" s="154">
        <f t="shared" si="7"/>
        <v>8.9600000000000009</v>
      </c>
      <c r="T49" s="42">
        <f t="shared" si="7"/>
        <v>120</v>
      </c>
      <c r="U49" s="38">
        <f t="shared" si="8"/>
        <v>8.9600000000000009</v>
      </c>
      <c r="V49" s="38">
        <v>0</v>
      </c>
      <c r="W49" s="38">
        <f t="shared" si="9"/>
        <v>8.9600000000000009</v>
      </c>
      <c r="X49" s="154">
        <f t="shared" si="10"/>
        <v>4.9900000000000011</v>
      </c>
      <c r="Y49" s="151">
        <f>X51</f>
        <v>1.2769999999999999</v>
      </c>
      <c r="Z49" s="170" t="str">
        <f>IF(Y49&lt;0,"закрыт","открыт")</f>
        <v>открыт</v>
      </c>
    </row>
    <row r="50" spans="1:26" s="46" customFormat="1" ht="11.25" x14ac:dyDescent="0.2">
      <c r="A50" s="205"/>
      <c r="B50" s="37" t="s">
        <v>60</v>
      </c>
      <c r="C50" s="38">
        <v>10</v>
      </c>
      <c r="D50" s="2">
        <v>2.36</v>
      </c>
      <c r="E50" s="38">
        <v>6.62</v>
      </c>
      <c r="F50" s="38">
        <v>120</v>
      </c>
      <c r="G50" s="38">
        <f t="shared" si="5"/>
        <v>6.62</v>
      </c>
      <c r="H50" s="38">
        <v>0</v>
      </c>
      <c r="I50" s="38">
        <f t="shared" si="6"/>
        <v>6.62</v>
      </c>
      <c r="J50" s="38">
        <f t="shared" si="15"/>
        <v>4.26</v>
      </c>
      <c r="K50" s="201"/>
      <c r="L50" s="206"/>
      <c r="M50" s="48"/>
      <c r="N50" s="205"/>
      <c r="O50" s="40" t="s">
        <v>60</v>
      </c>
      <c r="P50" s="38">
        <v>10</v>
      </c>
      <c r="Q50" s="18">
        <f>Q54+Q203</f>
        <v>0.54700000000000004</v>
      </c>
      <c r="R50" s="41">
        <f t="shared" ref="R50:R64" si="16">Q50+D50</f>
        <v>2.907</v>
      </c>
      <c r="S50" s="154">
        <f t="shared" si="7"/>
        <v>6.62</v>
      </c>
      <c r="T50" s="42">
        <f t="shared" si="7"/>
        <v>120</v>
      </c>
      <c r="U50" s="38">
        <f t="shared" si="8"/>
        <v>6.62</v>
      </c>
      <c r="V50" s="38">
        <v>0</v>
      </c>
      <c r="W50" s="38">
        <f t="shared" si="9"/>
        <v>6.62</v>
      </c>
      <c r="X50" s="154">
        <f t="shared" si="10"/>
        <v>3.7130000000000001</v>
      </c>
      <c r="Y50" s="152"/>
      <c r="Z50" s="171"/>
    </row>
    <row r="51" spans="1:26" s="46" customFormat="1" ht="11.25" x14ac:dyDescent="0.2">
      <c r="A51" s="205"/>
      <c r="B51" s="37" t="s">
        <v>61</v>
      </c>
      <c r="C51" s="38">
        <v>10</v>
      </c>
      <c r="D51" s="2">
        <v>0.99</v>
      </c>
      <c r="E51" s="38">
        <v>2.34</v>
      </c>
      <c r="F51" s="38">
        <v>120</v>
      </c>
      <c r="G51" s="38">
        <f t="shared" si="5"/>
        <v>2.34</v>
      </c>
      <c r="H51" s="38">
        <v>0</v>
      </c>
      <c r="I51" s="38">
        <f t="shared" si="6"/>
        <v>2.34</v>
      </c>
      <c r="J51" s="38">
        <f t="shared" si="15"/>
        <v>1.3499999999999999</v>
      </c>
      <c r="K51" s="201"/>
      <c r="L51" s="206"/>
      <c r="M51" s="48"/>
      <c r="N51" s="205"/>
      <c r="O51" s="40" t="s">
        <v>61</v>
      </c>
      <c r="P51" s="38">
        <v>10</v>
      </c>
      <c r="Q51" s="18">
        <v>7.2999999999999995E-2</v>
      </c>
      <c r="R51" s="41">
        <f t="shared" si="16"/>
        <v>1.0629999999999999</v>
      </c>
      <c r="S51" s="154">
        <f t="shared" si="7"/>
        <v>2.34</v>
      </c>
      <c r="T51" s="42">
        <f t="shared" si="7"/>
        <v>120</v>
      </c>
      <c r="U51" s="38">
        <f t="shared" si="8"/>
        <v>2.34</v>
      </c>
      <c r="V51" s="38">
        <v>0</v>
      </c>
      <c r="W51" s="38">
        <f t="shared" si="9"/>
        <v>2.34</v>
      </c>
      <c r="X51" s="154">
        <f t="shared" si="10"/>
        <v>1.2769999999999999</v>
      </c>
      <c r="Y51" s="153"/>
      <c r="Z51" s="172"/>
    </row>
    <row r="52" spans="1:26" s="1" customFormat="1" ht="11.25" x14ac:dyDescent="0.2">
      <c r="A52" s="5">
        <v>31</v>
      </c>
      <c r="B52" s="32" t="s">
        <v>84</v>
      </c>
      <c r="C52" s="6">
        <v>1.6</v>
      </c>
      <c r="D52" s="2">
        <v>0.47</v>
      </c>
      <c r="E52" s="6">
        <v>0.68</v>
      </c>
      <c r="F52" s="6">
        <v>120</v>
      </c>
      <c r="G52" s="6">
        <f t="shared" si="5"/>
        <v>0.68</v>
      </c>
      <c r="H52" s="6">
        <v>0</v>
      </c>
      <c r="I52" s="6">
        <f t="shared" si="6"/>
        <v>0.68</v>
      </c>
      <c r="J52" s="6">
        <f t="shared" si="15"/>
        <v>0.21000000000000008</v>
      </c>
      <c r="K52" s="6">
        <f t="shared" ref="K52:K64" si="17">J52</f>
        <v>0.21000000000000008</v>
      </c>
      <c r="L52" s="7" t="str">
        <f t="shared" ref="L52:L65" si="18">IF(K52&lt;0,"закрыт","открыт")</f>
        <v>открыт</v>
      </c>
      <c r="M52" s="48"/>
      <c r="N52" s="5">
        <v>31</v>
      </c>
      <c r="O52" s="33" t="s">
        <v>84</v>
      </c>
      <c r="P52" s="140">
        <v>1.6</v>
      </c>
      <c r="Q52" s="18">
        <v>0</v>
      </c>
      <c r="R52" s="18">
        <f t="shared" si="16"/>
        <v>0.47</v>
      </c>
      <c r="S52" s="2">
        <f t="shared" si="7"/>
        <v>0.68</v>
      </c>
      <c r="T52" s="34">
        <f t="shared" si="7"/>
        <v>120</v>
      </c>
      <c r="U52" s="140">
        <f t="shared" si="8"/>
        <v>0.68</v>
      </c>
      <c r="V52" s="38">
        <v>0</v>
      </c>
      <c r="W52" s="140">
        <f t="shared" si="9"/>
        <v>0.68</v>
      </c>
      <c r="X52" s="2">
        <f t="shared" si="10"/>
        <v>0.21000000000000008</v>
      </c>
      <c r="Y52" s="49">
        <f t="shared" si="11"/>
        <v>0.21000000000000008</v>
      </c>
      <c r="Z52" s="31" t="str">
        <f>IF(Y52&lt;0,"закрыт","открыт")</f>
        <v>открыт</v>
      </c>
    </row>
    <row r="53" spans="1:26" s="1" customFormat="1" ht="11.25" x14ac:dyDescent="0.2">
      <c r="A53" s="5">
        <v>32</v>
      </c>
      <c r="B53" s="32" t="s">
        <v>85</v>
      </c>
      <c r="C53" s="6">
        <v>1.8</v>
      </c>
      <c r="D53" s="2">
        <v>0.02</v>
      </c>
      <c r="E53" s="6">
        <v>0.88</v>
      </c>
      <c r="F53" s="6">
        <v>120</v>
      </c>
      <c r="G53" s="6">
        <f t="shared" si="5"/>
        <v>0.88</v>
      </c>
      <c r="H53" s="6">
        <v>0</v>
      </c>
      <c r="I53" s="6">
        <f t="shared" si="6"/>
        <v>0.88</v>
      </c>
      <c r="J53" s="6">
        <f t="shared" si="15"/>
        <v>0.86</v>
      </c>
      <c r="K53" s="6">
        <f t="shared" si="17"/>
        <v>0.86</v>
      </c>
      <c r="L53" s="7" t="str">
        <f t="shared" si="18"/>
        <v>открыт</v>
      </c>
      <c r="M53" s="48"/>
      <c r="N53" s="5">
        <v>32</v>
      </c>
      <c r="O53" s="33" t="s">
        <v>85</v>
      </c>
      <c r="P53" s="140">
        <v>1.8</v>
      </c>
      <c r="Q53" s="18">
        <v>0</v>
      </c>
      <c r="R53" s="18">
        <f t="shared" si="16"/>
        <v>0.02</v>
      </c>
      <c r="S53" s="2">
        <f t="shared" si="7"/>
        <v>0.88</v>
      </c>
      <c r="T53" s="34">
        <f t="shared" si="7"/>
        <v>120</v>
      </c>
      <c r="U53" s="140">
        <f t="shared" si="8"/>
        <v>0.88</v>
      </c>
      <c r="V53" s="38">
        <v>0</v>
      </c>
      <c r="W53" s="140">
        <f t="shared" si="9"/>
        <v>0.88</v>
      </c>
      <c r="X53" s="2">
        <f t="shared" si="10"/>
        <v>0.86</v>
      </c>
      <c r="Y53" s="49">
        <f t="shared" si="11"/>
        <v>0.86</v>
      </c>
      <c r="Z53" s="31" t="str">
        <f t="shared" ref="Z53:Z116" si="19">IF(Y53&lt;0,"закрыт","открыт")</f>
        <v>открыт</v>
      </c>
    </row>
    <row r="54" spans="1:26" s="1" customFormat="1" ht="11.25" x14ac:dyDescent="0.2">
      <c r="A54" s="5">
        <v>33</v>
      </c>
      <c r="B54" s="32" t="s">
        <v>86</v>
      </c>
      <c r="C54" s="6">
        <v>2.5</v>
      </c>
      <c r="D54" s="2">
        <v>0.69</v>
      </c>
      <c r="E54" s="6">
        <v>1.39</v>
      </c>
      <c r="F54" s="6">
        <v>120</v>
      </c>
      <c r="G54" s="6">
        <f t="shared" si="5"/>
        <v>1.39</v>
      </c>
      <c r="H54" s="6">
        <v>0</v>
      </c>
      <c r="I54" s="6">
        <f t="shared" si="6"/>
        <v>1.39</v>
      </c>
      <c r="J54" s="6">
        <f t="shared" si="15"/>
        <v>0.7</v>
      </c>
      <c r="K54" s="6">
        <f t="shared" si="17"/>
        <v>0.7</v>
      </c>
      <c r="L54" s="7" t="str">
        <f t="shared" si="18"/>
        <v>открыт</v>
      </c>
      <c r="M54" s="48"/>
      <c r="N54" s="5">
        <v>33</v>
      </c>
      <c r="O54" s="33" t="s">
        <v>86</v>
      </c>
      <c r="P54" s="140">
        <v>2.5</v>
      </c>
      <c r="Q54" s="18">
        <v>0.215</v>
      </c>
      <c r="R54" s="18">
        <f t="shared" si="16"/>
        <v>0.90499999999999992</v>
      </c>
      <c r="S54" s="2">
        <f t="shared" si="7"/>
        <v>1.39</v>
      </c>
      <c r="T54" s="34">
        <f t="shared" si="7"/>
        <v>120</v>
      </c>
      <c r="U54" s="140">
        <f t="shared" si="8"/>
        <v>1.39</v>
      </c>
      <c r="V54" s="140">
        <v>0</v>
      </c>
      <c r="W54" s="140">
        <f t="shared" si="9"/>
        <v>1.39</v>
      </c>
      <c r="X54" s="2">
        <f t="shared" si="10"/>
        <v>0.48499999999999999</v>
      </c>
      <c r="Y54" s="49">
        <f t="shared" si="11"/>
        <v>0.48499999999999999</v>
      </c>
      <c r="Z54" s="31" t="str">
        <f t="shared" si="19"/>
        <v>открыт</v>
      </c>
    </row>
    <row r="55" spans="1:26" s="1" customFormat="1" ht="11.25" x14ac:dyDescent="0.2">
      <c r="A55" s="36">
        <v>34</v>
      </c>
      <c r="B55" s="37" t="s">
        <v>87</v>
      </c>
      <c r="C55" s="38">
        <v>1.6</v>
      </c>
      <c r="D55" s="2">
        <v>0.35</v>
      </c>
      <c r="E55" s="38">
        <v>1.6</v>
      </c>
      <c r="F55" s="38" t="s">
        <v>88</v>
      </c>
      <c r="G55" s="38">
        <f t="shared" si="5"/>
        <v>1.6</v>
      </c>
      <c r="H55" s="38">
        <v>0</v>
      </c>
      <c r="I55" s="38">
        <f t="shared" si="6"/>
        <v>1.6</v>
      </c>
      <c r="J55" s="38">
        <f t="shared" si="15"/>
        <v>1.25</v>
      </c>
      <c r="K55" s="38">
        <f t="shared" si="17"/>
        <v>1.25</v>
      </c>
      <c r="L55" s="53" t="str">
        <f t="shared" si="18"/>
        <v>открыт</v>
      </c>
      <c r="M55" s="48"/>
      <c r="N55" s="36">
        <v>34</v>
      </c>
      <c r="O55" s="40" t="s">
        <v>87</v>
      </c>
      <c r="P55" s="38">
        <v>1.6</v>
      </c>
      <c r="Q55" s="18">
        <v>4.7E-2</v>
      </c>
      <c r="R55" s="41">
        <f t="shared" si="16"/>
        <v>0.39699999999999996</v>
      </c>
      <c r="S55" s="154">
        <f t="shared" si="7"/>
        <v>1.6</v>
      </c>
      <c r="T55" s="42"/>
      <c r="U55" s="38">
        <f t="shared" si="8"/>
        <v>1.6</v>
      </c>
      <c r="V55" s="38">
        <v>0</v>
      </c>
      <c r="W55" s="38">
        <f t="shared" si="9"/>
        <v>1.6</v>
      </c>
      <c r="X55" s="154">
        <f t="shared" si="10"/>
        <v>1.2030000000000001</v>
      </c>
      <c r="Y55" s="54">
        <f t="shared" si="11"/>
        <v>1.2030000000000001</v>
      </c>
      <c r="Z55" s="39" t="str">
        <f t="shared" si="19"/>
        <v>открыт</v>
      </c>
    </row>
    <row r="56" spans="1:26" s="1" customFormat="1" ht="11.25" x14ac:dyDescent="0.2">
      <c r="A56" s="36">
        <v>35</v>
      </c>
      <c r="B56" s="37" t="s">
        <v>89</v>
      </c>
      <c r="C56" s="38">
        <v>2.5</v>
      </c>
      <c r="D56" s="2">
        <v>0.27</v>
      </c>
      <c r="E56" s="38">
        <v>0.31</v>
      </c>
      <c r="F56" s="38">
        <v>80</v>
      </c>
      <c r="G56" s="38">
        <f t="shared" si="5"/>
        <v>0.31</v>
      </c>
      <c r="H56" s="38">
        <v>0</v>
      </c>
      <c r="I56" s="38">
        <f t="shared" si="6"/>
        <v>0.31</v>
      </c>
      <c r="J56" s="38">
        <f t="shared" si="15"/>
        <v>3.999999999999998E-2</v>
      </c>
      <c r="K56" s="38">
        <f t="shared" si="17"/>
        <v>3.999999999999998E-2</v>
      </c>
      <c r="L56" s="53" t="str">
        <f t="shared" si="18"/>
        <v>открыт</v>
      </c>
      <c r="M56" s="48"/>
      <c r="N56" s="36">
        <v>35</v>
      </c>
      <c r="O56" s="40" t="s">
        <v>89</v>
      </c>
      <c r="P56" s="38">
        <v>2.5</v>
      </c>
      <c r="Q56" s="18">
        <v>1.4E-2</v>
      </c>
      <c r="R56" s="41">
        <f t="shared" si="16"/>
        <v>0.28400000000000003</v>
      </c>
      <c r="S56" s="154">
        <f t="shared" si="7"/>
        <v>0.31</v>
      </c>
      <c r="T56" s="42">
        <f t="shared" si="7"/>
        <v>80</v>
      </c>
      <c r="U56" s="38">
        <f t="shared" si="8"/>
        <v>0.31</v>
      </c>
      <c r="V56" s="38">
        <v>0</v>
      </c>
      <c r="W56" s="38">
        <f t="shared" si="9"/>
        <v>0.31</v>
      </c>
      <c r="X56" s="154">
        <f t="shared" si="10"/>
        <v>2.5999999999999968E-2</v>
      </c>
      <c r="Y56" s="54">
        <f t="shared" si="11"/>
        <v>2.5999999999999968E-2</v>
      </c>
      <c r="Z56" s="39" t="str">
        <f t="shared" si="19"/>
        <v>открыт</v>
      </c>
    </row>
    <row r="57" spans="1:26" s="1" customFormat="1" ht="11.25" x14ac:dyDescent="0.2">
      <c r="A57" s="36">
        <v>36</v>
      </c>
      <c r="B57" s="37" t="s">
        <v>90</v>
      </c>
      <c r="C57" s="38">
        <v>1.8</v>
      </c>
      <c r="D57" s="2">
        <v>0.73</v>
      </c>
      <c r="E57" s="38">
        <v>1.6</v>
      </c>
      <c r="F57" s="38" t="s">
        <v>88</v>
      </c>
      <c r="G57" s="38">
        <f t="shared" si="5"/>
        <v>1.6</v>
      </c>
      <c r="H57" s="38">
        <v>0</v>
      </c>
      <c r="I57" s="38">
        <f t="shared" si="6"/>
        <v>1.6</v>
      </c>
      <c r="J57" s="38">
        <f t="shared" si="15"/>
        <v>0.87000000000000011</v>
      </c>
      <c r="K57" s="38">
        <f t="shared" si="17"/>
        <v>0.87000000000000011</v>
      </c>
      <c r="L57" s="53" t="str">
        <f t="shared" si="18"/>
        <v>открыт</v>
      </c>
      <c r="M57" s="48"/>
      <c r="N57" s="36">
        <v>36</v>
      </c>
      <c r="O57" s="40" t="s">
        <v>90</v>
      </c>
      <c r="P57" s="38">
        <v>1.8</v>
      </c>
      <c r="Q57" s="18">
        <v>9.8000000000000004E-2</v>
      </c>
      <c r="R57" s="41">
        <f t="shared" si="16"/>
        <v>0.82799999999999996</v>
      </c>
      <c r="S57" s="154">
        <f t="shared" si="7"/>
        <v>1.6</v>
      </c>
      <c r="T57" s="42" t="str">
        <f t="shared" si="7"/>
        <v>1сутки</v>
      </c>
      <c r="U57" s="38">
        <f t="shared" si="8"/>
        <v>1.6</v>
      </c>
      <c r="V57" s="38">
        <v>0</v>
      </c>
      <c r="W57" s="38">
        <f t="shared" si="9"/>
        <v>1.6</v>
      </c>
      <c r="X57" s="154">
        <f t="shared" si="10"/>
        <v>0.77200000000000013</v>
      </c>
      <c r="Y57" s="54">
        <f t="shared" si="11"/>
        <v>0.77200000000000013</v>
      </c>
      <c r="Z57" s="39" t="str">
        <f t="shared" si="19"/>
        <v>открыт</v>
      </c>
    </row>
    <row r="58" spans="1:26" s="1" customFormat="1" ht="11.25" x14ac:dyDescent="0.2">
      <c r="A58" s="36">
        <v>37</v>
      </c>
      <c r="B58" s="37" t="s">
        <v>91</v>
      </c>
      <c r="C58" s="38">
        <v>2.5</v>
      </c>
      <c r="D58" s="2">
        <v>0.6</v>
      </c>
      <c r="E58" s="38">
        <v>1.6</v>
      </c>
      <c r="F58" s="38" t="s">
        <v>88</v>
      </c>
      <c r="G58" s="38">
        <f t="shared" si="5"/>
        <v>1.6</v>
      </c>
      <c r="H58" s="38">
        <v>0</v>
      </c>
      <c r="I58" s="38">
        <f t="shared" si="6"/>
        <v>1.6</v>
      </c>
      <c r="J58" s="38">
        <f t="shared" si="15"/>
        <v>1</v>
      </c>
      <c r="K58" s="38">
        <f t="shared" si="17"/>
        <v>1</v>
      </c>
      <c r="L58" s="53" t="str">
        <f t="shared" si="18"/>
        <v>открыт</v>
      </c>
      <c r="M58" s="48"/>
      <c r="N58" s="36">
        <v>37</v>
      </c>
      <c r="O58" s="40" t="s">
        <v>91</v>
      </c>
      <c r="P58" s="38">
        <v>2.5</v>
      </c>
      <c r="Q58" s="18">
        <v>1.4E-2</v>
      </c>
      <c r="R58" s="41">
        <f t="shared" si="16"/>
        <v>0.61399999999999999</v>
      </c>
      <c r="S58" s="154">
        <f t="shared" si="7"/>
        <v>1.6</v>
      </c>
      <c r="T58" s="42" t="str">
        <f t="shared" si="7"/>
        <v>1сутки</v>
      </c>
      <c r="U58" s="38">
        <f t="shared" si="8"/>
        <v>1.6</v>
      </c>
      <c r="V58" s="38">
        <v>0</v>
      </c>
      <c r="W58" s="38">
        <f t="shared" si="9"/>
        <v>1.6</v>
      </c>
      <c r="X58" s="154">
        <f t="shared" si="10"/>
        <v>0.9860000000000001</v>
      </c>
      <c r="Y58" s="54">
        <f t="shared" si="11"/>
        <v>0.9860000000000001</v>
      </c>
      <c r="Z58" s="39" t="str">
        <f t="shared" si="19"/>
        <v>открыт</v>
      </c>
    </row>
    <row r="59" spans="1:26" s="1" customFormat="1" ht="11.25" x14ac:dyDescent="0.2">
      <c r="A59" s="36">
        <v>38</v>
      </c>
      <c r="B59" s="37" t="s">
        <v>92</v>
      </c>
      <c r="C59" s="38">
        <v>1.6</v>
      </c>
      <c r="D59" s="2">
        <v>0.68</v>
      </c>
      <c r="E59" s="38">
        <v>1.6</v>
      </c>
      <c r="F59" s="38" t="s">
        <v>88</v>
      </c>
      <c r="G59" s="38">
        <f t="shared" si="5"/>
        <v>1.6</v>
      </c>
      <c r="H59" s="38">
        <v>0</v>
      </c>
      <c r="I59" s="38">
        <f t="shared" si="6"/>
        <v>1.6</v>
      </c>
      <c r="J59" s="38">
        <f t="shared" si="15"/>
        <v>0.92</v>
      </c>
      <c r="K59" s="38">
        <f t="shared" si="17"/>
        <v>0.92</v>
      </c>
      <c r="L59" s="53" t="str">
        <f t="shared" si="18"/>
        <v>открыт</v>
      </c>
      <c r="M59" s="48"/>
      <c r="N59" s="36">
        <v>38</v>
      </c>
      <c r="O59" s="40" t="s">
        <v>92</v>
      </c>
      <c r="P59" s="38">
        <v>1.6</v>
      </c>
      <c r="Q59" s="18">
        <v>3.2000000000000001E-2</v>
      </c>
      <c r="R59" s="41">
        <f t="shared" si="16"/>
        <v>0.71200000000000008</v>
      </c>
      <c r="S59" s="154">
        <f t="shared" si="7"/>
        <v>1.6</v>
      </c>
      <c r="T59" s="42" t="str">
        <f t="shared" si="7"/>
        <v>1сутки</v>
      </c>
      <c r="U59" s="38">
        <f t="shared" si="8"/>
        <v>1.6</v>
      </c>
      <c r="V59" s="38">
        <v>0</v>
      </c>
      <c r="W59" s="38">
        <f t="shared" si="9"/>
        <v>1.6</v>
      </c>
      <c r="X59" s="154">
        <f t="shared" si="10"/>
        <v>0.88800000000000001</v>
      </c>
      <c r="Y59" s="54">
        <f t="shared" si="11"/>
        <v>0.88800000000000001</v>
      </c>
      <c r="Z59" s="39" t="str">
        <f t="shared" si="19"/>
        <v>открыт</v>
      </c>
    </row>
    <row r="60" spans="1:26" s="1" customFormat="1" ht="11.25" x14ac:dyDescent="0.2">
      <c r="A60" s="36">
        <v>39</v>
      </c>
      <c r="B60" s="37" t="s">
        <v>93</v>
      </c>
      <c r="C60" s="38">
        <v>1</v>
      </c>
      <c r="D60" s="2">
        <v>0.31</v>
      </c>
      <c r="E60" s="38">
        <v>1.6</v>
      </c>
      <c r="F60" s="38" t="s">
        <v>88</v>
      </c>
      <c r="G60" s="38">
        <f t="shared" si="5"/>
        <v>1.6</v>
      </c>
      <c r="H60" s="38">
        <v>0</v>
      </c>
      <c r="I60" s="38">
        <f t="shared" si="6"/>
        <v>1.6</v>
      </c>
      <c r="J60" s="38">
        <f t="shared" si="15"/>
        <v>1.29</v>
      </c>
      <c r="K60" s="38">
        <f t="shared" si="17"/>
        <v>1.29</v>
      </c>
      <c r="L60" s="53" t="str">
        <f t="shared" si="18"/>
        <v>открыт</v>
      </c>
      <c r="M60" s="48"/>
      <c r="N60" s="36">
        <v>39</v>
      </c>
      <c r="O60" s="40" t="s">
        <v>93</v>
      </c>
      <c r="P60" s="38">
        <v>1</v>
      </c>
      <c r="Q60" s="18">
        <v>7.2999999999999995E-2</v>
      </c>
      <c r="R60" s="41">
        <f t="shared" si="16"/>
        <v>0.38300000000000001</v>
      </c>
      <c r="S60" s="154">
        <f t="shared" si="7"/>
        <v>1.6</v>
      </c>
      <c r="T60" s="42" t="str">
        <f t="shared" si="7"/>
        <v>1сутки</v>
      </c>
      <c r="U60" s="38">
        <f t="shared" si="8"/>
        <v>1.6</v>
      </c>
      <c r="V60" s="38">
        <v>0</v>
      </c>
      <c r="W60" s="38">
        <f t="shared" si="9"/>
        <v>1.6</v>
      </c>
      <c r="X60" s="154">
        <f t="shared" si="10"/>
        <v>1.2170000000000001</v>
      </c>
      <c r="Y60" s="54">
        <f t="shared" si="11"/>
        <v>1.2170000000000001</v>
      </c>
      <c r="Z60" s="39" t="str">
        <f t="shared" si="19"/>
        <v>открыт</v>
      </c>
    </row>
    <row r="61" spans="1:26" s="1" customFormat="1" ht="11.25" x14ac:dyDescent="0.2">
      <c r="A61" s="36">
        <v>40</v>
      </c>
      <c r="B61" s="37" t="s">
        <v>94</v>
      </c>
      <c r="C61" s="38">
        <v>2.5</v>
      </c>
      <c r="D61" s="2">
        <v>0.28999999999999998</v>
      </c>
      <c r="E61" s="38">
        <v>1.6</v>
      </c>
      <c r="F61" s="38" t="s">
        <v>88</v>
      </c>
      <c r="G61" s="38">
        <f t="shared" si="5"/>
        <v>1.6</v>
      </c>
      <c r="H61" s="38">
        <v>0</v>
      </c>
      <c r="I61" s="38">
        <f t="shared" si="6"/>
        <v>1.6</v>
      </c>
      <c r="J61" s="38">
        <f t="shared" si="15"/>
        <v>1.31</v>
      </c>
      <c r="K61" s="38">
        <f t="shared" si="17"/>
        <v>1.31</v>
      </c>
      <c r="L61" s="53" t="str">
        <f t="shared" si="18"/>
        <v>открыт</v>
      </c>
      <c r="M61" s="48"/>
      <c r="N61" s="36">
        <v>40</v>
      </c>
      <c r="O61" s="40" t="s">
        <v>94</v>
      </c>
      <c r="P61" s="38">
        <v>2.5</v>
      </c>
      <c r="Q61" s="18">
        <v>7.4999999999999997E-2</v>
      </c>
      <c r="R61" s="41">
        <f t="shared" si="16"/>
        <v>0.36499999999999999</v>
      </c>
      <c r="S61" s="154">
        <f t="shared" si="7"/>
        <v>1.6</v>
      </c>
      <c r="T61" s="42" t="str">
        <f t="shared" si="7"/>
        <v>1сутки</v>
      </c>
      <c r="U61" s="38">
        <f t="shared" si="8"/>
        <v>1.6</v>
      </c>
      <c r="V61" s="38">
        <v>0</v>
      </c>
      <c r="W61" s="38">
        <f t="shared" si="9"/>
        <v>1.6</v>
      </c>
      <c r="X61" s="154">
        <f t="shared" si="10"/>
        <v>1.2350000000000001</v>
      </c>
      <c r="Y61" s="54">
        <f t="shared" si="11"/>
        <v>1.2350000000000001</v>
      </c>
      <c r="Z61" s="39" t="str">
        <f t="shared" si="19"/>
        <v>открыт</v>
      </c>
    </row>
    <row r="62" spans="1:26" s="1" customFormat="1" ht="11.25" x14ac:dyDescent="0.2">
      <c r="A62" s="36">
        <v>41</v>
      </c>
      <c r="B62" s="32" t="s">
        <v>95</v>
      </c>
      <c r="C62" s="134" t="s">
        <v>24</v>
      </c>
      <c r="D62" s="6">
        <v>3.57</v>
      </c>
      <c r="E62" s="6">
        <v>3.88</v>
      </c>
      <c r="F62" s="6">
        <v>30</v>
      </c>
      <c r="G62" s="6">
        <f t="shared" ref="G62:G93" si="20">D62-E62</f>
        <v>-0.31000000000000005</v>
      </c>
      <c r="H62" s="6">
        <v>0</v>
      </c>
      <c r="I62" s="6">
        <f>10*1.05</f>
        <v>10.5</v>
      </c>
      <c r="J62" s="6">
        <f t="shared" ref="J62:J125" si="21">I62-H62-G62</f>
        <v>10.81</v>
      </c>
      <c r="K62" s="6">
        <f t="shared" si="17"/>
        <v>10.81</v>
      </c>
      <c r="L62" s="7" t="str">
        <f t="shared" si="18"/>
        <v>открыт</v>
      </c>
      <c r="M62" s="48"/>
      <c r="N62" s="36">
        <v>41</v>
      </c>
      <c r="O62" s="40" t="s">
        <v>95</v>
      </c>
      <c r="P62" s="38" t="s">
        <v>24</v>
      </c>
      <c r="Q62" s="18">
        <v>2.6880000000000002</v>
      </c>
      <c r="R62" s="41">
        <f t="shared" si="16"/>
        <v>6.258</v>
      </c>
      <c r="S62" s="154">
        <f t="shared" si="7"/>
        <v>3.88</v>
      </c>
      <c r="T62" s="42">
        <f t="shared" si="7"/>
        <v>30</v>
      </c>
      <c r="U62" s="41">
        <f t="shared" ref="U62:U125" si="22">R62-S62</f>
        <v>2.3780000000000001</v>
      </c>
      <c r="V62" s="38">
        <v>0</v>
      </c>
      <c r="W62" s="169">
        <f>I62</f>
        <v>10.5</v>
      </c>
      <c r="X62" s="55">
        <f>W62-V62-U62</f>
        <v>8.1219999999999999</v>
      </c>
      <c r="Y62" s="56">
        <f>X62</f>
        <v>8.1219999999999999</v>
      </c>
      <c r="Z62" s="39" t="str">
        <f t="shared" si="19"/>
        <v>открыт</v>
      </c>
    </row>
    <row r="63" spans="1:26" s="1" customFormat="1" ht="22.5" customHeight="1" x14ac:dyDescent="0.2">
      <c r="A63" s="5">
        <v>42</v>
      </c>
      <c r="B63" s="32" t="s">
        <v>96</v>
      </c>
      <c r="C63" s="134" t="s">
        <v>25</v>
      </c>
      <c r="D63" s="6">
        <v>0.55000000000000004</v>
      </c>
      <c r="E63" s="6">
        <v>0.93</v>
      </c>
      <c r="F63" s="6">
        <v>90</v>
      </c>
      <c r="G63" s="6">
        <f t="shared" si="20"/>
        <v>-0.38</v>
      </c>
      <c r="H63" s="6">
        <v>0</v>
      </c>
      <c r="I63" s="2">
        <f>2.5*1.05</f>
        <v>2.625</v>
      </c>
      <c r="J63" s="2">
        <f t="shared" si="21"/>
        <v>3.0049999999999999</v>
      </c>
      <c r="K63" s="2">
        <f t="shared" si="17"/>
        <v>3.0049999999999999</v>
      </c>
      <c r="L63" s="7" t="str">
        <f t="shared" si="18"/>
        <v>открыт</v>
      </c>
      <c r="M63" s="48"/>
      <c r="N63" s="5">
        <v>42</v>
      </c>
      <c r="O63" s="33" t="s">
        <v>96</v>
      </c>
      <c r="P63" s="140" t="s">
        <v>25</v>
      </c>
      <c r="Q63" s="18">
        <v>0.05</v>
      </c>
      <c r="R63" s="41">
        <f t="shared" si="16"/>
        <v>0.60000000000000009</v>
      </c>
      <c r="S63" s="154">
        <f t="shared" ref="S63:T127" si="23">E63</f>
        <v>0.93</v>
      </c>
      <c r="T63" s="42">
        <f t="shared" si="23"/>
        <v>90</v>
      </c>
      <c r="U63" s="18">
        <f t="shared" si="22"/>
        <v>-0.32999999999999996</v>
      </c>
      <c r="V63" s="140">
        <v>0</v>
      </c>
      <c r="W63" s="138">
        <f t="shared" ref="W63:W127" si="24">I63</f>
        <v>2.625</v>
      </c>
      <c r="X63" s="55">
        <f t="shared" ref="X63:X127" si="25">W63-V63-U63</f>
        <v>2.9550000000000001</v>
      </c>
      <c r="Y63" s="56">
        <f t="shared" ref="Y63:Y126" si="26">X63</f>
        <v>2.9550000000000001</v>
      </c>
      <c r="Z63" s="31" t="str">
        <f t="shared" si="19"/>
        <v>открыт</v>
      </c>
    </row>
    <row r="64" spans="1:26" s="1" customFormat="1" ht="11.25" x14ac:dyDescent="0.2">
      <c r="A64" s="5">
        <v>43</v>
      </c>
      <c r="B64" s="32" t="s">
        <v>97</v>
      </c>
      <c r="C64" s="134" t="s">
        <v>98</v>
      </c>
      <c r="D64" s="6">
        <v>0.63</v>
      </c>
      <c r="E64" s="6">
        <v>0</v>
      </c>
      <c r="F64" s="6" t="s">
        <v>99</v>
      </c>
      <c r="G64" s="6">
        <f t="shared" si="20"/>
        <v>0.63</v>
      </c>
      <c r="H64" s="6">
        <v>0</v>
      </c>
      <c r="I64" s="6">
        <f>1.6*1.05</f>
        <v>1.6800000000000002</v>
      </c>
      <c r="J64" s="6">
        <f t="shared" si="21"/>
        <v>1.0500000000000003</v>
      </c>
      <c r="K64" s="6">
        <f t="shared" si="17"/>
        <v>1.0500000000000003</v>
      </c>
      <c r="L64" s="7" t="str">
        <f t="shared" si="18"/>
        <v>открыт</v>
      </c>
      <c r="M64" s="48"/>
      <c r="N64" s="5">
        <v>43</v>
      </c>
      <c r="O64" s="33" t="s">
        <v>97</v>
      </c>
      <c r="P64" s="140" t="s">
        <v>98</v>
      </c>
      <c r="Q64" s="18">
        <v>0.40600000000000003</v>
      </c>
      <c r="R64" s="41">
        <f t="shared" si="16"/>
        <v>1.036</v>
      </c>
      <c r="S64" s="154">
        <f t="shared" si="23"/>
        <v>0</v>
      </c>
      <c r="T64" s="42"/>
      <c r="U64" s="18">
        <f t="shared" si="22"/>
        <v>1.036</v>
      </c>
      <c r="V64" s="140">
        <v>0</v>
      </c>
      <c r="W64" s="138">
        <f t="shared" si="24"/>
        <v>1.6800000000000002</v>
      </c>
      <c r="X64" s="55">
        <f t="shared" si="25"/>
        <v>0.64400000000000013</v>
      </c>
      <c r="Y64" s="56">
        <f t="shared" si="26"/>
        <v>0.64400000000000013</v>
      </c>
      <c r="Z64" s="31" t="str">
        <f t="shared" si="19"/>
        <v>открыт</v>
      </c>
    </row>
    <row r="65" spans="1:26" s="46" customFormat="1" ht="22.5" x14ac:dyDescent="0.2">
      <c r="A65" s="200">
        <v>44</v>
      </c>
      <c r="B65" s="32" t="s">
        <v>100</v>
      </c>
      <c r="C65" s="134" t="s">
        <v>24</v>
      </c>
      <c r="D65" s="6">
        <v>3.12</v>
      </c>
      <c r="E65" s="38">
        <f>E66+E67</f>
        <v>3.06</v>
      </c>
      <c r="F65" s="38">
        <v>90</v>
      </c>
      <c r="G65" s="38">
        <f t="shared" si="20"/>
        <v>6.0000000000000053E-2</v>
      </c>
      <c r="H65" s="38">
        <v>0</v>
      </c>
      <c r="I65" s="38">
        <f>10*1.05</f>
        <v>10.5</v>
      </c>
      <c r="J65" s="38">
        <f t="shared" si="21"/>
        <v>10.44</v>
      </c>
      <c r="K65" s="201">
        <f>MIN(J65:J67)</f>
        <v>10.039999999999999</v>
      </c>
      <c r="L65" s="206" t="str">
        <f t="shared" si="18"/>
        <v>открыт</v>
      </c>
      <c r="M65" s="48"/>
      <c r="N65" s="200">
        <v>44</v>
      </c>
      <c r="O65" s="40" t="s">
        <v>100</v>
      </c>
      <c r="P65" s="38" t="s">
        <v>24</v>
      </c>
      <c r="Q65" s="18">
        <f>Q67+Q66</f>
        <v>0.433</v>
      </c>
      <c r="R65" s="41">
        <f>R66+R67</f>
        <v>3.5529999999999999</v>
      </c>
      <c r="S65" s="154">
        <f t="shared" si="23"/>
        <v>3.06</v>
      </c>
      <c r="T65" s="42">
        <f t="shared" si="23"/>
        <v>90</v>
      </c>
      <c r="U65" s="41">
        <f t="shared" si="22"/>
        <v>0.49299999999999988</v>
      </c>
      <c r="V65" s="38">
        <v>0</v>
      </c>
      <c r="W65" s="169">
        <f t="shared" si="24"/>
        <v>10.5</v>
      </c>
      <c r="X65" s="55">
        <f t="shared" si="25"/>
        <v>10.007</v>
      </c>
      <c r="Y65" s="151">
        <f t="shared" si="26"/>
        <v>10.007</v>
      </c>
      <c r="Z65" s="170" t="str">
        <f t="shared" si="19"/>
        <v>открыт</v>
      </c>
    </row>
    <row r="66" spans="1:26" s="46" customFormat="1" ht="11.25" x14ac:dyDescent="0.2">
      <c r="A66" s="200"/>
      <c r="B66" s="32" t="s">
        <v>60</v>
      </c>
      <c r="C66" s="134" t="s">
        <v>24</v>
      </c>
      <c r="D66" s="6">
        <v>2.89</v>
      </c>
      <c r="E66" s="38">
        <v>2.4300000000000002</v>
      </c>
      <c r="F66" s="38">
        <v>90</v>
      </c>
      <c r="G66" s="38">
        <f t="shared" si="20"/>
        <v>0.45999999999999996</v>
      </c>
      <c r="H66" s="38">
        <v>0</v>
      </c>
      <c r="I66" s="38">
        <f>10*1.05</f>
        <v>10.5</v>
      </c>
      <c r="J66" s="38">
        <f t="shared" si="21"/>
        <v>10.039999999999999</v>
      </c>
      <c r="K66" s="201"/>
      <c r="L66" s="206"/>
      <c r="M66" s="48"/>
      <c r="N66" s="200"/>
      <c r="O66" s="40" t="s">
        <v>60</v>
      </c>
      <c r="P66" s="38" t="s">
        <v>24</v>
      </c>
      <c r="Q66" s="18">
        <f>Q29+Q114</f>
        <v>0.38</v>
      </c>
      <c r="R66" s="41">
        <f t="shared" ref="R66:R71" si="27">Q66+D66</f>
        <v>3.27</v>
      </c>
      <c r="S66" s="154">
        <f t="shared" si="23"/>
        <v>2.4300000000000002</v>
      </c>
      <c r="T66" s="42">
        <f t="shared" si="23"/>
        <v>90</v>
      </c>
      <c r="U66" s="41">
        <f t="shared" si="22"/>
        <v>0.83999999999999986</v>
      </c>
      <c r="V66" s="38">
        <v>0</v>
      </c>
      <c r="W66" s="169">
        <f t="shared" si="24"/>
        <v>10.5</v>
      </c>
      <c r="X66" s="55">
        <f t="shared" si="25"/>
        <v>9.66</v>
      </c>
      <c r="Y66" s="152"/>
      <c r="Z66" s="171"/>
    </row>
    <row r="67" spans="1:26" s="46" customFormat="1" ht="11.25" x14ac:dyDescent="0.2">
      <c r="A67" s="200"/>
      <c r="B67" s="32" t="s">
        <v>61</v>
      </c>
      <c r="C67" s="134" t="s">
        <v>24</v>
      </c>
      <c r="D67" s="6">
        <v>0.23</v>
      </c>
      <c r="E67" s="38">
        <v>0.63</v>
      </c>
      <c r="F67" s="38">
        <v>90</v>
      </c>
      <c r="G67" s="38">
        <f t="shared" si="20"/>
        <v>-0.4</v>
      </c>
      <c r="H67" s="38">
        <v>0</v>
      </c>
      <c r="I67" s="38">
        <f>10*1.05</f>
        <v>10.5</v>
      </c>
      <c r="J67" s="38">
        <f t="shared" si="21"/>
        <v>10.9</v>
      </c>
      <c r="K67" s="201"/>
      <c r="L67" s="206"/>
      <c r="M67" s="48"/>
      <c r="N67" s="200"/>
      <c r="O67" s="40" t="s">
        <v>61</v>
      </c>
      <c r="P67" s="38" t="s">
        <v>24</v>
      </c>
      <c r="Q67" s="18">
        <v>5.2999999999999999E-2</v>
      </c>
      <c r="R67" s="41">
        <f t="shared" si="27"/>
        <v>0.28300000000000003</v>
      </c>
      <c r="S67" s="154">
        <f t="shared" si="23"/>
        <v>0.63</v>
      </c>
      <c r="T67" s="42">
        <f t="shared" si="23"/>
        <v>90</v>
      </c>
      <c r="U67" s="41">
        <f t="shared" si="22"/>
        <v>-0.34699999999999998</v>
      </c>
      <c r="V67" s="38">
        <v>0</v>
      </c>
      <c r="W67" s="169">
        <f t="shared" si="24"/>
        <v>10.5</v>
      </c>
      <c r="X67" s="55">
        <f t="shared" si="25"/>
        <v>10.847</v>
      </c>
      <c r="Y67" s="153"/>
      <c r="Z67" s="172"/>
    </row>
    <row r="68" spans="1:26" s="1" customFormat="1" ht="11.25" x14ac:dyDescent="0.2">
      <c r="A68" s="36">
        <v>45</v>
      </c>
      <c r="B68" s="32" t="s">
        <v>101</v>
      </c>
      <c r="C68" s="134" t="s">
        <v>26</v>
      </c>
      <c r="D68" s="6">
        <v>1.06</v>
      </c>
      <c r="E68" s="6">
        <v>0.64</v>
      </c>
      <c r="F68" s="6">
        <v>60</v>
      </c>
      <c r="G68" s="6">
        <f t="shared" si="20"/>
        <v>0.42000000000000004</v>
      </c>
      <c r="H68" s="6">
        <v>0</v>
      </c>
      <c r="I68" s="6">
        <f>1.6*1.05</f>
        <v>1.6800000000000002</v>
      </c>
      <c r="J68" s="6">
        <f t="shared" si="21"/>
        <v>1.2600000000000002</v>
      </c>
      <c r="K68" s="6">
        <f>J68</f>
        <v>1.2600000000000002</v>
      </c>
      <c r="L68" s="7" t="str">
        <f>IF(K68&lt;0,"закрыт","открыт")</f>
        <v>открыт</v>
      </c>
      <c r="M68" s="48"/>
      <c r="N68" s="36">
        <v>45</v>
      </c>
      <c r="O68" s="33" t="s">
        <v>101</v>
      </c>
      <c r="P68" s="140" t="s">
        <v>26</v>
      </c>
      <c r="Q68" s="18">
        <v>0.33800000000000002</v>
      </c>
      <c r="R68" s="41">
        <f t="shared" si="27"/>
        <v>1.3980000000000001</v>
      </c>
      <c r="S68" s="154">
        <f t="shared" si="23"/>
        <v>0.64</v>
      </c>
      <c r="T68" s="42">
        <f t="shared" si="23"/>
        <v>60</v>
      </c>
      <c r="U68" s="18">
        <f t="shared" si="22"/>
        <v>0.75800000000000012</v>
      </c>
      <c r="V68" s="140">
        <v>0</v>
      </c>
      <c r="W68" s="138">
        <f t="shared" si="24"/>
        <v>1.6800000000000002</v>
      </c>
      <c r="X68" s="55">
        <f t="shared" si="25"/>
        <v>0.92200000000000004</v>
      </c>
      <c r="Y68" s="56">
        <f t="shared" si="26"/>
        <v>0.92200000000000004</v>
      </c>
      <c r="Z68" s="31" t="str">
        <f t="shared" si="19"/>
        <v>открыт</v>
      </c>
    </row>
    <row r="69" spans="1:26" s="1" customFormat="1" ht="11.25" x14ac:dyDescent="0.2">
      <c r="A69" s="5">
        <v>46</v>
      </c>
      <c r="B69" s="32" t="s">
        <v>102</v>
      </c>
      <c r="C69" s="134" t="s">
        <v>27</v>
      </c>
      <c r="D69" s="6">
        <v>3.04</v>
      </c>
      <c r="E69" s="6">
        <v>2.0499999999999998</v>
      </c>
      <c r="F69" s="6">
        <v>90</v>
      </c>
      <c r="G69" s="6">
        <f t="shared" si="20"/>
        <v>0.99000000000000021</v>
      </c>
      <c r="H69" s="6">
        <v>0</v>
      </c>
      <c r="I69" s="2">
        <f>6.3*1.05</f>
        <v>6.6150000000000002</v>
      </c>
      <c r="J69" s="2">
        <f t="shared" si="21"/>
        <v>5.625</v>
      </c>
      <c r="K69" s="2">
        <f>J69</f>
        <v>5.625</v>
      </c>
      <c r="L69" s="7" t="str">
        <f>IF(K69&lt;0,"закрыт","открыт")</f>
        <v>открыт</v>
      </c>
      <c r="M69" s="48"/>
      <c r="N69" s="5">
        <v>46</v>
      </c>
      <c r="O69" s="33" t="s">
        <v>102</v>
      </c>
      <c r="P69" s="140" t="s">
        <v>27</v>
      </c>
      <c r="Q69" s="18">
        <v>3.3759999999999999</v>
      </c>
      <c r="R69" s="41">
        <f t="shared" si="27"/>
        <v>6.4160000000000004</v>
      </c>
      <c r="S69" s="154">
        <f t="shared" si="23"/>
        <v>2.0499999999999998</v>
      </c>
      <c r="T69" s="42">
        <f t="shared" si="23"/>
        <v>90</v>
      </c>
      <c r="U69" s="18">
        <f t="shared" si="22"/>
        <v>4.3660000000000005</v>
      </c>
      <c r="V69" s="140">
        <v>0</v>
      </c>
      <c r="W69" s="138">
        <f t="shared" si="24"/>
        <v>6.6150000000000002</v>
      </c>
      <c r="X69" s="55">
        <f t="shared" si="25"/>
        <v>2.2489999999999997</v>
      </c>
      <c r="Y69" s="56">
        <f t="shared" si="26"/>
        <v>2.2489999999999997</v>
      </c>
      <c r="Z69" s="31" t="str">
        <f t="shared" si="19"/>
        <v>открыт</v>
      </c>
    </row>
    <row r="70" spans="1:26" s="1" customFormat="1" ht="11.25" x14ac:dyDescent="0.2">
      <c r="A70" s="5">
        <v>47</v>
      </c>
      <c r="B70" s="32" t="s">
        <v>103</v>
      </c>
      <c r="C70" s="134" t="s">
        <v>104</v>
      </c>
      <c r="D70" s="6">
        <v>3.53</v>
      </c>
      <c r="E70" s="6">
        <v>1.46</v>
      </c>
      <c r="F70" s="6">
        <v>30</v>
      </c>
      <c r="G70" s="6">
        <f t="shared" si="20"/>
        <v>2.0699999999999998</v>
      </c>
      <c r="H70" s="6">
        <v>0</v>
      </c>
      <c r="I70" s="2">
        <f>2.5*1.05</f>
        <v>2.625</v>
      </c>
      <c r="J70" s="2">
        <f t="shared" si="21"/>
        <v>0.55500000000000016</v>
      </c>
      <c r="K70" s="2">
        <f>J70</f>
        <v>0.55500000000000016</v>
      </c>
      <c r="L70" s="7" t="str">
        <f>IF(K70&lt;0,"закрыт","открыт")</f>
        <v>открыт</v>
      </c>
      <c r="M70" s="48"/>
      <c r="N70" s="43">
        <v>47</v>
      </c>
      <c r="O70" s="43" t="s">
        <v>103</v>
      </c>
      <c r="P70" s="3" t="s">
        <v>104</v>
      </c>
      <c r="Q70" s="19">
        <v>8.1039999999999992</v>
      </c>
      <c r="R70" s="19">
        <f t="shared" si="27"/>
        <v>11.633999999999999</v>
      </c>
      <c r="S70" s="161">
        <f t="shared" si="23"/>
        <v>1.46</v>
      </c>
      <c r="T70" s="44">
        <f t="shared" si="23"/>
        <v>30</v>
      </c>
      <c r="U70" s="19">
        <f t="shared" si="22"/>
        <v>10.173999999999999</v>
      </c>
      <c r="V70" s="3">
        <v>0</v>
      </c>
      <c r="W70" s="162">
        <f t="shared" si="24"/>
        <v>2.625</v>
      </c>
      <c r="X70" s="58">
        <f t="shared" si="25"/>
        <v>-7.5489999999999995</v>
      </c>
      <c r="Y70" s="59">
        <f t="shared" si="26"/>
        <v>-7.5489999999999995</v>
      </c>
      <c r="Z70" s="52" t="str">
        <f t="shared" si="19"/>
        <v>закрыт</v>
      </c>
    </row>
    <row r="71" spans="1:26" s="1" customFormat="1" ht="11.25" x14ac:dyDescent="0.2">
      <c r="A71" s="5">
        <v>48</v>
      </c>
      <c r="B71" s="32" t="s">
        <v>105</v>
      </c>
      <c r="C71" s="134" t="s">
        <v>106</v>
      </c>
      <c r="D71" s="6">
        <v>15.28</v>
      </c>
      <c r="E71" s="6">
        <v>5.87</v>
      </c>
      <c r="F71" s="6">
        <v>120</v>
      </c>
      <c r="G71" s="6">
        <f t="shared" si="20"/>
        <v>9.41</v>
      </c>
      <c r="H71" s="6">
        <v>0</v>
      </c>
      <c r="I71" s="6">
        <f>15*1.05</f>
        <v>15.75</v>
      </c>
      <c r="J71" s="6">
        <f t="shared" si="21"/>
        <v>6.34</v>
      </c>
      <c r="K71" s="6">
        <f>J71</f>
        <v>6.34</v>
      </c>
      <c r="L71" s="7" t="str">
        <f>IF(K71&lt;0,"закрыт","открыт")</f>
        <v>открыт</v>
      </c>
      <c r="M71" s="48"/>
      <c r="N71" s="5">
        <v>48</v>
      </c>
      <c r="O71" s="33" t="s">
        <v>105</v>
      </c>
      <c r="P71" s="140" t="s">
        <v>106</v>
      </c>
      <c r="Q71" s="18">
        <v>4.0000000000000001E-3</v>
      </c>
      <c r="R71" s="18">
        <f t="shared" si="27"/>
        <v>15.283999999999999</v>
      </c>
      <c r="S71" s="154">
        <f t="shared" si="23"/>
        <v>5.87</v>
      </c>
      <c r="T71" s="42">
        <f t="shared" si="23"/>
        <v>120</v>
      </c>
      <c r="U71" s="18">
        <f t="shared" si="22"/>
        <v>9.4139999999999979</v>
      </c>
      <c r="V71" s="140"/>
      <c r="W71" s="138">
        <f t="shared" si="24"/>
        <v>15.75</v>
      </c>
      <c r="X71" s="55">
        <f t="shared" si="25"/>
        <v>6.3360000000000021</v>
      </c>
      <c r="Y71" s="56">
        <f t="shared" si="26"/>
        <v>6.3360000000000021</v>
      </c>
      <c r="Z71" s="31" t="str">
        <f t="shared" si="19"/>
        <v>открыт</v>
      </c>
    </row>
    <row r="72" spans="1:26" s="1" customFormat="1" ht="22.5" x14ac:dyDescent="0.2">
      <c r="A72" s="200">
        <v>49</v>
      </c>
      <c r="B72" s="32" t="s">
        <v>107</v>
      </c>
      <c r="C72" s="134" t="s">
        <v>24</v>
      </c>
      <c r="D72" s="6">
        <v>3.73</v>
      </c>
      <c r="E72" s="6">
        <f>E73+E74</f>
        <v>0.7</v>
      </c>
      <c r="F72" s="6">
        <v>60</v>
      </c>
      <c r="G72" s="6">
        <f t="shared" si="20"/>
        <v>3.0300000000000002</v>
      </c>
      <c r="H72" s="6">
        <v>0</v>
      </c>
      <c r="I72" s="6">
        <f>10*1.05</f>
        <v>10.5</v>
      </c>
      <c r="J72" s="6">
        <f t="shared" si="21"/>
        <v>7.47</v>
      </c>
      <c r="K72" s="201">
        <f>MIN(J72:J74)</f>
        <v>7.47</v>
      </c>
      <c r="L72" s="197" t="str">
        <f>IF(K72&lt;0,"закрыт","открыт")</f>
        <v>открыт</v>
      </c>
      <c r="M72" s="48"/>
      <c r="N72" s="200">
        <v>49</v>
      </c>
      <c r="O72" s="33" t="s">
        <v>107</v>
      </c>
      <c r="P72" s="140" t="s">
        <v>24</v>
      </c>
      <c r="Q72" s="18">
        <f>Q74+Q73</f>
        <v>0.309</v>
      </c>
      <c r="R72" s="18">
        <f>R73+R74</f>
        <v>4.0389999999999997</v>
      </c>
      <c r="S72" s="154">
        <f t="shared" si="23"/>
        <v>0.7</v>
      </c>
      <c r="T72" s="42">
        <f t="shared" si="23"/>
        <v>60</v>
      </c>
      <c r="U72" s="18">
        <f t="shared" si="22"/>
        <v>3.3389999999999995</v>
      </c>
      <c r="V72" s="140">
        <v>0</v>
      </c>
      <c r="W72" s="138">
        <f t="shared" si="24"/>
        <v>10.5</v>
      </c>
      <c r="X72" s="55">
        <f t="shared" si="25"/>
        <v>7.1610000000000005</v>
      </c>
      <c r="Y72" s="166">
        <f t="shared" si="26"/>
        <v>7.1610000000000005</v>
      </c>
      <c r="Z72" s="139" t="str">
        <f t="shared" si="19"/>
        <v>открыт</v>
      </c>
    </row>
    <row r="73" spans="1:26" s="1" customFormat="1" ht="11.25" x14ac:dyDescent="0.2">
      <c r="A73" s="200"/>
      <c r="B73" s="32" t="s">
        <v>60</v>
      </c>
      <c r="C73" s="134" t="s">
        <v>24</v>
      </c>
      <c r="D73" s="6">
        <v>0.73</v>
      </c>
      <c r="E73" s="6">
        <v>0.25</v>
      </c>
      <c r="F73" s="6">
        <v>120</v>
      </c>
      <c r="G73" s="6">
        <f t="shared" si="20"/>
        <v>0.48</v>
      </c>
      <c r="H73" s="6">
        <v>0</v>
      </c>
      <c r="I73" s="6">
        <f>10*1.05</f>
        <v>10.5</v>
      </c>
      <c r="J73" s="6">
        <f t="shared" si="21"/>
        <v>10.02</v>
      </c>
      <c r="K73" s="201"/>
      <c r="L73" s="197"/>
      <c r="M73" s="48"/>
      <c r="N73" s="200"/>
      <c r="O73" s="33" t="s">
        <v>60</v>
      </c>
      <c r="P73" s="140" t="s">
        <v>24</v>
      </c>
      <c r="Q73" s="135">
        <f>Q12</f>
        <v>1.7000000000000001E-2</v>
      </c>
      <c r="R73" s="18">
        <f t="shared" ref="R73:R80" si="28">Q73+D73</f>
        <v>0.747</v>
      </c>
      <c r="S73" s="154">
        <f t="shared" si="23"/>
        <v>0.25</v>
      </c>
      <c r="T73" s="42"/>
      <c r="U73" s="18">
        <f t="shared" si="22"/>
        <v>0.497</v>
      </c>
      <c r="V73" s="38">
        <v>0</v>
      </c>
      <c r="W73" s="138">
        <f t="shared" si="24"/>
        <v>10.5</v>
      </c>
      <c r="X73" s="55">
        <f t="shared" si="25"/>
        <v>10.003</v>
      </c>
      <c r="Y73" s="167"/>
      <c r="Z73" s="147"/>
    </row>
    <row r="74" spans="1:26" s="1" customFormat="1" ht="11.25" x14ac:dyDescent="0.2">
      <c r="A74" s="200"/>
      <c r="B74" s="32" t="s">
        <v>61</v>
      </c>
      <c r="C74" s="134" t="s">
        <v>24</v>
      </c>
      <c r="D74" s="6">
        <v>3</v>
      </c>
      <c r="E74" s="6">
        <v>0.45</v>
      </c>
      <c r="F74" s="6">
        <v>60</v>
      </c>
      <c r="G74" s="6">
        <f t="shared" si="20"/>
        <v>2.5499999999999998</v>
      </c>
      <c r="H74" s="6">
        <v>0</v>
      </c>
      <c r="I74" s="6">
        <f>10*1.05</f>
        <v>10.5</v>
      </c>
      <c r="J74" s="6">
        <f t="shared" si="21"/>
        <v>7.95</v>
      </c>
      <c r="K74" s="201"/>
      <c r="L74" s="197"/>
      <c r="M74" s="48"/>
      <c r="N74" s="200"/>
      <c r="O74" s="33" t="s">
        <v>61</v>
      </c>
      <c r="P74" s="140" t="s">
        <v>24</v>
      </c>
      <c r="Q74" s="18">
        <v>0.29199999999999998</v>
      </c>
      <c r="R74" s="18">
        <f t="shared" si="28"/>
        <v>3.2919999999999998</v>
      </c>
      <c r="S74" s="154">
        <f t="shared" si="23"/>
        <v>0.45</v>
      </c>
      <c r="T74" s="42">
        <f t="shared" si="23"/>
        <v>60</v>
      </c>
      <c r="U74" s="18">
        <f t="shared" si="22"/>
        <v>2.8419999999999996</v>
      </c>
      <c r="V74" s="140">
        <v>0</v>
      </c>
      <c r="W74" s="138">
        <f t="shared" si="24"/>
        <v>10.5</v>
      </c>
      <c r="X74" s="55">
        <f t="shared" si="25"/>
        <v>7.6580000000000004</v>
      </c>
      <c r="Y74" s="168"/>
      <c r="Z74" s="148"/>
    </row>
    <row r="75" spans="1:26" s="1" customFormat="1" ht="22.5" x14ac:dyDescent="0.2">
      <c r="A75" s="5">
        <v>50</v>
      </c>
      <c r="B75" s="32" t="s">
        <v>108</v>
      </c>
      <c r="C75" s="134" t="s">
        <v>28</v>
      </c>
      <c r="D75" s="6">
        <v>15.17</v>
      </c>
      <c r="E75" s="6">
        <v>3.98</v>
      </c>
      <c r="F75" s="6">
        <v>180</v>
      </c>
      <c r="G75" s="6">
        <f t="shared" si="20"/>
        <v>11.19</v>
      </c>
      <c r="H75" s="6">
        <v>0</v>
      </c>
      <c r="I75" s="6">
        <f>16*1.05</f>
        <v>16.8</v>
      </c>
      <c r="J75" s="6">
        <f t="shared" si="21"/>
        <v>5.6100000000000012</v>
      </c>
      <c r="K75" s="6">
        <f t="shared" ref="K75:K80" si="29">J75</f>
        <v>5.6100000000000012</v>
      </c>
      <c r="L75" s="7" t="str">
        <f t="shared" ref="L75:L81" si="30">IF(K75&lt;0,"закрыт","открыт")</f>
        <v>открыт</v>
      </c>
      <c r="M75" s="48"/>
      <c r="N75" s="5">
        <v>50</v>
      </c>
      <c r="O75" s="33" t="s">
        <v>109</v>
      </c>
      <c r="P75" s="140" t="s">
        <v>28</v>
      </c>
      <c r="Q75" s="18">
        <v>0.106</v>
      </c>
      <c r="R75" s="18">
        <f t="shared" si="28"/>
        <v>15.276</v>
      </c>
      <c r="S75" s="154">
        <f t="shared" si="23"/>
        <v>3.98</v>
      </c>
      <c r="T75" s="42">
        <f t="shared" si="23"/>
        <v>180</v>
      </c>
      <c r="U75" s="18">
        <f t="shared" si="22"/>
        <v>11.295999999999999</v>
      </c>
      <c r="V75" s="140">
        <v>0</v>
      </c>
      <c r="W75" s="138">
        <f t="shared" si="24"/>
        <v>16.8</v>
      </c>
      <c r="X75" s="55">
        <f t="shared" si="25"/>
        <v>5.5040000000000013</v>
      </c>
      <c r="Y75" s="56">
        <f t="shared" si="26"/>
        <v>5.5040000000000013</v>
      </c>
      <c r="Z75" s="31" t="str">
        <f t="shared" si="19"/>
        <v>открыт</v>
      </c>
    </row>
    <row r="76" spans="1:26" s="1" customFormat="1" ht="11.25" x14ac:dyDescent="0.2">
      <c r="A76" s="5">
        <v>51</v>
      </c>
      <c r="B76" s="32" t="s">
        <v>110</v>
      </c>
      <c r="C76" s="134" t="s">
        <v>111</v>
      </c>
      <c r="D76" s="6">
        <v>0.74</v>
      </c>
      <c r="E76" s="6">
        <v>0.64</v>
      </c>
      <c r="F76" s="6">
        <v>60</v>
      </c>
      <c r="G76" s="6">
        <f t="shared" si="20"/>
        <v>9.9999999999999978E-2</v>
      </c>
      <c r="H76" s="6">
        <v>0</v>
      </c>
      <c r="I76" s="6">
        <f>1.8*1.05</f>
        <v>1.8900000000000001</v>
      </c>
      <c r="J76" s="6">
        <f t="shared" si="21"/>
        <v>1.79</v>
      </c>
      <c r="K76" s="6">
        <f t="shared" si="29"/>
        <v>1.79</v>
      </c>
      <c r="L76" s="7" t="str">
        <f t="shared" si="30"/>
        <v>открыт</v>
      </c>
      <c r="M76" s="48"/>
      <c r="N76" s="5">
        <v>51</v>
      </c>
      <c r="O76" s="33" t="s">
        <v>110</v>
      </c>
      <c r="P76" s="140" t="s">
        <v>111</v>
      </c>
      <c r="Q76" s="18">
        <v>3.5000000000000003E-2</v>
      </c>
      <c r="R76" s="18">
        <f t="shared" si="28"/>
        <v>0.77500000000000002</v>
      </c>
      <c r="S76" s="154">
        <f t="shared" si="23"/>
        <v>0.64</v>
      </c>
      <c r="T76" s="42">
        <f t="shared" si="23"/>
        <v>60</v>
      </c>
      <c r="U76" s="18">
        <f t="shared" si="22"/>
        <v>0.13500000000000001</v>
      </c>
      <c r="V76" s="140">
        <v>0</v>
      </c>
      <c r="W76" s="138">
        <f t="shared" si="24"/>
        <v>1.8900000000000001</v>
      </c>
      <c r="X76" s="55">
        <f t="shared" si="25"/>
        <v>1.7550000000000001</v>
      </c>
      <c r="Y76" s="56">
        <f t="shared" si="26"/>
        <v>1.7550000000000001</v>
      </c>
      <c r="Z76" s="31" t="str">
        <f t="shared" si="19"/>
        <v>открыт</v>
      </c>
    </row>
    <row r="77" spans="1:26" s="1" customFormat="1" ht="11.25" x14ac:dyDescent="0.2">
      <c r="A77" s="5">
        <v>52</v>
      </c>
      <c r="B77" s="32" t="s">
        <v>112</v>
      </c>
      <c r="C77" s="134" t="s">
        <v>113</v>
      </c>
      <c r="D77" s="6">
        <v>14.86</v>
      </c>
      <c r="E77" s="6">
        <v>4.3899999999999997</v>
      </c>
      <c r="F77" s="6">
        <v>150</v>
      </c>
      <c r="G77" s="6">
        <f t="shared" si="20"/>
        <v>10.469999999999999</v>
      </c>
      <c r="H77" s="6">
        <v>0</v>
      </c>
      <c r="I77" s="6">
        <f>25*1.05</f>
        <v>26.25</v>
      </c>
      <c r="J77" s="6">
        <f t="shared" si="21"/>
        <v>15.780000000000001</v>
      </c>
      <c r="K77" s="6">
        <f t="shared" si="29"/>
        <v>15.780000000000001</v>
      </c>
      <c r="L77" s="7" t="str">
        <f t="shared" si="30"/>
        <v>открыт</v>
      </c>
      <c r="M77" s="48"/>
      <c r="N77" s="5">
        <v>52</v>
      </c>
      <c r="O77" s="33" t="s">
        <v>112</v>
      </c>
      <c r="P77" s="140" t="s">
        <v>113</v>
      </c>
      <c r="Q77" s="18">
        <v>0.71399999999999997</v>
      </c>
      <c r="R77" s="18">
        <f t="shared" si="28"/>
        <v>15.574</v>
      </c>
      <c r="S77" s="154">
        <f t="shared" si="23"/>
        <v>4.3899999999999997</v>
      </c>
      <c r="T77" s="42">
        <f t="shared" si="23"/>
        <v>150</v>
      </c>
      <c r="U77" s="18">
        <f t="shared" si="22"/>
        <v>11.184000000000001</v>
      </c>
      <c r="V77" s="140">
        <v>0</v>
      </c>
      <c r="W77" s="138">
        <f t="shared" si="24"/>
        <v>26.25</v>
      </c>
      <c r="X77" s="55">
        <f t="shared" si="25"/>
        <v>15.065999999999999</v>
      </c>
      <c r="Y77" s="56">
        <f t="shared" si="26"/>
        <v>15.065999999999999</v>
      </c>
      <c r="Z77" s="31" t="str">
        <f t="shared" si="19"/>
        <v>открыт</v>
      </c>
    </row>
    <row r="78" spans="1:26" s="46" customFormat="1" ht="11.25" x14ac:dyDescent="0.2">
      <c r="A78" s="36">
        <v>53</v>
      </c>
      <c r="B78" s="32" t="s">
        <v>114</v>
      </c>
      <c r="C78" s="134" t="s">
        <v>115</v>
      </c>
      <c r="D78" s="6">
        <v>30.15</v>
      </c>
      <c r="E78" s="38">
        <v>5.37</v>
      </c>
      <c r="F78" s="38">
        <v>120</v>
      </c>
      <c r="G78" s="38">
        <f t="shared" si="20"/>
        <v>24.779999999999998</v>
      </c>
      <c r="H78" s="38">
        <v>19</v>
      </c>
      <c r="I78" s="38">
        <f>63*1.05</f>
        <v>66.150000000000006</v>
      </c>
      <c r="J78" s="38">
        <f t="shared" si="21"/>
        <v>22.370000000000008</v>
      </c>
      <c r="K78" s="38">
        <f t="shared" si="29"/>
        <v>22.370000000000008</v>
      </c>
      <c r="L78" s="53" t="str">
        <f t="shared" si="30"/>
        <v>открыт</v>
      </c>
      <c r="M78" s="48"/>
      <c r="N78" s="36">
        <v>53</v>
      </c>
      <c r="O78" s="40" t="s">
        <v>116</v>
      </c>
      <c r="P78" s="41" t="s">
        <v>115</v>
      </c>
      <c r="Q78" s="18">
        <v>0</v>
      </c>
      <c r="R78" s="41">
        <f t="shared" si="28"/>
        <v>30.15</v>
      </c>
      <c r="S78" s="154">
        <v>5.37</v>
      </c>
      <c r="T78" s="42">
        <f t="shared" si="23"/>
        <v>120</v>
      </c>
      <c r="U78" s="41">
        <f t="shared" si="22"/>
        <v>24.779999999999998</v>
      </c>
      <c r="V78" s="38">
        <v>19</v>
      </c>
      <c r="W78" s="169">
        <f t="shared" si="24"/>
        <v>66.150000000000006</v>
      </c>
      <c r="X78" s="55">
        <f t="shared" si="25"/>
        <v>22.370000000000008</v>
      </c>
      <c r="Y78" s="56">
        <f t="shared" si="26"/>
        <v>22.370000000000008</v>
      </c>
      <c r="Z78" s="39" t="str">
        <f t="shared" si="19"/>
        <v>открыт</v>
      </c>
    </row>
    <row r="79" spans="1:26" s="15" customFormat="1" ht="11.25" x14ac:dyDescent="0.2">
      <c r="A79" s="5">
        <v>54</v>
      </c>
      <c r="B79" s="32" t="s">
        <v>117</v>
      </c>
      <c r="C79" s="134" t="s">
        <v>25</v>
      </c>
      <c r="D79" s="6">
        <v>2.8</v>
      </c>
      <c r="E79" s="6">
        <v>1.48</v>
      </c>
      <c r="F79" s="6">
        <v>60</v>
      </c>
      <c r="G79" s="6">
        <f t="shared" si="20"/>
        <v>1.3199999999999998</v>
      </c>
      <c r="H79" s="6">
        <v>0</v>
      </c>
      <c r="I79" s="2">
        <f>2.5*1.05</f>
        <v>2.625</v>
      </c>
      <c r="J79" s="2">
        <f t="shared" si="21"/>
        <v>1.3050000000000002</v>
      </c>
      <c r="K79" s="2">
        <f t="shared" si="29"/>
        <v>1.3050000000000002</v>
      </c>
      <c r="L79" s="7" t="str">
        <f t="shared" si="30"/>
        <v>открыт</v>
      </c>
      <c r="M79" s="60"/>
      <c r="N79" s="50">
        <v>54</v>
      </c>
      <c r="O79" s="43" t="s">
        <v>117</v>
      </c>
      <c r="P79" s="3" t="s">
        <v>25</v>
      </c>
      <c r="Q79" s="19">
        <v>3.0579999999999998</v>
      </c>
      <c r="R79" s="19">
        <f t="shared" si="28"/>
        <v>5.8579999999999997</v>
      </c>
      <c r="S79" s="161">
        <f t="shared" si="23"/>
        <v>1.48</v>
      </c>
      <c r="T79" s="44">
        <f t="shared" si="23"/>
        <v>60</v>
      </c>
      <c r="U79" s="19">
        <f t="shared" si="22"/>
        <v>4.3780000000000001</v>
      </c>
      <c r="V79" s="3">
        <v>0</v>
      </c>
      <c r="W79" s="162">
        <f t="shared" si="24"/>
        <v>2.625</v>
      </c>
      <c r="X79" s="58">
        <f t="shared" si="25"/>
        <v>-1.7530000000000001</v>
      </c>
      <c r="Y79" s="59">
        <f t="shared" si="26"/>
        <v>-1.7530000000000001</v>
      </c>
      <c r="Z79" s="52" t="str">
        <f t="shared" si="19"/>
        <v>закрыт</v>
      </c>
    </row>
    <row r="80" spans="1:26" s="1" customFormat="1" ht="11.25" x14ac:dyDescent="0.2">
      <c r="A80" s="5">
        <v>55</v>
      </c>
      <c r="B80" s="32" t="s">
        <v>118</v>
      </c>
      <c r="C80" s="134" t="s">
        <v>119</v>
      </c>
      <c r="D80" s="6">
        <v>1</v>
      </c>
      <c r="E80" s="6">
        <v>1.18</v>
      </c>
      <c r="F80" s="6">
        <v>30</v>
      </c>
      <c r="G80" s="6">
        <f t="shared" si="20"/>
        <v>-0.17999999999999994</v>
      </c>
      <c r="H80" s="6">
        <v>0</v>
      </c>
      <c r="I80" s="6">
        <f>2.5*1.05</f>
        <v>2.625</v>
      </c>
      <c r="J80" s="6">
        <f t="shared" si="21"/>
        <v>2.8049999999999997</v>
      </c>
      <c r="K80" s="6">
        <f t="shared" si="29"/>
        <v>2.8049999999999997</v>
      </c>
      <c r="L80" s="7" t="str">
        <f t="shared" si="30"/>
        <v>открыт</v>
      </c>
      <c r="M80" s="48"/>
      <c r="N80" s="5">
        <v>55</v>
      </c>
      <c r="O80" s="33" t="s">
        <v>118</v>
      </c>
      <c r="P80" s="140" t="s">
        <v>119</v>
      </c>
      <c r="Q80" s="18">
        <v>0.45800000000000002</v>
      </c>
      <c r="R80" s="18">
        <f t="shared" si="28"/>
        <v>1.458</v>
      </c>
      <c r="S80" s="154">
        <f t="shared" si="23"/>
        <v>1.18</v>
      </c>
      <c r="T80" s="42">
        <f t="shared" si="23"/>
        <v>30</v>
      </c>
      <c r="U80" s="18">
        <f t="shared" si="22"/>
        <v>0.27800000000000002</v>
      </c>
      <c r="V80" s="140">
        <v>0</v>
      </c>
      <c r="W80" s="138">
        <f t="shared" si="24"/>
        <v>2.625</v>
      </c>
      <c r="X80" s="55">
        <f t="shared" si="25"/>
        <v>2.347</v>
      </c>
      <c r="Y80" s="56">
        <f t="shared" si="26"/>
        <v>2.347</v>
      </c>
      <c r="Z80" s="31" t="str">
        <f t="shared" si="19"/>
        <v>открыт</v>
      </c>
    </row>
    <row r="81" spans="1:26" s="46" customFormat="1" ht="22.5" x14ac:dyDescent="0.2">
      <c r="A81" s="205">
        <v>56</v>
      </c>
      <c r="B81" s="32" t="s">
        <v>120</v>
      </c>
      <c r="C81" s="134" t="s">
        <v>24</v>
      </c>
      <c r="D81" s="38">
        <v>8.57</v>
      </c>
      <c r="E81" s="38">
        <f>E82+E83</f>
        <v>0.44</v>
      </c>
      <c r="F81" s="38">
        <v>90</v>
      </c>
      <c r="G81" s="38">
        <f t="shared" si="20"/>
        <v>8.1300000000000008</v>
      </c>
      <c r="H81" s="38">
        <v>0</v>
      </c>
      <c r="I81" s="38">
        <f>10*1.05</f>
        <v>10.5</v>
      </c>
      <c r="J81" s="38">
        <f t="shared" si="21"/>
        <v>2.3699999999999992</v>
      </c>
      <c r="K81" s="201">
        <f>MIN(J81:J83)</f>
        <v>2.3699999999999992</v>
      </c>
      <c r="L81" s="206" t="str">
        <f t="shared" si="30"/>
        <v>открыт</v>
      </c>
      <c r="M81" s="61"/>
      <c r="N81" s="202">
        <v>56</v>
      </c>
      <c r="O81" s="43" t="s">
        <v>120</v>
      </c>
      <c r="P81" s="3" t="s">
        <v>24</v>
      </c>
      <c r="Q81" s="19">
        <f>Q82+Q83</f>
        <v>5.5750000000000002</v>
      </c>
      <c r="R81" s="19">
        <f>R82+R83</f>
        <v>14.145</v>
      </c>
      <c r="S81" s="161">
        <f t="shared" si="23"/>
        <v>0.44</v>
      </c>
      <c r="T81" s="44">
        <f t="shared" si="23"/>
        <v>90</v>
      </c>
      <c r="U81" s="19">
        <f t="shared" si="22"/>
        <v>13.705</v>
      </c>
      <c r="V81" s="3">
        <v>0</v>
      </c>
      <c r="W81" s="162">
        <f t="shared" si="24"/>
        <v>10.5</v>
      </c>
      <c r="X81" s="58">
        <f t="shared" si="25"/>
        <v>-3.2050000000000001</v>
      </c>
      <c r="Y81" s="155">
        <f t="shared" si="26"/>
        <v>-3.2050000000000001</v>
      </c>
      <c r="Z81" s="158" t="str">
        <f t="shared" si="19"/>
        <v>закрыт</v>
      </c>
    </row>
    <row r="82" spans="1:26" s="46" customFormat="1" ht="11.25" x14ac:dyDescent="0.2">
      <c r="A82" s="205"/>
      <c r="B82" s="32" t="s">
        <v>60</v>
      </c>
      <c r="C82" s="134" t="s">
        <v>24</v>
      </c>
      <c r="D82" s="38">
        <v>2.6</v>
      </c>
      <c r="E82" s="38">
        <v>0</v>
      </c>
      <c r="F82" s="38">
        <v>0</v>
      </c>
      <c r="G82" s="38">
        <f t="shared" si="20"/>
        <v>2.6</v>
      </c>
      <c r="H82" s="38">
        <v>0</v>
      </c>
      <c r="I82" s="38">
        <f>10*1.05</f>
        <v>10.5</v>
      </c>
      <c r="J82" s="38">
        <f t="shared" si="21"/>
        <v>7.9</v>
      </c>
      <c r="K82" s="201"/>
      <c r="L82" s="206"/>
      <c r="M82" s="61"/>
      <c r="N82" s="202"/>
      <c r="O82" s="43" t="s">
        <v>60</v>
      </c>
      <c r="P82" s="3" t="s">
        <v>24</v>
      </c>
      <c r="Q82" s="19">
        <f>Q123</f>
        <v>1.038</v>
      </c>
      <c r="R82" s="19">
        <f>Q82+D82</f>
        <v>3.6379999999999999</v>
      </c>
      <c r="S82" s="161">
        <f t="shared" si="23"/>
        <v>0</v>
      </c>
      <c r="T82" s="44">
        <f t="shared" si="23"/>
        <v>0</v>
      </c>
      <c r="U82" s="19">
        <f t="shared" si="22"/>
        <v>3.6379999999999999</v>
      </c>
      <c r="V82" s="3">
        <v>0</v>
      </c>
      <c r="W82" s="162">
        <f t="shared" si="24"/>
        <v>10.5</v>
      </c>
      <c r="X82" s="58">
        <f t="shared" si="25"/>
        <v>6.8620000000000001</v>
      </c>
      <c r="Y82" s="156"/>
      <c r="Z82" s="159"/>
    </row>
    <row r="83" spans="1:26" s="46" customFormat="1" ht="11.25" x14ac:dyDescent="0.2">
      <c r="A83" s="205"/>
      <c r="B83" s="32" t="s">
        <v>61</v>
      </c>
      <c r="C83" s="134" t="s">
        <v>24</v>
      </c>
      <c r="D83" s="38">
        <v>5.97</v>
      </c>
      <c r="E83" s="38">
        <v>0.44</v>
      </c>
      <c r="F83" s="38">
        <v>90</v>
      </c>
      <c r="G83" s="38">
        <f t="shared" si="20"/>
        <v>5.5299999999999994</v>
      </c>
      <c r="H83" s="38">
        <v>0</v>
      </c>
      <c r="I83" s="38">
        <f>10*1.05</f>
        <v>10.5</v>
      </c>
      <c r="J83" s="38">
        <f t="shared" si="21"/>
        <v>4.9700000000000006</v>
      </c>
      <c r="K83" s="201"/>
      <c r="L83" s="206"/>
      <c r="M83" s="61"/>
      <c r="N83" s="202"/>
      <c r="O83" s="43" t="s">
        <v>61</v>
      </c>
      <c r="P83" s="3" t="s">
        <v>24</v>
      </c>
      <c r="Q83" s="19">
        <v>4.5369999999999999</v>
      </c>
      <c r="R83" s="19">
        <f>Q83+D83</f>
        <v>10.507</v>
      </c>
      <c r="S83" s="161">
        <f t="shared" si="23"/>
        <v>0.44</v>
      </c>
      <c r="T83" s="44">
        <f t="shared" si="23"/>
        <v>90</v>
      </c>
      <c r="U83" s="19">
        <f t="shared" si="22"/>
        <v>10.067</v>
      </c>
      <c r="V83" s="3">
        <v>0</v>
      </c>
      <c r="W83" s="162">
        <f t="shared" si="24"/>
        <v>10.5</v>
      </c>
      <c r="X83" s="58">
        <f t="shared" si="25"/>
        <v>0.43299999999999983</v>
      </c>
      <c r="Y83" s="157"/>
      <c r="Z83" s="160"/>
    </row>
    <row r="84" spans="1:26" s="1" customFormat="1" ht="11.25" x14ac:dyDescent="0.2">
      <c r="A84" s="200">
        <v>57</v>
      </c>
      <c r="B84" s="32" t="s">
        <v>121</v>
      </c>
      <c r="C84" s="134" t="s">
        <v>28</v>
      </c>
      <c r="D84" s="6">
        <v>8.8000000000000007</v>
      </c>
      <c r="E84" s="6">
        <f>E85+E86</f>
        <v>9.43</v>
      </c>
      <c r="F84" s="6">
        <v>45</v>
      </c>
      <c r="G84" s="6">
        <f t="shared" si="20"/>
        <v>-0.62999999999999901</v>
      </c>
      <c r="H84" s="6">
        <v>0</v>
      </c>
      <c r="I84" s="6">
        <f>16*1.05</f>
        <v>16.8</v>
      </c>
      <c r="J84" s="6">
        <f t="shared" si="21"/>
        <v>17.43</v>
      </c>
      <c r="K84" s="201">
        <f>MIN(J84:J86)</f>
        <v>16.04</v>
      </c>
      <c r="L84" s="197" t="str">
        <f>IF(K84&lt;0,"закрыт","открыт")</f>
        <v>открыт</v>
      </c>
      <c r="M84" s="48"/>
      <c r="N84" s="200">
        <v>57</v>
      </c>
      <c r="O84" s="33" t="s">
        <v>121</v>
      </c>
      <c r="P84" s="140" t="s">
        <v>28</v>
      </c>
      <c r="Q84" s="18">
        <f>Q86+Q85</f>
        <v>1.2890000000000001</v>
      </c>
      <c r="R84" s="18">
        <f>R85+R86</f>
        <v>10.089</v>
      </c>
      <c r="S84" s="154">
        <f t="shared" si="23"/>
        <v>9.43</v>
      </c>
      <c r="T84" s="42">
        <f t="shared" si="23"/>
        <v>45</v>
      </c>
      <c r="U84" s="18">
        <f t="shared" si="22"/>
        <v>0.6590000000000007</v>
      </c>
      <c r="V84" s="140">
        <v>0</v>
      </c>
      <c r="W84" s="138">
        <f t="shared" si="24"/>
        <v>16.8</v>
      </c>
      <c r="X84" s="55">
        <f t="shared" si="25"/>
        <v>16.140999999999998</v>
      </c>
      <c r="Y84" s="166">
        <f>X84</f>
        <v>16.140999999999998</v>
      </c>
      <c r="Z84" s="139" t="str">
        <f>IF(Y84&lt;0,"закрыт","открыт")</f>
        <v>открыт</v>
      </c>
    </row>
    <row r="85" spans="1:26" s="46" customFormat="1" ht="11.25" x14ac:dyDescent="0.2">
      <c r="A85" s="200"/>
      <c r="B85" s="32" t="s">
        <v>60</v>
      </c>
      <c r="C85" s="134" t="s">
        <v>28</v>
      </c>
      <c r="D85" s="6">
        <v>5.76</v>
      </c>
      <c r="E85" s="38">
        <v>5</v>
      </c>
      <c r="F85" s="38">
        <v>45</v>
      </c>
      <c r="G85" s="38">
        <f t="shared" si="20"/>
        <v>0.75999999999999979</v>
      </c>
      <c r="H85" s="38">
        <v>0</v>
      </c>
      <c r="I85" s="38">
        <f>16*1.05</f>
        <v>16.8</v>
      </c>
      <c r="J85" s="38">
        <f t="shared" si="21"/>
        <v>16.04</v>
      </c>
      <c r="K85" s="201"/>
      <c r="L85" s="197"/>
      <c r="M85" s="48"/>
      <c r="N85" s="200"/>
      <c r="O85" s="40" t="s">
        <v>60</v>
      </c>
      <c r="P85" s="38" t="s">
        <v>28</v>
      </c>
      <c r="Q85" s="18">
        <f>Q110+Q101+Q113+Q89+Q91+Q10+Q64</f>
        <v>0.746</v>
      </c>
      <c r="R85" s="41">
        <f t="shared" ref="R85:R93" si="31">Q85+D85</f>
        <v>6.5060000000000002</v>
      </c>
      <c r="S85" s="154">
        <f t="shared" si="23"/>
        <v>5</v>
      </c>
      <c r="T85" s="42">
        <f t="shared" si="23"/>
        <v>45</v>
      </c>
      <c r="U85" s="41">
        <f t="shared" si="22"/>
        <v>1.5060000000000002</v>
      </c>
      <c r="V85" s="38">
        <v>0</v>
      </c>
      <c r="W85" s="169">
        <f t="shared" si="24"/>
        <v>16.8</v>
      </c>
      <c r="X85" s="55">
        <f t="shared" si="25"/>
        <v>15.294</v>
      </c>
      <c r="Y85" s="167"/>
      <c r="Z85" s="147"/>
    </row>
    <row r="86" spans="1:26" s="1" customFormat="1" ht="11.25" x14ac:dyDescent="0.2">
      <c r="A86" s="200"/>
      <c r="B86" s="32" t="s">
        <v>61</v>
      </c>
      <c r="C86" s="134" t="s">
        <v>28</v>
      </c>
      <c r="D86" s="6">
        <v>3.04</v>
      </c>
      <c r="E86" s="6">
        <v>4.43</v>
      </c>
      <c r="F86" s="6">
        <v>45</v>
      </c>
      <c r="G86" s="6">
        <f t="shared" si="20"/>
        <v>-1.3899999999999997</v>
      </c>
      <c r="H86" s="6">
        <v>0</v>
      </c>
      <c r="I86" s="6">
        <f>16*1.05</f>
        <v>16.8</v>
      </c>
      <c r="J86" s="6">
        <f t="shared" si="21"/>
        <v>18.190000000000001</v>
      </c>
      <c r="K86" s="201"/>
      <c r="L86" s="197"/>
      <c r="M86" s="48"/>
      <c r="N86" s="200"/>
      <c r="O86" s="33" t="s">
        <v>61</v>
      </c>
      <c r="P86" s="140" t="s">
        <v>28</v>
      </c>
      <c r="Q86" s="18">
        <v>0.54300000000000004</v>
      </c>
      <c r="R86" s="18">
        <f t="shared" si="31"/>
        <v>3.5830000000000002</v>
      </c>
      <c r="S86" s="154">
        <f t="shared" si="23"/>
        <v>4.43</v>
      </c>
      <c r="T86" s="42">
        <f t="shared" si="23"/>
        <v>45</v>
      </c>
      <c r="U86" s="18">
        <f t="shared" si="22"/>
        <v>-0.84699999999999953</v>
      </c>
      <c r="V86" s="140">
        <v>0</v>
      </c>
      <c r="W86" s="138">
        <f t="shared" si="24"/>
        <v>16.8</v>
      </c>
      <c r="X86" s="55">
        <f t="shared" si="25"/>
        <v>17.646999999999998</v>
      </c>
      <c r="Y86" s="168"/>
      <c r="Z86" s="148"/>
    </row>
    <row r="87" spans="1:26" s="1" customFormat="1" ht="22.5" x14ac:dyDescent="0.2">
      <c r="A87" s="5">
        <v>58</v>
      </c>
      <c r="B87" s="32" t="s">
        <v>122</v>
      </c>
      <c r="C87" s="134" t="s">
        <v>25</v>
      </c>
      <c r="D87" s="6">
        <v>1.5</v>
      </c>
      <c r="E87" s="6">
        <v>0.95</v>
      </c>
      <c r="F87" s="6">
        <v>30</v>
      </c>
      <c r="G87" s="6">
        <f t="shared" si="20"/>
        <v>0.55000000000000004</v>
      </c>
      <c r="H87" s="6">
        <v>0</v>
      </c>
      <c r="I87" s="2">
        <f>2.5*1.05</f>
        <v>2.625</v>
      </c>
      <c r="J87" s="2">
        <f t="shared" si="21"/>
        <v>2.0750000000000002</v>
      </c>
      <c r="K87" s="2">
        <f t="shared" ref="K87:K93" si="32">J87</f>
        <v>2.0750000000000002</v>
      </c>
      <c r="L87" s="7" t="str">
        <f t="shared" ref="L87:L93" si="33">IF(K87&lt;0,"закрыт","открыт")</f>
        <v>открыт</v>
      </c>
      <c r="M87" s="48"/>
      <c r="N87" s="5">
        <v>58</v>
      </c>
      <c r="O87" s="33" t="s">
        <v>122</v>
      </c>
      <c r="P87" s="140" t="s">
        <v>25</v>
      </c>
      <c r="Q87" s="18">
        <v>0.11700000000000001</v>
      </c>
      <c r="R87" s="18">
        <f t="shared" si="31"/>
        <v>1.617</v>
      </c>
      <c r="S87" s="154">
        <f t="shared" si="23"/>
        <v>0.95</v>
      </c>
      <c r="T87" s="42">
        <f t="shared" si="23"/>
        <v>30</v>
      </c>
      <c r="U87" s="18">
        <f t="shared" si="22"/>
        <v>0.66700000000000004</v>
      </c>
      <c r="V87" s="140">
        <v>0</v>
      </c>
      <c r="W87" s="138">
        <f t="shared" si="24"/>
        <v>2.625</v>
      </c>
      <c r="X87" s="55">
        <f t="shared" si="25"/>
        <v>1.958</v>
      </c>
      <c r="Y87" s="56">
        <f t="shared" si="26"/>
        <v>1.958</v>
      </c>
      <c r="Z87" s="31" t="str">
        <f t="shared" si="19"/>
        <v>открыт</v>
      </c>
    </row>
    <row r="88" spans="1:26" s="1" customFormat="1" ht="11.25" x14ac:dyDescent="0.2">
      <c r="A88" s="5">
        <v>59</v>
      </c>
      <c r="B88" s="32" t="s">
        <v>123</v>
      </c>
      <c r="C88" s="134" t="s">
        <v>30</v>
      </c>
      <c r="D88" s="6">
        <v>0.6</v>
      </c>
      <c r="E88" s="6">
        <v>0</v>
      </c>
      <c r="F88" s="6" t="s">
        <v>99</v>
      </c>
      <c r="G88" s="6">
        <f t="shared" si="20"/>
        <v>0.6</v>
      </c>
      <c r="H88" s="6">
        <v>0</v>
      </c>
      <c r="I88" s="6">
        <f>1.6*1.05</f>
        <v>1.6800000000000002</v>
      </c>
      <c r="J88" s="6">
        <f t="shared" si="21"/>
        <v>1.08</v>
      </c>
      <c r="K88" s="6">
        <f t="shared" si="32"/>
        <v>1.08</v>
      </c>
      <c r="L88" s="7" t="str">
        <f t="shared" si="33"/>
        <v>открыт</v>
      </c>
      <c r="M88" s="48"/>
      <c r="N88" s="5">
        <v>59</v>
      </c>
      <c r="O88" s="33" t="s">
        <v>123</v>
      </c>
      <c r="P88" s="140" t="s">
        <v>30</v>
      </c>
      <c r="Q88" s="18">
        <v>2.9000000000000001E-2</v>
      </c>
      <c r="R88" s="18">
        <f t="shared" si="31"/>
        <v>0.629</v>
      </c>
      <c r="S88" s="154">
        <f t="shared" si="23"/>
        <v>0</v>
      </c>
      <c r="T88" s="42"/>
      <c r="U88" s="18">
        <f t="shared" si="22"/>
        <v>0.629</v>
      </c>
      <c r="V88" s="140">
        <v>0</v>
      </c>
      <c r="W88" s="138">
        <f t="shared" si="24"/>
        <v>1.6800000000000002</v>
      </c>
      <c r="X88" s="55">
        <f t="shared" si="25"/>
        <v>1.0510000000000002</v>
      </c>
      <c r="Y88" s="56">
        <f t="shared" si="26"/>
        <v>1.0510000000000002</v>
      </c>
      <c r="Z88" s="31" t="str">
        <f t="shared" si="19"/>
        <v>открыт</v>
      </c>
    </row>
    <row r="89" spans="1:26" s="1" customFormat="1" ht="11.25" x14ac:dyDescent="0.2">
      <c r="A89" s="5">
        <v>60</v>
      </c>
      <c r="B89" s="32" t="s">
        <v>124</v>
      </c>
      <c r="C89" s="134" t="s">
        <v>27</v>
      </c>
      <c r="D89" s="6">
        <v>1.29</v>
      </c>
      <c r="E89" s="6">
        <v>0.83</v>
      </c>
      <c r="F89" s="6">
        <v>30</v>
      </c>
      <c r="G89" s="6">
        <f t="shared" si="20"/>
        <v>0.46000000000000008</v>
      </c>
      <c r="H89" s="6">
        <v>0</v>
      </c>
      <c r="I89" s="6">
        <f>6.3*1.05</f>
        <v>6.6150000000000002</v>
      </c>
      <c r="J89" s="6">
        <f t="shared" si="21"/>
        <v>6.1550000000000002</v>
      </c>
      <c r="K89" s="6">
        <f t="shared" si="32"/>
        <v>6.1550000000000002</v>
      </c>
      <c r="L89" s="7" t="str">
        <f t="shared" si="33"/>
        <v>открыт</v>
      </c>
      <c r="M89" s="48"/>
      <c r="N89" s="40">
        <v>60</v>
      </c>
      <c r="O89" s="40" t="s">
        <v>124</v>
      </c>
      <c r="P89" s="38" t="s">
        <v>27</v>
      </c>
      <c r="Q89" s="18">
        <v>3.9E-2</v>
      </c>
      <c r="R89" s="41">
        <f t="shared" si="31"/>
        <v>1.329</v>
      </c>
      <c r="S89" s="154">
        <f t="shared" si="23"/>
        <v>0.83</v>
      </c>
      <c r="T89" s="42">
        <f t="shared" si="23"/>
        <v>30</v>
      </c>
      <c r="U89" s="41">
        <f t="shared" si="22"/>
        <v>0.499</v>
      </c>
      <c r="V89" s="38">
        <v>0</v>
      </c>
      <c r="W89" s="154">
        <f t="shared" si="24"/>
        <v>6.6150000000000002</v>
      </c>
      <c r="X89" s="55">
        <f t="shared" si="25"/>
        <v>6.1160000000000005</v>
      </c>
      <c r="Y89" s="56">
        <f t="shared" si="26"/>
        <v>6.1160000000000005</v>
      </c>
      <c r="Z89" s="39" t="str">
        <f t="shared" si="19"/>
        <v>открыт</v>
      </c>
    </row>
    <row r="90" spans="1:26" s="1" customFormat="1" ht="11.25" x14ac:dyDescent="0.2">
      <c r="A90" s="5">
        <v>61</v>
      </c>
      <c r="B90" s="32" t="s">
        <v>125</v>
      </c>
      <c r="C90" s="134" t="s">
        <v>25</v>
      </c>
      <c r="D90" s="6">
        <v>0.57999999999999996</v>
      </c>
      <c r="E90" s="6">
        <v>1.59</v>
      </c>
      <c r="F90" s="6">
        <v>30</v>
      </c>
      <c r="G90" s="6">
        <f t="shared" si="20"/>
        <v>-1.0100000000000002</v>
      </c>
      <c r="H90" s="6">
        <v>0</v>
      </c>
      <c r="I90" s="2">
        <f>2.5*1.05</f>
        <v>2.625</v>
      </c>
      <c r="J90" s="2">
        <f t="shared" si="21"/>
        <v>3.6350000000000002</v>
      </c>
      <c r="K90" s="2">
        <f t="shared" si="32"/>
        <v>3.6350000000000002</v>
      </c>
      <c r="L90" s="7" t="str">
        <f t="shared" si="33"/>
        <v>открыт</v>
      </c>
      <c r="M90" s="48"/>
      <c r="N90" s="5">
        <v>61</v>
      </c>
      <c r="O90" s="33" t="s">
        <v>125</v>
      </c>
      <c r="P90" s="140" t="s">
        <v>25</v>
      </c>
      <c r="Q90" s="18">
        <v>0.02</v>
      </c>
      <c r="R90" s="18">
        <f t="shared" si="31"/>
        <v>0.6</v>
      </c>
      <c r="S90" s="154">
        <f t="shared" si="23"/>
        <v>1.59</v>
      </c>
      <c r="T90" s="42">
        <f t="shared" si="23"/>
        <v>30</v>
      </c>
      <c r="U90" s="18">
        <f t="shared" si="22"/>
        <v>-0.9900000000000001</v>
      </c>
      <c r="V90" s="140">
        <v>0</v>
      </c>
      <c r="W90" s="154">
        <f t="shared" si="24"/>
        <v>2.625</v>
      </c>
      <c r="X90" s="55">
        <f t="shared" si="25"/>
        <v>3.6150000000000002</v>
      </c>
      <c r="Y90" s="56">
        <f t="shared" si="26"/>
        <v>3.6150000000000002</v>
      </c>
      <c r="Z90" s="31" t="str">
        <f t="shared" si="19"/>
        <v>открыт</v>
      </c>
    </row>
    <row r="91" spans="1:26" s="1" customFormat="1" ht="11.25" x14ac:dyDescent="0.2">
      <c r="A91" s="5">
        <v>62</v>
      </c>
      <c r="B91" s="32" t="s">
        <v>126</v>
      </c>
      <c r="C91" s="134" t="s">
        <v>127</v>
      </c>
      <c r="D91" s="6">
        <v>0.56000000000000005</v>
      </c>
      <c r="E91" s="6">
        <v>0.47</v>
      </c>
      <c r="F91" s="6">
        <v>60</v>
      </c>
      <c r="G91" s="6">
        <f t="shared" si="20"/>
        <v>9.000000000000008E-2</v>
      </c>
      <c r="H91" s="6">
        <v>0</v>
      </c>
      <c r="I91" s="6">
        <f>1*1.05</f>
        <v>1.05</v>
      </c>
      <c r="J91" s="6">
        <f t="shared" si="21"/>
        <v>0.96</v>
      </c>
      <c r="K91" s="6">
        <f t="shared" si="32"/>
        <v>0.96</v>
      </c>
      <c r="L91" s="7" t="str">
        <f t="shared" si="33"/>
        <v>открыт</v>
      </c>
      <c r="M91" s="48"/>
      <c r="N91" s="5">
        <v>62</v>
      </c>
      <c r="O91" s="33" t="s">
        <v>126</v>
      </c>
      <c r="P91" s="140" t="s">
        <v>127</v>
      </c>
      <c r="Q91" s="18">
        <v>2.5999999999999999E-2</v>
      </c>
      <c r="R91" s="18">
        <f t="shared" si="31"/>
        <v>0.58600000000000008</v>
      </c>
      <c r="S91" s="154">
        <f t="shared" si="23"/>
        <v>0.47</v>
      </c>
      <c r="T91" s="42">
        <f t="shared" si="23"/>
        <v>60</v>
      </c>
      <c r="U91" s="18">
        <f t="shared" si="22"/>
        <v>0.1160000000000001</v>
      </c>
      <c r="V91" s="140">
        <v>0</v>
      </c>
      <c r="W91" s="154">
        <f t="shared" si="24"/>
        <v>1.05</v>
      </c>
      <c r="X91" s="55">
        <f t="shared" si="25"/>
        <v>0.93399999999999994</v>
      </c>
      <c r="Y91" s="56">
        <f t="shared" si="26"/>
        <v>0.93399999999999994</v>
      </c>
      <c r="Z91" s="31" t="str">
        <f t="shared" si="19"/>
        <v>открыт</v>
      </c>
    </row>
    <row r="92" spans="1:26" s="1" customFormat="1" ht="11.25" x14ac:dyDescent="0.2">
      <c r="A92" s="5">
        <v>63</v>
      </c>
      <c r="B92" s="32" t="s">
        <v>128</v>
      </c>
      <c r="C92" s="134" t="s">
        <v>129</v>
      </c>
      <c r="D92" s="6">
        <v>0.37</v>
      </c>
      <c r="E92" s="6">
        <v>0.99</v>
      </c>
      <c r="F92" s="6">
        <v>90</v>
      </c>
      <c r="G92" s="6">
        <f t="shared" si="20"/>
        <v>-0.62</v>
      </c>
      <c r="H92" s="6">
        <v>0</v>
      </c>
      <c r="I92" s="6">
        <f>1.8*1.05</f>
        <v>1.8900000000000001</v>
      </c>
      <c r="J92" s="6">
        <f t="shared" si="21"/>
        <v>2.5100000000000002</v>
      </c>
      <c r="K92" s="6">
        <f t="shared" si="32"/>
        <v>2.5100000000000002</v>
      </c>
      <c r="L92" s="7" t="str">
        <f t="shared" si="33"/>
        <v>открыт</v>
      </c>
      <c r="M92" s="48"/>
      <c r="N92" s="5">
        <v>63</v>
      </c>
      <c r="O92" s="33" t="s">
        <v>128</v>
      </c>
      <c r="P92" s="140" t="s">
        <v>129</v>
      </c>
      <c r="Q92" s="18">
        <v>3.1E-2</v>
      </c>
      <c r="R92" s="18">
        <f t="shared" si="31"/>
        <v>0.40100000000000002</v>
      </c>
      <c r="S92" s="154">
        <f t="shared" si="23"/>
        <v>0.99</v>
      </c>
      <c r="T92" s="42">
        <f t="shared" si="23"/>
        <v>90</v>
      </c>
      <c r="U92" s="18">
        <f t="shared" si="22"/>
        <v>-0.58899999999999997</v>
      </c>
      <c r="V92" s="140">
        <v>0</v>
      </c>
      <c r="W92" s="154">
        <f t="shared" si="24"/>
        <v>1.8900000000000001</v>
      </c>
      <c r="X92" s="55">
        <f t="shared" si="25"/>
        <v>2.4790000000000001</v>
      </c>
      <c r="Y92" s="56">
        <f t="shared" si="26"/>
        <v>2.4790000000000001</v>
      </c>
      <c r="Z92" s="31" t="str">
        <f t="shared" si="19"/>
        <v>открыт</v>
      </c>
    </row>
    <row r="93" spans="1:26" s="1" customFormat="1" ht="22.5" x14ac:dyDescent="0.2">
      <c r="A93" s="5">
        <v>64</v>
      </c>
      <c r="B93" s="32" t="s">
        <v>130</v>
      </c>
      <c r="C93" s="134" t="s">
        <v>131</v>
      </c>
      <c r="D93" s="6">
        <v>0.75</v>
      </c>
      <c r="E93" s="6">
        <v>1.7</v>
      </c>
      <c r="F93" s="6">
        <v>30</v>
      </c>
      <c r="G93" s="6">
        <f t="shared" si="20"/>
        <v>-0.95</v>
      </c>
      <c r="H93" s="6">
        <v>0</v>
      </c>
      <c r="I93" s="6">
        <f>5.6*1.05</f>
        <v>5.88</v>
      </c>
      <c r="J93" s="6">
        <f t="shared" si="21"/>
        <v>6.83</v>
      </c>
      <c r="K93" s="6">
        <f t="shared" si="32"/>
        <v>6.83</v>
      </c>
      <c r="L93" s="7" t="str">
        <f t="shared" si="33"/>
        <v>открыт</v>
      </c>
      <c r="M93" s="48"/>
      <c r="N93" s="5">
        <v>64</v>
      </c>
      <c r="O93" s="33" t="s">
        <v>132</v>
      </c>
      <c r="P93" s="140" t="s">
        <v>131</v>
      </c>
      <c r="Q93" s="18">
        <v>1.091</v>
      </c>
      <c r="R93" s="18">
        <f t="shared" si="31"/>
        <v>1.841</v>
      </c>
      <c r="S93" s="154">
        <f t="shared" si="23"/>
        <v>1.7</v>
      </c>
      <c r="T93" s="42">
        <f t="shared" si="23"/>
        <v>30</v>
      </c>
      <c r="U93" s="18">
        <f t="shared" si="22"/>
        <v>0.14100000000000001</v>
      </c>
      <c r="V93" s="140">
        <v>0</v>
      </c>
      <c r="W93" s="154">
        <f t="shared" si="24"/>
        <v>5.88</v>
      </c>
      <c r="X93" s="55">
        <f t="shared" si="25"/>
        <v>5.7389999999999999</v>
      </c>
      <c r="Y93" s="56">
        <f t="shared" si="26"/>
        <v>5.7389999999999999</v>
      </c>
      <c r="Z93" s="31" t="str">
        <f t="shared" si="19"/>
        <v>открыт</v>
      </c>
    </row>
    <row r="94" spans="1:26" s="1" customFormat="1" ht="22.5" x14ac:dyDescent="0.2">
      <c r="A94" s="200">
        <v>65</v>
      </c>
      <c r="B94" s="32" t="s">
        <v>133</v>
      </c>
      <c r="C94" s="134" t="s">
        <v>24</v>
      </c>
      <c r="D94" s="6">
        <v>8.0599999999999987</v>
      </c>
      <c r="E94" s="6">
        <f>E95+E96</f>
        <v>3.3099999999999996</v>
      </c>
      <c r="F94" s="6">
        <v>90</v>
      </c>
      <c r="G94" s="6">
        <f t="shared" ref="G94:G125" si="34">D94-E94</f>
        <v>4.7499999999999991</v>
      </c>
      <c r="H94" s="6">
        <v>0</v>
      </c>
      <c r="I94" s="6">
        <f>10*1.05</f>
        <v>10.5</v>
      </c>
      <c r="J94" s="6">
        <f t="shared" si="21"/>
        <v>5.7500000000000009</v>
      </c>
      <c r="K94" s="201">
        <f>MIN(J94:J96)</f>
        <v>4.2</v>
      </c>
      <c r="L94" s="197" t="str">
        <f>IF(K94&lt;0,"закрыт","открыт")</f>
        <v>открыт</v>
      </c>
      <c r="M94" s="48"/>
      <c r="N94" s="200">
        <v>65</v>
      </c>
      <c r="O94" s="33" t="s">
        <v>133</v>
      </c>
      <c r="P94" s="140" t="s">
        <v>24</v>
      </c>
      <c r="Q94" s="18">
        <f>Q96+Q95</f>
        <v>0.9830000000000001</v>
      </c>
      <c r="R94" s="18">
        <f>R95+R96</f>
        <v>9.0429999999999993</v>
      </c>
      <c r="S94" s="154">
        <f t="shared" si="23"/>
        <v>3.3099999999999996</v>
      </c>
      <c r="T94" s="42">
        <f t="shared" si="23"/>
        <v>90</v>
      </c>
      <c r="U94" s="18">
        <f t="shared" si="22"/>
        <v>5.7329999999999997</v>
      </c>
      <c r="V94" s="140">
        <v>0</v>
      </c>
      <c r="W94" s="154">
        <f t="shared" si="24"/>
        <v>10.5</v>
      </c>
      <c r="X94" s="55">
        <f t="shared" si="25"/>
        <v>4.7670000000000003</v>
      </c>
      <c r="Y94" s="166">
        <f>X94</f>
        <v>4.7670000000000003</v>
      </c>
      <c r="Z94" s="139" t="str">
        <f>IF(Y94&lt;0,"закрыт","открыт")</f>
        <v>открыт</v>
      </c>
    </row>
    <row r="95" spans="1:26" s="46" customFormat="1" ht="11.25" x14ac:dyDescent="0.2">
      <c r="A95" s="200"/>
      <c r="B95" s="32" t="s">
        <v>60</v>
      </c>
      <c r="C95" s="134" t="s">
        <v>24</v>
      </c>
      <c r="D95" s="6">
        <v>1.21</v>
      </c>
      <c r="E95" s="38">
        <v>2.76</v>
      </c>
      <c r="F95" s="38">
        <v>90</v>
      </c>
      <c r="G95" s="38">
        <f t="shared" si="34"/>
        <v>-1.5499999999999998</v>
      </c>
      <c r="H95" s="38">
        <v>0</v>
      </c>
      <c r="I95" s="38">
        <f>10*1.05</f>
        <v>10.5</v>
      </c>
      <c r="J95" s="38">
        <f t="shared" si="21"/>
        <v>12.05</v>
      </c>
      <c r="K95" s="201"/>
      <c r="L95" s="197"/>
      <c r="M95" s="48"/>
      <c r="N95" s="200"/>
      <c r="O95" s="40" t="s">
        <v>60</v>
      </c>
      <c r="P95" s="38" t="s">
        <v>24</v>
      </c>
      <c r="Q95" s="18">
        <f>Q8+Q115+Q63</f>
        <v>0.21200000000000002</v>
      </c>
      <c r="R95" s="41">
        <f t="shared" ref="R95:R101" si="35">Q95+D95</f>
        <v>1.4219999999999999</v>
      </c>
      <c r="S95" s="154">
        <f t="shared" si="23"/>
        <v>2.76</v>
      </c>
      <c r="T95" s="42">
        <f t="shared" si="23"/>
        <v>90</v>
      </c>
      <c r="U95" s="41">
        <f t="shared" si="22"/>
        <v>-1.3379999999999999</v>
      </c>
      <c r="V95" s="38">
        <v>0</v>
      </c>
      <c r="W95" s="154">
        <f t="shared" si="24"/>
        <v>10.5</v>
      </c>
      <c r="X95" s="55">
        <f t="shared" si="25"/>
        <v>11.837999999999999</v>
      </c>
      <c r="Y95" s="167"/>
      <c r="Z95" s="147"/>
    </row>
    <row r="96" spans="1:26" s="1" customFormat="1" ht="11.25" x14ac:dyDescent="0.2">
      <c r="A96" s="200"/>
      <c r="B96" s="32" t="s">
        <v>61</v>
      </c>
      <c r="C96" s="134" t="s">
        <v>24</v>
      </c>
      <c r="D96" s="6">
        <v>6.85</v>
      </c>
      <c r="E96" s="6">
        <v>0.55000000000000004</v>
      </c>
      <c r="F96" s="6">
        <v>90</v>
      </c>
      <c r="G96" s="6">
        <f t="shared" si="34"/>
        <v>6.3</v>
      </c>
      <c r="H96" s="6">
        <v>0</v>
      </c>
      <c r="I96" s="6">
        <f>10*1.05</f>
        <v>10.5</v>
      </c>
      <c r="J96" s="6">
        <f t="shared" si="21"/>
        <v>4.2</v>
      </c>
      <c r="K96" s="201"/>
      <c r="L96" s="197"/>
      <c r="M96" s="48"/>
      <c r="N96" s="200"/>
      <c r="O96" s="33" t="s">
        <v>61</v>
      </c>
      <c r="P96" s="140" t="s">
        <v>24</v>
      </c>
      <c r="Q96" s="18">
        <v>0.77100000000000002</v>
      </c>
      <c r="R96" s="18">
        <f t="shared" si="35"/>
        <v>7.6209999999999996</v>
      </c>
      <c r="S96" s="154">
        <f t="shared" si="23"/>
        <v>0.55000000000000004</v>
      </c>
      <c r="T96" s="42">
        <f t="shared" si="23"/>
        <v>90</v>
      </c>
      <c r="U96" s="18">
        <f t="shared" si="22"/>
        <v>7.0709999999999997</v>
      </c>
      <c r="V96" s="140">
        <v>0</v>
      </c>
      <c r="W96" s="154">
        <f t="shared" si="24"/>
        <v>10.5</v>
      </c>
      <c r="X96" s="55">
        <f t="shared" si="25"/>
        <v>3.4290000000000003</v>
      </c>
      <c r="Y96" s="168"/>
      <c r="Z96" s="148"/>
    </row>
    <row r="97" spans="1:26" s="46" customFormat="1" ht="22.5" x14ac:dyDescent="0.2">
      <c r="A97" s="5">
        <v>66</v>
      </c>
      <c r="B97" s="32" t="s">
        <v>134</v>
      </c>
      <c r="C97" s="134" t="s">
        <v>135</v>
      </c>
      <c r="D97" s="6">
        <v>0.56000000000000005</v>
      </c>
      <c r="E97" s="38">
        <v>1.63</v>
      </c>
      <c r="F97" s="38">
        <v>45</v>
      </c>
      <c r="G97" s="38">
        <f t="shared" si="34"/>
        <v>-1.0699999999999998</v>
      </c>
      <c r="H97" s="38">
        <v>0</v>
      </c>
      <c r="I97" s="35">
        <f>2.5*1.05</f>
        <v>2.625</v>
      </c>
      <c r="J97" s="35">
        <f t="shared" si="21"/>
        <v>3.6949999999999998</v>
      </c>
      <c r="K97" s="35">
        <f>J97</f>
        <v>3.6949999999999998</v>
      </c>
      <c r="L97" s="53" t="str">
        <f t="shared" ref="L97:L102" si="36">IF(K97&lt;0,"закрыт","открыт")</f>
        <v>открыт</v>
      </c>
      <c r="M97" s="48"/>
      <c r="N97" s="5">
        <v>66</v>
      </c>
      <c r="O97" s="40" t="s">
        <v>134</v>
      </c>
      <c r="P97" s="38" t="s">
        <v>135</v>
      </c>
      <c r="Q97" s="18">
        <v>0.03</v>
      </c>
      <c r="R97" s="41">
        <f t="shared" si="35"/>
        <v>0.59000000000000008</v>
      </c>
      <c r="S97" s="154">
        <f t="shared" si="23"/>
        <v>1.63</v>
      </c>
      <c r="T97" s="42">
        <f t="shared" si="23"/>
        <v>45</v>
      </c>
      <c r="U97" s="41">
        <f t="shared" si="22"/>
        <v>-1.0399999999999998</v>
      </c>
      <c r="V97" s="38">
        <v>0</v>
      </c>
      <c r="W97" s="154">
        <f t="shared" si="24"/>
        <v>2.625</v>
      </c>
      <c r="X97" s="55">
        <f t="shared" si="25"/>
        <v>3.665</v>
      </c>
      <c r="Y97" s="56">
        <f t="shared" si="26"/>
        <v>3.665</v>
      </c>
      <c r="Z97" s="39" t="str">
        <f t="shared" si="19"/>
        <v>открыт</v>
      </c>
    </row>
    <row r="98" spans="1:26" s="1" customFormat="1" ht="22.5" x14ac:dyDescent="0.2">
      <c r="A98" s="36">
        <v>67</v>
      </c>
      <c r="B98" s="32" t="s">
        <v>136</v>
      </c>
      <c r="C98" s="134" t="s">
        <v>31</v>
      </c>
      <c r="D98" s="6">
        <v>0.49</v>
      </c>
      <c r="E98" s="6">
        <v>0</v>
      </c>
      <c r="F98" s="6"/>
      <c r="G98" s="6">
        <f t="shared" si="34"/>
        <v>0.49</v>
      </c>
      <c r="H98" s="6">
        <v>0</v>
      </c>
      <c r="I98" s="6">
        <f>1.6*1.05</f>
        <v>1.6800000000000002</v>
      </c>
      <c r="J98" s="6">
        <f t="shared" si="21"/>
        <v>1.1900000000000002</v>
      </c>
      <c r="K98" s="6">
        <f>J98</f>
        <v>1.1900000000000002</v>
      </c>
      <c r="L98" s="7" t="str">
        <f t="shared" si="36"/>
        <v>открыт</v>
      </c>
      <c r="M98" s="48"/>
      <c r="N98" s="36">
        <v>67</v>
      </c>
      <c r="O98" s="2" t="s">
        <v>136</v>
      </c>
      <c r="P98" s="140" t="s">
        <v>31</v>
      </c>
      <c r="Q98" s="18">
        <v>4.2999999999999997E-2</v>
      </c>
      <c r="R98" s="18">
        <f t="shared" si="35"/>
        <v>0.53300000000000003</v>
      </c>
      <c r="S98" s="154">
        <f t="shared" si="23"/>
        <v>0</v>
      </c>
      <c r="T98" s="42">
        <f t="shared" si="23"/>
        <v>0</v>
      </c>
      <c r="U98" s="18">
        <f t="shared" si="22"/>
        <v>0.53300000000000003</v>
      </c>
      <c r="V98" s="140">
        <v>0</v>
      </c>
      <c r="W98" s="154">
        <f t="shared" si="24"/>
        <v>1.6800000000000002</v>
      </c>
      <c r="X98" s="55">
        <f t="shared" si="25"/>
        <v>1.1470000000000002</v>
      </c>
      <c r="Y98" s="56">
        <f t="shared" si="26"/>
        <v>1.1470000000000002</v>
      </c>
      <c r="Z98" s="31" t="str">
        <f t="shared" si="19"/>
        <v>открыт</v>
      </c>
    </row>
    <row r="99" spans="1:26" s="46" customFormat="1" ht="11.25" x14ac:dyDescent="0.2">
      <c r="A99" s="5">
        <v>68</v>
      </c>
      <c r="B99" s="32" t="s">
        <v>137</v>
      </c>
      <c r="C99" s="134" t="s">
        <v>25</v>
      </c>
      <c r="D99" s="6">
        <v>0.76</v>
      </c>
      <c r="E99" s="38">
        <v>1.53</v>
      </c>
      <c r="F99" s="38">
        <v>90</v>
      </c>
      <c r="G99" s="38">
        <f t="shared" si="34"/>
        <v>-0.77</v>
      </c>
      <c r="H99" s="38">
        <v>0</v>
      </c>
      <c r="I99" s="35">
        <f>2.5*1.05</f>
        <v>2.625</v>
      </c>
      <c r="J99" s="35">
        <f t="shared" si="21"/>
        <v>3.395</v>
      </c>
      <c r="K99" s="35">
        <f>J99</f>
        <v>3.395</v>
      </c>
      <c r="L99" s="53" t="str">
        <f t="shared" si="36"/>
        <v>открыт</v>
      </c>
      <c r="M99" s="48"/>
      <c r="N99" s="5">
        <v>68</v>
      </c>
      <c r="O99" s="40" t="s">
        <v>137</v>
      </c>
      <c r="P99" s="38" t="s">
        <v>25</v>
      </c>
      <c r="Q99" s="18">
        <v>1.1080000000000001</v>
      </c>
      <c r="R99" s="41">
        <f t="shared" si="35"/>
        <v>1.8680000000000001</v>
      </c>
      <c r="S99" s="154">
        <f t="shared" si="23"/>
        <v>1.53</v>
      </c>
      <c r="T99" s="42">
        <f t="shared" si="23"/>
        <v>90</v>
      </c>
      <c r="U99" s="41">
        <f t="shared" si="22"/>
        <v>0.33800000000000008</v>
      </c>
      <c r="V99" s="38">
        <v>0</v>
      </c>
      <c r="W99" s="154">
        <f t="shared" si="24"/>
        <v>2.625</v>
      </c>
      <c r="X99" s="55">
        <f t="shared" si="25"/>
        <v>2.2869999999999999</v>
      </c>
      <c r="Y99" s="56">
        <f t="shared" si="26"/>
        <v>2.2869999999999999</v>
      </c>
      <c r="Z99" s="39" t="str">
        <f t="shared" si="19"/>
        <v>открыт</v>
      </c>
    </row>
    <row r="100" spans="1:26" s="62" customFormat="1" ht="11.25" x14ac:dyDescent="0.2">
      <c r="A100" s="36">
        <v>69</v>
      </c>
      <c r="B100" s="32" t="s">
        <v>138</v>
      </c>
      <c r="C100" s="134" t="s">
        <v>113</v>
      </c>
      <c r="D100" s="6">
        <v>5.94</v>
      </c>
      <c r="E100" s="38">
        <v>2.2200000000000002</v>
      </c>
      <c r="F100" s="38">
        <v>60</v>
      </c>
      <c r="G100" s="38">
        <f t="shared" si="34"/>
        <v>3.72</v>
      </c>
      <c r="H100" s="38">
        <v>0</v>
      </c>
      <c r="I100" s="38">
        <f>25*1.05</f>
        <v>26.25</v>
      </c>
      <c r="J100" s="38">
        <f t="shared" si="21"/>
        <v>22.53</v>
      </c>
      <c r="K100" s="38">
        <f>J100</f>
        <v>22.53</v>
      </c>
      <c r="L100" s="53" t="str">
        <f t="shared" si="36"/>
        <v>открыт</v>
      </c>
      <c r="M100" s="48"/>
      <c r="N100" s="36">
        <v>69</v>
      </c>
      <c r="O100" s="40" t="s">
        <v>138</v>
      </c>
      <c r="P100" s="38" t="s">
        <v>113</v>
      </c>
      <c r="Q100" s="18">
        <v>1.3560000000000001</v>
      </c>
      <c r="R100" s="41">
        <f t="shared" si="35"/>
        <v>7.2960000000000003</v>
      </c>
      <c r="S100" s="154">
        <f t="shared" si="23"/>
        <v>2.2200000000000002</v>
      </c>
      <c r="T100" s="42">
        <f t="shared" si="23"/>
        <v>60</v>
      </c>
      <c r="U100" s="41">
        <f t="shared" si="22"/>
        <v>5.0760000000000005</v>
      </c>
      <c r="V100" s="38">
        <v>0</v>
      </c>
      <c r="W100" s="154">
        <f t="shared" si="24"/>
        <v>26.25</v>
      </c>
      <c r="X100" s="55">
        <f t="shared" si="25"/>
        <v>21.173999999999999</v>
      </c>
      <c r="Y100" s="56">
        <f t="shared" si="26"/>
        <v>21.173999999999999</v>
      </c>
      <c r="Z100" s="39" t="str">
        <f t="shared" si="19"/>
        <v>открыт</v>
      </c>
    </row>
    <row r="101" spans="1:26" s="1" customFormat="1" ht="11.25" x14ac:dyDescent="0.2">
      <c r="A101" s="5">
        <v>70</v>
      </c>
      <c r="B101" s="32" t="s">
        <v>139</v>
      </c>
      <c r="C101" s="134" t="s">
        <v>25</v>
      </c>
      <c r="D101" s="6">
        <v>0.46</v>
      </c>
      <c r="E101" s="6">
        <v>0.65</v>
      </c>
      <c r="F101" s="6">
        <v>90</v>
      </c>
      <c r="G101" s="6">
        <f t="shared" si="34"/>
        <v>-0.19</v>
      </c>
      <c r="H101" s="6">
        <v>0</v>
      </c>
      <c r="I101" s="2">
        <f>2.5*1.05</f>
        <v>2.625</v>
      </c>
      <c r="J101" s="2">
        <f t="shared" si="21"/>
        <v>2.8149999999999999</v>
      </c>
      <c r="K101" s="2">
        <f>J101</f>
        <v>2.8149999999999999</v>
      </c>
      <c r="L101" s="7" t="str">
        <f t="shared" si="36"/>
        <v>открыт</v>
      </c>
      <c r="M101" s="48"/>
      <c r="N101" s="5">
        <v>70</v>
      </c>
      <c r="O101" s="33" t="s">
        <v>139</v>
      </c>
      <c r="P101" s="140" t="s">
        <v>25</v>
      </c>
      <c r="Q101" s="18">
        <v>4.2999999999999997E-2</v>
      </c>
      <c r="R101" s="18">
        <f t="shared" si="35"/>
        <v>0.503</v>
      </c>
      <c r="S101" s="154">
        <f t="shared" si="23"/>
        <v>0.65</v>
      </c>
      <c r="T101" s="42">
        <f t="shared" si="23"/>
        <v>90</v>
      </c>
      <c r="U101" s="18">
        <f t="shared" si="22"/>
        <v>-0.14700000000000002</v>
      </c>
      <c r="V101" s="140">
        <v>0</v>
      </c>
      <c r="W101" s="154">
        <f t="shared" si="24"/>
        <v>2.625</v>
      </c>
      <c r="X101" s="55">
        <f t="shared" si="25"/>
        <v>2.7720000000000002</v>
      </c>
      <c r="Y101" s="56">
        <f t="shared" si="26"/>
        <v>2.7720000000000002</v>
      </c>
      <c r="Z101" s="31" t="str">
        <f t="shared" si="19"/>
        <v>открыт</v>
      </c>
    </row>
    <row r="102" spans="1:26" s="1" customFormat="1" ht="22.5" x14ac:dyDescent="0.2">
      <c r="A102" s="200">
        <v>71</v>
      </c>
      <c r="B102" s="32" t="s">
        <v>140</v>
      </c>
      <c r="C102" s="134" t="s">
        <v>24</v>
      </c>
      <c r="D102" s="6">
        <v>3.3</v>
      </c>
      <c r="E102" s="6">
        <f>E103+E104</f>
        <v>1.98</v>
      </c>
      <c r="F102" s="6">
        <v>45</v>
      </c>
      <c r="G102" s="6">
        <f t="shared" si="34"/>
        <v>1.3199999999999998</v>
      </c>
      <c r="H102" s="6">
        <v>0</v>
      </c>
      <c r="I102" s="6">
        <f>10*1.05</f>
        <v>10.5</v>
      </c>
      <c r="J102" s="6">
        <f t="shared" si="21"/>
        <v>9.18</v>
      </c>
      <c r="K102" s="201">
        <f>MIN(J102:J104)</f>
        <v>9.18</v>
      </c>
      <c r="L102" s="197" t="str">
        <f t="shared" si="36"/>
        <v>открыт</v>
      </c>
      <c r="M102" s="48"/>
      <c r="N102" s="200">
        <v>71</v>
      </c>
      <c r="O102" s="33" t="s">
        <v>140</v>
      </c>
      <c r="P102" s="140" t="s">
        <v>24</v>
      </c>
      <c r="Q102" s="18">
        <f>Q104+Q103</f>
        <v>0.82199999999999995</v>
      </c>
      <c r="R102" s="18">
        <f>R103+R104</f>
        <v>4.1219999999999999</v>
      </c>
      <c r="S102" s="154">
        <f t="shared" si="23"/>
        <v>1.98</v>
      </c>
      <c r="T102" s="42">
        <f t="shared" si="23"/>
        <v>45</v>
      </c>
      <c r="U102" s="18">
        <f t="shared" si="22"/>
        <v>2.1419999999999999</v>
      </c>
      <c r="V102" s="140">
        <v>0</v>
      </c>
      <c r="W102" s="154">
        <f t="shared" si="24"/>
        <v>10.5</v>
      </c>
      <c r="X102" s="55">
        <f t="shared" si="25"/>
        <v>8.3580000000000005</v>
      </c>
      <c r="Y102" s="166">
        <f>X102</f>
        <v>8.3580000000000005</v>
      </c>
      <c r="Z102" s="139" t="str">
        <f>IF(Y102&lt;0,"закрыт","открыт")</f>
        <v>открыт</v>
      </c>
    </row>
    <row r="103" spans="1:26" s="46" customFormat="1" ht="11.25" x14ac:dyDescent="0.2">
      <c r="A103" s="200"/>
      <c r="B103" s="32" t="s">
        <v>60</v>
      </c>
      <c r="C103" s="134" t="s">
        <v>24</v>
      </c>
      <c r="D103" s="6">
        <v>1.52</v>
      </c>
      <c r="E103" s="38">
        <v>1.41</v>
      </c>
      <c r="F103" s="38">
        <v>45</v>
      </c>
      <c r="G103" s="38">
        <f t="shared" si="34"/>
        <v>0.1100000000000001</v>
      </c>
      <c r="H103" s="38">
        <v>0</v>
      </c>
      <c r="I103" s="38">
        <f>10*1.05</f>
        <v>10.5</v>
      </c>
      <c r="J103" s="38">
        <f t="shared" si="21"/>
        <v>10.39</v>
      </c>
      <c r="K103" s="201"/>
      <c r="L103" s="197"/>
      <c r="M103" s="48"/>
      <c r="N103" s="200"/>
      <c r="O103" s="40" t="s">
        <v>60</v>
      </c>
      <c r="P103" s="38" t="s">
        <v>24</v>
      </c>
      <c r="Q103" s="18">
        <f>Q98+Q14+Q21</f>
        <v>0.104</v>
      </c>
      <c r="R103" s="41">
        <f>Q103+D103</f>
        <v>1.6240000000000001</v>
      </c>
      <c r="S103" s="154">
        <f t="shared" si="23"/>
        <v>1.41</v>
      </c>
      <c r="T103" s="42">
        <f t="shared" si="23"/>
        <v>45</v>
      </c>
      <c r="U103" s="41">
        <f t="shared" si="22"/>
        <v>0.21400000000000019</v>
      </c>
      <c r="V103" s="38">
        <v>0</v>
      </c>
      <c r="W103" s="154">
        <f t="shared" si="24"/>
        <v>10.5</v>
      </c>
      <c r="X103" s="55">
        <f t="shared" si="25"/>
        <v>10.286</v>
      </c>
      <c r="Y103" s="167"/>
      <c r="Z103" s="147"/>
    </row>
    <row r="104" spans="1:26" s="1" customFormat="1" ht="11.25" x14ac:dyDescent="0.2">
      <c r="A104" s="200"/>
      <c r="B104" s="32" t="s">
        <v>61</v>
      </c>
      <c r="C104" s="134" t="s">
        <v>24</v>
      </c>
      <c r="D104" s="6">
        <v>1.78</v>
      </c>
      <c r="E104" s="6">
        <v>0.56999999999999995</v>
      </c>
      <c r="F104" s="6">
        <v>45</v>
      </c>
      <c r="G104" s="6">
        <f t="shared" si="34"/>
        <v>1.21</v>
      </c>
      <c r="H104" s="6">
        <v>0</v>
      </c>
      <c r="I104" s="6">
        <f>10*1.05</f>
        <v>10.5</v>
      </c>
      <c r="J104" s="6">
        <f t="shared" si="21"/>
        <v>9.2899999999999991</v>
      </c>
      <c r="K104" s="201"/>
      <c r="L104" s="197"/>
      <c r="M104" s="48"/>
      <c r="N104" s="200"/>
      <c r="O104" s="33" t="s">
        <v>61</v>
      </c>
      <c r="P104" s="140" t="s">
        <v>24</v>
      </c>
      <c r="Q104" s="18">
        <v>0.71799999999999997</v>
      </c>
      <c r="R104" s="18">
        <f>Q104+D104</f>
        <v>2.4980000000000002</v>
      </c>
      <c r="S104" s="154">
        <f t="shared" si="23"/>
        <v>0.56999999999999995</v>
      </c>
      <c r="T104" s="42">
        <f t="shared" si="23"/>
        <v>45</v>
      </c>
      <c r="U104" s="18">
        <f t="shared" si="22"/>
        <v>1.9280000000000004</v>
      </c>
      <c r="V104" s="140">
        <v>0</v>
      </c>
      <c r="W104" s="154">
        <f t="shared" si="24"/>
        <v>10.5</v>
      </c>
      <c r="X104" s="55">
        <f t="shared" si="25"/>
        <v>8.5719999999999992</v>
      </c>
      <c r="Y104" s="168"/>
      <c r="Z104" s="148"/>
    </row>
    <row r="105" spans="1:26" s="1" customFormat="1" ht="11.25" x14ac:dyDescent="0.2">
      <c r="A105" s="5">
        <v>72</v>
      </c>
      <c r="B105" s="32" t="s">
        <v>141</v>
      </c>
      <c r="C105" s="134" t="s">
        <v>32</v>
      </c>
      <c r="D105" s="6">
        <v>2.17</v>
      </c>
      <c r="E105" s="6">
        <v>0.91</v>
      </c>
      <c r="F105" s="6">
        <v>90</v>
      </c>
      <c r="G105" s="6">
        <f t="shared" si="34"/>
        <v>1.2599999999999998</v>
      </c>
      <c r="H105" s="6">
        <v>0</v>
      </c>
      <c r="I105" s="6">
        <f>4*1.05</f>
        <v>4.2</v>
      </c>
      <c r="J105" s="6">
        <f t="shared" si="21"/>
        <v>2.9400000000000004</v>
      </c>
      <c r="K105" s="6">
        <f>J105</f>
        <v>2.9400000000000004</v>
      </c>
      <c r="L105" s="7" t="str">
        <f>IF(K105&lt;0,"закрыт","открыт")</f>
        <v>открыт</v>
      </c>
      <c r="M105" s="48"/>
      <c r="N105" s="5">
        <v>72</v>
      </c>
      <c r="O105" s="33" t="s">
        <v>141</v>
      </c>
      <c r="P105" s="140" t="s">
        <v>32</v>
      </c>
      <c r="Q105" s="18">
        <v>2.92</v>
      </c>
      <c r="R105" s="18">
        <f>Q105+D105</f>
        <v>5.09</v>
      </c>
      <c r="S105" s="2">
        <f t="shared" si="23"/>
        <v>0.91</v>
      </c>
      <c r="T105" s="34">
        <f t="shared" si="23"/>
        <v>90</v>
      </c>
      <c r="U105" s="18">
        <f t="shared" si="22"/>
        <v>4.18</v>
      </c>
      <c r="V105" s="140">
        <v>0</v>
      </c>
      <c r="W105" s="2">
        <f t="shared" si="24"/>
        <v>4.2</v>
      </c>
      <c r="X105" s="165">
        <f t="shared" si="25"/>
        <v>2.0000000000000462E-2</v>
      </c>
      <c r="Y105" s="131">
        <f t="shared" si="26"/>
        <v>2.0000000000000462E-2</v>
      </c>
      <c r="Z105" s="31" t="str">
        <f t="shared" si="19"/>
        <v>открыт</v>
      </c>
    </row>
    <row r="106" spans="1:26" s="1" customFormat="1" ht="22.5" x14ac:dyDescent="0.2">
      <c r="A106" s="200">
        <v>73</v>
      </c>
      <c r="B106" s="32" t="s">
        <v>142</v>
      </c>
      <c r="C106" s="134" t="s">
        <v>143</v>
      </c>
      <c r="D106" s="6">
        <v>34.700000000000003</v>
      </c>
      <c r="E106" s="6">
        <v>3.86</v>
      </c>
      <c r="F106" s="6">
        <v>180</v>
      </c>
      <c r="G106" s="6">
        <f t="shared" si="34"/>
        <v>30.840000000000003</v>
      </c>
      <c r="H106" s="6">
        <v>0</v>
      </c>
      <c r="I106" s="6">
        <f>65*1.05</f>
        <v>68.25</v>
      </c>
      <c r="J106" s="6">
        <f t="shared" si="21"/>
        <v>37.409999999999997</v>
      </c>
      <c r="K106" s="201">
        <f>MIN(J106:J109)</f>
        <v>19.560000000000002</v>
      </c>
      <c r="L106" s="197" t="str">
        <f>IF(K106&lt;0,"закрыт","открыт")</f>
        <v>открыт</v>
      </c>
      <c r="M106" s="48"/>
      <c r="N106" s="200">
        <v>73</v>
      </c>
      <c r="O106" s="33" t="s">
        <v>142</v>
      </c>
      <c r="P106" s="140" t="s">
        <v>143</v>
      </c>
      <c r="Q106" s="18">
        <f>Q109+Q107</f>
        <v>8.745000000000001</v>
      </c>
      <c r="R106" s="18">
        <f>R107+R109</f>
        <v>33.755000000000003</v>
      </c>
      <c r="S106" s="154">
        <f t="shared" si="23"/>
        <v>3.86</v>
      </c>
      <c r="T106" s="42">
        <f t="shared" si="23"/>
        <v>180</v>
      </c>
      <c r="U106" s="18">
        <f t="shared" si="22"/>
        <v>29.895000000000003</v>
      </c>
      <c r="V106" s="140">
        <v>0</v>
      </c>
      <c r="W106" s="154">
        <f t="shared" si="24"/>
        <v>68.25</v>
      </c>
      <c r="X106" s="55">
        <f t="shared" si="25"/>
        <v>38.354999999999997</v>
      </c>
      <c r="Y106" s="166">
        <f>X107</f>
        <v>16.500999999999998</v>
      </c>
      <c r="Z106" s="139" t="str">
        <f>IF(Y106&lt;0,"закрыт","открыт")</f>
        <v>открыт</v>
      </c>
    </row>
    <row r="107" spans="1:26" s="46" customFormat="1" ht="22.5" x14ac:dyDescent="0.2">
      <c r="A107" s="200"/>
      <c r="B107" s="32" t="s">
        <v>144</v>
      </c>
      <c r="C107" s="134" t="s">
        <v>33</v>
      </c>
      <c r="D107" s="6">
        <v>4.57</v>
      </c>
      <c r="E107" s="38">
        <v>6.74</v>
      </c>
      <c r="F107" s="38">
        <v>90</v>
      </c>
      <c r="G107" s="38">
        <f t="shared" si="34"/>
        <v>-2.17</v>
      </c>
      <c r="H107" s="38">
        <v>0</v>
      </c>
      <c r="I107" s="38">
        <f>20*1.05</f>
        <v>21</v>
      </c>
      <c r="J107" s="38">
        <f t="shared" si="21"/>
        <v>23.17</v>
      </c>
      <c r="K107" s="201"/>
      <c r="L107" s="197"/>
      <c r="M107" s="48"/>
      <c r="N107" s="200"/>
      <c r="O107" s="40" t="s">
        <v>60</v>
      </c>
      <c r="P107" s="140" t="s">
        <v>33</v>
      </c>
      <c r="Q107" s="18">
        <f>Q69+Q68+Q76+Q105+Q22</f>
        <v>6.6690000000000005</v>
      </c>
      <c r="R107" s="41">
        <f t="shared" ref="R107:R116" si="37">Q107+D107</f>
        <v>11.239000000000001</v>
      </c>
      <c r="S107" s="154">
        <f t="shared" si="23"/>
        <v>6.74</v>
      </c>
      <c r="T107" s="42">
        <f t="shared" si="23"/>
        <v>90</v>
      </c>
      <c r="U107" s="41">
        <f t="shared" si="22"/>
        <v>4.4990000000000006</v>
      </c>
      <c r="V107" s="38">
        <v>0</v>
      </c>
      <c r="W107" s="154">
        <f t="shared" si="24"/>
        <v>21</v>
      </c>
      <c r="X107" s="55">
        <f t="shared" si="25"/>
        <v>16.500999999999998</v>
      </c>
      <c r="Y107" s="167"/>
      <c r="Z107" s="147"/>
    </row>
    <row r="108" spans="1:26" s="1" customFormat="1" ht="22.5" x14ac:dyDescent="0.2">
      <c r="A108" s="200"/>
      <c r="B108" s="32" t="s">
        <v>145</v>
      </c>
      <c r="C108" s="134" t="s">
        <v>42</v>
      </c>
      <c r="D108" s="6">
        <v>9.69</v>
      </c>
      <c r="E108" s="6">
        <v>3</v>
      </c>
      <c r="F108" s="6">
        <v>180</v>
      </c>
      <c r="G108" s="6">
        <f t="shared" si="34"/>
        <v>6.6899999999999995</v>
      </c>
      <c r="H108" s="6">
        <v>0</v>
      </c>
      <c r="I108" s="6">
        <f>25*1.05</f>
        <v>26.25</v>
      </c>
      <c r="J108" s="6">
        <f t="shared" si="21"/>
        <v>19.560000000000002</v>
      </c>
      <c r="K108" s="201"/>
      <c r="L108" s="197"/>
      <c r="M108" s="48"/>
      <c r="N108" s="200"/>
      <c r="O108" s="33" t="s">
        <v>61</v>
      </c>
      <c r="P108" s="140" t="s">
        <v>42</v>
      </c>
      <c r="Q108" s="18">
        <v>0</v>
      </c>
      <c r="R108" s="18">
        <f t="shared" si="37"/>
        <v>9.69</v>
      </c>
      <c r="S108" s="154">
        <f t="shared" si="23"/>
        <v>3</v>
      </c>
      <c r="T108" s="42">
        <f t="shared" si="23"/>
        <v>180</v>
      </c>
      <c r="U108" s="18">
        <f t="shared" si="22"/>
        <v>6.6899999999999995</v>
      </c>
      <c r="V108" s="140">
        <v>0</v>
      </c>
      <c r="W108" s="154">
        <f t="shared" si="24"/>
        <v>26.25</v>
      </c>
      <c r="X108" s="55">
        <f t="shared" si="25"/>
        <v>19.560000000000002</v>
      </c>
      <c r="Y108" s="167"/>
      <c r="Z108" s="147"/>
    </row>
    <row r="109" spans="1:26" s="1" customFormat="1" ht="22.5" x14ac:dyDescent="0.2">
      <c r="A109" s="200"/>
      <c r="B109" s="32" t="s">
        <v>146</v>
      </c>
      <c r="C109" s="134" t="s">
        <v>147</v>
      </c>
      <c r="D109" s="6">
        <v>20.440000000000001</v>
      </c>
      <c r="E109" s="6">
        <v>3.86</v>
      </c>
      <c r="F109" s="6">
        <v>180</v>
      </c>
      <c r="G109" s="6">
        <f t="shared" si="34"/>
        <v>16.580000000000002</v>
      </c>
      <c r="H109" s="6">
        <v>0</v>
      </c>
      <c r="I109" s="6">
        <f>40*1.05</f>
        <v>42</v>
      </c>
      <c r="J109" s="6">
        <f t="shared" si="21"/>
        <v>25.419999999999998</v>
      </c>
      <c r="K109" s="201"/>
      <c r="L109" s="197"/>
      <c r="M109" s="48"/>
      <c r="N109" s="200"/>
      <c r="O109" s="33" t="s">
        <v>61</v>
      </c>
      <c r="P109" s="140" t="s">
        <v>147</v>
      </c>
      <c r="Q109" s="18">
        <v>2.0760000000000001</v>
      </c>
      <c r="R109" s="18">
        <f t="shared" si="37"/>
        <v>22.516000000000002</v>
      </c>
      <c r="S109" s="154">
        <f t="shared" si="23"/>
        <v>3.86</v>
      </c>
      <c r="T109" s="42">
        <f t="shared" si="23"/>
        <v>180</v>
      </c>
      <c r="U109" s="18">
        <f t="shared" si="22"/>
        <v>18.656000000000002</v>
      </c>
      <c r="V109" s="140">
        <v>0</v>
      </c>
      <c r="W109" s="154">
        <f t="shared" si="24"/>
        <v>42</v>
      </c>
      <c r="X109" s="55">
        <f t="shared" si="25"/>
        <v>23.343999999999998</v>
      </c>
      <c r="Y109" s="168"/>
      <c r="Z109" s="148"/>
    </row>
    <row r="110" spans="1:26" s="1" customFormat="1" ht="11.25" x14ac:dyDescent="0.2">
      <c r="A110" s="5">
        <v>74</v>
      </c>
      <c r="B110" s="32" t="s">
        <v>148</v>
      </c>
      <c r="C110" s="134" t="s">
        <v>149</v>
      </c>
      <c r="D110" s="6">
        <v>1.1399999999999999</v>
      </c>
      <c r="E110" s="6">
        <v>0.64</v>
      </c>
      <c r="F110" s="6">
        <v>90</v>
      </c>
      <c r="G110" s="6">
        <f t="shared" si="34"/>
        <v>0.49999999999999989</v>
      </c>
      <c r="H110" s="6">
        <v>0</v>
      </c>
      <c r="I110" s="6">
        <f>3.2*1.05</f>
        <v>3.3600000000000003</v>
      </c>
      <c r="J110" s="6">
        <f t="shared" si="21"/>
        <v>2.8600000000000003</v>
      </c>
      <c r="K110" s="6">
        <f t="shared" ref="K110:K116" si="38">J110</f>
        <v>2.8600000000000003</v>
      </c>
      <c r="L110" s="7" t="str">
        <f t="shared" ref="L110:L117" si="39">IF(K110&lt;0,"закрыт","открыт")</f>
        <v>открыт</v>
      </c>
      <c r="M110" s="48"/>
      <c r="N110" s="5">
        <v>74</v>
      </c>
      <c r="O110" s="33" t="s">
        <v>148</v>
      </c>
      <c r="P110" s="140" t="s">
        <v>149</v>
      </c>
      <c r="Q110" s="18">
        <v>7.4999999999999997E-2</v>
      </c>
      <c r="R110" s="18">
        <f t="shared" si="37"/>
        <v>1.2149999999999999</v>
      </c>
      <c r="S110" s="154">
        <f t="shared" si="23"/>
        <v>0.64</v>
      </c>
      <c r="T110" s="42">
        <f t="shared" si="23"/>
        <v>90</v>
      </c>
      <c r="U110" s="18">
        <f t="shared" si="22"/>
        <v>0.57499999999999984</v>
      </c>
      <c r="V110" s="140">
        <v>0</v>
      </c>
      <c r="W110" s="154">
        <f t="shared" si="24"/>
        <v>3.3600000000000003</v>
      </c>
      <c r="X110" s="55">
        <f t="shared" si="25"/>
        <v>2.7850000000000006</v>
      </c>
      <c r="Y110" s="56">
        <f t="shared" si="26"/>
        <v>2.7850000000000006</v>
      </c>
      <c r="Z110" s="31" t="str">
        <f t="shared" si="19"/>
        <v>открыт</v>
      </c>
    </row>
    <row r="111" spans="1:26" s="1" customFormat="1" ht="11.25" x14ac:dyDescent="0.2">
      <c r="A111" s="5">
        <v>75</v>
      </c>
      <c r="B111" s="32" t="s">
        <v>150</v>
      </c>
      <c r="C111" s="134" t="s">
        <v>151</v>
      </c>
      <c r="D111" s="6">
        <v>0.91</v>
      </c>
      <c r="E111" s="6">
        <v>1.76</v>
      </c>
      <c r="F111" s="6">
        <v>30</v>
      </c>
      <c r="G111" s="6">
        <f t="shared" si="34"/>
        <v>-0.85</v>
      </c>
      <c r="H111" s="6">
        <v>0</v>
      </c>
      <c r="I111" s="6">
        <f>3.2*1.05</f>
        <v>3.3600000000000003</v>
      </c>
      <c r="J111" s="6">
        <f t="shared" si="21"/>
        <v>4.21</v>
      </c>
      <c r="K111" s="6">
        <f t="shared" si="38"/>
        <v>4.21</v>
      </c>
      <c r="L111" s="7" t="str">
        <f t="shared" si="39"/>
        <v>открыт</v>
      </c>
      <c r="M111" s="48"/>
      <c r="N111" s="5">
        <v>75</v>
      </c>
      <c r="O111" s="33" t="s">
        <v>150</v>
      </c>
      <c r="P111" s="140" t="s">
        <v>151</v>
      </c>
      <c r="Q111" s="18">
        <v>6.5000000000000002E-2</v>
      </c>
      <c r="R111" s="18">
        <f t="shared" si="37"/>
        <v>0.97500000000000009</v>
      </c>
      <c r="S111" s="154">
        <f t="shared" si="23"/>
        <v>1.76</v>
      </c>
      <c r="T111" s="42">
        <f t="shared" si="23"/>
        <v>30</v>
      </c>
      <c r="U111" s="18">
        <f t="shared" si="22"/>
        <v>-0.78499999999999992</v>
      </c>
      <c r="V111" s="140">
        <v>0</v>
      </c>
      <c r="W111" s="154">
        <f t="shared" si="24"/>
        <v>3.3600000000000003</v>
      </c>
      <c r="X111" s="55">
        <f t="shared" si="25"/>
        <v>4.1450000000000005</v>
      </c>
      <c r="Y111" s="56">
        <f t="shared" si="26"/>
        <v>4.1450000000000005</v>
      </c>
      <c r="Z111" s="31" t="str">
        <f t="shared" si="19"/>
        <v>открыт</v>
      </c>
    </row>
    <row r="112" spans="1:26" s="1" customFormat="1" ht="11.25" x14ac:dyDescent="0.2">
      <c r="A112" s="5">
        <v>76</v>
      </c>
      <c r="B112" s="32" t="s">
        <v>152</v>
      </c>
      <c r="C112" s="134" t="s">
        <v>29</v>
      </c>
      <c r="D112" s="6">
        <v>7.57</v>
      </c>
      <c r="E112" s="6">
        <v>1.51</v>
      </c>
      <c r="F112" s="6">
        <v>120</v>
      </c>
      <c r="G112" s="6">
        <f t="shared" si="34"/>
        <v>6.0600000000000005</v>
      </c>
      <c r="H112" s="6">
        <v>0</v>
      </c>
      <c r="I112" s="6">
        <f>25*1.05</f>
        <v>26.25</v>
      </c>
      <c r="J112" s="6">
        <f t="shared" si="21"/>
        <v>20.189999999999998</v>
      </c>
      <c r="K112" s="6">
        <f t="shared" si="38"/>
        <v>20.189999999999998</v>
      </c>
      <c r="L112" s="7" t="str">
        <f t="shared" si="39"/>
        <v>открыт</v>
      </c>
      <c r="M112" s="48"/>
      <c r="N112" s="5">
        <v>76</v>
      </c>
      <c r="O112" s="33" t="s">
        <v>152</v>
      </c>
      <c r="P112" s="140" t="s">
        <v>29</v>
      </c>
      <c r="Q112" s="18">
        <v>11.476000000000001</v>
      </c>
      <c r="R112" s="18">
        <f t="shared" si="37"/>
        <v>19.045999999999999</v>
      </c>
      <c r="S112" s="154">
        <f t="shared" si="23"/>
        <v>1.51</v>
      </c>
      <c r="T112" s="42">
        <f t="shared" si="23"/>
        <v>120</v>
      </c>
      <c r="U112" s="18">
        <f t="shared" si="22"/>
        <v>17.535999999999998</v>
      </c>
      <c r="V112" s="140">
        <v>0</v>
      </c>
      <c r="W112" s="154">
        <f t="shared" si="24"/>
        <v>26.25</v>
      </c>
      <c r="X112" s="55">
        <f t="shared" si="25"/>
        <v>8.7140000000000022</v>
      </c>
      <c r="Y112" s="56">
        <f t="shared" si="26"/>
        <v>8.7140000000000022</v>
      </c>
      <c r="Z112" s="31" t="str">
        <f t="shared" si="19"/>
        <v>открыт</v>
      </c>
    </row>
    <row r="113" spans="1:26" s="1" customFormat="1" ht="22.5" x14ac:dyDescent="0.2">
      <c r="A113" s="5">
        <v>77</v>
      </c>
      <c r="B113" s="32" t="s">
        <v>153</v>
      </c>
      <c r="C113" s="134" t="s">
        <v>154</v>
      </c>
      <c r="D113" s="6">
        <v>2.61</v>
      </c>
      <c r="E113" s="6">
        <v>2.6</v>
      </c>
      <c r="F113" s="6">
        <v>120</v>
      </c>
      <c r="G113" s="6">
        <f t="shared" si="34"/>
        <v>9.9999999999997868E-3</v>
      </c>
      <c r="H113" s="6">
        <v>0</v>
      </c>
      <c r="I113" s="6">
        <f>5.6*1.05</f>
        <v>5.88</v>
      </c>
      <c r="J113" s="6">
        <f t="shared" si="21"/>
        <v>5.87</v>
      </c>
      <c r="K113" s="6">
        <f t="shared" si="38"/>
        <v>5.87</v>
      </c>
      <c r="L113" s="7" t="str">
        <f t="shared" si="39"/>
        <v>открыт</v>
      </c>
      <c r="M113" s="48"/>
      <c r="N113" s="5">
        <v>77</v>
      </c>
      <c r="O113" s="33" t="s">
        <v>153</v>
      </c>
      <c r="P113" s="140" t="s">
        <v>154</v>
      </c>
      <c r="Q113" s="18">
        <v>3.3000000000000002E-2</v>
      </c>
      <c r="R113" s="18">
        <f t="shared" si="37"/>
        <v>2.6429999999999998</v>
      </c>
      <c r="S113" s="154">
        <f t="shared" si="23"/>
        <v>2.6</v>
      </c>
      <c r="T113" s="42">
        <v>120</v>
      </c>
      <c r="U113" s="18">
        <f t="shared" si="22"/>
        <v>4.2999999999999705E-2</v>
      </c>
      <c r="V113" s="140">
        <v>0</v>
      </c>
      <c r="W113" s="154">
        <f t="shared" si="24"/>
        <v>5.88</v>
      </c>
      <c r="X113" s="55">
        <f t="shared" si="25"/>
        <v>5.8369999999999997</v>
      </c>
      <c r="Y113" s="56">
        <f t="shared" si="26"/>
        <v>5.8369999999999997</v>
      </c>
      <c r="Z113" s="31" t="str">
        <f t="shared" si="19"/>
        <v>открыт</v>
      </c>
    </row>
    <row r="114" spans="1:26" s="1" customFormat="1" ht="11.25" x14ac:dyDescent="0.2">
      <c r="A114" s="5">
        <v>78</v>
      </c>
      <c r="B114" s="32" t="s">
        <v>155</v>
      </c>
      <c r="C114" s="134" t="s">
        <v>34</v>
      </c>
      <c r="D114" s="6">
        <v>2.7</v>
      </c>
      <c r="E114" s="6">
        <v>1.49</v>
      </c>
      <c r="F114" s="6">
        <v>80</v>
      </c>
      <c r="G114" s="6">
        <f t="shared" si="34"/>
        <v>1.2100000000000002</v>
      </c>
      <c r="H114" s="6">
        <v>0</v>
      </c>
      <c r="I114" s="2">
        <f>2.5*1.05</f>
        <v>2.625</v>
      </c>
      <c r="J114" s="2">
        <f t="shared" si="21"/>
        <v>1.4149999999999998</v>
      </c>
      <c r="K114" s="2">
        <f t="shared" si="38"/>
        <v>1.4149999999999998</v>
      </c>
      <c r="L114" s="7" t="str">
        <f t="shared" si="39"/>
        <v>открыт</v>
      </c>
      <c r="M114" s="48"/>
      <c r="N114" s="5">
        <v>78</v>
      </c>
      <c r="O114" s="33" t="s">
        <v>155</v>
      </c>
      <c r="P114" s="140" t="s">
        <v>34</v>
      </c>
      <c r="Q114" s="18">
        <v>0.35099999999999998</v>
      </c>
      <c r="R114" s="18">
        <f t="shared" si="37"/>
        <v>3.0510000000000002</v>
      </c>
      <c r="S114" s="154">
        <f t="shared" si="23"/>
        <v>1.49</v>
      </c>
      <c r="T114" s="42">
        <f t="shared" si="23"/>
        <v>80</v>
      </c>
      <c r="U114" s="18">
        <f t="shared" si="22"/>
        <v>1.5610000000000002</v>
      </c>
      <c r="V114" s="140">
        <v>0</v>
      </c>
      <c r="W114" s="154">
        <f t="shared" si="24"/>
        <v>2.625</v>
      </c>
      <c r="X114" s="55">
        <f t="shared" si="25"/>
        <v>1.0639999999999998</v>
      </c>
      <c r="Y114" s="56">
        <f t="shared" si="26"/>
        <v>1.0639999999999998</v>
      </c>
      <c r="Z114" s="31" t="str">
        <f t="shared" si="19"/>
        <v>открыт</v>
      </c>
    </row>
    <row r="115" spans="1:26" s="1" customFormat="1" ht="11.25" x14ac:dyDescent="0.2">
      <c r="A115" s="5">
        <v>79</v>
      </c>
      <c r="B115" s="32" t="s">
        <v>156</v>
      </c>
      <c r="C115" s="134" t="s">
        <v>26</v>
      </c>
      <c r="D115" s="6">
        <v>0.48</v>
      </c>
      <c r="E115" s="6">
        <v>1.03</v>
      </c>
      <c r="F115" s="6">
        <v>80</v>
      </c>
      <c r="G115" s="6">
        <f t="shared" si="34"/>
        <v>-0.55000000000000004</v>
      </c>
      <c r="H115" s="6">
        <v>0</v>
      </c>
      <c r="I115" s="6">
        <f>1.6*1.05</f>
        <v>1.6800000000000002</v>
      </c>
      <c r="J115" s="6">
        <f t="shared" si="21"/>
        <v>2.2300000000000004</v>
      </c>
      <c r="K115" s="6">
        <f t="shared" si="38"/>
        <v>2.2300000000000004</v>
      </c>
      <c r="L115" s="7" t="str">
        <f t="shared" si="39"/>
        <v>открыт</v>
      </c>
      <c r="M115" s="48"/>
      <c r="N115" s="5">
        <v>79</v>
      </c>
      <c r="O115" s="33" t="s">
        <v>156</v>
      </c>
      <c r="P115" s="140" t="s">
        <v>26</v>
      </c>
      <c r="Q115" s="18">
        <v>2.9000000000000001E-2</v>
      </c>
      <c r="R115" s="18">
        <f t="shared" si="37"/>
        <v>0.50900000000000001</v>
      </c>
      <c r="S115" s="154">
        <f t="shared" si="23"/>
        <v>1.03</v>
      </c>
      <c r="T115" s="42">
        <f t="shared" si="23"/>
        <v>80</v>
      </c>
      <c r="U115" s="18">
        <f t="shared" si="22"/>
        <v>-0.52100000000000002</v>
      </c>
      <c r="V115" s="140">
        <v>0</v>
      </c>
      <c r="W115" s="154">
        <f t="shared" si="24"/>
        <v>1.6800000000000002</v>
      </c>
      <c r="X115" s="55">
        <f t="shared" si="25"/>
        <v>2.2010000000000001</v>
      </c>
      <c r="Y115" s="56">
        <f t="shared" si="26"/>
        <v>2.2010000000000001</v>
      </c>
      <c r="Z115" s="31" t="str">
        <f t="shared" si="19"/>
        <v>открыт</v>
      </c>
    </row>
    <row r="116" spans="1:26" s="1" customFormat="1" ht="22.5" x14ac:dyDescent="0.2">
      <c r="A116" s="5">
        <v>80</v>
      </c>
      <c r="B116" s="32" t="s">
        <v>157</v>
      </c>
      <c r="C116" s="134" t="s">
        <v>29</v>
      </c>
      <c r="D116" s="6">
        <v>14.01</v>
      </c>
      <c r="E116" s="6">
        <v>3.46</v>
      </c>
      <c r="F116" s="6">
        <v>135</v>
      </c>
      <c r="G116" s="6">
        <f t="shared" si="34"/>
        <v>10.55</v>
      </c>
      <c r="H116" s="6">
        <v>0</v>
      </c>
      <c r="I116" s="6">
        <f>25*1.05</f>
        <v>26.25</v>
      </c>
      <c r="J116" s="6">
        <f t="shared" si="21"/>
        <v>15.7</v>
      </c>
      <c r="K116" s="6">
        <f t="shared" si="38"/>
        <v>15.7</v>
      </c>
      <c r="L116" s="7" t="str">
        <f t="shared" si="39"/>
        <v>открыт</v>
      </c>
      <c r="M116" s="48"/>
      <c r="N116" s="5">
        <v>80</v>
      </c>
      <c r="O116" s="33" t="s">
        <v>157</v>
      </c>
      <c r="P116" s="140" t="s">
        <v>29</v>
      </c>
      <c r="Q116" s="18">
        <v>1.5289999999999999</v>
      </c>
      <c r="R116" s="18">
        <f t="shared" si="37"/>
        <v>15.539</v>
      </c>
      <c r="S116" s="154">
        <f t="shared" si="23"/>
        <v>3.46</v>
      </c>
      <c r="T116" s="42">
        <f t="shared" si="23"/>
        <v>135</v>
      </c>
      <c r="U116" s="18">
        <f t="shared" si="22"/>
        <v>12.079000000000001</v>
      </c>
      <c r="V116" s="140">
        <v>0</v>
      </c>
      <c r="W116" s="154">
        <f t="shared" si="24"/>
        <v>26.25</v>
      </c>
      <c r="X116" s="55">
        <f t="shared" si="25"/>
        <v>14.170999999999999</v>
      </c>
      <c r="Y116" s="56">
        <f t="shared" si="26"/>
        <v>14.170999999999999</v>
      </c>
      <c r="Z116" s="31" t="str">
        <f t="shared" si="19"/>
        <v>открыт</v>
      </c>
    </row>
    <row r="117" spans="1:26" s="46" customFormat="1" ht="22.5" x14ac:dyDescent="0.2">
      <c r="A117" s="200">
        <v>81</v>
      </c>
      <c r="B117" s="32" t="s">
        <v>158</v>
      </c>
      <c r="C117" s="134" t="s">
        <v>27</v>
      </c>
      <c r="D117" s="6">
        <v>2.2199999999999998</v>
      </c>
      <c r="E117" s="38">
        <f>E118+E119</f>
        <v>1.3599999999999999</v>
      </c>
      <c r="F117" s="38">
        <v>30</v>
      </c>
      <c r="G117" s="38">
        <f t="shared" si="34"/>
        <v>0.85999999999999988</v>
      </c>
      <c r="H117" s="38">
        <v>0</v>
      </c>
      <c r="I117" s="38">
        <f>6.3*1.05</f>
        <v>6.6150000000000002</v>
      </c>
      <c r="J117" s="38">
        <f t="shared" si="21"/>
        <v>5.7550000000000008</v>
      </c>
      <c r="K117" s="201">
        <f>MIN(J117:J119)</f>
        <v>5.7550000000000008</v>
      </c>
      <c r="L117" s="206" t="str">
        <f t="shared" si="39"/>
        <v>открыт</v>
      </c>
      <c r="M117" s="48"/>
      <c r="N117" s="200">
        <v>81</v>
      </c>
      <c r="O117" s="40" t="s">
        <v>158</v>
      </c>
      <c r="P117" s="38" t="s">
        <v>27</v>
      </c>
      <c r="Q117" s="18">
        <f>Q118+Q119</f>
        <v>0.127</v>
      </c>
      <c r="R117" s="41">
        <f>R118+R119</f>
        <v>2.3469999999999995</v>
      </c>
      <c r="S117" s="154">
        <f t="shared" si="23"/>
        <v>1.3599999999999999</v>
      </c>
      <c r="T117" s="42">
        <f t="shared" si="23"/>
        <v>30</v>
      </c>
      <c r="U117" s="41">
        <f t="shared" si="22"/>
        <v>0.98699999999999966</v>
      </c>
      <c r="V117" s="38">
        <v>0</v>
      </c>
      <c r="W117" s="154">
        <f t="shared" si="24"/>
        <v>6.6150000000000002</v>
      </c>
      <c r="X117" s="55">
        <f t="shared" si="25"/>
        <v>5.6280000000000001</v>
      </c>
      <c r="Y117" s="151">
        <f>X117</f>
        <v>5.6280000000000001</v>
      </c>
      <c r="Z117" s="170" t="str">
        <f>IF(Y117&lt;0,"закрыт","открыт")</f>
        <v>открыт</v>
      </c>
    </row>
    <row r="118" spans="1:26" s="46" customFormat="1" ht="11.25" x14ac:dyDescent="0.2">
      <c r="A118" s="200"/>
      <c r="B118" s="32" t="s">
        <v>60</v>
      </c>
      <c r="C118" s="134" t="s">
        <v>27</v>
      </c>
      <c r="D118" s="6">
        <v>0.84</v>
      </c>
      <c r="E118" s="38">
        <v>0.54</v>
      </c>
      <c r="F118" s="38">
        <v>30</v>
      </c>
      <c r="G118" s="38">
        <f t="shared" si="34"/>
        <v>0.29999999999999993</v>
      </c>
      <c r="H118" s="38">
        <v>0</v>
      </c>
      <c r="I118" s="38">
        <f>6.3*1.05</f>
        <v>6.6150000000000002</v>
      </c>
      <c r="J118" s="38">
        <f t="shared" si="21"/>
        <v>6.3150000000000004</v>
      </c>
      <c r="K118" s="201"/>
      <c r="L118" s="206"/>
      <c r="M118" s="48"/>
      <c r="N118" s="200"/>
      <c r="O118" s="40" t="s">
        <v>60</v>
      </c>
      <c r="P118" s="38" t="s">
        <v>27</v>
      </c>
      <c r="Q118" s="18">
        <f>Q28+Q115+Q24</f>
        <v>7.8E-2</v>
      </c>
      <c r="R118" s="41">
        <f>Q118+D118</f>
        <v>0.91799999999999993</v>
      </c>
      <c r="S118" s="154">
        <f t="shared" si="23"/>
        <v>0.54</v>
      </c>
      <c r="T118" s="42">
        <f t="shared" si="23"/>
        <v>30</v>
      </c>
      <c r="U118" s="41">
        <f t="shared" si="22"/>
        <v>0.37799999999999989</v>
      </c>
      <c r="V118" s="38">
        <v>0</v>
      </c>
      <c r="W118" s="154">
        <f t="shared" si="24"/>
        <v>6.6150000000000002</v>
      </c>
      <c r="X118" s="55">
        <f t="shared" si="25"/>
        <v>6.2370000000000001</v>
      </c>
      <c r="Y118" s="152"/>
      <c r="Z118" s="171"/>
    </row>
    <row r="119" spans="1:26" s="46" customFormat="1" ht="11.25" x14ac:dyDescent="0.2">
      <c r="A119" s="200"/>
      <c r="B119" s="32" t="s">
        <v>61</v>
      </c>
      <c r="C119" s="134" t="s">
        <v>27</v>
      </c>
      <c r="D119" s="6">
        <v>1.38</v>
      </c>
      <c r="E119" s="38">
        <v>0.82</v>
      </c>
      <c r="F119" s="38">
        <v>30</v>
      </c>
      <c r="G119" s="38">
        <f t="shared" si="34"/>
        <v>0.55999999999999994</v>
      </c>
      <c r="H119" s="38">
        <v>0</v>
      </c>
      <c r="I119" s="38">
        <f>6.3*1.05</f>
        <v>6.6150000000000002</v>
      </c>
      <c r="J119" s="38">
        <f t="shared" si="21"/>
        <v>6.0550000000000006</v>
      </c>
      <c r="K119" s="201"/>
      <c r="L119" s="206"/>
      <c r="M119" s="48"/>
      <c r="N119" s="200"/>
      <c r="O119" s="40" t="s">
        <v>61</v>
      </c>
      <c r="P119" s="38" t="s">
        <v>27</v>
      </c>
      <c r="Q119" s="18">
        <v>4.9000000000000002E-2</v>
      </c>
      <c r="R119" s="41">
        <f>Q119+D119</f>
        <v>1.4289999999999998</v>
      </c>
      <c r="S119" s="154">
        <f t="shared" si="23"/>
        <v>0.82</v>
      </c>
      <c r="T119" s="42">
        <f t="shared" si="23"/>
        <v>30</v>
      </c>
      <c r="U119" s="41">
        <f t="shared" si="22"/>
        <v>0.60899999999999987</v>
      </c>
      <c r="V119" s="38">
        <v>0</v>
      </c>
      <c r="W119" s="154">
        <f t="shared" si="24"/>
        <v>6.6150000000000002</v>
      </c>
      <c r="X119" s="55">
        <f t="shared" si="25"/>
        <v>6.0060000000000002</v>
      </c>
      <c r="Y119" s="153"/>
      <c r="Z119" s="172"/>
    </row>
    <row r="120" spans="1:26" s="1" customFormat="1" ht="11.25" x14ac:dyDescent="0.2">
      <c r="A120" s="205">
        <v>82</v>
      </c>
      <c r="B120" s="32" t="s">
        <v>159</v>
      </c>
      <c r="C120" s="134" t="s">
        <v>24</v>
      </c>
      <c r="D120" s="6">
        <v>2.3600000000000003</v>
      </c>
      <c r="E120" s="6">
        <f>E121+E122</f>
        <v>2.5500000000000003</v>
      </c>
      <c r="F120" s="6">
        <v>120</v>
      </c>
      <c r="G120" s="6">
        <f t="shared" si="34"/>
        <v>-0.18999999999999995</v>
      </c>
      <c r="H120" s="6">
        <v>0</v>
      </c>
      <c r="I120" s="6">
        <f>10*1.05</f>
        <v>10.5</v>
      </c>
      <c r="J120" s="6">
        <f t="shared" si="21"/>
        <v>10.69</v>
      </c>
      <c r="K120" s="201">
        <f>MIN(J120:J122)</f>
        <v>10.130000000000001</v>
      </c>
      <c r="L120" s="197" t="str">
        <f>IF(K120&lt;0,"закрыт","открыт")</f>
        <v>открыт</v>
      </c>
      <c r="M120" s="48"/>
      <c r="N120" s="205">
        <v>82</v>
      </c>
      <c r="O120" s="33" t="s">
        <v>159</v>
      </c>
      <c r="P120" s="140" t="s">
        <v>24</v>
      </c>
      <c r="Q120" s="18">
        <f>Q121+Q122</f>
        <v>5.2449999999999992</v>
      </c>
      <c r="R120" s="18">
        <f>R121+R122</f>
        <v>7.6050000000000004</v>
      </c>
      <c r="S120" s="154">
        <f t="shared" si="23"/>
        <v>2.5500000000000003</v>
      </c>
      <c r="T120" s="42">
        <f t="shared" si="23"/>
        <v>120</v>
      </c>
      <c r="U120" s="18">
        <f t="shared" si="22"/>
        <v>5.0549999999999997</v>
      </c>
      <c r="V120" s="140">
        <v>0</v>
      </c>
      <c r="W120" s="154">
        <f t="shared" si="24"/>
        <v>10.5</v>
      </c>
      <c r="X120" s="55">
        <f t="shared" si="25"/>
        <v>5.4450000000000003</v>
      </c>
      <c r="Y120" s="166">
        <f>X120</f>
        <v>5.4450000000000003</v>
      </c>
      <c r="Z120" s="139" t="str">
        <f>IF(Y120&lt;0,"закрыт","открыт")</f>
        <v>открыт</v>
      </c>
    </row>
    <row r="121" spans="1:26" s="46" customFormat="1" ht="11.25" x14ac:dyDescent="0.2">
      <c r="A121" s="205"/>
      <c r="B121" s="32" t="s">
        <v>60</v>
      </c>
      <c r="C121" s="134" t="s">
        <v>24</v>
      </c>
      <c r="D121" s="6">
        <v>0.76</v>
      </c>
      <c r="E121" s="38">
        <v>0.39</v>
      </c>
      <c r="F121" s="38">
        <v>120</v>
      </c>
      <c r="G121" s="38">
        <f t="shared" si="34"/>
        <v>0.37</v>
      </c>
      <c r="H121" s="38">
        <v>0</v>
      </c>
      <c r="I121" s="38">
        <f>10*1.05</f>
        <v>10.5</v>
      </c>
      <c r="J121" s="38">
        <f t="shared" si="21"/>
        <v>10.130000000000001</v>
      </c>
      <c r="K121" s="201"/>
      <c r="L121" s="197"/>
      <c r="M121" s="48"/>
      <c r="N121" s="205"/>
      <c r="O121" s="40" t="s">
        <v>60</v>
      </c>
      <c r="P121" s="38" t="s">
        <v>24</v>
      </c>
      <c r="Q121" s="18">
        <f>Q99</f>
        <v>1.1080000000000001</v>
      </c>
      <c r="R121" s="41">
        <f t="shared" ref="R121:R126" si="40">Q121+D121</f>
        <v>1.8680000000000001</v>
      </c>
      <c r="S121" s="154">
        <f t="shared" si="23"/>
        <v>0.39</v>
      </c>
      <c r="T121" s="42">
        <f t="shared" si="23"/>
        <v>120</v>
      </c>
      <c r="U121" s="41">
        <f t="shared" si="22"/>
        <v>1.4780000000000002</v>
      </c>
      <c r="V121" s="38">
        <v>0</v>
      </c>
      <c r="W121" s="154">
        <f t="shared" si="24"/>
        <v>10.5</v>
      </c>
      <c r="X121" s="55">
        <f t="shared" si="25"/>
        <v>9.0220000000000002</v>
      </c>
      <c r="Y121" s="167"/>
      <c r="Z121" s="147"/>
    </row>
    <row r="122" spans="1:26" s="1" customFormat="1" ht="11.25" x14ac:dyDescent="0.2">
      <c r="A122" s="205"/>
      <c r="B122" s="32" t="s">
        <v>61</v>
      </c>
      <c r="C122" s="134" t="s">
        <v>24</v>
      </c>
      <c r="D122" s="6">
        <v>1.6</v>
      </c>
      <c r="E122" s="6">
        <v>2.16</v>
      </c>
      <c r="F122" s="6">
        <v>120</v>
      </c>
      <c r="G122" s="6">
        <f t="shared" si="34"/>
        <v>-0.56000000000000005</v>
      </c>
      <c r="H122" s="6">
        <v>0</v>
      </c>
      <c r="I122" s="6">
        <f>10*1.05</f>
        <v>10.5</v>
      </c>
      <c r="J122" s="6">
        <f t="shared" si="21"/>
        <v>11.06</v>
      </c>
      <c r="K122" s="201"/>
      <c r="L122" s="197"/>
      <c r="M122" s="48"/>
      <c r="N122" s="205"/>
      <c r="O122" s="33" t="s">
        <v>61</v>
      </c>
      <c r="P122" s="140" t="s">
        <v>24</v>
      </c>
      <c r="Q122" s="18">
        <v>4.1369999999999996</v>
      </c>
      <c r="R122" s="18">
        <f t="shared" si="40"/>
        <v>5.7370000000000001</v>
      </c>
      <c r="S122" s="154">
        <f t="shared" si="23"/>
        <v>2.16</v>
      </c>
      <c r="T122" s="42">
        <f t="shared" si="23"/>
        <v>120</v>
      </c>
      <c r="U122" s="18">
        <f t="shared" si="22"/>
        <v>3.577</v>
      </c>
      <c r="V122" s="140">
        <v>0</v>
      </c>
      <c r="W122" s="154">
        <f t="shared" si="24"/>
        <v>10.5</v>
      </c>
      <c r="X122" s="55">
        <f t="shared" si="25"/>
        <v>6.923</v>
      </c>
      <c r="Y122" s="168"/>
      <c r="Z122" s="148"/>
    </row>
    <row r="123" spans="1:26" s="1" customFormat="1" ht="11.25" x14ac:dyDescent="0.2">
      <c r="A123" s="5">
        <v>83</v>
      </c>
      <c r="B123" s="32" t="s">
        <v>160</v>
      </c>
      <c r="C123" s="134" t="s">
        <v>25</v>
      </c>
      <c r="D123" s="6">
        <v>1.51</v>
      </c>
      <c r="E123" s="6">
        <v>1.1000000000000001</v>
      </c>
      <c r="F123" s="6">
        <v>120</v>
      </c>
      <c r="G123" s="6">
        <f t="shared" si="34"/>
        <v>0.40999999999999992</v>
      </c>
      <c r="H123" s="6">
        <v>0</v>
      </c>
      <c r="I123" s="6">
        <f>2.5*1.05</f>
        <v>2.625</v>
      </c>
      <c r="J123" s="6">
        <f t="shared" si="21"/>
        <v>2.2149999999999999</v>
      </c>
      <c r="K123" s="6">
        <f>J123</f>
        <v>2.2149999999999999</v>
      </c>
      <c r="L123" s="7" t="str">
        <f>IF(K123&lt;0,"закрыт","открыт")</f>
        <v>открыт</v>
      </c>
      <c r="M123" s="48"/>
      <c r="N123" s="5">
        <v>83</v>
      </c>
      <c r="O123" s="33" t="s">
        <v>160</v>
      </c>
      <c r="P123" s="140" t="s">
        <v>25</v>
      </c>
      <c r="Q123" s="18">
        <v>1.038</v>
      </c>
      <c r="R123" s="18">
        <f t="shared" si="40"/>
        <v>2.548</v>
      </c>
      <c r="S123" s="154">
        <f t="shared" si="23"/>
        <v>1.1000000000000001</v>
      </c>
      <c r="T123" s="42">
        <f t="shared" si="23"/>
        <v>120</v>
      </c>
      <c r="U123" s="18">
        <f t="shared" si="22"/>
        <v>1.448</v>
      </c>
      <c r="V123" s="140">
        <v>0</v>
      </c>
      <c r="W123" s="154">
        <f t="shared" si="24"/>
        <v>2.625</v>
      </c>
      <c r="X123" s="55">
        <f t="shared" si="25"/>
        <v>1.177</v>
      </c>
      <c r="Y123" s="56">
        <f t="shared" si="26"/>
        <v>1.177</v>
      </c>
      <c r="Z123" s="31" t="str">
        <f>IF(Y123&lt;0,"закрыт","открыт")</f>
        <v>открыт</v>
      </c>
    </row>
    <row r="124" spans="1:26" s="1" customFormat="1" ht="22.5" x14ac:dyDescent="0.2">
      <c r="A124" s="5">
        <v>84</v>
      </c>
      <c r="B124" s="32" t="s">
        <v>161</v>
      </c>
      <c r="C124" s="134" t="s">
        <v>29</v>
      </c>
      <c r="D124" s="6">
        <v>11.64</v>
      </c>
      <c r="E124" s="6">
        <v>0.74</v>
      </c>
      <c r="F124" s="6">
        <v>60</v>
      </c>
      <c r="G124" s="6">
        <f t="shared" si="34"/>
        <v>10.9</v>
      </c>
      <c r="H124" s="6">
        <v>0</v>
      </c>
      <c r="I124" s="6">
        <f>25*1.05</f>
        <v>26.25</v>
      </c>
      <c r="J124" s="6">
        <f t="shared" si="21"/>
        <v>15.35</v>
      </c>
      <c r="K124" s="6">
        <f>J124</f>
        <v>15.35</v>
      </c>
      <c r="L124" s="7" t="str">
        <f>IF(K124&lt;0,"закрыт","открыт")</f>
        <v>открыт</v>
      </c>
      <c r="M124" s="48"/>
      <c r="N124" s="5">
        <v>84</v>
      </c>
      <c r="O124" s="33" t="s">
        <v>161</v>
      </c>
      <c r="P124" s="140" t="s">
        <v>29</v>
      </c>
      <c r="Q124" s="18">
        <v>2.512</v>
      </c>
      <c r="R124" s="18">
        <f t="shared" si="40"/>
        <v>14.152000000000001</v>
      </c>
      <c r="S124" s="154">
        <f t="shared" si="23"/>
        <v>0.74</v>
      </c>
      <c r="T124" s="42">
        <f t="shared" si="23"/>
        <v>60</v>
      </c>
      <c r="U124" s="18">
        <f t="shared" si="22"/>
        <v>13.412000000000001</v>
      </c>
      <c r="V124" s="140">
        <v>0</v>
      </c>
      <c r="W124" s="154">
        <f t="shared" si="24"/>
        <v>26.25</v>
      </c>
      <c r="X124" s="55">
        <f t="shared" si="25"/>
        <v>12.837999999999999</v>
      </c>
      <c r="Y124" s="56">
        <f t="shared" si="26"/>
        <v>12.837999999999999</v>
      </c>
      <c r="Z124" s="31" t="str">
        <f>IF(Y124&lt;0,"закрыт","открыт")</f>
        <v>открыт</v>
      </c>
    </row>
    <row r="125" spans="1:26" s="1" customFormat="1" ht="11.25" x14ac:dyDescent="0.2">
      <c r="A125" s="5">
        <v>85</v>
      </c>
      <c r="B125" s="32" t="s">
        <v>162</v>
      </c>
      <c r="C125" s="134" t="s">
        <v>24</v>
      </c>
      <c r="D125" s="6">
        <v>9.77</v>
      </c>
      <c r="E125" s="6">
        <v>1.05</v>
      </c>
      <c r="F125" s="6">
        <v>90</v>
      </c>
      <c r="G125" s="6">
        <f t="shared" si="34"/>
        <v>8.7199999999999989</v>
      </c>
      <c r="H125" s="6">
        <v>0</v>
      </c>
      <c r="I125" s="6">
        <f>10*1.05</f>
        <v>10.5</v>
      </c>
      <c r="J125" s="6">
        <f t="shared" si="21"/>
        <v>1.7800000000000011</v>
      </c>
      <c r="K125" s="6">
        <f>J125</f>
        <v>1.7800000000000011</v>
      </c>
      <c r="L125" s="7" t="str">
        <f>IF(K125&lt;0,"закрыт","открыт")</f>
        <v>открыт</v>
      </c>
      <c r="M125" s="48"/>
      <c r="N125" s="133">
        <v>85</v>
      </c>
      <c r="O125" s="43" t="s">
        <v>162</v>
      </c>
      <c r="P125" s="3" t="s">
        <v>24</v>
      </c>
      <c r="Q125" s="19">
        <v>5.4359999999999999</v>
      </c>
      <c r="R125" s="19">
        <f t="shared" si="40"/>
        <v>15.206</v>
      </c>
      <c r="S125" s="161">
        <f t="shared" si="23"/>
        <v>1.05</v>
      </c>
      <c r="T125" s="44">
        <f t="shared" si="23"/>
        <v>90</v>
      </c>
      <c r="U125" s="19">
        <f t="shared" si="22"/>
        <v>14.155999999999999</v>
      </c>
      <c r="V125" s="3">
        <v>0</v>
      </c>
      <c r="W125" s="161">
        <f t="shared" si="24"/>
        <v>10.5</v>
      </c>
      <c r="X125" s="58">
        <f t="shared" si="25"/>
        <v>-3.6559999999999988</v>
      </c>
      <c r="Y125" s="59">
        <f t="shared" si="26"/>
        <v>-3.6559999999999988</v>
      </c>
      <c r="Z125" s="52" t="str">
        <f>IF(Y125&lt;0,"закрыт","открыт")</f>
        <v>закрыт</v>
      </c>
    </row>
    <row r="126" spans="1:26" s="46" customFormat="1" ht="12" customHeight="1" x14ac:dyDescent="0.2">
      <c r="A126" s="36">
        <v>86</v>
      </c>
      <c r="B126" s="32" t="s">
        <v>163</v>
      </c>
      <c r="C126" s="134" t="s">
        <v>35</v>
      </c>
      <c r="D126" s="35">
        <v>12.1</v>
      </c>
      <c r="E126" s="38">
        <v>0</v>
      </c>
      <c r="F126" s="38" t="s">
        <v>99</v>
      </c>
      <c r="G126" s="38">
        <f t="shared" ref="G126:G157" si="41">D126-E126</f>
        <v>12.1</v>
      </c>
      <c r="H126" s="38">
        <v>0</v>
      </c>
      <c r="I126" s="38">
        <f>40*1.05</f>
        <v>42</v>
      </c>
      <c r="J126" s="38">
        <f t="shared" ref="J126:J189" si="42">I126-H126-G126</f>
        <v>29.9</v>
      </c>
      <c r="K126" s="38">
        <f>J126</f>
        <v>29.9</v>
      </c>
      <c r="L126" s="53" t="str">
        <f>IF(K126&lt;0,"закрыт","открыт")</f>
        <v>открыт</v>
      </c>
      <c r="M126" s="48"/>
      <c r="N126" s="36">
        <v>86</v>
      </c>
      <c r="O126" s="40" t="s">
        <v>164</v>
      </c>
      <c r="P126" s="38" t="s">
        <v>35</v>
      </c>
      <c r="Q126" s="18">
        <v>3.2770000000000001</v>
      </c>
      <c r="R126" s="41">
        <f t="shared" si="40"/>
        <v>15.376999999999999</v>
      </c>
      <c r="S126" s="154">
        <f t="shared" si="23"/>
        <v>0</v>
      </c>
      <c r="T126" s="42"/>
      <c r="U126" s="41">
        <f t="shared" ref="U126:U189" si="43">R126-S126</f>
        <v>15.376999999999999</v>
      </c>
      <c r="V126" s="38">
        <v>0</v>
      </c>
      <c r="W126" s="154">
        <f t="shared" si="24"/>
        <v>42</v>
      </c>
      <c r="X126" s="55">
        <f t="shared" si="25"/>
        <v>26.623000000000001</v>
      </c>
      <c r="Y126" s="56">
        <f t="shared" si="26"/>
        <v>26.623000000000001</v>
      </c>
      <c r="Z126" s="39" t="str">
        <f>IF(Y126&lt;0,"закрыт","открыт")</f>
        <v>открыт</v>
      </c>
    </row>
    <row r="127" spans="1:26" s="1" customFormat="1" ht="11.25" x14ac:dyDescent="0.2">
      <c r="A127" s="200">
        <v>87</v>
      </c>
      <c r="B127" s="32" t="s">
        <v>165</v>
      </c>
      <c r="C127" s="134" t="s">
        <v>36</v>
      </c>
      <c r="D127" s="35">
        <v>10.87</v>
      </c>
      <c r="E127" s="6">
        <f>E128+E129</f>
        <v>4.6500000000000004</v>
      </c>
      <c r="F127" s="6">
        <v>90</v>
      </c>
      <c r="G127" s="6">
        <f t="shared" si="41"/>
        <v>6.2199999999999989</v>
      </c>
      <c r="H127" s="6">
        <v>0</v>
      </c>
      <c r="I127" s="6">
        <f>10*1.05</f>
        <v>10.5</v>
      </c>
      <c r="J127" s="6">
        <f t="shared" si="42"/>
        <v>4.2800000000000011</v>
      </c>
      <c r="K127" s="201">
        <f>MIN(J127:J129)</f>
        <v>4.2800000000000011</v>
      </c>
      <c r="L127" s="197" t="str">
        <f>IF(K127&lt;0,"закрыт","открыт")</f>
        <v>открыт</v>
      </c>
      <c r="M127" s="48"/>
      <c r="N127" s="200">
        <v>87</v>
      </c>
      <c r="O127" s="33" t="s">
        <v>165</v>
      </c>
      <c r="P127" s="140" t="s">
        <v>36</v>
      </c>
      <c r="Q127" s="18">
        <f>Q128+Q129</f>
        <v>0.44800000000000001</v>
      </c>
      <c r="R127" s="18">
        <f>R128+R129</f>
        <v>11.318</v>
      </c>
      <c r="S127" s="154">
        <f t="shared" si="23"/>
        <v>4.6500000000000004</v>
      </c>
      <c r="T127" s="42">
        <f t="shared" si="23"/>
        <v>90</v>
      </c>
      <c r="U127" s="18">
        <f t="shared" si="43"/>
        <v>6.6679999999999993</v>
      </c>
      <c r="V127" s="140">
        <v>0</v>
      </c>
      <c r="W127" s="154">
        <f t="shared" si="24"/>
        <v>10.5</v>
      </c>
      <c r="X127" s="55">
        <f t="shared" si="25"/>
        <v>3.8320000000000007</v>
      </c>
      <c r="Y127" s="166">
        <f>X127</f>
        <v>3.8320000000000007</v>
      </c>
      <c r="Z127" s="139" t="str">
        <f>IF(Y127&lt;0,"закрыт","открыт")</f>
        <v>открыт</v>
      </c>
    </row>
    <row r="128" spans="1:26" s="1" customFormat="1" ht="11.25" x14ac:dyDescent="0.2">
      <c r="A128" s="200"/>
      <c r="B128" s="32" t="s">
        <v>60</v>
      </c>
      <c r="C128" s="134" t="s">
        <v>36</v>
      </c>
      <c r="D128" s="35">
        <v>0</v>
      </c>
      <c r="E128" s="6">
        <v>0</v>
      </c>
      <c r="F128" s="6"/>
      <c r="G128" s="6">
        <f t="shared" si="41"/>
        <v>0</v>
      </c>
      <c r="H128" s="6">
        <v>0</v>
      </c>
      <c r="I128" s="6">
        <f>10*1.05</f>
        <v>10.5</v>
      </c>
      <c r="J128" s="6">
        <f t="shared" si="42"/>
        <v>10.5</v>
      </c>
      <c r="K128" s="201"/>
      <c r="L128" s="197"/>
      <c r="M128" s="48"/>
      <c r="N128" s="200"/>
      <c r="O128" s="33" t="s">
        <v>60</v>
      </c>
      <c r="P128" s="140" t="s">
        <v>36</v>
      </c>
      <c r="Q128" s="18">
        <v>0</v>
      </c>
      <c r="R128" s="18">
        <f>Q128+D128</f>
        <v>0</v>
      </c>
      <c r="S128" s="154">
        <f t="shared" ref="S128:T164" si="44">E128</f>
        <v>0</v>
      </c>
      <c r="T128" s="42"/>
      <c r="U128" s="18">
        <f t="shared" si="43"/>
        <v>0</v>
      </c>
      <c r="V128" s="140">
        <v>0</v>
      </c>
      <c r="W128" s="154">
        <f t="shared" ref="W128:W191" si="45">I128</f>
        <v>10.5</v>
      </c>
      <c r="X128" s="55">
        <f t="shared" ref="X128:X191" si="46">W128-V128-U128</f>
        <v>10.5</v>
      </c>
      <c r="Y128" s="167"/>
      <c r="Z128" s="147"/>
    </row>
    <row r="129" spans="1:26" s="1" customFormat="1" ht="11.25" x14ac:dyDescent="0.2">
      <c r="A129" s="200"/>
      <c r="B129" s="32" t="s">
        <v>61</v>
      </c>
      <c r="C129" s="134" t="s">
        <v>36</v>
      </c>
      <c r="D129" s="35">
        <v>10.87</v>
      </c>
      <c r="E129" s="6">
        <v>4.6500000000000004</v>
      </c>
      <c r="F129" s="6">
        <v>90</v>
      </c>
      <c r="G129" s="6">
        <f t="shared" si="41"/>
        <v>6.2199999999999989</v>
      </c>
      <c r="H129" s="6">
        <v>0</v>
      </c>
      <c r="I129" s="6">
        <f>10*1.05</f>
        <v>10.5</v>
      </c>
      <c r="J129" s="6">
        <f t="shared" si="42"/>
        <v>4.2800000000000011</v>
      </c>
      <c r="K129" s="201"/>
      <c r="L129" s="197"/>
      <c r="M129" s="48"/>
      <c r="N129" s="200"/>
      <c r="O129" s="33" t="s">
        <v>61</v>
      </c>
      <c r="P129" s="140" t="s">
        <v>36</v>
      </c>
      <c r="Q129" s="18">
        <v>0.44800000000000001</v>
      </c>
      <c r="R129" s="18">
        <f>Q129+D129</f>
        <v>11.318</v>
      </c>
      <c r="S129" s="154">
        <f t="shared" si="44"/>
        <v>4.6500000000000004</v>
      </c>
      <c r="T129" s="42">
        <f t="shared" si="44"/>
        <v>90</v>
      </c>
      <c r="U129" s="18">
        <f t="shared" si="43"/>
        <v>6.6679999999999993</v>
      </c>
      <c r="V129" s="140">
        <v>0</v>
      </c>
      <c r="W129" s="154">
        <f t="shared" si="45"/>
        <v>10.5</v>
      </c>
      <c r="X129" s="55">
        <f t="shared" si="46"/>
        <v>3.8320000000000007</v>
      </c>
      <c r="Y129" s="168"/>
      <c r="Z129" s="148"/>
    </row>
    <row r="130" spans="1:26" s="1" customFormat="1" ht="22.5" x14ac:dyDescent="0.2">
      <c r="A130" s="200">
        <v>88</v>
      </c>
      <c r="B130" s="32" t="s">
        <v>166</v>
      </c>
      <c r="C130" s="134" t="s">
        <v>167</v>
      </c>
      <c r="D130" s="35">
        <v>1.83</v>
      </c>
      <c r="E130" s="6">
        <f>E131+E132</f>
        <v>4.13</v>
      </c>
      <c r="F130" s="6">
        <v>120</v>
      </c>
      <c r="G130" s="6">
        <f t="shared" si="41"/>
        <v>-2.2999999999999998</v>
      </c>
      <c r="H130" s="6">
        <v>0</v>
      </c>
      <c r="I130" s="2">
        <f>6.3*1.05</f>
        <v>6.6150000000000002</v>
      </c>
      <c r="J130" s="2">
        <f t="shared" si="42"/>
        <v>8.9149999999999991</v>
      </c>
      <c r="K130" s="201">
        <f>MIN(J130:J132)</f>
        <v>7.3949999999999996</v>
      </c>
      <c r="L130" s="197" t="str">
        <f>IF(K130&lt;0,"закрыт","открыт")</f>
        <v>открыт</v>
      </c>
      <c r="M130" s="48"/>
      <c r="N130" s="200">
        <v>88</v>
      </c>
      <c r="O130" s="33" t="s">
        <v>166</v>
      </c>
      <c r="P130" s="140" t="s">
        <v>167</v>
      </c>
      <c r="Q130" s="18">
        <f>Q132+Q131</f>
        <v>0.37099999999999994</v>
      </c>
      <c r="R130" s="18">
        <f>R131+R132</f>
        <v>2.2010000000000001</v>
      </c>
      <c r="S130" s="154">
        <f t="shared" si="44"/>
        <v>4.13</v>
      </c>
      <c r="T130" s="42">
        <f t="shared" si="44"/>
        <v>120</v>
      </c>
      <c r="U130" s="18">
        <f t="shared" si="43"/>
        <v>-1.9289999999999998</v>
      </c>
      <c r="V130" s="140">
        <v>0</v>
      </c>
      <c r="W130" s="154">
        <f t="shared" si="45"/>
        <v>6.6150000000000002</v>
      </c>
      <c r="X130" s="55">
        <f t="shared" si="46"/>
        <v>8.5440000000000005</v>
      </c>
      <c r="Y130" s="166">
        <f>X131</f>
        <v>7.0649999999999995</v>
      </c>
      <c r="Z130" s="139" t="str">
        <f>IF(Y130&lt;0,"закрыт","открыт")</f>
        <v>открыт</v>
      </c>
    </row>
    <row r="131" spans="1:26" s="1" customFormat="1" ht="11.25" x14ac:dyDescent="0.2">
      <c r="A131" s="200"/>
      <c r="B131" s="32" t="s">
        <v>60</v>
      </c>
      <c r="C131" s="134" t="s">
        <v>167</v>
      </c>
      <c r="D131" s="35">
        <v>1.62</v>
      </c>
      <c r="E131" s="6">
        <v>2.4</v>
      </c>
      <c r="F131" s="6">
        <v>120</v>
      </c>
      <c r="G131" s="6">
        <f t="shared" si="41"/>
        <v>-0.7799999999999998</v>
      </c>
      <c r="H131" s="6">
        <v>0</v>
      </c>
      <c r="I131" s="2">
        <f>6.3*1.05</f>
        <v>6.6150000000000002</v>
      </c>
      <c r="J131" s="2">
        <f t="shared" si="42"/>
        <v>7.3949999999999996</v>
      </c>
      <c r="K131" s="201"/>
      <c r="L131" s="197"/>
      <c r="M131" s="48"/>
      <c r="N131" s="200"/>
      <c r="O131" s="33" t="s">
        <v>60</v>
      </c>
      <c r="P131" s="140" t="s">
        <v>167</v>
      </c>
      <c r="Q131" s="18">
        <f>Q162+Q37+Q38+Q148+Q39</f>
        <v>0.32999999999999996</v>
      </c>
      <c r="R131" s="18">
        <f>Q131+D131</f>
        <v>1.9500000000000002</v>
      </c>
      <c r="S131" s="154">
        <f t="shared" si="44"/>
        <v>2.4</v>
      </c>
      <c r="T131" s="42">
        <f t="shared" si="44"/>
        <v>120</v>
      </c>
      <c r="U131" s="18">
        <f t="shared" si="43"/>
        <v>-0.44999999999999973</v>
      </c>
      <c r="V131" s="140">
        <v>0</v>
      </c>
      <c r="W131" s="154">
        <f t="shared" si="45"/>
        <v>6.6150000000000002</v>
      </c>
      <c r="X131" s="55">
        <f t="shared" si="46"/>
        <v>7.0649999999999995</v>
      </c>
      <c r="Y131" s="167"/>
      <c r="Z131" s="147"/>
    </row>
    <row r="132" spans="1:26" s="1" customFormat="1" ht="11.25" x14ac:dyDescent="0.2">
      <c r="A132" s="200"/>
      <c r="B132" s="32" t="s">
        <v>61</v>
      </c>
      <c r="C132" s="134" t="s">
        <v>167</v>
      </c>
      <c r="D132" s="35">
        <v>0.21</v>
      </c>
      <c r="E132" s="6">
        <v>1.73</v>
      </c>
      <c r="F132" s="6">
        <v>120</v>
      </c>
      <c r="G132" s="6">
        <f t="shared" si="41"/>
        <v>-1.52</v>
      </c>
      <c r="H132" s="6">
        <v>0</v>
      </c>
      <c r="I132" s="2">
        <f>6.3*1.05</f>
        <v>6.6150000000000002</v>
      </c>
      <c r="J132" s="2">
        <f t="shared" si="42"/>
        <v>8.1349999999999998</v>
      </c>
      <c r="K132" s="201"/>
      <c r="L132" s="197"/>
      <c r="M132" s="48"/>
      <c r="N132" s="200"/>
      <c r="O132" s="33" t="s">
        <v>61</v>
      </c>
      <c r="P132" s="140" t="s">
        <v>167</v>
      </c>
      <c r="Q132" s="18">
        <v>4.1000000000000002E-2</v>
      </c>
      <c r="R132" s="18">
        <f>Q132+D132</f>
        <v>0.251</v>
      </c>
      <c r="S132" s="154">
        <f t="shared" si="44"/>
        <v>1.73</v>
      </c>
      <c r="T132" s="42">
        <f t="shared" si="44"/>
        <v>120</v>
      </c>
      <c r="U132" s="18">
        <f t="shared" si="43"/>
        <v>-1.4790000000000001</v>
      </c>
      <c r="V132" s="140">
        <v>0</v>
      </c>
      <c r="W132" s="154">
        <f t="shared" si="45"/>
        <v>6.6150000000000002</v>
      </c>
      <c r="X132" s="55">
        <f t="shared" si="46"/>
        <v>8.0940000000000012</v>
      </c>
      <c r="Y132" s="168"/>
      <c r="Z132" s="148"/>
    </row>
    <row r="133" spans="1:26" s="1" customFormat="1" ht="11.25" x14ac:dyDescent="0.2">
      <c r="A133" s="5">
        <v>89</v>
      </c>
      <c r="B133" s="63" t="s">
        <v>168</v>
      </c>
      <c r="C133" s="134" t="s">
        <v>27</v>
      </c>
      <c r="D133" s="35">
        <v>2.48</v>
      </c>
      <c r="E133" s="6">
        <v>1.83</v>
      </c>
      <c r="F133" s="6">
        <v>120</v>
      </c>
      <c r="G133" s="6">
        <f t="shared" si="41"/>
        <v>0.64999999999999991</v>
      </c>
      <c r="H133" s="6">
        <v>0</v>
      </c>
      <c r="I133" s="2">
        <f>6.3*1.05</f>
        <v>6.6150000000000002</v>
      </c>
      <c r="J133" s="2">
        <f t="shared" si="42"/>
        <v>5.9649999999999999</v>
      </c>
      <c r="K133" s="2">
        <f>J133</f>
        <v>5.9649999999999999</v>
      </c>
      <c r="L133" s="7" t="str">
        <f>IF(K133&lt;0,"закрыт","открыт")</f>
        <v>открыт</v>
      </c>
      <c r="M133" s="48"/>
      <c r="N133" s="5">
        <v>89</v>
      </c>
      <c r="O133" s="33" t="s">
        <v>168</v>
      </c>
      <c r="P133" s="140" t="s">
        <v>27</v>
      </c>
      <c r="Q133" s="18">
        <v>1.59</v>
      </c>
      <c r="R133" s="18">
        <f>Q133+D133</f>
        <v>4.07</v>
      </c>
      <c r="S133" s="154">
        <f t="shared" si="44"/>
        <v>1.83</v>
      </c>
      <c r="T133" s="42">
        <f t="shared" si="44"/>
        <v>120</v>
      </c>
      <c r="U133" s="18">
        <f t="shared" si="43"/>
        <v>2.2400000000000002</v>
      </c>
      <c r="V133" s="140">
        <v>0</v>
      </c>
      <c r="W133" s="154">
        <f t="shared" si="45"/>
        <v>6.6150000000000002</v>
      </c>
      <c r="X133" s="55">
        <f t="shared" si="46"/>
        <v>4.375</v>
      </c>
      <c r="Y133" s="56">
        <f t="shared" ref="Y133:Y196" si="47">X133</f>
        <v>4.375</v>
      </c>
      <c r="Z133" s="31" t="str">
        <f t="shared" ref="Z133:Z196" si="48">IF(Y133&lt;0,"закрыт","открыт")</f>
        <v>открыт</v>
      </c>
    </row>
    <row r="134" spans="1:26" s="1" customFormat="1" ht="11.25" x14ac:dyDescent="0.2">
      <c r="A134" s="200">
        <v>90</v>
      </c>
      <c r="B134" s="63" t="s">
        <v>169</v>
      </c>
      <c r="C134" s="134" t="s">
        <v>36</v>
      </c>
      <c r="D134" s="35">
        <v>5.73</v>
      </c>
      <c r="E134" s="6">
        <f>E135+E136</f>
        <v>3.95</v>
      </c>
      <c r="F134" s="6">
        <v>120</v>
      </c>
      <c r="G134" s="6">
        <f t="shared" si="41"/>
        <v>1.7800000000000002</v>
      </c>
      <c r="H134" s="6">
        <v>0</v>
      </c>
      <c r="I134" s="6">
        <f>10*1.05</f>
        <v>10.5</v>
      </c>
      <c r="J134" s="6">
        <f t="shared" si="42"/>
        <v>8.7199999999999989</v>
      </c>
      <c r="K134" s="201">
        <f>MIN(J134:J136)</f>
        <v>8.7199999999999989</v>
      </c>
      <c r="L134" s="197" t="str">
        <f>IF(K134&lt;0,"закрыт","открыт")</f>
        <v>открыт</v>
      </c>
      <c r="M134" s="48"/>
      <c r="N134" s="200">
        <v>90</v>
      </c>
      <c r="O134" s="33" t="s">
        <v>169</v>
      </c>
      <c r="P134" s="140" t="s">
        <v>36</v>
      </c>
      <c r="Q134" s="18">
        <f>Q136+Q135</f>
        <v>0.65100000000000002</v>
      </c>
      <c r="R134" s="18">
        <f>R135+R136</f>
        <v>6.3810000000000002</v>
      </c>
      <c r="S134" s="154">
        <f t="shared" si="44"/>
        <v>3.95</v>
      </c>
      <c r="T134" s="42">
        <f t="shared" si="44"/>
        <v>120</v>
      </c>
      <c r="U134" s="18">
        <f t="shared" si="43"/>
        <v>2.431</v>
      </c>
      <c r="V134" s="140">
        <v>0</v>
      </c>
      <c r="W134" s="154">
        <f t="shared" si="45"/>
        <v>10.5</v>
      </c>
      <c r="X134" s="55">
        <f t="shared" si="46"/>
        <v>8.0689999999999991</v>
      </c>
      <c r="Y134" s="166">
        <f t="shared" si="47"/>
        <v>8.0689999999999991</v>
      </c>
      <c r="Z134" s="139" t="str">
        <f t="shared" si="48"/>
        <v>открыт</v>
      </c>
    </row>
    <row r="135" spans="1:26" s="46" customFormat="1" ht="11.25" x14ac:dyDescent="0.2">
      <c r="A135" s="200"/>
      <c r="B135" s="32" t="s">
        <v>60</v>
      </c>
      <c r="C135" s="134" t="s">
        <v>36</v>
      </c>
      <c r="D135" s="35">
        <v>2.63</v>
      </c>
      <c r="E135" s="38">
        <v>2.39</v>
      </c>
      <c r="F135" s="38">
        <v>120</v>
      </c>
      <c r="G135" s="38">
        <f t="shared" si="41"/>
        <v>0.23999999999999977</v>
      </c>
      <c r="H135" s="38">
        <v>0</v>
      </c>
      <c r="I135" s="38">
        <f>10*1.05</f>
        <v>10.5</v>
      </c>
      <c r="J135" s="38">
        <f t="shared" si="42"/>
        <v>10.26</v>
      </c>
      <c r="K135" s="201"/>
      <c r="L135" s="197"/>
      <c r="M135" s="48"/>
      <c r="N135" s="200"/>
      <c r="O135" s="40" t="s">
        <v>60</v>
      </c>
      <c r="P135" s="38" t="s">
        <v>36</v>
      </c>
      <c r="Q135" s="18">
        <f>Q150+Q151+Q152+Q153+Q40</f>
        <v>0.255</v>
      </c>
      <c r="R135" s="41">
        <f>Q135+D135</f>
        <v>2.8849999999999998</v>
      </c>
      <c r="S135" s="154">
        <f t="shared" si="44"/>
        <v>2.39</v>
      </c>
      <c r="T135" s="42">
        <f t="shared" si="44"/>
        <v>120</v>
      </c>
      <c r="U135" s="41">
        <f t="shared" si="43"/>
        <v>0.49499999999999966</v>
      </c>
      <c r="V135" s="38">
        <v>0</v>
      </c>
      <c r="W135" s="154">
        <f t="shared" si="45"/>
        <v>10.5</v>
      </c>
      <c r="X135" s="55">
        <f t="shared" si="46"/>
        <v>10.005000000000001</v>
      </c>
      <c r="Y135" s="167"/>
      <c r="Z135" s="147"/>
    </row>
    <row r="136" spans="1:26" s="1" customFormat="1" ht="11.25" x14ac:dyDescent="0.2">
      <c r="A136" s="200"/>
      <c r="B136" s="32" t="s">
        <v>61</v>
      </c>
      <c r="C136" s="134" t="s">
        <v>36</v>
      </c>
      <c r="D136" s="35">
        <v>3.1</v>
      </c>
      <c r="E136" s="6">
        <v>1.56</v>
      </c>
      <c r="F136" s="6">
        <v>120</v>
      </c>
      <c r="G136" s="6">
        <f t="shared" si="41"/>
        <v>1.54</v>
      </c>
      <c r="H136" s="6">
        <v>0</v>
      </c>
      <c r="I136" s="6">
        <f>10*1.05</f>
        <v>10.5</v>
      </c>
      <c r="J136" s="6">
        <f t="shared" si="42"/>
        <v>8.9600000000000009</v>
      </c>
      <c r="K136" s="201"/>
      <c r="L136" s="197"/>
      <c r="M136" s="48"/>
      <c r="N136" s="200"/>
      <c r="O136" s="33" t="s">
        <v>61</v>
      </c>
      <c r="P136" s="140" t="s">
        <v>36</v>
      </c>
      <c r="Q136" s="18">
        <v>0.39600000000000002</v>
      </c>
      <c r="R136" s="18">
        <f>Q136+D136</f>
        <v>3.496</v>
      </c>
      <c r="S136" s="154">
        <f t="shared" si="44"/>
        <v>1.56</v>
      </c>
      <c r="T136" s="42">
        <f t="shared" si="44"/>
        <v>120</v>
      </c>
      <c r="U136" s="18">
        <f t="shared" si="43"/>
        <v>1.9359999999999999</v>
      </c>
      <c r="V136" s="140">
        <v>0</v>
      </c>
      <c r="W136" s="154">
        <f t="shared" si="45"/>
        <v>10.5</v>
      </c>
      <c r="X136" s="55">
        <f t="shared" si="46"/>
        <v>8.5640000000000001</v>
      </c>
      <c r="Y136" s="168"/>
      <c r="Z136" s="148"/>
    </row>
    <row r="137" spans="1:26" s="1" customFormat="1" ht="11.25" x14ac:dyDescent="0.2">
      <c r="A137" s="5">
        <v>91</v>
      </c>
      <c r="B137" s="32" t="s">
        <v>170</v>
      </c>
      <c r="C137" s="6" t="s">
        <v>25</v>
      </c>
      <c r="D137" s="35">
        <v>0.28999999999999998</v>
      </c>
      <c r="E137" s="6">
        <v>0.66</v>
      </c>
      <c r="F137" s="6">
        <v>120</v>
      </c>
      <c r="G137" s="6">
        <f t="shared" si="41"/>
        <v>-0.37000000000000005</v>
      </c>
      <c r="H137" s="6">
        <v>0</v>
      </c>
      <c r="I137" s="2">
        <f>2.5*1.05</f>
        <v>2.625</v>
      </c>
      <c r="J137" s="2">
        <f t="shared" si="42"/>
        <v>2.9950000000000001</v>
      </c>
      <c r="K137" s="2">
        <f>J137</f>
        <v>2.9950000000000001</v>
      </c>
      <c r="L137" s="7" t="str">
        <f>IF(K137&lt;0,"закрыт","открыт")</f>
        <v>открыт</v>
      </c>
      <c r="M137" s="48"/>
      <c r="N137" s="5">
        <v>91</v>
      </c>
      <c r="O137" s="33" t="s">
        <v>170</v>
      </c>
      <c r="P137" s="140" t="s">
        <v>25</v>
      </c>
      <c r="Q137" s="18">
        <v>0.13700000000000001</v>
      </c>
      <c r="R137" s="18">
        <f>Q137+D137</f>
        <v>0.42699999999999999</v>
      </c>
      <c r="S137" s="154">
        <f t="shared" si="44"/>
        <v>0.66</v>
      </c>
      <c r="T137" s="42">
        <f t="shared" si="44"/>
        <v>120</v>
      </c>
      <c r="U137" s="18">
        <f t="shared" si="43"/>
        <v>-0.23300000000000004</v>
      </c>
      <c r="V137" s="140">
        <v>0</v>
      </c>
      <c r="W137" s="154">
        <f t="shared" si="45"/>
        <v>2.625</v>
      </c>
      <c r="X137" s="55">
        <f t="shared" si="46"/>
        <v>2.8580000000000001</v>
      </c>
      <c r="Y137" s="56">
        <f t="shared" si="47"/>
        <v>2.8580000000000001</v>
      </c>
      <c r="Z137" s="31" t="str">
        <f t="shared" si="48"/>
        <v>открыт</v>
      </c>
    </row>
    <row r="138" spans="1:26" s="1" customFormat="1" ht="11.25" x14ac:dyDescent="0.2">
      <c r="A138" s="200">
        <v>92</v>
      </c>
      <c r="B138" s="32" t="s">
        <v>171</v>
      </c>
      <c r="C138" s="6" t="s">
        <v>24</v>
      </c>
      <c r="D138" s="35">
        <v>7.0600000000000005</v>
      </c>
      <c r="E138" s="6">
        <f>E139+E140</f>
        <v>4.0999999999999996</v>
      </c>
      <c r="F138" s="6">
        <v>120</v>
      </c>
      <c r="G138" s="6">
        <f t="shared" si="41"/>
        <v>2.9600000000000009</v>
      </c>
      <c r="H138" s="6">
        <v>0</v>
      </c>
      <c r="I138" s="6">
        <f>10*1.05</f>
        <v>10.5</v>
      </c>
      <c r="J138" s="6">
        <f t="shared" si="42"/>
        <v>7.5399999999999991</v>
      </c>
      <c r="K138" s="201">
        <f>MIN(J138:J140)</f>
        <v>7.5399999999999991</v>
      </c>
      <c r="L138" s="197" t="str">
        <f>IF(K138&lt;0,"закрыт","открыт")</f>
        <v>открыт</v>
      </c>
      <c r="M138" s="48"/>
      <c r="N138" s="200">
        <v>92</v>
      </c>
      <c r="O138" s="33" t="s">
        <v>171</v>
      </c>
      <c r="P138" s="140" t="s">
        <v>24</v>
      </c>
      <c r="Q138" s="18">
        <f>Q139+Q140</f>
        <v>1.5780000000000001</v>
      </c>
      <c r="R138" s="18">
        <f>R139+R140</f>
        <v>8.6380000000000017</v>
      </c>
      <c r="S138" s="154">
        <f t="shared" si="44"/>
        <v>4.0999999999999996</v>
      </c>
      <c r="T138" s="42">
        <f t="shared" si="44"/>
        <v>120</v>
      </c>
      <c r="U138" s="18">
        <f t="shared" si="43"/>
        <v>4.538000000000002</v>
      </c>
      <c r="V138" s="140">
        <v>0</v>
      </c>
      <c r="W138" s="154">
        <f t="shared" si="45"/>
        <v>10.5</v>
      </c>
      <c r="X138" s="55">
        <f t="shared" si="46"/>
        <v>5.961999999999998</v>
      </c>
      <c r="Y138" s="166">
        <f t="shared" si="47"/>
        <v>5.961999999999998</v>
      </c>
      <c r="Z138" s="139" t="str">
        <f t="shared" si="48"/>
        <v>открыт</v>
      </c>
    </row>
    <row r="139" spans="1:26" s="1" customFormat="1" ht="11.25" x14ac:dyDescent="0.2">
      <c r="A139" s="200"/>
      <c r="B139" s="32" t="s">
        <v>60</v>
      </c>
      <c r="C139" s="6" t="s">
        <v>24</v>
      </c>
      <c r="D139" s="35">
        <v>2.66</v>
      </c>
      <c r="E139" s="6">
        <v>2.4500000000000002</v>
      </c>
      <c r="F139" s="6">
        <v>120</v>
      </c>
      <c r="G139" s="6">
        <f t="shared" si="41"/>
        <v>0.20999999999999996</v>
      </c>
      <c r="H139" s="6">
        <v>0</v>
      </c>
      <c r="I139" s="6">
        <f t="shared" ref="I139:I146" si="49">10*1.05</f>
        <v>10.5</v>
      </c>
      <c r="J139" s="6">
        <f t="shared" si="42"/>
        <v>10.29</v>
      </c>
      <c r="K139" s="201"/>
      <c r="L139" s="197"/>
      <c r="M139" s="48"/>
      <c r="N139" s="200"/>
      <c r="O139" s="33" t="s">
        <v>60</v>
      </c>
      <c r="P139" s="140" t="s">
        <v>24</v>
      </c>
      <c r="Q139" s="18">
        <f>Q147+Q155+Q156+Q154+Q36+Q41</f>
        <v>0.20399999999999999</v>
      </c>
      <c r="R139" s="18">
        <f>Q139+D139</f>
        <v>2.8640000000000003</v>
      </c>
      <c r="S139" s="154">
        <f t="shared" si="44"/>
        <v>2.4500000000000002</v>
      </c>
      <c r="T139" s="42">
        <f t="shared" si="44"/>
        <v>120</v>
      </c>
      <c r="U139" s="18">
        <f t="shared" si="43"/>
        <v>0.41400000000000015</v>
      </c>
      <c r="V139" s="140">
        <v>0</v>
      </c>
      <c r="W139" s="154">
        <f t="shared" si="45"/>
        <v>10.5</v>
      </c>
      <c r="X139" s="55">
        <f t="shared" si="46"/>
        <v>10.086</v>
      </c>
      <c r="Y139" s="167"/>
      <c r="Z139" s="147"/>
    </row>
    <row r="140" spans="1:26" s="1" customFormat="1" ht="11.25" x14ac:dyDescent="0.2">
      <c r="A140" s="200"/>
      <c r="B140" s="32" t="s">
        <v>61</v>
      </c>
      <c r="C140" s="6" t="s">
        <v>24</v>
      </c>
      <c r="D140" s="35">
        <v>4.4000000000000004</v>
      </c>
      <c r="E140" s="6">
        <v>1.65</v>
      </c>
      <c r="F140" s="6">
        <v>120</v>
      </c>
      <c r="G140" s="6">
        <f t="shared" si="41"/>
        <v>2.7500000000000004</v>
      </c>
      <c r="H140" s="6">
        <v>0</v>
      </c>
      <c r="I140" s="6">
        <f t="shared" si="49"/>
        <v>10.5</v>
      </c>
      <c r="J140" s="6">
        <f t="shared" si="42"/>
        <v>7.75</v>
      </c>
      <c r="K140" s="201"/>
      <c r="L140" s="197"/>
      <c r="M140" s="48"/>
      <c r="N140" s="200"/>
      <c r="O140" s="33" t="s">
        <v>61</v>
      </c>
      <c r="P140" s="140" t="s">
        <v>24</v>
      </c>
      <c r="Q140" s="18">
        <v>1.3740000000000001</v>
      </c>
      <c r="R140" s="18">
        <f>Q140+D140</f>
        <v>5.7740000000000009</v>
      </c>
      <c r="S140" s="154">
        <f t="shared" si="44"/>
        <v>1.65</v>
      </c>
      <c r="T140" s="42">
        <f t="shared" si="44"/>
        <v>120</v>
      </c>
      <c r="U140" s="18">
        <f t="shared" si="43"/>
        <v>4.1240000000000006</v>
      </c>
      <c r="V140" s="140">
        <v>0</v>
      </c>
      <c r="W140" s="154">
        <f t="shared" si="45"/>
        <v>10.5</v>
      </c>
      <c r="X140" s="55">
        <f t="shared" si="46"/>
        <v>6.3759999999999994</v>
      </c>
      <c r="Y140" s="168"/>
      <c r="Z140" s="148"/>
    </row>
    <row r="141" spans="1:26" s="1" customFormat="1" ht="11.25" x14ac:dyDescent="0.2">
      <c r="A141" s="200">
        <v>93</v>
      </c>
      <c r="B141" s="32" t="s">
        <v>172</v>
      </c>
      <c r="C141" s="6" t="s">
        <v>24</v>
      </c>
      <c r="D141" s="35">
        <v>3.04</v>
      </c>
      <c r="E141" s="6">
        <f>E142+E143</f>
        <v>2.98</v>
      </c>
      <c r="F141" s="6">
        <v>120</v>
      </c>
      <c r="G141" s="6">
        <f t="shared" si="41"/>
        <v>6.0000000000000053E-2</v>
      </c>
      <c r="H141" s="6">
        <v>0</v>
      </c>
      <c r="I141" s="6">
        <f t="shared" si="49"/>
        <v>10.5</v>
      </c>
      <c r="J141" s="6">
        <f t="shared" si="42"/>
        <v>10.44</v>
      </c>
      <c r="K141" s="201">
        <f>MIN(J141:J143)</f>
        <v>9.98</v>
      </c>
      <c r="L141" s="197" t="str">
        <f>IF(K141&lt;0,"закрыт","открыт")</f>
        <v>открыт</v>
      </c>
      <c r="M141" s="48"/>
      <c r="N141" s="200">
        <v>93</v>
      </c>
      <c r="O141" s="33" t="s">
        <v>172</v>
      </c>
      <c r="P141" s="140" t="s">
        <v>24</v>
      </c>
      <c r="Q141" s="18">
        <f>Q143+Q142</f>
        <v>0.4</v>
      </c>
      <c r="R141" s="18">
        <f>R142+R143</f>
        <v>3.44</v>
      </c>
      <c r="S141" s="154">
        <f t="shared" si="44"/>
        <v>2.98</v>
      </c>
      <c r="T141" s="42">
        <f t="shared" si="44"/>
        <v>120</v>
      </c>
      <c r="U141" s="18">
        <f t="shared" si="43"/>
        <v>0.45999999999999996</v>
      </c>
      <c r="V141" s="140">
        <v>0</v>
      </c>
      <c r="W141" s="154">
        <f t="shared" si="45"/>
        <v>10.5</v>
      </c>
      <c r="X141" s="55">
        <f t="shared" si="46"/>
        <v>10.039999999999999</v>
      </c>
      <c r="Y141" s="166">
        <f>X141</f>
        <v>10.039999999999999</v>
      </c>
      <c r="Z141" s="139" t="str">
        <f>IF(Y141&lt;0,"закрыт","открыт")</f>
        <v>открыт</v>
      </c>
    </row>
    <row r="142" spans="1:26" s="1" customFormat="1" ht="11.25" x14ac:dyDescent="0.2">
      <c r="A142" s="200"/>
      <c r="B142" s="32" t="s">
        <v>60</v>
      </c>
      <c r="C142" s="6" t="s">
        <v>24</v>
      </c>
      <c r="D142" s="35">
        <v>1</v>
      </c>
      <c r="E142" s="6">
        <v>1.46</v>
      </c>
      <c r="F142" s="6">
        <v>120</v>
      </c>
      <c r="G142" s="6">
        <f t="shared" si="41"/>
        <v>-0.45999999999999996</v>
      </c>
      <c r="H142" s="6">
        <v>0</v>
      </c>
      <c r="I142" s="6">
        <f t="shared" si="49"/>
        <v>10.5</v>
      </c>
      <c r="J142" s="6">
        <f t="shared" si="42"/>
        <v>10.96</v>
      </c>
      <c r="K142" s="201"/>
      <c r="L142" s="197"/>
      <c r="M142" s="48"/>
      <c r="N142" s="200"/>
      <c r="O142" s="33" t="s">
        <v>60</v>
      </c>
      <c r="P142" s="140" t="s">
        <v>24</v>
      </c>
      <c r="Q142" s="18">
        <f>Q158+Q157+Q161</f>
        <v>0.19800000000000001</v>
      </c>
      <c r="R142" s="18">
        <f>Q142+D142</f>
        <v>1.198</v>
      </c>
      <c r="S142" s="154">
        <f t="shared" si="44"/>
        <v>1.46</v>
      </c>
      <c r="T142" s="42">
        <f t="shared" si="44"/>
        <v>120</v>
      </c>
      <c r="U142" s="18">
        <f t="shared" si="43"/>
        <v>-0.26200000000000001</v>
      </c>
      <c r="V142" s="140">
        <v>0</v>
      </c>
      <c r="W142" s="154">
        <f t="shared" si="45"/>
        <v>10.5</v>
      </c>
      <c r="X142" s="55">
        <f t="shared" si="46"/>
        <v>10.762</v>
      </c>
      <c r="Y142" s="167"/>
      <c r="Z142" s="147"/>
    </row>
    <row r="143" spans="1:26" s="1" customFormat="1" ht="11.25" x14ac:dyDescent="0.2">
      <c r="A143" s="200"/>
      <c r="B143" s="32" t="s">
        <v>61</v>
      </c>
      <c r="C143" s="6" t="s">
        <v>24</v>
      </c>
      <c r="D143" s="35">
        <v>2.04</v>
      </c>
      <c r="E143" s="6">
        <v>1.52</v>
      </c>
      <c r="F143" s="6">
        <v>120</v>
      </c>
      <c r="G143" s="6">
        <f t="shared" si="41"/>
        <v>0.52</v>
      </c>
      <c r="H143" s="6">
        <v>0</v>
      </c>
      <c r="I143" s="6">
        <f t="shared" si="49"/>
        <v>10.5</v>
      </c>
      <c r="J143" s="6">
        <f t="shared" si="42"/>
        <v>9.98</v>
      </c>
      <c r="K143" s="201"/>
      <c r="L143" s="197"/>
      <c r="M143" s="48"/>
      <c r="N143" s="200"/>
      <c r="O143" s="33" t="s">
        <v>61</v>
      </c>
      <c r="P143" s="140" t="s">
        <v>24</v>
      </c>
      <c r="Q143" s="18">
        <v>0.20200000000000001</v>
      </c>
      <c r="R143" s="18">
        <f>Q143+D143</f>
        <v>2.242</v>
      </c>
      <c r="S143" s="154">
        <f t="shared" si="44"/>
        <v>1.52</v>
      </c>
      <c r="T143" s="42">
        <f t="shared" si="44"/>
        <v>120</v>
      </c>
      <c r="U143" s="18">
        <f t="shared" si="43"/>
        <v>0.72199999999999998</v>
      </c>
      <c r="V143" s="140">
        <v>0</v>
      </c>
      <c r="W143" s="154">
        <f t="shared" si="45"/>
        <v>10.5</v>
      </c>
      <c r="X143" s="55">
        <f t="shared" si="46"/>
        <v>9.7780000000000005</v>
      </c>
      <c r="Y143" s="168"/>
      <c r="Z143" s="148"/>
    </row>
    <row r="144" spans="1:26" s="1" customFormat="1" ht="22.5" x14ac:dyDescent="0.2">
      <c r="A144" s="200">
        <v>94</v>
      </c>
      <c r="B144" s="32" t="s">
        <v>173</v>
      </c>
      <c r="C144" s="6" t="s">
        <v>24</v>
      </c>
      <c r="D144" s="35">
        <v>1.88</v>
      </c>
      <c r="E144" s="6">
        <f>E145+E146</f>
        <v>1.78</v>
      </c>
      <c r="F144" s="6">
        <v>120</v>
      </c>
      <c r="G144" s="6">
        <f t="shared" si="41"/>
        <v>9.9999999999999867E-2</v>
      </c>
      <c r="H144" s="6">
        <v>0</v>
      </c>
      <c r="I144" s="6">
        <f t="shared" si="49"/>
        <v>10.5</v>
      </c>
      <c r="J144" s="6">
        <f t="shared" si="42"/>
        <v>10.4</v>
      </c>
      <c r="K144" s="201">
        <f>MIN(J144:J146)</f>
        <v>10.4</v>
      </c>
      <c r="L144" s="197" t="str">
        <f>IF(K144&lt;0,"закрыт","открыт")</f>
        <v>открыт</v>
      </c>
      <c r="M144" s="48"/>
      <c r="N144" s="200">
        <v>94</v>
      </c>
      <c r="O144" s="33" t="s">
        <v>173</v>
      </c>
      <c r="P144" s="140" t="s">
        <v>24</v>
      </c>
      <c r="Q144" s="18">
        <f>Q146+Q145</f>
        <v>0.10300000000000001</v>
      </c>
      <c r="R144" s="18">
        <f>R145+R146</f>
        <v>1.9829999999999999</v>
      </c>
      <c r="S144" s="154">
        <f t="shared" si="44"/>
        <v>1.78</v>
      </c>
      <c r="T144" s="42">
        <f t="shared" si="44"/>
        <v>120</v>
      </c>
      <c r="U144" s="18">
        <f t="shared" si="43"/>
        <v>0.20299999999999985</v>
      </c>
      <c r="V144" s="140">
        <v>0</v>
      </c>
      <c r="W144" s="154">
        <f t="shared" si="45"/>
        <v>10.5</v>
      </c>
      <c r="X144" s="55">
        <f t="shared" si="46"/>
        <v>10.297000000000001</v>
      </c>
      <c r="Y144" s="166">
        <f>X144</f>
        <v>10.297000000000001</v>
      </c>
      <c r="Z144" s="139" t="str">
        <f>IF(Y144&lt;0,"закрыт","открыт")</f>
        <v>открыт</v>
      </c>
    </row>
    <row r="145" spans="1:26" s="1" customFormat="1" ht="11.25" x14ac:dyDescent="0.2">
      <c r="A145" s="200"/>
      <c r="B145" s="32" t="s">
        <v>60</v>
      </c>
      <c r="C145" s="6" t="s">
        <v>24</v>
      </c>
      <c r="D145" s="35">
        <v>0.44</v>
      </c>
      <c r="E145" s="6">
        <v>0.34</v>
      </c>
      <c r="F145" s="6">
        <v>120</v>
      </c>
      <c r="G145" s="6">
        <f t="shared" si="41"/>
        <v>9.9999999999999978E-2</v>
      </c>
      <c r="H145" s="6">
        <v>0</v>
      </c>
      <c r="I145" s="6">
        <f t="shared" si="49"/>
        <v>10.5</v>
      </c>
      <c r="J145" s="6">
        <f t="shared" si="42"/>
        <v>10.4</v>
      </c>
      <c r="K145" s="201"/>
      <c r="L145" s="197"/>
      <c r="M145" s="48"/>
      <c r="N145" s="200"/>
      <c r="O145" s="33" t="s">
        <v>60</v>
      </c>
      <c r="P145" s="140" t="s">
        <v>24</v>
      </c>
      <c r="Q145" s="18">
        <f>Q159+Q42</f>
        <v>2E-3</v>
      </c>
      <c r="R145" s="18">
        <f t="shared" ref="R145:R162" si="50">Q145+D145</f>
        <v>0.442</v>
      </c>
      <c r="S145" s="154">
        <f t="shared" si="44"/>
        <v>0.34</v>
      </c>
      <c r="T145" s="42">
        <f t="shared" si="44"/>
        <v>120</v>
      </c>
      <c r="U145" s="18">
        <f t="shared" si="43"/>
        <v>0.10199999999999998</v>
      </c>
      <c r="V145" s="140">
        <v>0</v>
      </c>
      <c r="W145" s="154">
        <f t="shared" si="45"/>
        <v>10.5</v>
      </c>
      <c r="X145" s="55">
        <f t="shared" si="46"/>
        <v>10.398</v>
      </c>
      <c r="Y145" s="167"/>
      <c r="Z145" s="147"/>
    </row>
    <row r="146" spans="1:26" s="1" customFormat="1" ht="11.25" x14ac:dyDescent="0.2">
      <c r="A146" s="200"/>
      <c r="B146" s="32" t="s">
        <v>61</v>
      </c>
      <c r="C146" s="6" t="s">
        <v>24</v>
      </c>
      <c r="D146" s="35">
        <v>1.44</v>
      </c>
      <c r="E146" s="6">
        <v>1.44</v>
      </c>
      <c r="F146" s="6">
        <v>120</v>
      </c>
      <c r="G146" s="6">
        <f t="shared" si="41"/>
        <v>0</v>
      </c>
      <c r="H146" s="6">
        <v>0</v>
      </c>
      <c r="I146" s="6">
        <f t="shared" si="49"/>
        <v>10.5</v>
      </c>
      <c r="J146" s="6">
        <f t="shared" si="42"/>
        <v>10.5</v>
      </c>
      <c r="K146" s="201"/>
      <c r="L146" s="197"/>
      <c r="M146" s="48"/>
      <c r="N146" s="200"/>
      <c r="O146" s="33" t="s">
        <v>61</v>
      </c>
      <c r="P146" s="140" t="s">
        <v>24</v>
      </c>
      <c r="Q146" s="18">
        <v>0.10100000000000001</v>
      </c>
      <c r="R146" s="18">
        <f t="shared" si="50"/>
        <v>1.5409999999999999</v>
      </c>
      <c r="S146" s="154">
        <f t="shared" si="44"/>
        <v>1.44</v>
      </c>
      <c r="T146" s="42">
        <f t="shared" si="44"/>
        <v>120</v>
      </c>
      <c r="U146" s="18">
        <f t="shared" si="43"/>
        <v>0.10099999999999998</v>
      </c>
      <c r="V146" s="140">
        <v>0</v>
      </c>
      <c r="W146" s="154">
        <f t="shared" si="45"/>
        <v>10.5</v>
      </c>
      <c r="X146" s="55">
        <f t="shared" si="46"/>
        <v>10.399000000000001</v>
      </c>
      <c r="Y146" s="168"/>
      <c r="Z146" s="148"/>
    </row>
    <row r="147" spans="1:26" s="1" customFormat="1" ht="11.25" x14ac:dyDescent="0.2">
      <c r="A147" s="5">
        <v>95</v>
      </c>
      <c r="B147" s="32" t="s">
        <v>174</v>
      </c>
      <c r="C147" s="6" t="s">
        <v>111</v>
      </c>
      <c r="D147" s="35">
        <v>0.34</v>
      </c>
      <c r="E147" s="6">
        <v>0.48</v>
      </c>
      <c r="F147" s="6">
        <v>120</v>
      </c>
      <c r="G147" s="6">
        <f t="shared" si="41"/>
        <v>-0.13999999999999996</v>
      </c>
      <c r="H147" s="6">
        <v>0</v>
      </c>
      <c r="I147" s="6">
        <f>1.8*1.05</f>
        <v>1.8900000000000001</v>
      </c>
      <c r="J147" s="6">
        <f t="shared" si="42"/>
        <v>2.0300000000000002</v>
      </c>
      <c r="K147" s="6">
        <f>J147</f>
        <v>2.0300000000000002</v>
      </c>
      <c r="L147" s="7" t="str">
        <f>IF(K147&lt;0,"закрыт","открыт")</f>
        <v>открыт</v>
      </c>
      <c r="M147" s="48"/>
      <c r="N147" s="5">
        <v>95</v>
      </c>
      <c r="O147" s="33" t="s">
        <v>174</v>
      </c>
      <c r="P147" s="140" t="s">
        <v>111</v>
      </c>
      <c r="Q147" s="18">
        <v>4.0000000000000001E-3</v>
      </c>
      <c r="R147" s="18">
        <f t="shared" si="50"/>
        <v>0.34400000000000003</v>
      </c>
      <c r="S147" s="154">
        <f t="shared" si="44"/>
        <v>0.48</v>
      </c>
      <c r="T147" s="42">
        <f t="shared" si="44"/>
        <v>120</v>
      </c>
      <c r="U147" s="18">
        <f t="shared" si="43"/>
        <v>-0.13599999999999995</v>
      </c>
      <c r="V147" s="140">
        <v>0</v>
      </c>
      <c r="W147" s="154">
        <f t="shared" si="45"/>
        <v>1.8900000000000001</v>
      </c>
      <c r="X147" s="55">
        <f t="shared" si="46"/>
        <v>2.0260000000000002</v>
      </c>
      <c r="Y147" s="56">
        <f t="shared" si="47"/>
        <v>2.0260000000000002</v>
      </c>
      <c r="Z147" s="31" t="str">
        <f t="shared" si="48"/>
        <v>открыт</v>
      </c>
    </row>
    <row r="148" spans="1:26" s="1" customFormat="1" ht="11.25" x14ac:dyDescent="0.2">
      <c r="A148" s="5">
        <v>96</v>
      </c>
      <c r="B148" s="32" t="s">
        <v>175</v>
      </c>
      <c r="C148" s="6" t="s">
        <v>176</v>
      </c>
      <c r="D148" s="35">
        <v>0.14000000000000001</v>
      </c>
      <c r="E148" s="6">
        <v>0.59</v>
      </c>
      <c r="F148" s="6">
        <v>120</v>
      </c>
      <c r="G148" s="6">
        <f t="shared" si="41"/>
        <v>-0.44999999999999996</v>
      </c>
      <c r="H148" s="6">
        <v>0</v>
      </c>
      <c r="I148" s="6">
        <f>1*1.05</f>
        <v>1.05</v>
      </c>
      <c r="J148" s="6">
        <f t="shared" si="42"/>
        <v>1.5</v>
      </c>
      <c r="K148" s="6">
        <f t="shared" ref="K148:K162" si="51">J148</f>
        <v>1.5</v>
      </c>
      <c r="L148" s="7" t="str">
        <f t="shared" ref="L148:L163" si="52">IF(K148&lt;0,"закрыт","открыт")</f>
        <v>открыт</v>
      </c>
      <c r="M148" s="48"/>
      <c r="N148" s="5">
        <v>96</v>
      </c>
      <c r="O148" s="33" t="s">
        <v>175</v>
      </c>
      <c r="P148" s="140" t="s">
        <v>176</v>
      </c>
      <c r="Q148" s="18">
        <v>3.5999999999999997E-2</v>
      </c>
      <c r="R148" s="18">
        <f t="shared" si="50"/>
        <v>0.17600000000000002</v>
      </c>
      <c r="S148" s="154">
        <f t="shared" si="44"/>
        <v>0.59</v>
      </c>
      <c r="T148" s="42">
        <f t="shared" si="44"/>
        <v>120</v>
      </c>
      <c r="U148" s="18">
        <f t="shared" si="43"/>
        <v>-0.41399999999999992</v>
      </c>
      <c r="V148" s="140">
        <v>0</v>
      </c>
      <c r="W148" s="154">
        <f t="shared" si="45"/>
        <v>1.05</v>
      </c>
      <c r="X148" s="55">
        <f t="shared" si="46"/>
        <v>1.464</v>
      </c>
      <c r="Y148" s="56">
        <f t="shared" si="47"/>
        <v>1.464</v>
      </c>
      <c r="Z148" s="31" t="str">
        <f t="shared" si="48"/>
        <v>открыт</v>
      </c>
    </row>
    <row r="149" spans="1:26" s="1" customFormat="1" ht="11.25" x14ac:dyDescent="0.2">
      <c r="A149" s="5">
        <v>97</v>
      </c>
      <c r="B149" s="32" t="s">
        <v>177</v>
      </c>
      <c r="C149" s="6" t="s">
        <v>31</v>
      </c>
      <c r="D149" s="35">
        <v>0.52</v>
      </c>
      <c r="E149" s="6">
        <v>0</v>
      </c>
      <c r="F149" s="6"/>
      <c r="G149" s="6">
        <f t="shared" si="41"/>
        <v>0.52</v>
      </c>
      <c r="H149" s="6">
        <v>0</v>
      </c>
      <c r="I149" s="6">
        <f>1.6*1.05</f>
        <v>1.6800000000000002</v>
      </c>
      <c r="J149" s="6">
        <f t="shared" si="42"/>
        <v>1.1600000000000001</v>
      </c>
      <c r="K149" s="6">
        <f t="shared" si="51"/>
        <v>1.1600000000000001</v>
      </c>
      <c r="L149" s="7" t="str">
        <f t="shared" si="52"/>
        <v>открыт</v>
      </c>
      <c r="M149" s="48"/>
      <c r="N149" s="5">
        <v>97</v>
      </c>
      <c r="O149" s="33" t="s">
        <v>177</v>
      </c>
      <c r="P149" s="140" t="s">
        <v>31</v>
      </c>
      <c r="Q149" s="18">
        <v>1.7999999999999999E-2</v>
      </c>
      <c r="R149" s="18">
        <f t="shared" si="50"/>
        <v>0.53800000000000003</v>
      </c>
      <c r="S149" s="154">
        <f t="shared" si="44"/>
        <v>0</v>
      </c>
      <c r="T149" s="42"/>
      <c r="U149" s="18">
        <f t="shared" si="43"/>
        <v>0.53800000000000003</v>
      </c>
      <c r="V149" s="140">
        <v>0</v>
      </c>
      <c r="W149" s="154">
        <f t="shared" si="45"/>
        <v>1.6800000000000002</v>
      </c>
      <c r="X149" s="55">
        <f t="shared" si="46"/>
        <v>1.1420000000000001</v>
      </c>
      <c r="Y149" s="56">
        <f t="shared" si="47"/>
        <v>1.1420000000000001</v>
      </c>
      <c r="Z149" s="31" t="str">
        <f t="shared" si="48"/>
        <v>открыт</v>
      </c>
    </row>
    <row r="150" spans="1:26" s="1" customFormat="1" ht="11.25" x14ac:dyDescent="0.2">
      <c r="A150" s="5">
        <v>98</v>
      </c>
      <c r="B150" s="32" t="s">
        <v>178</v>
      </c>
      <c r="C150" s="6" t="s">
        <v>179</v>
      </c>
      <c r="D150" s="35">
        <v>0.28000000000000003</v>
      </c>
      <c r="E150" s="6">
        <v>0.24</v>
      </c>
      <c r="F150" s="6">
        <v>120</v>
      </c>
      <c r="G150" s="6">
        <f t="shared" si="41"/>
        <v>4.0000000000000036E-2</v>
      </c>
      <c r="H150" s="6">
        <v>0</v>
      </c>
      <c r="I150" s="6">
        <f>1*1.05</f>
        <v>1.05</v>
      </c>
      <c r="J150" s="6">
        <f t="shared" si="42"/>
        <v>1.01</v>
      </c>
      <c r="K150" s="6">
        <f t="shared" si="51"/>
        <v>1.01</v>
      </c>
      <c r="L150" s="7" t="str">
        <f t="shared" si="52"/>
        <v>открыт</v>
      </c>
      <c r="M150" s="48"/>
      <c r="N150" s="5">
        <v>98</v>
      </c>
      <c r="O150" s="33" t="s">
        <v>178</v>
      </c>
      <c r="P150" s="140" t="s">
        <v>179</v>
      </c>
      <c r="Q150" s="18">
        <v>0</v>
      </c>
      <c r="R150" s="41">
        <f t="shared" si="50"/>
        <v>0.28000000000000003</v>
      </c>
      <c r="S150" s="154">
        <f t="shared" si="44"/>
        <v>0.24</v>
      </c>
      <c r="T150" s="42">
        <f t="shared" si="44"/>
        <v>120</v>
      </c>
      <c r="U150" s="18">
        <f t="shared" si="43"/>
        <v>4.0000000000000036E-2</v>
      </c>
      <c r="V150" s="140">
        <v>0</v>
      </c>
      <c r="W150" s="154">
        <f t="shared" si="45"/>
        <v>1.05</v>
      </c>
      <c r="X150" s="55">
        <f t="shared" si="46"/>
        <v>1.01</v>
      </c>
      <c r="Y150" s="56">
        <f t="shared" si="47"/>
        <v>1.01</v>
      </c>
      <c r="Z150" s="31" t="str">
        <f t="shared" si="48"/>
        <v>открыт</v>
      </c>
    </row>
    <row r="151" spans="1:26" s="1" customFormat="1" ht="11.25" x14ac:dyDescent="0.2">
      <c r="A151" s="5">
        <v>99</v>
      </c>
      <c r="B151" s="32" t="s">
        <v>180</v>
      </c>
      <c r="C151" s="6" t="s">
        <v>25</v>
      </c>
      <c r="D151" s="35">
        <v>0.48</v>
      </c>
      <c r="E151" s="6">
        <v>0</v>
      </c>
      <c r="F151" s="6" t="s">
        <v>99</v>
      </c>
      <c r="G151" s="6">
        <f t="shared" si="41"/>
        <v>0.48</v>
      </c>
      <c r="H151" s="6">
        <v>0</v>
      </c>
      <c r="I151" s="2">
        <f>2.5*1.05</f>
        <v>2.625</v>
      </c>
      <c r="J151" s="2">
        <f t="shared" si="42"/>
        <v>2.145</v>
      </c>
      <c r="K151" s="2">
        <f t="shared" si="51"/>
        <v>2.145</v>
      </c>
      <c r="L151" s="7" t="str">
        <f t="shared" si="52"/>
        <v>открыт</v>
      </c>
      <c r="M151" s="48"/>
      <c r="N151" s="5">
        <v>99</v>
      </c>
      <c r="O151" s="33" t="s">
        <v>180</v>
      </c>
      <c r="P151" s="140" t="s">
        <v>25</v>
      </c>
      <c r="Q151" s="18">
        <v>0</v>
      </c>
      <c r="R151" s="41">
        <f t="shared" si="50"/>
        <v>0.48</v>
      </c>
      <c r="S151" s="154">
        <f t="shared" si="44"/>
        <v>0</v>
      </c>
      <c r="T151" s="42"/>
      <c r="U151" s="18">
        <f t="shared" si="43"/>
        <v>0.48</v>
      </c>
      <c r="V151" s="140">
        <v>0</v>
      </c>
      <c r="W151" s="154">
        <f t="shared" si="45"/>
        <v>2.625</v>
      </c>
      <c r="X151" s="55">
        <f t="shared" si="46"/>
        <v>2.145</v>
      </c>
      <c r="Y151" s="56">
        <f t="shared" si="47"/>
        <v>2.145</v>
      </c>
      <c r="Z151" s="31" t="str">
        <f t="shared" si="48"/>
        <v>открыт</v>
      </c>
    </row>
    <row r="152" spans="1:26" s="1" customFormat="1" ht="11.25" x14ac:dyDescent="0.2">
      <c r="A152" s="5">
        <v>100</v>
      </c>
      <c r="B152" s="32" t="s">
        <v>181</v>
      </c>
      <c r="C152" s="6" t="s">
        <v>37</v>
      </c>
      <c r="D152" s="35">
        <v>0.96</v>
      </c>
      <c r="E152" s="6">
        <v>0.63</v>
      </c>
      <c r="F152" s="6">
        <v>120</v>
      </c>
      <c r="G152" s="6">
        <f t="shared" si="41"/>
        <v>0.32999999999999996</v>
      </c>
      <c r="H152" s="6"/>
      <c r="I152" s="2">
        <f>2.5*1.05</f>
        <v>2.625</v>
      </c>
      <c r="J152" s="2">
        <f t="shared" si="42"/>
        <v>2.2949999999999999</v>
      </c>
      <c r="K152" s="2">
        <f t="shared" si="51"/>
        <v>2.2949999999999999</v>
      </c>
      <c r="L152" s="7" t="str">
        <f t="shared" si="52"/>
        <v>открыт</v>
      </c>
      <c r="M152" s="48"/>
      <c r="N152" s="5">
        <v>100</v>
      </c>
      <c r="O152" s="33" t="s">
        <v>181</v>
      </c>
      <c r="P152" s="140" t="s">
        <v>37</v>
      </c>
      <c r="Q152" s="18">
        <v>0.251</v>
      </c>
      <c r="R152" s="41">
        <f t="shared" si="50"/>
        <v>1.2109999999999999</v>
      </c>
      <c r="S152" s="154">
        <f t="shared" si="44"/>
        <v>0.63</v>
      </c>
      <c r="T152" s="42">
        <f t="shared" si="44"/>
        <v>120</v>
      </c>
      <c r="U152" s="18">
        <f t="shared" si="43"/>
        <v>0.58099999999999985</v>
      </c>
      <c r="V152" s="140">
        <v>0</v>
      </c>
      <c r="W152" s="154">
        <f t="shared" si="45"/>
        <v>2.625</v>
      </c>
      <c r="X152" s="55">
        <f t="shared" si="46"/>
        <v>2.044</v>
      </c>
      <c r="Y152" s="56">
        <f t="shared" si="47"/>
        <v>2.044</v>
      </c>
      <c r="Z152" s="31" t="str">
        <f t="shared" si="48"/>
        <v>открыт</v>
      </c>
    </row>
    <row r="153" spans="1:26" s="1" customFormat="1" ht="11.25" x14ac:dyDescent="0.2">
      <c r="A153" s="5">
        <v>101</v>
      </c>
      <c r="B153" s="32" t="s">
        <v>182</v>
      </c>
      <c r="C153" s="6" t="s">
        <v>26</v>
      </c>
      <c r="D153" s="35">
        <v>0.2</v>
      </c>
      <c r="E153" s="6">
        <v>0.47</v>
      </c>
      <c r="F153" s="6">
        <v>120</v>
      </c>
      <c r="G153" s="6">
        <f t="shared" si="41"/>
        <v>-0.26999999999999996</v>
      </c>
      <c r="H153" s="6">
        <v>0</v>
      </c>
      <c r="I153" s="6">
        <f>1.6*1.05</f>
        <v>1.6800000000000002</v>
      </c>
      <c r="J153" s="6">
        <f t="shared" si="42"/>
        <v>1.9500000000000002</v>
      </c>
      <c r="K153" s="6">
        <f t="shared" si="51"/>
        <v>1.9500000000000002</v>
      </c>
      <c r="L153" s="7" t="str">
        <f t="shared" si="52"/>
        <v>открыт</v>
      </c>
      <c r="M153" s="48"/>
      <c r="N153" s="5">
        <v>101</v>
      </c>
      <c r="O153" s="33" t="s">
        <v>182</v>
      </c>
      <c r="P153" s="140" t="s">
        <v>26</v>
      </c>
      <c r="Q153" s="18">
        <v>4.0000000000000001E-3</v>
      </c>
      <c r="R153" s="41">
        <f t="shared" si="50"/>
        <v>0.20400000000000001</v>
      </c>
      <c r="S153" s="154">
        <f t="shared" si="44"/>
        <v>0.47</v>
      </c>
      <c r="T153" s="42">
        <f t="shared" si="44"/>
        <v>120</v>
      </c>
      <c r="U153" s="18">
        <f t="shared" si="43"/>
        <v>-0.26599999999999996</v>
      </c>
      <c r="V153" s="140">
        <v>0</v>
      </c>
      <c r="W153" s="154">
        <f t="shared" si="45"/>
        <v>1.6800000000000002</v>
      </c>
      <c r="X153" s="55">
        <f t="shared" si="46"/>
        <v>1.9460000000000002</v>
      </c>
      <c r="Y153" s="56">
        <f t="shared" si="47"/>
        <v>1.9460000000000002</v>
      </c>
      <c r="Z153" s="31" t="str">
        <f t="shared" si="48"/>
        <v>открыт</v>
      </c>
    </row>
    <row r="154" spans="1:26" s="1" customFormat="1" ht="11.25" x14ac:dyDescent="0.2">
      <c r="A154" s="5">
        <v>102</v>
      </c>
      <c r="B154" s="32" t="s">
        <v>183</v>
      </c>
      <c r="C154" s="6" t="s">
        <v>25</v>
      </c>
      <c r="D154" s="35">
        <v>0.23</v>
      </c>
      <c r="E154" s="6">
        <v>0</v>
      </c>
      <c r="F154" s="6" t="s">
        <v>99</v>
      </c>
      <c r="G154" s="6">
        <f t="shared" si="41"/>
        <v>0.23</v>
      </c>
      <c r="H154" s="6">
        <v>0</v>
      </c>
      <c r="I154" s="2">
        <f t="shared" ref="I154:I161" si="53">2.5*1.05</f>
        <v>2.625</v>
      </c>
      <c r="J154" s="2">
        <f t="shared" si="42"/>
        <v>2.395</v>
      </c>
      <c r="K154" s="2">
        <f t="shared" si="51"/>
        <v>2.395</v>
      </c>
      <c r="L154" s="7" t="str">
        <f t="shared" si="52"/>
        <v>открыт</v>
      </c>
      <c r="M154" s="48"/>
      <c r="N154" s="5">
        <v>102</v>
      </c>
      <c r="O154" s="33" t="s">
        <v>183</v>
      </c>
      <c r="P154" s="140" t="s">
        <v>25</v>
      </c>
      <c r="Q154" s="18">
        <v>7.0000000000000001E-3</v>
      </c>
      <c r="R154" s="41">
        <f t="shared" si="50"/>
        <v>0.23700000000000002</v>
      </c>
      <c r="S154" s="154">
        <f t="shared" si="44"/>
        <v>0</v>
      </c>
      <c r="T154" s="42"/>
      <c r="U154" s="18">
        <f t="shared" si="43"/>
        <v>0.23700000000000002</v>
      </c>
      <c r="V154" s="140">
        <v>0</v>
      </c>
      <c r="W154" s="154">
        <f t="shared" si="45"/>
        <v>2.625</v>
      </c>
      <c r="X154" s="55">
        <f t="shared" si="46"/>
        <v>2.3879999999999999</v>
      </c>
      <c r="Y154" s="56">
        <f t="shared" si="47"/>
        <v>2.3879999999999999</v>
      </c>
      <c r="Z154" s="31" t="str">
        <f t="shared" si="48"/>
        <v>открыт</v>
      </c>
    </row>
    <row r="155" spans="1:26" s="1" customFormat="1" ht="22.5" x14ac:dyDescent="0.2">
      <c r="A155" s="5">
        <v>103</v>
      </c>
      <c r="B155" s="32" t="s">
        <v>184</v>
      </c>
      <c r="C155" s="6" t="s">
        <v>25</v>
      </c>
      <c r="D155" s="35">
        <v>0.74</v>
      </c>
      <c r="E155" s="6">
        <v>0.67</v>
      </c>
      <c r="F155" s="6">
        <v>120</v>
      </c>
      <c r="G155" s="6">
        <f t="shared" si="41"/>
        <v>6.9999999999999951E-2</v>
      </c>
      <c r="H155" s="6">
        <v>0</v>
      </c>
      <c r="I155" s="2">
        <f t="shared" si="53"/>
        <v>2.625</v>
      </c>
      <c r="J155" s="2">
        <f t="shared" si="42"/>
        <v>2.5550000000000002</v>
      </c>
      <c r="K155" s="2">
        <f t="shared" si="51"/>
        <v>2.5550000000000002</v>
      </c>
      <c r="L155" s="7" t="str">
        <f t="shared" si="52"/>
        <v>открыт</v>
      </c>
      <c r="M155" s="48"/>
      <c r="N155" s="5">
        <v>103</v>
      </c>
      <c r="O155" s="33" t="s">
        <v>184</v>
      </c>
      <c r="P155" s="140" t="s">
        <v>25</v>
      </c>
      <c r="Q155" s="18">
        <v>3.7999999999999999E-2</v>
      </c>
      <c r="R155" s="41">
        <f t="shared" si="50"/>
        <v>0.77800000000000002</v>
      </c>
      <c r="S155" s="154">
        <f t="shared" si="44"/>
        <v>0.67</v>
      </c>
      <c r="T155" s="42">
        <f t="shared" si="44"/>
        <v>120</v>
      </c>
      <c r="U155" s="18">
        <f t="shared" si="43"/>
        <v>0.10799999999999998</v>
      </c>
      <c r="V155" s="140">
        <v>0</v>
      </c>
      <c r="W155" s="154">
        <f t="shared" si="45"/>
        <v>2.625</v>
      </c>
      <c r="X155" s="55">
        <f t="shared" si="46"/>
        <v>2.5169999999999999</v>
      </c>
      <c r="Y155" s="56">
        <f t="shared" si="47"/>
        <v>2.5169999999999999</v>
      </c>
      <c r="Z155" s="31" t="str">
        <f t="shared" si="48"/>
        <v>открыт</v>
      </c>
    </row>
    <row r="156" spans="1:26" s="1" customFormat="1" ht="11.25" x14ac:dyDescent="0.2">
      <c r="A156" s="5">
        <v>104</v>
      </c>
      <c r="B156" s="32" t="s">
        <v>185</v>
      </c>
      <c r="C156" s="6" t="s">
        <v>26</v>
      </c>
      <c r="D156" s="35">
        <v>0.74</v>
      </c>
      <c r="E156" s="6">
        <v>0.37</v>
      </c>
      <c r="F156" s="6">
        <v>120</v>
      </c>
      <c r="G156" s="6">
        <f t="shared" si="41"/>
        <v>0.37</v>
      </c>
      <c r="H156" s="6">
        <v>0</v>
      </c>
      <c r="I156" s="6">
        <f>1.6*1.05</f>
        <v>1.6800000000000002</v>
      </c>
      <c r="J156" s="6">
        <f t="shared" si="42"/>
        <v>1.31</v>
      </c>
      <c r="K156" s="6">
        <f t="shared" si="51"/>
        <v>1.31</v>
      </c>
      <c r="L156" s="7" t="str">
        <f t="shared" si="52"/>
        <v>открыт</v>
      </c>
      <c r="M156" s="48"/>
      <c r="N156" s="5">
        <v>104</v>
      </c>
      <c r="O156" s="33" t="s">
        <v>185</v>
      </c>
      <c r="P156" s="140" t="s">
        <v>26</v>
      </c>
      <c r="Q156" s="18">
        <v>2.9000000000000001E-2</v>
      </c>
      <c r="R156" s="41">
        <f t="shared" si="50"/>
        <v>0.76900000000000002</v>
      </c>
      <c r="S156" s="154">
        <f t="shared" si="44"/>
        <v>0.37</v>
      </c>
      <c r="T156" s="42">
        <f t="shared" si="44"/>
        <v>120</v>
      </c>
      <c r="U156" s="18">
        <f t="shared" si="43"/>
        <v>0.39900000000000002</v>
      </c>
      <c r="V156" s="140">
        <v>0</v>
      </c>
      <c r="W156" s="154">
        <f t="shared" si="45"/>
        <v>1.6800000000000002</v>
      </c>
      <c r="X156" s="55">
        <f t="shared" si="46"/>
        <v>1.2810000000000001</v>
      </c>
      <c r="Y156" s="56">
        <f t="shared" si="47"/>
        <v>1.2810000000000001</v>
      </c>
      <c r="Z156" s="31" t="str">
        <f t="shared" si="48"/>
        <v>открыт</v>
      </c>
    </row>
    <row r="157" spans="1:26" s="1" customFormat="1" ht="11.25" x14ac:dyDescent="0.2">
      <c r="A157" s="5">
        <v>105</v>
      </c>
      <c r="B157" s="32" t="s">
        <v>186</v>
      </c>
      <c r="C157" s="6" t="s">
        <v>25</v>
      </c>
      <c r="D157" s="35">
        <v>0.62</v>
      </c>
      <c r="E157" s="6">
        <v>0.69</v>
      </c>
      <c r="F157" s="6">
        <v>120</v>
      </c>
      <c r="G157" s="6">
        <f t="shared" si="41"/>
        <v>-6.9999999999999951E-2</v>
      </c>
      <c r="H157" s="6">
        <v>0</v>
      </c>
      <c r="I157" s="2">
        <f t="shared" si="53"/>
        <v>2.625</v>
      </c>
      <c r="J157" s="2">
        <f t="shared" si="42"/>
        <v>2.6949999999999998</v>
      </c>
      <c r="K157" s="2">
        <f t="shared" si="51"/>
        <v>2.6949999999999998</v>
      </c>
      <c r="L157" s="7" t="str">
        <f t="shared" si="52"/>
        <v>открыт</v>
      </c>
      <c r="M157" s="48"/>
      <c r="N157" s="5">
        <v>105</v>
      </c>
      <c r="O157" s="33" t="s">
        <v>186</v>
      </c>
      <c r="P157" s="140" t="s">
        <v>25</v>
      </c>
      <c r="Q157" s="18">
        <v>0.1</v>
      </c>
      <c r="R157" s="18">
        <f t="shared" si="50"/>
        <v>0.72</v>
      </c>
      <c r="S157" s="154">
        <f t="shared" si="44"/>
        <v>0.69</v>
      </c>
      <c r="T157" s="42">
        <f t="shared" si="44"/>
        <v>120</v>
      </c>
      <c r="U157" s="18">
        <f t="shared" si="43"/>
        <v>3.0000000000000027E-2</v>
      </c>
      <c r="V157" s="140">
        <v>0</v>
      </c>
      <c r="W157" s="154">
        <f t="shared" si="45"/>
        <v>2.625</v>
      </c>
      <c r="X157" s="55">
        <f t="shared" si="46"/>
        <v>2.5949999999999998</v>
      </c>
      <c r="Y157" s="56">
        <f t="shared" si="47"/>
        <v>2.5949999999999998</v>
      </c>
      <c r="Z157" s="31" t="str">
        <f t="shared" si="48"/>
        <v>открыт</v>
      </c>
    </row>
    <row r="158" spans="1:26" s="1" customFormat="1" ht="11.25" x14ac:dyDescent="0.2">
      <c r="A158" s="5">
        <v>106</v>
      </c>
      <c r="B158" s="32" t="s">
        <v>187</v>
      </c>
      <c r="C158" s="6" t="s">
        <v>26</v>
      </c>
      <c r="D158" s="35">
        <v>0.4</v>
      </c>
      <c r="E158" s="6">
        <v>0</v>
      </c>
      <c r="F158" s="6" t="s">
        <v>99</v>
      </c>
      <c r="G158" s="6">
        <f t="shared" ref="G158:G189" si="54">D158-E158</f>
        <v>0.4</v>
      </c>
      <c r="H158" s="6">
        <v>0</v>
      </c>
      <c r="I158" s="6">
        <f>1.6*1.05</f>
        <v>1.6800000000000002</v>
      </c>
      <c r="J158" s="6">
        <f t="shared" si="42"/>
        <v>1.2800000000000002</v>
      </c>
      <c r="K158" s="6">
        <f t="shared" si="51"/>
        <v>1.2800000000000002</v>
      </c>
      <c r="L158" s="7" t="str">
        <f t="shared" si="52"/>
        <v>открыт</v>
      </c>
      <c r="M158" s="48"/>
      <c r="N158" s="5">
        <v>106</v>
      </c>
      <c r="O158" s="33" t="s">
        <v>187</v>
      </c>
      <c r="P158" s="140" t="s">
        <v>26</v>
      </c>
      <c r="Q158" s="18">
        <v>4.4999999999999998E-2</v>
      </c>
      <c r="R158" s="18">
        <f t="shared" si="50"/>
        <v>0.44500000000000001</v>
      </c>
      <c r="S158" s="154">
        <f t="shared" si="44"/>
        <v>0</v>
      </c>
      <c r="T158" s="42"/>
      <c r="U158" s="18">
        <f t="shared" si="43"/>
        <v>0.44500000000000001</v>
      </c>
      <c r="V158" s="140">
        <v>0</v>
      </c>
      <c r="W158" s="154">
        <f t="shared" si="45"/>
        <v>1.6800000000000002</v>
      </c>
      <c r="X158" s="55">
        <f t="shared" si="46"/>
        <v>1.2350000000000001</v>
      </c>
      <c r="Y158" s="56">
        <f t="shared" si="47"/>
        <v>1.2350000000000001</v>
      </c>
      <c r="Z158" s="31" t="str">
        <f t="shared" si="48"/>
        <v>открыт</v>
      </c>
    </row>
    <row r="159" spans="1:26" s="1" customFormat="1" ht="11.25" x14ac:dyDescent="0.2">
      <c r="A159" s="5">
        <v>107</v>
      </c>
      <c r="B159" s="32" t="s">
        <v>188</v>
      </c>
      <c r="C159" s="6" t="s">
        <v>189</v>
      </c>
      <c r="D159" s="35">
        <v>0.19</v>
      </c>
      <c r="E159" s="6">
        <v>0.25</v>
      </c>
      <c r="F159" s="6">
        <v>120</v>
      </c>
      <c r="G159" s="6">
        <f t="shared" si="54"/>
        <v>-0.06</v>
      </c>
      <c r="H159" s="6">
        <v>0</v>
      </c>
      <c r="I159" s="6">
        <f>1*1.05</f>
        <v>1.05</v>
      </c>
      <c r="J159" s="6">
        <f t="shared" si="42"/>
        <v>1.1100000000000001</v>
      </c>
      <c r="K159" s="6">
        <f t="shared" si="51"/>
        <v>1.1100000000000001</v>
      </c>
      <c r="L159" s="7" t="str">
        <f t="shared" si="52"/>
        <v>открыт</v>
      </c>
      <c r="M159" s="48"/>
      <c r="N159" s="5">
        <v>107</v>
      </c>
      <c r="O159" s="33" t="s">
        <v>188</v>
      </c>
      <c r="P159" s="140" t="s">
        <v>189</v>
      </c>
      <c r="Q159" s="18">
        <v>0</v>
      </c>
      <c r="R159" s="18">
        <f t="shared" si="50"/>
        <v>0.19</v>
      </c>
      <c r="S159" s="154">
        <f t="shared" si="44"/>
        <v>0.25</v>
      </c>
      <c r="T159" s="42">
        <f t="shared" si="44"/>
        <v>120</v>
      </c>
      <c r="U159" s="18">
        <f t="shared" si="43"/>
        <v>-0.06</v>
      </c>
      <c r="V159" s="140">
        <v>0</v>
      </c>
      <c r="W159" s="154">
        <f t="shared" si="45"/>
        <v>1.05</v>
      </c>
      <c r="X159" s="55">
        <f t="shared" si="46"/>
        <v>1.1100000000000001</v>
      </c>
      <c r="Y159" s="56">
        <f t="shared" si="47"/>
        <v>1.1100000000000001</v>
      </c>
      <c r="Z159" s="31" t="str">
        <f t="shared" si="48"/>
        <v>открыт</v>
      </c>
    </row>
    <row r="160" spans="1:26" s="1" customFormat="1" ht="11.25" x14ac:dyDescent="0.2">
      <c r="A160" s="5">
        <v>108</v>
      </c>
      <c r="B160" s="32" t="s">
        <v>190</v>
      </c>
      <c r="C160" s="6" t="s">
        <v>37</v>
      </c>
      <c r="D160" s="35">
        <v>0.86</v>
      </c>
      <c r="E160" s="6">
        <v>0.69</v>
      </c>
      <c r="F160" s="6">
        <v>120</v>
      </c>
      <c r="G160" s="6">
        <f t="shared" si="54"/>
        <v>0.17000000000000004</v>
      </c>
      <c r="H160" s="6">
        <v>0</v>
      </c>
      <c r="I160" s="2">
        <f t="shared" si="53"/>
        <v>2.625</v>
      </c>
      <c r="J160" s="2">
        <f t="shared" si="42"/>
        <v>2.4550000000000001</v>
      </c>
      <c r="K160" s="2">
        <f t="shared" si="51"/>
        <v>2.4550000000000001</v>
      </c>
      <c r="L160" s="7" t="str">
        <f t="shared" si="52"/>
        <v>открыт</v>
      </c>
      <c r="M160" s="48"/>
      <c r="N160" s="5">
        <v>108</v>
      </c>
      <c r="O160" s="33" t="s">
        <v>190</v>
      </c>
      <c r="P160" s="140" t="s">
        <v>37</v>
      </c>
      <c r="Q160" s="18">
        <v>0.36399999999999999</v>
      </c>
      <c r="R160" s="18">
        <f t="shared" si="50"/>
        <v>1.224</v>
      </c>
      <c r="S160" s="154">
        <f t="shared" si="44"/>
        <v>0.69</v>
      </c>
      <c r="T160" s="42">
        <f t="shared" si="44"/>
        <v>120</v>
      </c>
      <c r="U160" s="18">
        <f t="shared" si="43"/>
        <v>0.53400000000000003</v>
      </c>
      <c r="V160" s="140">
        <v>0</v>
      </c>
      <c r="W160" s="154">
        <f t="shared" si="45"/>
        <v>2.625</v>
      </c>
      <c r="X160" s="55">
        <f t="shared" si="46"/>
        <v>2.0910000000000002</v>
      </c>
      <c r="Y160" s="56">
        <f t="shared" si="47"/>
        <v>2.0910000000000002</v>
      </c>
      <c r="Z160" s="31" t="str">
        <f t="shared" si="48"/>
        <v>открыт</v>
      </c>
    </row>
    <row r="161" spans="1:26" s="1" customFormat="1" ht="11.25" x14ac:dyDescent="0.2">
      <c r="A161" s="5">
        <v>109</v>
      </c>
      <c r="B161" s="32" t="s">
        <v>191</v>
      </c>
      <c r="C161" s="6" t="s">
        <v>34</v>
      </c>
      <c r="D161" s="35">
        <v>0.87</v>
      </c>
      <c r="E161" s="6">
        <v>0.76</v>
      </c>
      <c r="F161" s="6">
        <v>120</v>
      </c>
      <c r="G161" s="6">
        <f t="shared" si="54"/>
        <v>0.10999999999999999</v>
      </c>
      <c r="H161" s="6">
        <v>0</v>
      </c>
      <c r="I161" s="2">
        <f t="shared" si="53"/>
        <v>2.625</v>
      </c>
      <c r="J161" s="2">
        <f t="shared" si="42"/>
        <v>2.5150000000000001</v>
      </c>
      <c r="K161" s="2">
        <f t="shared" si="51"/>
        <v>2.5150000000000001</v>
      </c>
      <c r="L161" s="7" t="str">
        <f t="shared" si="52"/>
        <v>открыт</v>
      </c>
      <c r="M161" s="48"/>
      <c r="N161" s="5">
        <v>109</v>
      </c>
      <c r="O161" s="33" t="s">
        <v>191</v>
      </c>
      <c r="P161" s="140" t="s">
        <v>34</v>
      </c>
      <c r="Q161" s="18">
        <v>5.2999999999999999E-2</v>
      </c>
      <c r="R161" s="18">
        <f t="shared" si="50"/>
        <v>0.92300000000000004</v>
      </c>
      <c r="S161" s="154">
        <f t="shared" si="44"/>
        <v>0.76</v>
      </c>
      <c r="T161" s="42">
        <f t="shared" si="44"/>
        <v>120</v>
      </c>
      <c r="U161" s="18">
        <f t="shared" si="43"/>
        <v>0.16300000000000003</v>
      </c>
      <c r="V161" s="140">
        <v>0</v>
      </c>
      <c r="W161" s="154">
        <f t="shared" si="45"/>
        <v>2.625</v>
      </c>
      <c r="X161" s="55">
        <f t="shared" si="46"/>
        <v>2.4619999999999997</v>
      </c>
      <c r="Y161" s="56">
        <f t="shared" si="47"/>
        <v>2.4619999999999997</v>
      </c>
      <c r="Z161" s="31" t="str">
        <f t="shared" si="48"/>
        <v>открыт</v>
      </c>
    </row>
    <row r="162" spans="1:26" s="1" customFormat="1" ht="11.25" x14ac:dyDescent="0.2">
      <c r="A162" s="5">
        <v>110</v>
      </c>
      <c r="B162" s="32" t="s">
        <v>192</v>
      </c>
      <c r="C162" s="6" t="s">
        <v>26</v>
      </c>
      <c r="D162" s="35">
        <v>0.17</v>
      </c>
      <c r="E162" s="6">
        <v>0</v>
      </c>
      <c r="F162" s="6" t="s">
        <v>99</v>
      </c>
      <c r="G162" s="6">
        <f t="shared" si="54"/>
        <v>0.17</v>
      </c>
      <c r="H162" s="6">
        <v>0</v>
      </c>
      <c r="I162" s="6">
        <f>1.6*1.05</f>
        <v>1.6800000000000002</v>
      </c>
      <c r="J162" s="6">
        <f t="shared" si="42"/>
        <v>1.5100000000000002</v>
      </c>
      <c r="K162" s="6">
        <f t="shared" si="51"/>
        <v>1.5100000000000002</v>
      </c>
      <c r="L162" s="7" t="str">
        <f t="shared" si="52"/>
        <v>открыт</v>
      </c>
      <c r="M162" s="48"/>
      <c r="N162" s="5">
        <v>110</v>
      </c>
      <c r="O162" s="33" t="s">
        <v>192</v>
      </c>
      <c r="P162" s="140" t="s">
        <v>26</v>
      </c>
      <c r="Q162" s="18">
        <v>1.2999999999999999E-2</v>
      </c>
      <c r="R162" s="18">
        <f t="shared" si="50"/>
        <v>0.18300000000000002</v>
      </c>
      <c r="S162" s="154">
        <f t="shared" si="44"/>
        <v>0</v>
      </c>
      <c r="T162" s="42"/>
      <c r="U162" s="18">
        <f t="shared" si="43"/>
        <v>0.18300000000000002</v>
      </c>
      <c r="V162" s="140">
        <v>0</v>
      </c>
      <c r="W162" s="154">
        <f t="shared" si="45"/>
        <v>1.6800000000000002</v>
      </c>
      <c r="X162" s="55">
        <f t="shared" si="46"/>
        <v>1.4970000000000001</v>
      </c>
      <c r="Y162" s="56">
        <f t="shared" si="47"/>
        <v>1.4970000000000001</v>
      </c>
      <c r="Z162" s="31" t="str">
        <f t="shared" si="48"/>
        <v>открыт</v>
      </c>
    </row>
    <row r="163" spans="1:26" s="1" customFormat="1" ht="22.5" x14ac:dyDescent="0.2">
      <c r="A163" s="200">
        <v>111</v>
      </c>
      <c r="B163" s="32" t="s">
        <v>193</v>
      </c>
      <c r="C163" s="6" t="s">
        <v>38</v>
      </c>
      <c r="D163" s="6">
        <v>7.13</v>
      </c>
      <c r="E163" s="6">
        <f>E164+E165</f>
        <v>3.65</v>
      </c>
      <c r="F163" s="6">
        <v>120</v>
      </c>
      <c r="G163" s="6">
        <f t="shared" si="54"/>
        <v>3.48</v>
      </c>
      <c r="H163" s="6">
        <v>0</v>
      </c>
      <c r="I163" s="6">
        <f>10*1.05</f>
        <v>10.5</v>
      </c>
      <c r="J163" s="6">
        <f t="shared" si="42"/>
        <v>7.02</v>
      </c>
      <c r="K163" s="201">
        <f>MIN(J163:J165)</f>
        <v>7.02</v>
      </c>
      <c r="L163" s="197" t="str">
        <f t="shared" si="52"/>
        <v>открыт</v>
      </c>
      <c r="M163" s="48"/>
      <c r="N163" s="200">
        <v>111</v>
      </c>
      <c r="O163" s="33" t="s">
        <v>193</v>
      </c>
      <c r="P163" s="140" t="s">
        <v>38</v>
      </c>
      <c r="Q163" s="18">
        <f>Q164+Q165</f>
        <v>0.38499999999999995</v>
      </c>
      <c r="R163" s="18">
        <f>R164+R165</f>
        <v>7.5150000000000006</v>
      </c>
      <c r="S163" s="154">
        <f t="shared" si="44"/>
        <v>3.65</v>
      </c>
      <c r="T163" s="42">
        <f t="shared" si="44"/>
        <v>120</v>
      </c>
      <c r="U163" s="18">
        <f t="shared" si="43"/>
        <v>3.8650000000000007</v>
      </c>
      <c r="V163" s="140">
        <v>0</v>
      </c>
      <c r="W163" s="154">
        <f t="shared" si="45"/>
        <v>10.5</v>
      </c>
      <c r="X163" s="55">
        <f t="shared" si="46"/>
        <v>6.6349999999999998</v>
      </c>
      <c r="Y163" s="166">
        <f t="shared" si="47"/>
        <v>6.6349999999999998</v>
      </c>
      <c r="Z163" s="139" t="str">
        <f t="shared" si="48"/>
        <v>открыт</v>
      </c>
    </row>
    <row r="164" spans="1:26" s="1" customFormat="1" ht="11.25" x14ac:dyDescent="0.2">
      <c r="A164" s="200"/>
      <c r="B164" s="32" t="s">
        <v>60</v>
      </c>
      <c r="C164" s="6" t="s">
        <v>38</v>
      </c>
      <c r="D164" s="6">
        <v>2.58</v>
      </c>
      <c r="E164" s="6">
        <v>2.0499999999999998</v>
      </c>
      <c r="F164" s="6">
        <v>120</v>
      </c>
      <c r="G164" s="6">
        <f t="shared" si="54"/>
        <v>0.53000000000000025</v>
      </c>
      <c r="H164" s="6">
        <v>0</v>
      </c>
      <c r="I164" s="6">
        <f>10*1.05</f>
        <v>10.5</v>
      </c>
      <c r="J164" s="6">
        <f t="shared" si="42"/>
        <v>9.9699999999999989</v>
      </c>
      <c r="K164" s="201"/>
      <c r="L164" s="197"/>
      <c r="M164" s="48"/>
      <c r="N164" s="200"/>
      <c r="O164" s="33" t="s">
        <v>60</v>
      </c>
      <c r="P164" s="140" t="s">
        <v>38</v>
      </c>
      <c r="Q164" s="136">
        <f>Q204+Q208</f>
        <v>0.32599999999999996</v>
      </c>
      <c r="R164" s="18">
        <f>Q164+D164</f>
        <v>2.9060000000000001</v>
      </c>
      <c r="S164" s="154">
        <f t="shared" si="44"/>
        <v>2.0499999999999998</v>
      </c>
      <c r="T164" s="42">
        <f t="shared" si="44"/>
        <v>120</v>
      </c>
      <c r="U164" s="18">
        <f t="shared" si="43"/>
        <v>0.85600000000000032</v>
      </c>
      <c r="V164" s="140">
        <v>0</v>
      </c>
      <c r="W164" s="154">
        <f t="shared" si="45"/>
        <v>10.5</v>
      </c>
      <c r="X164" s="55">
        <f t="shared" si="46"/>
        <v>9.6440000000000001</v>
      </c>
      <c r="Y164" s="167"/>
      <c r="Z164" s="147"/>
    </row>
    <row r="165" spans="1:26" s="1" customFormat="1" ht="11.25" x14ac:dyDescent="0.2">
      <c r="A165" s="200"/>
      <c r="B165" s="32" t="s">
        <v>61</v>
      </c>
      <c r="C165" s="6" t="s">
        <v>38</v>
      </c>
      <c r="D165" s="6">
        <v>4.55</v>
      </c>
      <c r="E165" s="6">
        <v>1.6</v>
      </c>
      <c r="F165" s="6">
        <v>120</v>
      </c>
      <c r="G165" s="6">
        <f t="shared" si="54"/>
        <v>2.9499999999999997</v>
      </c>
      <c r="H165" s="6">
        <v>0</v>
      </c>
      <c r="I165" s="6">
        <f>10*1.05</f>
        <v>10.5</v>
      </c>
      <c r="J165" s="6">
        <f t="shared" si="42"/>
        <v>7.5500000000000007</v>
      </c>
      <c r="K165" s="201"/>
      <c r="L165" s="197"/>
      <c r="M165" s="48"/>
      <c r="N165" s="200"/>
      <c r="O165" s="33" t="s">
        <v>61</v>
      </c>
      <c r="P165" s="140" t="s">
        <v>38</v>
      </c>
      <c r="Q165" s="18">
        <v>5.8999999999999997E-2</v>
      </c>
      <c r="R165" s="18">
        <f>Q165+D165</f>
        <v>4.609</v>
      </c>
      <c r="S165" s="154">
        <f t="shared" ref="S165:T208" si="55">E165</f>
        <v>1.6</v>
      </c>
      <c r="T165" s="42">
        <f t="shared" si="55"/>
        <v>120</v>
      </c>
      <c r="U165" s="18">
        <f t="shared" si="43"/>
        <v>3.0089999999999999</v>
      </c>
      <c r="V165" s="140">
        <v>0</v>
      </c>
      <c r="W165" s="154">
        <f t="shared" si="45"/>
        <v>10.5</v>
      </c>
      <c r="X165" s="55">
        <f t="shared" si="46"/>
        <v>7.4909999999999997</v>
      </c>
      <c r="Y165" s="168"/>
      <c r="Z165" s="148"/>
    </row>
    <row r="166" spans="1:26" s="1" customFormat="1" ht="22.5" x14ac:dyDescent="0.2">
      <c r="A166" s="200">
        <v>112</v>
      </c>
      <c r="B166" s="32" t="s">
        <v>194</v>
      </c>
      <c r="C166" s="6" t="s">
        <v>35</v>
      </c>
      <c r="D166" s="6">
        <v>4.51</v>
      </c>
      <c r="E166" s="6">
        <f>E167+E168</f>
        <v>0.3</v>
      </c>
      <c r="F166" s="6" t="s">
        <v>99</v>
      </c>
      <c r="G166" s="6">
        <f t="shared" si="54"/>
        <v>4.21</v>
      </c>
      <c r="H166" s="6">
        <v>0</v>
      </c>
      <c r="I166" s="6">
        <f>40*1.05</f>
        <v>42</v>
      </c>
      <c r="J166" s="6">
        <f t="shared" si="42"/>
        <v>37.79</v>
      </c>
      <c r="K166" s="201">
        <f>MIN(J166:J168)</f>
        <v>37.79</v>
      </c>
      <c r="L166" s="197" t="str">
        <f>IF(K166&lt;0,"закрыт","открыт")</f>
        <v>открыт</v>
      </c>
      <c r="M166" s="48"/>
      <c r="N166" s="200">
        <v>112</v>
      </c>
      <c r="O166" s="33" t="s">
        <v>194</v>
      </c>
      <c r="P166" s="140" t="s">
        <v>35</v>
      </c>
      <c r="Q166" s="18">
        <f>Q167+Q168</f>
        <v>4.9000000000000002E-2</v>
      </c>
      <c r="R166" s="18">
        <f>R167+R168</f>
        <v>4.5589999999999993</v>
      </c>
      <c r="S166" s="154">
        <f t="shared" si="55"/>
        <v>0.3</v>
      </c>
      <c r="T166" s="42"/>
      <c r="U166" s="18">
        <f t="shared" si="43"/>
        <v>4.2589999999999995</v>
      </c>
      <c r="V166" s="140">
        <v>0</v>
      </c>
      <c r="W166" s="154">
        <f t="shared" si="45"/>
        <v>42</v>
      </c>
      <c r="X166" s="55">
        <f t="shared" si="46"/>
        <v>37.741</v>
      </c>
      <c r="Y166" s="166">
        <f>X166</f>
        <v>37.741</v>
      </c>
      <c r="Z166" s="139" t="str">
        <f>IF(Y166&lt;0,"закрыт","открыт")</f>
        <v>открыт</v>
      </c>
    </row>
    <row r="167" spans="1:26" s="1" customFormat="1" ht="11.25" x14ac:dyDescent="0.2">
      <c r="A167" s="200"/>
      <c r="B167" s="32" t="s">
        <v>60</v>
      </c>
      <c r="C167" s="6" t="s">
        <v>35</v>
      </c>
      <c r="D167" s="6">
        <v>0.49</v>
      </c>
      <c r="E167" s="6">
        <v>0.3</v>
      </c>
      <c r="F167" s="6" t="s">
        <v>99</v>
      </c>
      <c r="G167" s="6">
        <f t="shared" si="54"/>
        <v>0.19</v>
      </c>
      <c r="H167" s="6">
        <v>0</v>
      </c>
      <c r="I167" s="6">
        <f>40*1.05</f>
        <v>42</v>
      </c>
      <c r="J167" s="6">
        <f t="shared" si="42"/>
        <v>41.81</v>
      </c>
      <c r="K167" s="201"/>
      <c r="L167" s="197"/>
      <c r="M167" s="48"/>
      <c r="N167" s="200"/>
      <c r="O167" s="33" t="s">
        <v>60</v>
      </c>
      <c r="P167" s="140" t="s">
        <v>35</v>
      </c>
      <c r="Q167" s="136">
        <f>Q199</f>
        <v>4.9000000000000002E-2</v>
      </c>
      <c r="R167" s="18">
        <f>Q167+D167</f>
        <v>0.53900000000000003</v>
      </c>
      <c r="S167" s="154">
        <f t="shared" si="55"/>
        <v>0.3</v>
      </c>
      <c r="T167" s="42"/>
      <c r="U167" s="18">
        <f t="shared" si="43"/>
        <v>0.23900000000000005</v>
      </c>
      <c r="V167" s="140">
        <v>0</v>
      </c>
      <c r="W167" s="154">
        <f t="shared" si="45"/>
        <v>42</v>
      </c>
      <c r="X167" s="55">
        <f t="shared" si="46"/>
        <v>41.761000000000003</v>
      </c>
      <c r="Y167" s="167"/>
      <c r="Z167" s="147"/>
    </row>
    <row r="168" spans="1:26" s="1" customFormat="1" ht="11.25" x14ac:dyDescent="0.2">
      <c r="A168" s="200"/>
      <c r="B168" s="32" t="s">
        <v>61</v>
      </c>
      <c r="C168" s="6" t="s">
        <v>35</v>
      </c>
      <c r="D168" s="6">
        <v>4.0199999999999996</v>
      </c>
      <c r="E168" s="6">
        <v>0</v>
      </c>
      <c r="F168" s="6" t="s">
        <v>99</v>
      </c>
      <c r="G168" s="6">
        <f t="shared" si="54"/>
        <v>4.0199999999999996</v>
      </c>
      <c r="H168" s="6">
        <v>0</v>
      </c>
      <c r="I168" s="6">
        <f>40*1.05</f>
        <v>42</v>
      </c>
      <c r="J168" s="6">
        <f t="shared" si="42"/>
        <v>37.980000000000004</v>
      </c>
      <c r="K168" s="201"/>
      <c r="L168" s="197"/>
      <c r="M168" s="48"/>
      <c r="N168" s="200"/>
      <c r="O168" s="33" t="s">
        <v>61</v>
      </c>
      <c r="P168" s="140" t="s">
        <v>35</v>
      </c>
      <c r="Q168" s="18">
        <v>0</v>
      </c>
      <c r="R168" s="18">
        <f>Q168+D168</f>
        <v>4.0199999999999996</v>
      </c>
      <c r="S168" s="154">
        <f t="shared" si="55"/>
        <v>0</v>
      </c>
      <c r="T168" s="42"/>
      <c r="U168" s="18">
        <f t="shared" si="43"/>
        <v>4.0199999999999996</v>
      </c>
      <c r="V168" s="140">
        <v>0</v>
      </c>
      <c r="W168" s="154">
        <f t="shared" si="45"/>
        <v>42</v>
      </c>
      <c r="X168" s="55">
        <f t="shared" si="46"/>
        <v>37.980000000000004</v>
      </c>
      <c r="Y168" s="168"/>
      <c r="Z168" s="148"/>
    </row>
    <row r="169" spans="1:26" s="1" customFormat="1" ht="11.25" x14ac:dyDescent="0.2">
      <c r="A169" s="200">
        <v>113</v>
      </c>
      <c r="B169" s="32" t="s">
        <v>195</v>
      </c>
      <c r="C169" s="6" t="s">
        <v>38</v>
      </c>
      <c r="D169" s="6">
        <v>4.99</v>
      </c>
      <c r="E169" s="6">
        <v>3.38</v>
      </c>
      <c r="F169" s="6">
        <v>120</v>
      </c>
      <c r="G169" s="6">
        <f t="shared" si="54"/>
        <v>1.6100000000000003</v>
      </c>
      <c r="H169" s="6">
        <v>0</v>
      </c>
      <c r="I169" s="6">
        <f>10*1.05</f>
        <v>10.5</v>
      </c>
      <c r="J169" s="6">
        <f t="shared" si="42"/>
        <v>8.89</v>
      </c>
      <c r="K169" s="201">
        <f>MIN(J169:J171)</f>
        <v>8.89</v>
      </c>
      <c r="L169" s="197" t="str">
        <f>IF(K169&lt;0,"закрыт","открыт")</f>
        <v>открыт</v>
      </c>
      <c r="M169" s="48"/>
      <c r="N169" s="200">
        <v>113</v>
      </c>
      <c r="O169" s="33" t="s">
        <v>195</v>
      </c>
      <c r="P169" s="140" t="s">
        <v>38</v>
      </c>
      <c r="Q169" s="18">
        <f>Q170+Q171</f>
        <v>0.56399999999999995</v>
      </c>
      <c r="R169" s="18">
        <f>R170+R171</f>
        <v>5.5540000000000003</v>
      </c>
      <c r="S169" s="154">
        <f t="shared" si="55"/>
        <v>3.38</v>
      </c>
      <c r="T169" s="42">
        <f t="shared" si="55"/>
        <v>120</v>
      </c>
      <c r="U169" s="18">
        <f t="shared" si="43"/>
        <v>2.1740000000000004</v>
      </c>
      <c r="V169" s="140">
        <v>0</v>
      </c>
      <c r="W169" s="154">
        <f t="shared" si="45"/>
        <v>10.5</v>
      </c>
      <c r="X169" s="55">
        <f t="shared" si="46"/>
        <v>8.3260000000000005</v>
      </c>
      <c r="Y169" s="166">
        <f>X171</f>
        <v>8.4809999999999999</v>
      </c>
      <c r="Z169" s="139" t="str">
        <f>IF(Y169&lt;0,"закрыт","открыт")</f>
        <v>открыт</v>
      </c>
    </row>
    <row r="170" spans="1:26" s="1" customFormat="1" ht="11.25" x14ac:dyDescent="0.2">
      <c r="A170" s="200"/>
      <c r="B170" s="32" t="s">
        <v>60</v>
      </c>
      <c r="C170" s="6" t="s">
        <v>38</v>
      </c>
      <c r="D170" s="6">
        <v>2.4500000000000002</v>
      </c>
      <c r="E170" s="6">
        <v>2.38</v>
      </c>
      <c r="F170" s="6">
        <v>120</v>
      </c>
      <c r="G170" s="6">
        <f t="shared" si="54"/>
        <v>7.0000000000000284E-2</v>
      </c>
      <c r="H170" s="6">
        <v>0</v>
      </c>
      <c r="I170" s="6">
        <f>10*1.05</f>
        <v>10.5</v>
      </c>
      <c r="J170" s="6">
        <f t="shared" si="42"/>
        <v>10.43</v>
      </c>
      <c r="K170" s="201"/>
      <c r="L170" s="197"/>
      <c r="M170" s="48"/>
      <c r="N170" s="200"/>
      <c r="O170" s="33" t="s">
        <v>60</v>
      </c>
      <c r="P170" s="140" t="s">
        <v>38</v>
      </c>
      <c r="Q170" s="136">
        <f>Q207+Q190+Q59</f>
        <v>8.5000000000000006E-2</v>
      </c>
      <c r="R170" s="18">
        <f>Q170+D170</f>
        <v>2.5350000000000001</v>
      </c>
      <c r="S170" s="154">
        <f t="shared" si="55"/>
        <v>2.38</v>
      </c>
      <c r="T170" s="42">
        <f t="shared" si="55"/>
        <v>120</v>
      </c>
      <c r="U170" s="18">
        <f t="shared" si="43"/>
        <v>0.15500000000000025</v>
      </c>
      <c r="V170" s="140">
        <v>0</v>
      </c>
      <c r="W170" s="154">
        <f t="shared" si="45"/>
        <v>10.5</v>
      </c>
      <c r="X170" s="55">
        <f t="shared" si="46"/>
        <v>10.344999999999999</v>
      </c>
      <c r="Y170" s="167"/>
      <c r="Z170" s="147"/>
    </row>
    <row r="171" spans="1:26" s="1" customFormat="1" ht="11.25" x14ac:dyDescent="0.2">
      <c r="A171" s="200"/>
      <c r="B171" s="32" t="s">
        <v>61</v>
      </c>
      <c r="C171" s="6" t="s">
        <v>38</v>
      </c>
      <c r="D171" s="6">
        <v>2.54</v>
      </c>
      <c r="E171" s="6">
        <v>1</v>
      </c>
      <c r="F171" s="6">
        <v>120</v>
      </c>
      <c r="G171" s="6">
        <f t="shared" si="54"/>
        <v>1.54</v>
      </c>
      <c r="H171" s="6">
        <v>0</v>
      </c>
      <c r="I171" s="6">
        <f t="shared" ref="I171:I185" si="56">10*1.05</f>
        <v>10.5</v>
      </c>
      <c r="J171" s="6">
        <f t="shared" si="42"/>
        <v>8.9600000000000009</v>
      </c>
      <c r="K171" s="201"/>
      <c r="L171" s="197"/>
      <c r="M171" s="48"/>
      <c r="N171" s="200"/>
      <c r="O171" s="33" t="s">
        <v>61</v>
      </c>
      <c r="P171" s="140" t="s">
        <v>38</v>
      </c>
      <c r="Q171" s="18">
        <v>0.47899999999999998</v>
      </c>
      <c r="R171" s="18">
        <f>Q171+D171</f>
        <v>3.0190000000000001</v>
      </c>
      <c r="S171" s="154">
        <f t="shared" si="55"/>
        <v>1</v>
      </c>
      <c r="T171" s="42">
        <f t="shared" si="55"/>
        <v>120</v>
      </c>
      <c r="U171" s="18">
        <f t="shared" si="43"/>
        <v>2.0190000000000001</v>
      </c>
      <c r="V171" s="140">
        <v>0</v>
      </c>
      <c r="W171" s="154">
        <f t="shared" si="45"/>
        <v>10.5</v>
      </c>
      <c r="X171" s="55">
        <f t="shared" si="46"/>
        <v>8.4809999999999999</v>
      </c>
      <c r="Y171" s="168"/>
      <c r="Z171" s="148"/>
    </row>
    <row r="172" spans="1:26" s="1" customFormat="1" ht="22.5" x14ac:dyDescent="0.2">
      <c r="A172" s="200">
        <v>114</v>
      </c>
      <c r="B172" s="32" t="s">
        <v>196</v>
      </c>
      <c r="C172" s="6" t="s">
        <v>36</v>
      </c>
      <c r="D172" s="6">
        <v>4</v>
      </c>
      <c r="E172" s="6">
        <f>E173+E174</f>
        <v>2.79</v>
      </c>
      <c r="F172" s="6">
        <v>120</v>
      </c>
      <c r="G172" s="6">
        <f t="shared" si="54"/>
        <v>1.21</v>
      </c>
      <c r="H172" s="6">
        <v>0</v>
      </c>
      <c r="I172" s="6">
        <f t="shared" si="56"/>
        <v>10.5</v>
      </c>
      <c r="J172" s="6">
        <f t="shared" si="42"/>
        <v>9.2899999999999991</v>
      </c>
      <c r="K172" s="201">
        <f>MIN(J172:J174)</f>
        <v>9.15</v>
      </c>
      <c r="L172" s="197" t="str">
        <f>IF(K172&lt;0,"закрыт","открыт")</f>
        <v>открыт</v>
      </c>
      <c r="M172" s="48"/>
      <c r="N172" s="200">
        <v>114</v>
      </c>
      <c r="O172" s="33" t="s">
        <v>196</v>
      </c>
      <c r="P172" s="140" t="s">
        <v>36</v>
      </c>
      <c r="Q172" s="18">
        <f>Q173+Q174</f>
        <v>1.407</v>
      </c>
      <c r="R172" s="18">
        <f>R173+R174</f>
        <v>5.407</v>
      </c>
      <c r="S172" s="154">
        <f t="shared" si="55"/>
        <v>2.79</v>
      </c>
      <c r="T172" s="42">
        <f t="shared" si="55"/>
        <v>120</v>
      </c>
      <c r="U172" s="18">
        <f t="shared" si="43"/>
        <v>2.617</v>
      </c>
      <c r="V172" s="140">
        <v>0</v>
      </c>
      <c r="W172" s="154">
        <f t="shared" si="45"/>
        <v>10.5</v>
      </c>
      <c r="X172" s="55">
        <f t="shared" si="46"/>
        <v>7.883</v>
      </c>
      <c r="Y172" s="166">
        <f>X174</f>
        <v>7.9670000000000005</v>
      </c>
      <c r="Z172" s="139" t="str">
        <f>IF(Y172&lt;0,"закрыт","открыт")</f>
        <v>открыт</v>
      </c>
    </row>
    <row r="173" spans="1:26" s="1" customFormat="1" ht="11.25" x14ac:dyDescent="0.2">
      <c r="A173" s="200"/>
      <c r="B173" s="32" t="s">
        <v>60</v>
      </c>
      <c r="C173" s="6" t="s">
        <v>36</v>
      </c>
      <c r="D173" s="6">
        <v>2.3199999999999998</v>
      </c>
      <c r="E173" s="6">
        <v>2.46</v>
      </c>
      <c r="F173" s="6">
        <v>120</v>
      </c>
      <c r="G173" s="6">
        <f t="shared" si="54"/>
        <v>-0.14000000000000012</v>
      </c>
      <c r="H173" s="6">
        <v>0</v>
      </c>
      <c r="I173" s="6">
        <f t="shared" si="56"/>
        <v>10.5</v>
      </c>
      <c r="J173" s="6">
        <f t="shared" si="42"/>
        <v>10.64</v>
      </c>
      <c r="K173" s="201"/>
      <c r="L173" s="197"/>
      <c r="M173" s="48"/>
      <c r="N173" s="200"/>
      <c r="O173" s="33" t="s">
        <v>60</v>
      </c>
      <c r="P173" s="140" t="s">
        <v>36</v>
      </c>
      <c r="Q173" s="137">
        <f>Q193+Q197+Q60+Q55+Q205</f>
        <v>0.22399999999999998</v>
      </c>
      <c r="R173" s="18">
        <f>Q173+D173</f>
        <v>2.5439999999999996</v>
      </c>
      <c r="S173" s="154">
        <f t="shared" si="55"/>
        <v>2.46</v>
      </c>
      <c r="T173" s="42">
        <f t="shared" si="55"/>
        <v>120</v>
      </c>
      <c r="U173" s="18">
        <f t="shared" si="43"/>
        <v>8.3999999999999631E-2</v>
      </c>
      <c r="V173" s="140">
        <v>0</v>
      </c>
      <c r="W173" s="154">
        <f t="shared" si="45"/>
        <v>10.5</v>
      </c>
      <c r="X173" s="55">
        <f t="shared" si="46"/>
        <v>10.416</v>
      </c>
      <c r="Y173" s="167"/>
      <c r="Z173" s="147"/>
    </row>
    <row r="174" spans="1:26" s="1" customFormat="1" ht="11.25" x14ac:dyDescent="0.2">
      <c r="A174" s="200"/>
      <c r="B174" s="32" t="s">
        <v>61</v>
      </c>
      <c r="C174" s="6" t="s">
        <v>36</v>
      </c>
      <c r="D174" s="6">
        <v>1.68</v>
      </c>
      <c r="E174" s="6">
        <v>0.33</v>
      </c>
      <c r="F174" s="6">
        <v>120</v>
      </c>
      <c r="G174" s="6">
        <f t="shared" si="54"/>
        <v>1.3499999999999999</v>
      </c>
      <c r="H174" s="6">
        <v>0</v>
      </c>
      <c r="I174" s="6">
        <f t="shared" si="56"/>
        <v>10.5</v>
      </c>
      <c r="J174" s="6">
        <f t="shared" si="42"/>
        <v>9.15</v>
      </c>
      <c r="K174" s="201"/>
      <c r="L174" s="197"/>
      <c r="M174" s="48"/>
      <c r="N174" s="200"/>
      <c r="O174" s="33" t="s">
        <v>61</v>
      </c>
      <c r="P174" s="140" t="s">
        <v>36</v>
      </c>
      <c r="Q174" s="18">
        <v>1.1830000000000001</v>
      </c>
      <c r="R174" s="18">
        <f>Q174+D174</f>
        <v>2.863</v>
      </c>
      <c r="S174" s="154">
        <f t="shared" si="55"/>
        <v>0.33</v>
      </c>
      <c r="T174" s="42">
        <f t="shared" si="55"/>
        <v>120</v>
      </c>
      <c r="U174" s="18">
        <f t="shared" si="43"/>
        <v>2.5329999999999999</v>
      </c>
      <c r="V174" s="140">
        <v>0</v>
      </c>
      <c r="W174" s="154">
        <f t="shared" si="45"/>
        <v>10.5</v>
      </c>
      <c r="X174" s="55">
        <f t="shared" si="46"/>
        <v>7.9670000000000005</v>
      </c>
      <c r="Y174" s="168"/>
      <c r="Z174" s="148"/>
    </row>
    <row r="175" spans="1:26" s="1" customFormat="1" ht="11.25" x14ac:dyDescent="0.2">
      <c r="A175" s="200">
        <v>115</v>
      </c>
      <c r="B175" s="32" t="s">
        <v>197</v>
      </c>
      <c r="C175" s="6" t="s">
        <v>24</v>
      </c>
      <c r="D175" s="6">
        <v>5.07</v>
      </c>
      <c r="E175" s="6">
        <f>E176+E177</f>
        <v>1.54</v>
      </c>
      <c r="F175" s="6">
        <v>120</v>
      </c>
      <c r="G175" s="6">
        <f t="shared" si="54"/>
        <v>3.5300000000000002</v>
      </c>
      <c r="H175" s="6">
        <v>0</v>
      </c>
      <c r="I175" s="6">
        <f t="shared" si="56"/>
        <v>10.5</v>
      </c>
      <c r="J175" s="6">
        <f t="shared" si="42"/>
        <v>6.97</v>
      </c>
      <c r="K175" s="201">
        <f>MIN(J175:J177)</f>
        <v>6.97</v>
      </c>
      <c r="L175" s="197" t="str">
        <f>IF(K175&lt;0,"закрыт","открыт")</f>
        <v>открыт</v>
      </c>
      <c r="M175" s="48"/>
      <c r="N175" s="200">
        <v>115</v>
      </c>
      <c r="O175" s="33" t="s">
        <v>197</v>
      </c>
      <c r="P175" s="140" t="s">
        <v>24</v>
      </c>
      <c r="Q175" s="18">
        <f>Q176+Q177</f>
        <v>0.65800000000000003</v>
      </c>
      <c r="R175" s="18">
        <f>R176+R177</f>
        <v>5.7279999999999998</v>
      </c>
      <c r="S175" s="154">
        <f t="shared" si="55"/>
        <v>1.54</v>
      </c>
      <c r="T175" s="42">
        <f t="shared" si="55"/>
        <v>120</v>
      </c>
      <c r="U175" s="18">
        <f t="shared" si="43"/>
        <v>4.1879999999999997</v>
      </c>
      <c r="V175" s="140">
        <v>0</v>
      </c>
      <c r="W175" s="154">
        <f t="shared" si="45"/>
        <v>10.5</v>
      </c>
      <c r="X175" s="55">
        <f t="shared" si="46"/>
        <v>6.3120000000000003</v>
      </c>
      <c r="Y175" s="166">
        <f>X175</f>
        <v>6.3120000000000003</v>
      </c>
      <c r="Z175" s="139" t="str">
        <f>IF(Y175&lt;0,"закрыт","открыт")</f>
        <v>открыт</v>
      </c>
    </row>
    <row r="176" spans="1:26" s="1" customFormat="1" ht="11.25" x14ac:dyDescent="0.2">
      <c r="A176" s="200"/>
      <c r="B176" s="32" t="s">
        <v>60</v>
      </c>
      <c r="C176" s="6" t="s">
        <v>24</v>
      </c>
      <c r="D176" s="6">
        <v>1.29</v>
      </c>
      <c r="E176" s="6">
        <v>1.29</v>
      </c>
      <c r="F176" s="6">
        <v>120</v>
      </c>
      <c r="G176" s="6">
        <f t="shared" si="54"/>
        <v>0</v>
      </c>
      <c r="H176" s="6">
        <v>0</v>
      </c>
      <c r="I176" s="6">
        <f t="shared" si="56"/>
        <v>10.5</v>
      </c>
      <c r="J176" s="6">
        <f t="shared" si="42"/>
        <v>10.5</v>
      </c>
      <c r="K176" s="201"/>
      <c r="L176" s="197"/>
      <c r="M176" s="48"/>
      <c r="N176" s="200"/>
      <c r="O176" s="33" t="s">
        <v>60</v>
      </c>
      <c r="P176" s="140" t="s">
        <v>24</v>
      </c>
      <c r="Q176" s="135">
        <f>Q201+Q56+Q58+Q53</f>
        <v>4.5999999999999999E-2</v>
      </c>
      <c r="R176" s="18">
        <f>Q176+D176</f>
        <v>1.3360000000000001</v>
      </c>
      <c r="S176" s="154">
        <f t="shared" si="55"/>
        <v>1.29</v>
      </c>
      <c r="T176" s="42">
        <f t="shared" si="55"/>
        <v>120</v>
      </c>
      <c r="U176" s="18">
        <f t="shared" si="43"/>
        <v>4.6000000000000041E-2</v>
      </c>
      <c r="V176" s="140">
        <v>0</v>
      </c>
      <c r="W176" s="154">
        <f t="shared" si="45"/>
        <v>10.5</v>
      </c>
      <c r="X176" s="55">
        <f t="shared" si="46"/>
        <v>10.454000000000001</v>
      </c>
      <c r="Y176" s="167"/>
      <c r="Z176" s="147"/>
    </row>
    <row r="177" spans="1:26" s="1" customFormat="1" ht="11.25" x14ac:dyDescent="0.2">
      <c r="A177" s="200"/>
      <c r="B177" s="32" t="s">
        <v>61</v>
      </c>
      <c r="C177" s="6" t="s">
        <v>24</v>
      </c>
      <c r="D177" s="6">
        <v>3.78</v>
      </c>
      <c r="E177" s="6">
        <v>0.25</v>
      </c>
      <c r="F177" s="6">
        <v>120</v>
      </c>
      <c r="G177" s="6">
        <f t="shared" si="54"/>
        <v>3.53</v>
      </c>
      <c r="H177" s="6">
        <v>0</v>
      </c>
      <c r="I177" s="6">
        <f t="shared" si="56"/>
        <v>10.5</v>
      </c>
      <c r="J177" s="6">
        <f t="shared" si="42"/>
        <v>6.9700000000000006</v>
      </c>
      <c r="K177" s="201"/>
      <c r="L177" s="197"/>
      <c r="M177" s="48"/>
      <c r="N177" s="200"/>
      <c r="O177" s="33" t="s">
        <v>61</v>
      </c>
      <c r="P177" s="140" t="s">
        <v>24</v>
      </c>
      <c r="Q177" s="18">
        <v>0.61199999999999999</v>
      </c>
      <c r="R177" s="18">
        <f>Q177+D177</f>
        <v>4.3919999999999995</v>
      </c>
      <c r="S177" s="154">
        <f t="shared" si="55"/>
        <v>0.25</v>
      </c>
      <c r="T177" s="42">
        <f t="shared" si="55"/>
        <v>120</v>
      </c>
      <c r="U177" s="18">
        <f t="shared" si="43"/>
        <v>4.1419999999999995</v>
      </c>
      <c r="V177" s="140">
        <v>0</v>
      </c>
      <c r="W177" s="154">
        <f t="shared" si="45"/>
        <v>10.5</v>
      </c>
      <c r="X177" s="55">
        <f t="shared" si="46"/>
        <v>6.3580000000000005</v>
      </c>
      <c r="Y177" s="168"/>
      <c r="Z177" s="148"/>
    </row>
    <row r="178" spans="1:26" s="1" customFormat="1" ht="22.5" x14ac:dyDescent="0.2">
      <c r="A178" s="200">
        <v>116</v>
      </c>
      <c r="B178" s="32" t="s">
        <v>198</v>
      </c>
      <c r="C178" s="6" t="s">
        <v>24</v>
      </c>
      <c r="D178" s="6">
        <v>5.65</v>
      </c>
      <c r="E178" s="6">
        <f>E179+E180</f>
        <v>2.84</v>
      </c>
      <c r="F178" s="6">
        <v>120</v>
      </c>
      <c r="G178" s="6">
        <f t="shared" si="54"/>
        <v>2.8100000000000005</v>
      </c>
      <c r="H178" s="6">
        <v>0</v>
      </c>
      <c r="I178" s="6">
        <f t="shared" si="56"/>
        <v>10.5</v>
      </c>
      <c r="J178" s="6">
        <f t="shared" si="42"/>
        <v>7.6899999999999995</v>
      </c>
      <c r="K178" s="201">
        <f>MIN(J178:J180)</f>
        <v>7.6899999999999995</v>
      </c>
      <c r="L178" s="197" t="str">
        <f>IF(K178&lt;0,"закрыт","открыт")</f>
        <v>открыт</v>
      </c>
      <c r="M178" s="48"/>
      <c r="N178" s="200">
        <v>116</v>
      </c>
      <c r="O178" s="33" t="s">
        <v>198</v>
      </c>
      <c r="P178" s="140" t="s">
        <v>24</v>
      </c>
      <c r="Q178" s="18">
        <f>Q179+Q180</f>
        <v>0.84899999999999998</v>
      </c>
      <c r="R178" s="18">
        <f>R179+R180</f>
        <v>6.4989999999999997</v>
      </c>
      <c r="S178" s="154">
        <f t="shared" si="55"/>
        <v>2.84</v>
      </c>
      <c r="T178" s="42">
        <f t="shared" si="55"/>
        <v>120</v>
      </c>
      <c r="U178" s="18">
        <f t="shared" si="43"/>
        <v>3.6589999999999998</v>
      </c>
      <c r="V178" s="140">
        <v>0</v>
      </c>
      <c r="W178" s="154">
        <f t="shared" si="45"/>
        <v>10.5</v>
      </c>
      <c r="X178" s="55">
        <f t="shared" si="46"/>
        <v>6.8410000000000002</v>
      </c>
      <c r="Y178" s="166">
        <f>X178</f>
        <v>6.8410000000000002</v>
      </c>
      <c r="Z178" s="139" t="str">
        <f>IF(Y178&lt;0,"закрыт","открыт")</f>
        <v>открыт</v>
      </c>
    </row>
    <row r="179" spans="1:26" s="1" customFormat="1" ht="11.25" x14ac:dyDescent="0.2">
      <c r="A179" s="200"/>
      <c r="B179" s="32" t="s">
        <v>60</v>
      </c>
      <c r="C179" s="6" t="s">
        <v>24</v>
      </c>
      <c r="D179" s="6">
        <v>2.6</v>
      </c>
      <c r="E179" s="6">
        <v>2.12</v>
      </c>
      <c r="F179" s="6">
        <v>120</v>
      </c>
      <c r="G179" s="6">
        <f t="shared" si="54"/>
        <v>0.48</v>
      </c>
      <c r="H179" s="6">
        <v>0</v>
      </c>
      <c r="I179" s="6">
        <f t="shared" si="56"/>
        <v>10.5</v>
      </c>
      <c r="J179" s="6">
        <f t="shared" si="42"/>
        <v>10.02</v>
      </c>
      <c r="K179" s="201"/>
      <c r="L179" s="197"/>
      <c r="M179" s="48"/>
      <c r="N179" s="200"/>
      <c r="O179" s="33" t="s">
        <v>60</v>
      </c>
      <c r="P179" s="140" t="s">
        <v>24</v>
      </c>
      <c r="Q179" s="136">
        <f>Q188+Q192+Q52</f>
        <v>0.23500000000000001</v>
      </c>
      <c r="R179" s="18">
        <f>Q179+D179</f>
        <v>2.835</v>
      </c>
      <c r="S179" s="154">
        <f t="shared" si="55"/>
        <v>2.12</v>
      </c>
      <c r="T179" s="42">
        <f t="shared" si="55"/>
        <v>120</v>
      </c>
      <c r="U179" s="18">
        <f t="shared" si="43"/>
        <v>0.71499999999999986</v>
      </c>
      <c r="V179" s="140">
        <v>0</v>
      </c>
      <c r="W179" s="154">
        <f t="shared" si="45"/>
        <v>10.5</v>
      </c>
      <c r="X179" s="55">
        <f t="shared" si="46"/>
        <v>9.7850000000000001</v>
      </c>
      <c r="Y179" s="167"/>
      <c r="Z179" s="147"/>
    </row>
    <row r="180" spans="1:26" s="1" customFormat="1" ht="11.25" x14ac:dyDescent="0.2">
      <c r="A180" s="200"/>
      <c r="B180" s="32" t="s">
        <v>61</v>
      </c>
      <c r="C180" s="6" t="s">
        <v>24</v>
      </c>
      <c r="D180" s="6">
        <v>3.05</v>
      </c>
      <c r="E180" s="6">
        <v>0.72</v>
      </c>
      <c r="F180" s="6">
        <v>120</v>
      </c>
      <c r="G180" s="6">
        <f t="shared" si="54"/>
        <v>2.33</v>
      </c>
      <c r="H180" s="6">
        <v>0</v>
      </c>
      <c r="I180" s="6">
        <f t="shared" si="56"/>
        <v>10.5</v>
      </c>
      <c r="J180" s="6">
        <f t="shared" si="42"/>
        <v>8.17</v>
      </c>
      <c r="K180" s="201"/>
      <c r="L180" s="197"/>
      <c r="M180" s="48"/>
      <c r="N180" s="200"/>
      <c r="O180" s="33" t="s">
        <v>61</v>
      </c>
      <c r="P180" s="140" t="s">
        <v>24</v>
      </c>
      <c r="Q180" s="18">
        <v>0.61399999999999999</v>
      </c>
      <c r="R180" s="18">
        <f>Q180+D180</f>
        <v>3.6639999999999997</v>
      </c>
      <c r="S180" s="154">
        <f t="shared" si="55"/>
        <v>0.72</v>
      </c>
      <c r="T180" s="42">
        <f t="shared" si="55"/>
        <v>120</v>
      </c>
      <c r="U180" s="18">
        <f t="shared" si="43"/>
        <v>2.944</v>
      </c>
      <c r="V180" s="140">
        <v>0</v>
      </c>
      <c r="W180" s="154">
        <f t="shared" si="45"/>
        <v>10.5</v>
      </c>
      <c r="X180" s="55">
        <f t="shared" si="46"/>
        <v>7.556</v>
      </c>
      <c r="Y180" s="168"/>
      <c r="Z180" s="148"/>
    </row>
    <row r="181" spans="1:26" s="1" customFormat="1" ht="22.5" x14ac:dyDescent="0.2">
      <c r="A181" s="200">
        <v>117</v>
      </c>
      <c r="B181" s="32" t="s">
        <v>199</v>
      </c>
      <c r="C181" s="6" t="s">
        <v>113</v>
      </c>
      <c r="D181" s="6">
        <v>25.589999999999996</v>
      </c>
      <c r="E181" s="6">
        <f>E182+E183</f>
        <v>13.39</v>
      </c>
      <c r="F181" s="6">
        <v>120</v>
      </c>
      <c r="G181" s="6">
        <f t="shared" si="54"/>
        <v>12.199999999999996</v>
      </c>
      <c r="H181" s="6">
        <v>0</v>
      </c>
      <c r="I181" s="6">
        <f>25*1.05</f>
        <v>26.25</v>
      </c>
      <c r="J181" s="6">
        <f t="shared" si="42"/>
        <v>14.050000000000004</v>
      </c>
      <c r="K181" s="201">
        <f>MIN(J181:J183)</f>
        <v>14.050000000000004</v>
      </c>
      <c r="L181" s="197" t="str">
        <f>IF(K181&lt;0,"закрыт","открыт")</f>
        <v>открыт</v>
      </c>
      <c r="M181" s="48"/>
      <c r="N181" s="200">
        <v>117</v>
      </c>
      <c r="O181" s="33" t="s">
        <v>199</v>
      </c>
      <c r="P181" s="140" t="s">
        <v>113</v>
      </c>
      <c r="Q181" s="18">
        <f>Q182+Q183</f>
        <v>0.56699999999999995</v>
      </c>
      <c r="R181" s="18">
        <f>R182+R183</f>
        <v>26.157</v>
      </c>
      <c r="S181" s="154">
        <f t="shared" si="55"/>
        <v>13.39</v>
      </c>
      <c r="T181" s="42">
        <f t="shared" si="55"/>
        <v>120</v>
      </c>
      <c r="U181" s="18">
        <f t="shared" si="43"/>
        <v>12.766999999999999</v>
      </c>
      <c r="V181" s="140">
        <v>0</v>
      </c>
      <c r="W181" s="154">
        <f t="shared" si="45"/>
        <v>26.25</v>
      </c>
      <c r="X181" s="55">
        <f t="shared" si="46"/>
        <v>13.483000000000001</v>
      </c>
      <c r="Y181" s="166">
        <f>X181</f>
        <v>13.483000000000001</v>
      </c>
      <c r="Z181" s="139" t="str">
        <f>IF(Y181&lt;0,"закрыт","открыт")</f>
        <v>открыт</v>
      </c>
    </row>
    <row r="182" spans="1:26" s="1" customFormat="1" ht="11.25" x14ac:dyDescent="0.2">
      <c r="A182" s="200"/>
      <c r="B182" s="32" t="s">
        <v>60</v>
      </c>
      <c r="C182" s="6" t="s">
        <v>113</v>
      </c>
      <c r="D182" s="6">
        <v>19.329999999999998</v>
      </c>
      <c r="E182" s="6">
        <v>10.84</v>
      </c>
      <c r="F182" s="6">
        <v>120</v>
      </c>
      <c r="G182" s="6">
        <f t="shared" si="54"/>
        <v>8.4899999999999984</v>
      </c>
      <c r="H182" s="6">
        <v>0</v>
      </c>
      <c r="I182" s="6">
        <f>25*1.05</f>
        <v>26.25</v>
      </c>
      <c r="J182" s="6">
        <f t="shared" si="42"/>
        <v>17.760000000000002</v>
      </c>
      <c r="K182" s="201"/>
      <c r="L182" s="197"/>
      <c r="M182" s="48"/>
      <c r="N182" s="200"/>
      <c r="O182" s="33" t="s">
        <v>60</v>
      </c>
      <c r="P182" s="140" t="s">
        <v>113</v>
      </c>
      <c r="Q182" s="136">
        <f>Q200+Q202+Q195+Q196+Q194+Q191+Q198+Q189+Q206+Q61</f>
        <v>0.56499999999999995</v>
      </c>
      <c r="R182" s="18">
        <f t="shared" ref="R182:R208" si="57">Q182+D182</f>
        <v>19.895</v>
      </c>
      <c r="S182" s="154">
        <f t="shared" si="55"/>
        <v>10.84</v>
      </c>
      <c r="T182" s="42">
        <f t="shared" si="55"/>
        <v>120</v>
      </c>
      <c r="U182" s="18">
        <f t="shared" si="43"/>
        <v>9.0549999999999997</v>
      </c>
      <c r="V182" s="140">
        <v>0</v>
      </c>
      <c r="W182" s="154">
        <f t="shared" si="45"/>
        <v>26.25</v>
      </c>
      <c r="X182" s="55">
        <f t="shared" si="46"/>
        <v>17.195</v>
      </c>
      <c r="Y182" s="167"/>
      <c r="Z182" s="147"/>
    </row>
    <row r="183" spans="1:26" s="1" customFormat="1" ht="11.25" x14ac:dyDescent="0.2">
      <c r="A183" s="200"/>
      <c r="B183" s="32" t="s">
        <v>61</v>
      </c>
      <c r="C183" s="6" t="s">
        <v>113</v>
      </c>
      <c r="D183" s="6">
        <v>6.26</v>
      </c>
      <c r="E183" s="6">
        <v>2.5499999999999998</v>
      </c>
      <c r="F183" s="6">
        <v>120</v>
      </c>
      <c r="G183" s="6">
        <f t="shared" si="54"/>
        <v>3.71</v>
      </c>
      <c r="H183" s="6">
        <v>0</v>
      </c>
      <c r="I183" s="6">
        <f>25*1.05</f>
        <v>26.25</v>
      </c>
      <c r="J183" s="6">
        <f t="shared" si="42"/>
        <v>22.54</v>
      </c>
      <c r="K183" s="201"/>
      <c r="L183" s="197"/>
      <c r="M183" s="48"/>
      <c r="N183" s="200"/>
      <c r="O183" s="33" t="s">
        <v>61</v>
      </c>
      <c r="P183" s="140" t="s">
        <v>113</v>
      </c>
      <c r="Q183" s="18">
        <v>2E-3</v>
      </c>
      <c r="R183" s="18">
        <f t="shared" si="57"/>
        <v>6.2619999999999996</v>
      </c>
      <c r="S183" s="154">
        <f t="shared" si="55"/>
        <v>2.5499999999999998</v>
      </c>
      <c r="T183" s="42">
        <f t="shared" si="55"/>
        <v>120</v>
      </c>
      <c r="U183" s="18">
        <f t="shared" si="43"/>
        <v>3.7119999999999997</v>
      </c>
      <c r="V183" s="140">
        <v>0</v>
      </c>
      <c r="W183" s="154">
        <f t="shared" si="45"/>
        <v>26.25</v>
      </c>
      <c r="X183" s="55">
        <f t="shared" si="46"/>
        <v>22.538</v>
      </c>
      <c r="Y183" s="168"/>
      <c r="Z183" s="148"/>
    </row>
    <row r="184" spans="1:26" s="1" customFormat="1" ht="11.25" x14ac:dyDescent="0.2">
      <c r="A184" s="5">
        <v>118</v>
      </c>
      <c r="B184" s="32" t="s">
        <v>200</v>
      </c>
      <c r="C184" s="6" t="s">
        <v>28</v>
      </c>
      <c r="D184" s="6">
        <v>9.84</v>
      </c>
      <c r="E184" s="6">
        <v>0</v>
      </c>
      <c r="F184" s="6" t="s">
        <v>99</v>
      </c>
      <c r="G184" s="6">
        <f t="shared" si="54"/>
        <v>9.84</v>
      </c>
      <c r="H184" s="6">
        <v>0</v>
      </c>
      <c r="I184" s="6">
        <f>16*1.05</f>
        <v>16.8</v>
      </c>
      <c r="J184" s="6">
        <f t="shared" si="42"/>
        <v>6.9600000000000009</v>
      </c>
      <c r="K184" s="6">
        <f>J184</f>
        <v>6.9600000000000009</v>
      </c>
      <c r="L184" s="7" t="str">
        <f>IF(K184&lt;0,"закрыт","открыт")</f>
        <v>открыт</v>
      </c>
      <c r="M184" s="48"/>
      <c r="N184" s="5">
        <v>118</v>
      </c>
      <c r="O184" s="33" t="s">
        <v>200</v>
      </c>
      <c r="P184" s="140" t="s">
        <v>28</v>
      </c>
      <c r="Q184" s="18">
        <v>1.6E-2</v>
      </c>
      <c r="R184" s="18">
        <f t="shared" si="57"/>
        <v>9.8559999999999999</v>
      </c>
      <c r="S184" s="154">
        <f t="shared" si="55"/>
        <v>0</v>
      </c>
      <c r="T184" s="42"/>
      <c r="U184" s="18">
        <f t="shared" si="43"/>
        <v>9.8559999999999999</v>
      </c>
      <c r="V184" s="140">
        <v>0</v>
      </c>
      <c r="W184" s="154">
        <f t="shared" si="45"/>
        <v>16.8</v>
      </c>
      <c r="X184" s="55">
        <f t="shared" si="46"/>
        <v>6.9440000000000008</v>
      </c>
      <c r="Y184" s="56">
        <f t="shared" si="47"/>
        <v>6.9440000000000008</v>
      </c>
      <c r="Z184" s="31" t="str">
        <f t="shared" si="48"/>
        <v>открыт</v>
      </c>
    </row>
    <row r="185" spans="1:26" s="1" customFormat="1" ht="11.25" x14ac:dyDescent="0.2">
      <c r="A185" s="5">
        <v>119</v>
      </c>
      <c r="B185" s="32" t="s">
        <v>201</v>
      </c>
      <c r="C185" s="6" t="s">
        <v>24</v>
      </c>
      <c r="D185" s="6">
        <v>5.05</v>
      </c>
      <c r="E185" s="6">
        <v>0</v>
      </c>
      <c r="F185" s="6" t="s">
        <v>99</v>
      </c>
      <c r="G185" s="6">
        <f t="shared" si="54"/>
        <v>5.05</v>
      </c>
      <c r="H185" s="6">
        <v>0</v>
      </c>
      <c r="I185" s="6">
        <f t="shared" si="56"/>
        <v>10.5</v>
      </c>
      <c r="J185" s="6">
        <f t="shared" si="42"/>
        <v>5.45</v>
      </c>
      <c r="K185" s="6">
        <f t="shared" ref="K185:K208" si="58">J185</f>
        <v>5.45</v>
      </c>
      <c r="L185" s="7" t="str">
        <f t="shared" ref="L185:L208" si="59">IF(K185&lt;0,"закрыт","открыт")</f>
        <v>открыт</v>
      </c>
      <c r="M185" s="48"/>
      <c r="N185" s="5">
        <v>119</v>
      </c>
      <c r="O185" s="33" t="s">
        <v>201</v>
      </c>
      <c r="P185" s="140" t="s">
        <v>24</v>
      </c>
      <c r="Q185" s="18">
        <v>1.4119999999999999</v>
      </c>
      <c r="R185" s="18">
        <f t="shared" si="57"/>
        <v>6.4619999999999997</v>
      </c>
      <c r="S185" s="154">
        <f t="shared" si="55"/>
        <v>0</v>
      </c>
      <c r="T185" s="42"/>
      <c r="U185" s="18">
        <f t="shared" si="43"/>
        <v>6.4619999999999997</v>
      </c>
      <c r="V185" s="140">
        <v>0</v>
      </c>
      <c r="W185" s="154">
        <f t="shared" si="45"/>
        <v>10.5</v>
      </c>
      <c r="X185" s="55">
        <f t="shared" si="46"/>
        <v>4.0380000000000003</v>
      </c>
      <c r="Y185" s="56">
        <f t="shared" si="47"/>
        <v>4.0380000000000003</v>
      </c>
      <c r="Z185" s="31" t="str">
        <f t="shared" si="48"/>
        <v>открыт</v>
      </c>
    </row>
    <row r="186" spans="1:26" s="1" customFormat="1" ht="11.25" x14ac:dyDescent="0.2">
      <c r="A186" s="5">
        <v>120</v>
      </c>
      <c r="B186" s="32" t="s">
        <v>202</v>
      </c>
      <c r="C186" s="6" t="s">
        <v>27</v>
      </c>
      <c r="D186" s="6">
        <v>1.1399999999999999</v>
      </c>
      <c r="E186" s="6">
        <v>1.85</v>
      </c>
      <c r="F186" s="6">
        <v>120</v>
      </c>
      <c r="G186" s="6">
        <f t="shared" si="54"/>
        <v>-0.71000000000000019</v>
      </c>
      <c r="H186" s="6">
        <v>0</v>
      </c>
      <c r="I186" s="2">
        <f>6.3*1.05</f>
        <v>6.6150000000000002</v>
      </c>
      <c r="J186" s="2">
        <f t="shared" si="42"/>
        <v>7.3250000000000002</v>
      </c>
      <c r="K186" s="2">
        <f t="shared" si="58"/>
        <v>7.3250000000000002</v>
      </c>
      <c r="L186" s="7" t="str">
        <f t="shared" si="59"/>
        <v>открыт</v>
      </c>
      <c r="M186" s="48"/>
      <c r="N186" s="5">
        <v>120</v>
      </c>
      <c r="O186" s="33" t="s">
        <v>202</v>
      </c>
      <c r="P186" s="140" t="s">
        <v>27</v>
      </c>
      <c r="Q186" s="18">
        <v>0.03</v>
      </c>
      <c r="R186" s="18">
        <f t="shared" si="57"/>
        <v>1.17</v>
      </c>
      <c r="S186" s="154">
        <f t="shared" si="55"/>
        <v>1.85</v>
      </c>
      <c r="T186" s="42">
        <f t="shared" si="55"/>
        <v>120</v>
      </c>
      <c r="U186" s="18">
        <f t="shared" si="43"/>
        <v>-0.68000000000000016</v>
      </c>
      <c r="V186" s="140">
        <v>0</v>
      </c>
      <c r="W186" s="154">
        <f t="shared" si="45"/>
        <v>6.6150000000000002</v>
      </c>
      <c r="X186" s="55">
        <f t="shared" si="46"/>
        <v>7.2949999999999999</v>
      </c>
      <c r="Y186" s="56">
        <f t="shared" si="47"/>
        <v>7.2949999999999999</v>
      </c>
      <c r="Z186" s="31" t="str">
        <f t="shared" si="48"/>
        <v>открыт</v>
      </c>
    </row>
    <row r="187" spans="1:26" s="1" customFormat="1" ht="11.25" x14ac:dyDescent="0.2">
      <c r="A187" s="5">
        <v>121</v>
      </c>
      <c r="B187" s="32" t="s">
        <v>203</v>
      </c>
      <c r="C187" s="6" t="s">
        <v>204</v>
      </c>
      <c r="D187" s="6">
        <v>1.49</v>
      </c>
      <c r="E187" s="6">
        <v>0.28999999999999998</v>
      </c>
      <c r="F187" s="6">
        <v>120</v>
      </c>
      <c r="G187" s="6">
        <f t="shared" si="54"/>
        <v>1.2</v>
      </c>
      <c r="H187" s="6">
        <v>0</v>
      </c>
      <c r="I187" s="6">
        <f>5.6*1.05</f>
        <v>5.88</v>
      </c>
      <c r="J187" s="6">
        <f t="shared" si="42"/>
        <v>4.68</v>
      </c>
      <c r="K187" s="6">
        <f t="shared" si="58"/>
        <v>4.68</v>
      </c>
      <c r="L187" s="7" t="str">
        <f t="shared" si="59"/>
        <v>открыт</v>
      </c>
      <c r="M187" s="48"/>
      <c r="N187" s="5">
        <v>121</v>
      </c>
      <c r="O187" s="33" t="s">
        <v>203</v>
      </c>
      <c r="P187" s="140" t="s">
        <v>204</v>
      </c>
      <c r="Q187" s="18">
        <v>0.03</v>
      </c>
      <c r="R187" s="18">
        <f t="shared" si="57"/>
        <v>1.52</v>
      </c>
      <c r="S187" s="154">
        <f t="shared" si="55"/>
        <v>0.28999999999999998</v>
      </c>
      <c r="T187" s="42">
        <f t="shared" si="55"/>
        <v>120</v>
      </c>
      <c r="U187" s="18">
        <f t="shared" si="43"/>
        <v>1.23</v>
      </c>
      <c r="V187" s="140">
        <v>0</v>
      </c>
      <c r="W187" s="154">
        <f t="shared" si="45"/>
        <v>5.88</v>
      </c>
      <c r="X187" s="55">
        <f t="shared" si="46"/>
        <v>4.6500000000000004</v>
      </c>
      <c r="Y187" s="56">
        <f t="shared" si="47"/>
        <v>4.6500000000000004</v>
      </c>
      <c r="Z187" s="31" t="str">
        <f t="shared" si="48"/>
        <v>открыт</v>
      </c>
    </row>
    <row r="188" spans="1:26" s="1" customFormat="1" ht="11.25" x14ac:dyDescent="0.2">
      <c r="A188" s="5">
        <v>122</v>
      </c>
      <c r="B188" s="32" t="s">
        <v>205</v>
      </c>
      <c r="C188" s="6" t="s">
        <v>26</v>
      </c>
      <c r="D188" s="6">
        <v>0.55000000000000004</v>
      </c>
      <c r="E188" s="6">
        <v>0.13</v>
      </c>
      <c r="F188" s="6">
        <v>120</v>
      </c>
      <c r="G188" s="6">
        <f t="shared" si="54"/>
        <v>0.42000000000000004</v>
      </c>
      <c r="H188" s="6">
        <v>0</v>
      </c>
      <c r="I188" s="6">
        <f>1.6*1.05</f>
        <v>1.6800000000000002</v>
      </c>
      <c r="J188" s="6">
        <f t="shared" si="42"/>
        <v>1.2600000000000002</v>
      </c>
      <c r="K188" s="6">
        <f t="shared" si="58"/>
        <v>1.2600000000000002</v>
      </c>
      <c r="L188" s="7" t="str">
        <f t="shared" si="59"/>
        <v>открыт</v>
      </c>
      <c r="M188" s="48"/>
      <c r="N188" s="5">
        <v>122</v>
      </c>
      <c r="O188" s="33" t="s">
        <v>205</v>
      </c>
      <c r="P188" s="140" t="s">
        <v>26</v>
      </c>
      <c r="Q188" s="18">
        <v>6.9000000000000006E-2</v>
      </c>
      <c r="R188" s="18">
        <f t="shared" si="57"/>
        <v>0.61899999999999999</v>
      </c>
      <c r="S188" s="154">
        <f t="shared" si="55"/>
        <v>0.13</v>
      </c>
      <c r="T188" s="42">
        <f t="shared" si="55"/>
        <v>120</v>
      </c>
      <c r="U188" s="18">
        <f t="shared" si="43"/>
        <v>0.48899999999999999</v>
      </c>
      <c r="V188" s="140">
        <v>0</v>
      </c>
      <c r="W188" s="154">
        <f t="shared" si="45"/>
        <v>1.6800000000000002</v>
      </c>
      <c r="X188" s="55">
        <f t="shared" si="46"/>
        <v>1.1910000000000003</v>
      </c>
      <c r="Y188" s="56">
        <f t="shared" si="47"/>
        <v>1.1910000000000003</v>
      </c>
      <c r="Z188" s="31" t="str">
        <f t="shared" si="48"/>
        <v>открыт</v>
      </c>
    </row>
    <row r="189" spans="1:26" s="1" customFormat="1" ht="11.25" x14ac:dyDescent="0.2">
      <c r="A189" s="5">
        <v>123</v>
      </c>
      <c r="B189" s="32" t="s">
        <v>206</v>
      </c>
      <c r="C189" s="6" t="s">
        <v>25</v>
      </c>
      <c r="D189" s="6">
        <v>1.28</v>
      </c>
      <c r="E189" s="6">
        <v>0.65</v>
      </c>
      <c r="F189" s="6">
        <v>120</v>
      </c>
      <c r="G189" s="6">
        <f t="shared" si="54"/>
        <v>0.63</v>
      </c>
      <c r="H189" s="6">
        <v>0</v>
      </c>
      <c r="I189" s="2">
        <f>2.5*1.05</f>
        <v>2.625</v>
      </c>
      <c r="J189" s="2">
        <f t="shared" si="42"/>
        <v>1.9950000000000001</v>
      </c>
      <c r="K189" s="2">
        <f t="shared" si="58"/>
        <v>1.9950000000000001</v>
      </c>
      <c r="L189" s="7" t="str">
        <f t="shared" si="59"/>
        <v>открыт</v>
      </c>
      <c r="M189" s="48"/>
      <c r="N189" s="5">
        <v>123</v>
      </c>
      <c r="O189" s="33" t="s">
        <v>206</v>
      </c>
      <c r="P189" s="140" t="s">
        <v>25</v>
      </c>
      <c r="Q189" s="18">
        <v>3.5999999999999997E-2</v>
      </c>
      <c r="R189" s="18">
        <f t="shared" si="57"/>
        <v>1.3160000000000001</v>
      </c>
      <c r="S189" s="154">
        <f t="shared" si="55"/>
        <v>0.65</v>
      </c>
      <c r="T189" s="42">
        <f t="shared" si="55"/>
        <v>120</v>
      </c>
      <c r="U189" s="18">
        <f t="shared" si="43"/>
        <v>0.66600000000000004</v>
      </c>
      <c r="V189" s="140">
        <v>0</v>
      </c>
      <c r="W189" s="154">
        <f t="shared" si="45"/>
        <v>2.625</v>
      </c>
      <c r="X189" s="55">
        <f t="shared" si="46"/>
        <v>1.9590000000000001</v>
      </c>
      <c r="Y189" s="56">
        <f t="shared" si="47"/>
        <v>1.9590000000000001</v>
      </c>
      <c r="Z189" s="31" t="str">
        <f t="shared" si="48"/>
        <v>открыт</v>
      </c>
    </row>
    <row r="190" spans="1:26" s="1" customFormat="1" ht="11.25" x14ac:dyDescent="0.2">
      <c r="A190" s="5">
        <v>124</v>
      </c>
      <c r="B190" s="32" t="s">
        <v>207</v>
      </c>
      <c r="C190" s="6" t="s">
        <v>34</v>
      </c>
      <c r="D190" s="6">
        <v>0.81</v>
      </c>
      <c r="E190" s="6">
        <v>0.43</v>
      </c>
      <c r="F190" s="6">
        <v>120</v>
      </c>
      <c r="G190" s="6">
        <f t="shared" ref="G190:G208" si="60">D190-E190</f>
        <v>0.38000000000000006</v>
      </c>
      <c r="H190" s="6">
        <v>0</v>
      </c>
      <c r="I190" s="2">
        <f>2.5*1.05</f>
        <v>2.625</v>
      </c>
      <c r="J190" s="2">
        <f t="shared" ref="J190:J208" si="61">I190-H190-G190</f>
        <v>2.2450000000000001</v>
      </c>
      <c r="K190" s="2">
        <f t="shared" si="58"/>
        <v>2.2450000000000001</v>
      </c>
      <c r="L190" s="7" t="str">
        <f t="shared" si="59"/>
        <v>открыт</v>
      </c>
      <c r="M190" s="48"/>
      <c r="N190" s="5">
        <v>124</v>
      </c>
      <c r="O190" s="33" t="s">
        <v>207</v>
      </c>
      <c r="P190" s="140" t="s">
        <v>34</v>
      </c>
      <c r="Q190" s="18">
        <v>1.7999999999999999E-2</v>
      </c>
      <c r="R190" s="18">
        <f t="shared" si="57"/>
        <v>0.82800000000000007</v>
      </c>
      <c r="S190" s="154">
        <f t="shared" si="55"/>
        <v>0.43</v>
      </c>
      <c r="T190" s="42">
        <f t="shared" si="55"/>
        <v>120</v>
      </c>
      <c r="U190" s="18">
        <f t="shared" ref="U190:U208" si="62">R190-S190</f>
        <v>0.39800000000000008</v>
      </c>
      <c r="V190" s="140">
        <v>0</v>
      </c>
      <c r="W190" s="154">
        <f t="shared" si="45"/>
        <v>2.625</v>
      </c>
      <c r="X190" s="55">
        <f t="shared" si="46"/>
        <v>2.2269999999999999</v>
      </c>
      <c r="Y190" s="56">
        <f t="shared" si="47"/>
        <v>2.2269999999999999</v>
      </c>
      <c r="Z190" s="31" t="str">
        <f t="shared" si="48"/>
        <v>открыт</v>
      </c>
    </row>
    <row r="191" spans="1:26" s="1" customFormat="1" ht="11.25" x14ac:dyDescent="0.2">
      <c r="A191" s="5">
        <v>125</v>
      </c>
      <c r="B191" s="32" t="s">
        <v>208</v>
      </c>
      <c r="C191" s="6" t="s">
        <v>30</v>
      </c>
      <c r="D191" s="6">
        <v>0.86</v>
      </c>
      <c r="E191" s="6">
        <v>0.56000000000000005</v>
      </c>
      <c r="F191" s="6">
        <v>120</v>
      </c>
      <c r="G191" s="6">
        <f t="shared" si="60"/>
        <v>0.29999999999999993</v>
      </c>
      <c r="H191" s="6">
        <v>0</v>
      </c>
      <c r="I191" s="6">
        <f>1.6*1.05</f>
        <v>1.6800000000000002</v>
      </c>
      <c r="J191" s="6">
        <f t="shared" si="61"/>
        <v>1.3800000000000003</v>
      </c>
      <c r="K191" s="6">
        <f t="shared" si="58"/>
        <v>1.3800000000000003</v>
      </c>
      <c r="L191" s="7" t="str">
        <f t="shared" si="59"/>
        <v>открыт</v>
      </c>
      <c r="M191" s="48"/>
      <c r="N191" s="5">
        <v>125</v>
      </c>
      <c r="O191" s="33" t="s">
        <v>208</v>
      </c>
      <c r="P191" s="140" t="s">
        <v>30</v>
      </c>
      <c r="Q191" s="18">
        <v>2.4E-2</v>
      </c>
      <c r="R191" s="18">
        <f t="shared" si="57"/>
        <v>0.88400000000000001</v>
      </c>
      <c r="S191" s="154">
        <f t="shared" si="55"/>
        <v>0.56000000000000005</v>
      </c>
      <c r="T191" s="42">
        <f t="shared" si="55"/>
        <v>120</v>
      </c>
      <c r="U191" s="18">
        <f t="shared" si="62"/>
        <v>0.32399999999999995</v>
      </c>
      <c r="V191" s="140">
        <v>0</v>
      </c>
      <c r="W191" s="154">
        <f t="shared" si="45"/>
        <v>1.6800000000000002</v>
      </c>
      <c r="X191" s="55">
        <f t="shared" si="46"/>
        <v>1.3560000000000003</v>
      </c>
      <c r="Y191" s="56">
        <f t="shared" si="47"/>
        <v>1.3560000000000003</v>
      </c>
      <c r="Z191" s="31" t="str">
        <f t="shared" si="48"/>
        <v>открыт</v>
      </c>
    </row>
    <row r="192" spans="1:26" s="1" customFormat="1" ht="11.25" x14ac:dyDescent="0.2">
      <c r="A192" s="5">
        <v>126</v>
      </c>
      <c r="B192" s="32" t="s">
        <v>209</v>
      </c>
      <c r="C192" s="6" t="s">
        <v>34</v>
      </c>
      <c r="D192" s="6">
        <v>1.58</v>
      </c>
      <c r="E192" s="6">
        <v>0</v>
      </c>
      <c r="F192" s="6" t="s">
        <v>99</v>
      </c>
      <c r="G192" s="6">
        <f t="shared" si="60"/>
        <v>1.58</v>
      </c>
      <c r="H192" s="6">
        <v>0</v>
      </c>
      <c r="I192" s="2">
        <f>2.5*1.05</f>
        <v>2.625</v>
      </c>
      <c r="J192" s="2">
        <f t="shared" si="61"/>
        <v>1.0449999999999999</v>
      </c>
      <c r="K192" s="2">
        <f t="shared" si="58"/>
        <v>1.0449999999999999</v>
      </c>
      <c r="L192" s="7" t="str">
        <f t="shared" si="59"/>
        <v>открыт</v>
      </c>
      <c r="M192" s="48"/>
      <c r="N192" s="5">
        <v>126</v>
      </c>
      <c r="O192" s="33" t="s">
        <v>209</v>
      </c>
      <c r="P192" s="140" t="s">
        <v>34</v>
      </c>
      <c r="Q192" s="18">
        <v>0.16600000000000001</v>
      </c>
      <c r="R192" s="18">
        <f t="shared" si="57"/>
        <v>1.746</v>
      </c>
      <c r="S192" s="154">
        <f t="shared" si="55"/>
        <v>0</v>
      </c>
      <c r="T192" s="42"/>
      <c r="U192" s="18">
        <f t="shared" si="62"/>
        <v>1.746</v>
      </c>
      <c r="V192" s="140">
        <v>0</v>
      </c>
      <c r="W192" s="154">
        <f t="shared" ref="W192:W208" si="63">I192</f>
        <v>2.625</v>
      </c>
      <c r="X192" s="55">
        <f t="shared" ref="X192:X208" si="64">W192-V192-U192</f>
        <v>0.879</v>
      </c>
      <c r="Y192" s="56">
        <f t="shared" si="47"/>
        <v>0.879</v>
      </c>
      <c r="Z192" s="31" t="str">
        <f t="shared" si="48"/>
        <v>открыт</v>
      </c>
    </row>
    <row r="193" spans="1:26" s="1" customFormat="1" ht="11.25" x14ac:dyDescent="0.2">
      <c r="A193" s="5">
        <v>127</v>
      </c>
      <c r="B193" s="32" t="s">
        <v>210</v>
      </c>
      <c r="C193" s="6" t="s">
        <v>27</v>
      </c>
      <c r="D193" s="6">
        <v>0.79</v>
      </c>
      <c r="E193" s="6">
        <v>0.39</v>
      </c>
      <c r="F193" s="6">
        <v>120</v>
      </c>
      <c r="G193" s="6">
        <f t="shared" si="60"/>
        <v>0.4</v>
      </c>
      <c r="H193" s="6">
        <v>0</v>
      </c>
      <c r="I193" s="2">
        <f>6.3*1.05</f>
        <v>6.6150000000000002</v>
      </c>
      <c r="J193" s="2">
        <f t="shared" si="61"/>
        <v>6.2149999999999999</v>
      </c>
      <c r="K193" s="2">
        <f t="shared" si="58"/>
        <v>6.2149999999999999</v>
      </c>
      <c r="L193" s="7" t="str">
        <f t="shared" si="59"/>
        <v>открыт</v>
      </c>
      <c r="M193" s="48"/>
      <c r="N193" s="5">
        <v>127</v>
      </c>
      <c r="O193" s="33" t="s">
        <v>210</v>
      </c>
      <c r="P193" s="140" t="s">
        <v>27</v>
      </c>
      <c r="Q193" s="18">
        <v>3.5000000000000003E-2</v>
      </c>
      <c r="R193" s="18">
        <f t="shared" si="57"/>
        <v>0.82500000000000007</v>
      </c>
      <c r="S193" s="154">
        <f t="shared" si="55"/>
        <v>0.39</v>
      </c>
      <c r="T193" s="42">
        <f t="shared" si="55"/>
        <v>120</v>
      </c>
      <c r="U193" s="18">
        <f t="shared" si="62"/>
        <v>0.43500000000000005</v>
      </c>
      <c r="V193" s="140">
        <v>0</v>
      </c>
      <c r="W193" s="154">
        <f t="shared" si="63"/>
        <v>6.6150000000000002</v>
      </c>
      <c r="X193" s="55">
        <f t="shared" si="64"/>
        <v>6.18</v>
      </c>
      <c r="Y193" s="56">
        <f t="shared" si="47"/>
        <v>6.18</v>
      </c>
      <c r="Z193" s="31" t="str">
        <f t="shared" si="48"/>
        <v>открыт</v>
      </c>
    </row>
    <row r="194" spans="1:26" s="1" customFormat="1" ht="11.25" x14ac:dyDescent="0.2">
      <c r="A194" s="5">
        <v>128</v>
      </c>
      <c r="B194" s="32" t="s">
        <v>211</v>
      </c>
      <c r="C194" s="6" t="s">
        <v>25</v>
      </c>
      <c r="D194" s="6">
        <v>1.9</v>
      </c>
      <c r="E194" s="6">
        <v>0.87</v>
      </c>
      <c r="F194" s="6">
        <v>120</v>
      </c>
      <c r="G194" s="6">
        <f t="shared" si="60"/>
        <v>1.0299999999999998</v>
      </c>
      <c r="H194" s="6">
        <v>0</v>
      </c>
      <c r="I194" s="6">
        <f>2.5*1.05</f>
        <v>2.625</v>
      </c>
      <c r="J194" s="6">
        <f t="shared" si="61"/>
        <v>1.5950000000000002</v>
      </c>
      <c r="K194" s="6">
        <f t="shared" si="58"/>
        <v>1.5950000000000002</v>
      </c>
      <c r="L194" s="7" t="str">
        <f t="shared" si="59"/>
        <v>открыт</v>
      </c>
      <c r="M194" s="48"/>
      <c r="N194" s="5">
        <v>128</v>
      </c>
      <c r="O194" s="33" t="s">
        <v>211</v>
      </c>
      <c r="P194" s="140" t="s">
        <v>25</v>
      </c>
      <c r="Q194" s="18">
        <v>0.13400000000000001</v>
      </c>
      <c r="R194" s="18">
        <f t="shared" si="57"/>
        <v>2.0339999999999998</v>
      </c>
      <c r="S194" s="154">
        <f t="shared" si="55"/>
        <v>0.87</v>
      </c>
      <c r="T194" s="42">
        <f t="shared" si="55"/>
        <v>120</v>
      </c>
      <c r="U194" s="18">
        <f t="shared" si="62"/>
        <v>1.1639999999999997</v>
      </c>
      <c r="V194" s="140">
        <v>0</v>
      </c>
      <c r="W194" s="154">
        <f t="shared" si="63"/>
        <v>2.625</v>
      </c>
      <c r="X194" s="55">
        <f t="shared" si="64"/>
        <v>1.4610000000000003</v>
      </c>
      <c r="Y194" s="56">
        <f t="shared" si="47"/>
        <v>1.4610000000000003</v>
      </c>
      <c r="Z194" s="31" t="str">
        <f t="shared" si="48"/>
        <v>открыт</v>
      </c>
    </row>
    <row r="195" spans="1:26" s="1" customFormat="1" ht="11.25" x14ac:dyDescent="0.2">
      <c r="A195" s="5">
        <v>129</v>
      </c>
      <c r="B195" s="32" t="s">
        <v>212</v>
      </c>
      <c r="C195" s="6" t="s">
        <v>39</v>
      </c>
      <c r="D195" s="6">
        <v>1.5</v>
      </c>
      <c r="E195" s="6">
        <v>1.1100000000000001</v>
      </c>
      <c r="F195" s="6">
        <v>80</v>
      </c>
      <c r="G195" s="6">
        <f t="shared" si="60"/>
        <v>0.3899999999999999</v>
      </c>
      <c r="H195" s="6">
        <v>0</v>
      </c>
      <c r="I195" s="6">
        <f>4*1.05</f>
        <v>4.2</v>
      </c>
      <c r="J195" s="6">
        <f t="shared" si="61"/>
        <v>3.8100000000000005</v>
      </c>
      <c r="K195" s="6">
        <f t="shared" si="58"/>
        <v>3.8100000000000005</v>
      </c>
      <c r="L195" s="7" t="str">
        <f t="shared" si="59"/>
        <v>открыт</v>
      </c>
      <c r="M195" s="48"/>
      <c r="N195" s="5">
        <v>129</v>
      </c>
      <c r="O195" s="33" t="s">
        <v>212</v>
      </c>
      <c r="P195" s="140" t="s">
        <v>39</v>
      </c>
      <c r="Q195" s="18">
        <v>0.13600000000000001</v>
      </c>
      <c r="R195" s="18">
        <f t="shared" si="57"/>
        <v>1.6360000000000001</v>
      </c>
      <c r="S195" s="154">
        <f t="shared" si="55"/>
        <v>1.1100000000000001</v>
      </c>
      <c r="T195" s="42">
        <f t="shared" si="55"/>
        <v>80</v>
      </c>
      <c r="U195" s="18">
        <f t="shared" si="62"/>
        <v>0.52600000000000002</v>
      </c>
      <c r="V195" s="140">
        <v>0</v>
      </c>
      <c r="W195" s="154">
        <f t="shared" si="63"/>
        <v>4.2</v>
      </c>
      <c r="X195" s="55">
        <f t="shared" si="64"/>
        <v>3.6740000000000004</v>
      </c>
      <c r="Y195" s="56">
        <f t="shared" si="47"/>
        <v>3.6740000000000004</v>
      </c>
      <c r="Z195" s="31" t="str">
        <f t="shared" si="48"/>
        <v>открыт</v>
      </c>
    </row>
    <row r="196" spans="1:26" s="1" customFormat="1" ht="11.25" x14ac:dyDescent="0.2">
      <c r="A196" s="5">
        <v>130</v>
      </c>
      <c r="B196" s="32" t="s">
        <v>213</v>
      </c>
      <c r="C196" s="6" t="s">
        <v>26</v>
      </c>
      <c r="D196" s="6">
        <v>0.11</v>
      </c>
      <c r="E196" s="6">
        <v>0</v>
      </c>
      <c r="F196" s="6" t="s">
        <v>99</v>
      </c>
      <c r="G196" s="6">
        <f t="shared" si="60"/>
        <v>0.11</v>
      </c>
      <c r="H196" s="6">
        <v>0</v>
      </c>
      <c r="I196" s="6">
        <f>1.6*1.05</f>
        <v>1.6800000000000002</v>
      </c>
      <c r="J196" s="6">
        <f t="shared" si="61"/>
        <v>1.57</v>
      </c>
      <c r="K196" s="6">
        <f t="shared" si="58"/>
        <v>1.57</v>
      </c>
      <c r="L196" s="7" t="str">
        <f t="shared" si="59"/>
        <v>открыт</v>
      </c>
      <c r="M196" s="48"/>
      <c r="N196" s="5">
        <v>130</v>
      </c>
      <c r="O196" s="33" t="s">
        <v>213</v>
      </c>
      <c r="P196" s="140" t="s">
        <v>26</v>
      </c>
      <c r="Q196" s="18">
        <v>0</v>
      </c>
      <c r="R196" s="18">
        <f t="shared" si="57"/>
        <v>0.11</v>
      </c>
      <c r="S196" s="154">
        <f t="shared" si="55"/>
        <v>0</v>
      </c>
      <c r="T196" s="42"/>
      <c r="U196" s="18">
        <f t="shared" si="62"/>
        <v>0.11</v>
      </c>
      <c r="V196" s="140">
        <v>0</v>
      </c>
      <c r="W196" s="154">
        <f t="shared" si="63"/>
        <v>1.6800000000000002</v>
      </c>
      <c r="X196" s="55">
        <f t="shared" si="64"/>
        <v>1.57</v>
      </c>
      <c r="Y196" s="56">
        <f t="shared" si="47"/>
        <v>1.57</v>
      </c>
      <c r="Z196" s="31" t="str">
        <f t="shared" si="48"/>
        <v>открыт</v>
      </c>
    </row>
    <row r="197" spans="1:26" s="1" customFormat="1" ht="11.25" x14ac:dyDescent="0.2">
      <c r="A197" s="5">
        <v>131</v>
      </c>
      <c r="B197" s="32" t="s">
        <v>214</v>
      </c>
      <c r="C197" s="6" t="s">
        <v>25</v>
      </c>
      <c r="D197" s="6">
        <v>0.52</v>
      </c>
      <c r="E197" s="6">
        <v>0.39</v>
      </c>
      <c r="F197" s="6" t="s">
        <v>99</v>
      </c>
      <c r="G197" s="6">
        <f t="shared" si="60"/>
        <v>0.13</v>
      </c>
      <c r="H197" s="6">
        <v>0</v>
      </c>
      <c r="I197" s="2">
        <f t="shared" ref="I197:I203" si="65">2.5*1.05</f>
        <v>2.625</v>
      </c>
      <c r="J197" s="2">
        <f t="shared" si="61"/>
        <v>2.4950000000000001</v>
      </c>
      <c r="K197" s="2">
        <f t="shared" si="58"/>
        <v>2.4950000000000001</v>
      </c>
      <c r="L197" s="7" t="str">
        <f t="shared" si="59"/>
        <v>открыт</v>
      </c>
      <c r="M197" s="48"/>
      <c r="N197" s="5">
        <v>131</v>
      </c>
      <c r="O197" s="33" t="s">
        <v>214</v>
      </c>
      <c r="P197" s="140" t="s">
        <v>25</v>
      </c>
      <c r="Q197" s="18">
        <v>8.9999999999999993E-3</v>
      </c>
      <c r="R197" s="18">
        <f t="shared" si="57"/>
        <v>0.52900000000000003</v>
      </c>
      <c r="S197" s="154">
        <f t="shared" si="55"/>
        <v>0.39</v>
      </c>
      <c r="T197" s="42"/>
      <c r="U197" s="18">
        <f t="shared" si="62"/>
        <v>0.13900000000000001</v>
      </c>
      <c r="V197" s="140">
        <v>0</v>
      </c>
      <c r="W197" s="154">
        <f t="shared" si="63"/>
        <v>2.625</v>
      </c>
      <c r="X197" s="55">
        <f t="shared" si="64"/>
        <v>2.4859999999999998</v>
      </c>
      <c r="Y197" s="56">
        <f t="shared" ref="Y197:Y208" si="66">X197</f>
        <v>2.4859999999999998</v>
      </c>
      <c r="Z197" s="31" t="str">
        <f t="shared" ref="Z197:Z208" si="67">IF(Y197&lt;0,"закрыт","открыт")</f>
        <v>открыт</v>
      </c>
    </row>
    <row r="198" spans="1:26" s="1" customFormat="1" ht="11.25" x14ac:dyDescent="0.2">
      <c r="A198" s="5">
        <v>132</v>
      </c>
      <c r="B198" s="32" t="s">
        <v>215</v>
      </c>
      <c r="C198" s="6" t="s">
        <v>40</v>
      </c>
      <c r="D198" s="6">
        <v>1.84</v>
      </c>
      <c r="E198" s="6">
        <v>0.54</v>
      </c>
      <c r="F198" s="6">
        <v>80</v>
      </c>
      <c r="G198" s="6">
        <f t="shared" si="60"/>
        <v>1.3</v>
      </c>
      <c r="H198" s="6">
        <v>0</v>
      </c>
      <c r="I198" s="2">
        <f t="shared" si="65"/>
        <v>2.625</v>
      </c>
      <c r="J198" s="2">
        <f t="shared" si="61"/>
        <v>1.325</v>
      </c>
      <c r="K198" s="2">
        <f t="shared" si="58"/>
        <v>1.325</v>
      </c>
      <c r="L198" s="7" t="str">
        <f t="shared" si="59"/>
        <v>открыт</v>
      </c>
      <c r="M198" s="48"/>
      <c r="N198" s="5">
        <v>132</v>
      </c>
      <c r="O198" s="33" t="s">
        <v>215</v>
      </c>
      <c r="P198" s="140" t="s">
        <v>40</v>
      </c>
      <c r="Q198" s="18">
        <v>7.0000000000000007E-2</v>
      </c>
      <c r="R198" s="18">
        <f t="shared" si="57"/>
        <v>1.9100000000000001</v>
      </c>
      <c r="S198" s="154">
        <f t="shared" si="55"/>
        <v>0.54</v>
      </c>
      <c r="T198" s="42">
        <f t="shared" si="55"/>
        <v>80</v>
      </c>
      <c r="U198" s="18">
        <f t="shared" si="62"/>
        <v>1.37</v>
      </c>
      <c r="V198" s="140">
        <v>0</v>
      </c>
      <c r="W198" s="154">
        <f t="shared" si="63"/>
        <v>2.625</v>
      </c>
      <c r="X198" s="55">
        <f t="shared" si="64"/>
        <v>1.2549999999999999</v>
      </c>
      <c r="Y198" s="56">
        <f t="shared" si="66"/>
        <v>1.2549999999999999</v>
      </c>
      <c r="Z198" s="31" t="str">
        <f t="shared" si="67"/>
        <v>открыт</v>
      </c>
    </row>
    <row r="199" spans="1:26" s="1" customFormat="1" ht="11.25" x14ac:dyDescent="0.2">
      <c r="A199" s="5">
        <v>133</v>
      </c>
      <c r="B199" s="32" t="s">
        <v>216</v>
      </c>
      <c r="C199" s="6" t="s">
        <v>217</v>
      </c>
      <c r="D199" s="6">
        <v>0.49</v>
      </c>
      <c r="E199" s="6">
        <v>1.67</v>
      </c>
      <c r="F199" s="6">
        <v>120</v>
      </c>
      <c r="G199" s="6">
        <f t="shared" si="60"/>
        <v>-1.18</v>
      </c>
      <c r="H199" s="6">
        <v>0</v>
      </c>
      <c r="I199" s="6">
        <f>3.2*1.05</f>
        <v>3.3600000000000003</v>
      </c>
      <c r="J199" s="6">
        <f t="shared" si="61"/>
        <v>4.54</v>
      </c>
      <c r="K199" s="6">
        <f t="shared" si="58"/>
        <v>4.54</v>
      </c>
      <c r="L199" s="7" t="str">
        <f t="shared" si="59"/>
        <v>открыт</v>
      </c>
      <c r="M199" s="48"/>
      <c r="N199" s="5">
        <v>133</v>
      </c>
      <c r="O199" s="33" t="s">
        <v>216</v>
      </c>
      <c r="P199" s="140" t="s">
        <v>217</v>
      </c>
      <c r="Q199" s="18">
        <v>4.9000000000000002E-2</v>
      </c>
      <c r="R199" s="18">
        <f t="shared" si="57"/>
        <v>0.53900000000000003</v>
      </c>
      <c r="S199" s="154">
        <f t="shared" si="55"/>
        <v>1.67</v>
      </c>
      <c r="T199" s="42">
        <f t="shared" si="55"/>
        <v>120</v>
      </c>
      <c r="U199" s="18">
        <f t="shared" si="62"/>
        <v>-1.1309999999999998</v>
      </c>
      <c r="V199" s="140">
        <v>0</v>
      </c>
      <c r="W199" s="154">
        <f t="shared" si="63"/>
        <v>3.3600000000000003</v>
      </c>
      <c r="X199" s="55">
        <f t="shared" si="64"/>
        <v>4.4909999999999997</v>
      </c>
      <c r="Y199" s="56">
        <f t="shared" si="66"/>
        <v>4.4909999999999997</v>
      </c>
      <c r="Z199" s="31" t="str">
        <f t="shared" si="67"/>
        <v>открыт</v>
      </c>
    </row>
    <row r="200" spans="1:26" s="1" customFormat="1" ht="11.25" x14ac:dyDescent="0.2">
      <c r="A200" s="50">
        <v>134</v>
      </c>
      <c r="B200" s="47" t="s">
        <v>218</v>
      </c>
      <c r="C200" s="3" t="s">
        <v>32</v>
      </c>
      <c r="D200" s="3">
        <v>5.35</v>
      </c>
      <c r="E200" s="3">
        <v>0</v>
      </c>
      <c r="F200" s="3"/>
      <c r="G200" s="3">
        <f t="shared" si="60"/>
        <v>5.35</v>
      </c>
      <c r="H200" s="3">
        <v>0</v>
      </c>
      <c r="I200" s="3">
        <f>4*1.05</f>
        <v>4.2</v>
      </c>
      <c r="J200" s="3">
        <f t="shared" si="61"/>
        <v>-1.1499999999999995</v>
      </c>
      <c r="K200" s="3">
        <f t="shared" si="58"/>
        <v>-1.1499999999999995</v>
      </c>
      <c r="L200" s="57" t="str">
        <f t="shared" si="59"/>
        <v>закрыт</v>
      </c>
      <c r="M200" s="48"/>
      <c r="N200" s="50">
        <v>134</v>
      </c>
      <c r="O200" s="43" t="s">
        <v>218</v>
      </c>
      <c r="P200" s="3" t="s">
        <v>32</v>
      </c>
      <c r="Q200" s="19">
        <v>0</v>
      </c>
      <c r="R200" s="19">
        <f t="shared" si="57"/>
        <v>5.35</v>
      </c>
      <c r="S200" s="161">
        <f t="shared" si="55"/>
        <v>0</v>
      </c>
      <c r="T200" s="44"/>
      <c r="U200" s="19">
        <f t="shared" si="62"/>
        <v>5.35</v>
      </c>
      <c r="V200" s="3">
        <v>0</v>
      </c>
      <c r="W200" s="162">
        <f t="shared" si="63"/>
        <v>4.2</v>
      </c>
      <c r="X200" s="58">
        <f t="shared" si="64"/>
        <v>-1.1499999999999995</v>
      </c>
      <c r="Y200" s="59">
        <f t="shared" si="66"/>
        <v>-1.1499999999999995</v>
      </c>
      <c r="Z200" s="52" t="str">
        <f t="shared" si="67"/>
        <v>закрыт</v>
      </c>
    </row>
    <row r="201" spans="1:26" s="1" customFormat="1" ht="11.25" x14ac:dyDescent="0.2">
      <c r="A201" s="36">
        <v>135</v>
      </c>
      <c r="B201" s="32" t="s">
        <v>219</v>
      </c>
      <c r="C201" s="6" t="s">
        <v>25</v>
      </c>
      <c r="D201" s="6">
        <v>0.4</v>
      </c>
      <c r="E201" s="6">
        <v>0.25</v>
      </c>
      <c r="F201" s="6">
        <v>120</v>
      </c>
      <c r="G201" s="6">
        <f t="shared" si="60"/>
        <v>0.15000000000000002</v>
      </c>
      <c r="H201" s="6">
        <v>0</v>
      </c>
      <c r="I201" s="2">
        <f t="shared" si="65"/>
        <v>2.625</v>
      </c>
      <c r="J201" s="2">
        <f t="shared" si="61"/>
        <v>2.4750000000000001</v>
      </c>
      <c r="K201" s="2">
        <f t="shared" si="58"/>
        <v>2.4750000000000001</v>
      </c>
      <c r="L201" s="7" t="str">
        <f t="shared" si="59"/>
        <v>открыт</v>
      </c>
      <c r="M201" s="48"/>
      <c r="N201" s="36">
        <v>135</v>
      </c>
      <c r="O201" s="33" t="s">
        <v>219</v>
      </c>
      <c r="P201" s="140" t="s">
        <v>25</v>
      </c>
      <c r="Q201" s="18">
        <v>1.7999999999999999E-2</v>
      </c>
      <c r="R201" s="18">
        <f t="shared" si="57"/>
        <v>0.41800000000000004</v>
      </c>
      <c r="S201" s="154">
        <f t="shared" si="55"/>
        <v>0.25</v>
      </c>
      <c r="T201" s="42">
        <f t="shared" si="55"/>
        <v>120</v>
      </c>
      <c r="U201" s="18">
        <f t="shared" si="62"/>
        <v>0.16800000000000004</v>
      </c>
      <c r="V201" s="140">
        <v>0</v>
      </c>
      <c r="W201" s="154">
        <f t="shared" si="63"/>
        <v>2.625</v>
      </c>
      <c r="X201" s="55">
        <f t="shared" si="64"/>
        <v>2.4569999999999999</v>
      </c>
      <c r="Y201" s="56">
        <f t="shared" si="66"/>
        <v>2.4569999999999999</v>
      </c>
      <c r="Z201" s="31" t="str">
        <f t="shared" si="67"/>
        <v>открыт</v>
      </c>
    </row>
    <row r="202" spans="1:26" s="1" customFormat="1" ht="11.25" x14ac:dyDescent="0.2">
      <c r="A202" s="5">
        <v>136</v>
      </c>
      <c r="B202" s="32" t="s">
        <v>220</v>
      </c>
      <c r="C202" s="6" t="s">
        <v>25</v>
      </c>
      <c r="D202" s="6">
        <v>1.2</v>
      </c>
      <c r="E202" s="6">
        <v>0.7</v>
      </c>
      <c r="F202" s="6">
        <v>80</v>
      </c>
      <c r="G202" s="6">
        <f t="shared" si="60"/>
        <v>0.5</v>
      </c>
      <c r="H202" s="6">
        <v>0</v>
      </c>
      <c r="I202" s="2">
        <f t="shared" si="65"/>
        <v>2.625</v>
      </c>
      <c r="J202" s="2">
        <f t="shared" si="61"/>
        <v>2.125</v>
      </c>
      <c r="K202" s="2">
        <f t="shared" si="58"/>
        <v>2.125</v>
      </c>
      <c r="L202" s="7" t="str">
        <f t="shared" si="59"/>
        <v>открыт</v>
      </c>
      <c r="M202" s="48"/>
      <c r="N202" s="5">
        <v>136</v>
      </c>
      <c r="O202" s="33" t="s">
        <v>220</v>
      </c>
      <c r="P202" s="140" t="s">
        <v>25</v>
      </c>
      <c r="Q202" s="18">
        <v>0.09</v>
      </c>
      <c r="R202" s="18">
        <f t="shared" si="57"/>
        <v>1.29</v>
      </c>
      <c r="S202" s="154">
        <f t="shared" si="55"/>
        <v>0.7</v>
      </c>
      <c r="T202" s="42">
        <f t="shared" si="55"/>
        <v>80</v>
      </c>
      <c r="U202" s="18">
        <f t="shared" si="62"/>
        <v>0.59000000000000008</v>
      </c>
      <c r="V202" s="140">
        <v>0</v>
      </c>
      <c r="W202" s="154">
        <f t="shared" si="63"/>
        <v>2.625</v>
      </c>
      <c r="X202" s="55">
        <f t="shared" si="64"/>
        <v>2.0350000000000001</v>
      </c>
      <c r="Y202" s="56">
        <f t="shared" si="66"/>
        <v>2.0350000000000001</v>
      </c>
      <c r="Z202" s="31" t="str">
        <f t="shared" si="67"/>
        <v>открыт</v>
      </c>
    </row>
    <row r="203" spans="1:26" s="1" customFormat="1" ht="11.25" x14ac:dyDescent="0.2">
      <c r="A203" s="5">
        <v>137</v>
      </c>
      <c r="B203" s="32" t="s">
        <v>221</v>
      </c>
      <c r="C203" s="6" t="s">
        <v>34</v>
      </c>
      <c r="D203" s="6">
        <v>1.38</v>
      </c>
      <c r="E203" s="6">
        <v>1.5</v>
      </c>
      <c r="F203" s="6">
        <v>120</v>
      </c>
      <c r="G203" s="6">
        <f t="shared" si="60"/>
        <v>-0.12000000000000011</v>
      </c>
      <c r="H203" s="6">
        <v>0</v>
      </c>
      <c r="I203" s="2">
        <f t="shared" si="65"/>
        <v>2.625</v>
      </c>
      <c r="J203" s="2">
        <f t="shared" si="61"/>
        <v>2.7450000000000001</v>
      </c>
      <c r="K203" s="2">
        <f t="shared" si="58"/>
        <v>2.7450000000000001</v>
      </c>
      <c r="L203" s="7" t="str">
        <f t="shared" si="59"/>
        <v>открыт</v>
      </c>
      <c r="M203" s="48"/>
      <c r="N203" s="5">
        <v>137</v>
      </c>
      <c r="O203" s="33" t="s">
        <v>221</v>
      </c>
      <c r="P203" s="140" t="s">
        <v>34</v>
      </c>
      <c r="Q203" s="18">
        <v>0.33200000000000002</v>
      </c>
      <c r="R203" s="18">
        <f t="shared" si="57"/>
        <v>1.712</v>
      </c>
      <c r="S203" s="154">
        <f t="shared" si="55"/>
        <v>1.5</v>
      </c>
      <c r="T203" s="42">
        <f t="shared" si="55"/>
        <v>120</v>
      </c>
      <c r="U203" s="18">
        <f t="shared" si="62"/>
        <v>0.21199999999999997</v>
      </c>
      <c r="V203" s="140">
        <v>0</v>
      </c>
      <c r="W203" s="154">
        <f t="shared" si="63"/>
        <v>2.625</v>
      </c>
      <c r="X203" s="55">
        <f t="shared" si="64"/>
        <v>2.4130000000000003</v>
      </c>
      <c r="Y203" s="56">
        <f t="shared" si="66"/>
        <v>2.4130000000000003</v>
      </c>
      <c r="Z203" s="31" t="str">
        <f t="shared" si="67"/>
        <v>открыт</v>
      </c>
    </row>
    <row r="204" spans="1:26" s="1" customFormat="1" ht="11.25" x14ac:dyDescent="0.2">
      <c r="A204" s="5">
        <v>138</v>
      </c>
      <c r="B204" s="32" t="s">
        <v>222</v>
      </c>
      <c r="C204" s="6" t="s">
        <v>26</v>
      </c>
      <c r="D204" s="6">
        <v>0.54</v>
      </c>
      <c r="E204" s="6">
        <v>0.33</v>
      </c>
      <c r="F204" s="6">
        <v>120</v>
      </c>
      <c r="G204" s="6">
        <f t="shared" si="60"/>
        <v>0.21000000000000002</v>
      </c>
      <c r="H204" s="6">
        <v>0</v>
      </c>
      <c r="I204" s="6">
        <f>1.6*1.05</f>
        <v>1.6800000000000002</v>
      </c>
      <c r="J204" s="6">
        <f t="shared" si="61"/>
        <v>1.4700000000000002</v>
      </c>
      <c r="K204" s="6">
        <f t="shared" si="58"/>
        <v>1.4700000000000002</v>
      </c>
      <c r="L204" s="7" t="str">
        <f t="shared" si="59"/>
        <v>открыт</v>
      </c>
      <c r="M204" s="48"/>
      <c r="N204" s="36">
        <v>138</v>
      </c>
      <c r="O204" s="40" t="s">
        <v>222</v>
      </c>
      <c r="P204" s="38" t="s">
        <v>26</v>
      </c>
      <c r="Q204" s="18">
        <v>3.3000000000000002E-2</v>
      </c>
      <c r="R204" s="41">
        <f t="shared" si="57"/>
        <v>0.57300000000000006</v>
      </c>
      <c r="S204" s="154">
        <f t="shared" si="55"/>
        <v>0.33</v>
      </c>
      <c r="T204" s="42">
        <f t="shared" si="55"/>
        <v>120</v>
      </c>
      <c r="U204" s="41">
        <f t="shared" si="62"/>
        <v>0.24300000000000005</v>
      </c>
      <c r="V204" s="38">
        <v>0</v>
      </c>
      <c r="W204" s="154">
        <f t="shared" si="63"/>
        <v>1.6800000000000002</v>
      </c>
      <c r="X204" s="55">
        <f t="shared" si="64"/>
        <v>1.4370000000000001</v>
      </c>
      <c r="Y204" s="56">
        <f t="shared" si="66"/>
        <v>1.4370000000000001</v>
      </c>
      <c r="Z204" s="39" t="str">
        <f t="shared" si="67"/>
        <v>открыт</v>
      </c>
    </row>
    <row r="205" spans="1:26" s="1" customFormat="1" ht="11.25" x14ac:dyDescent="0.2">
      <c r="A205" s="5">
        <v>139</v>
      </c>
      <c r="B205" s="32" t="s">
        <v>223</v>
      </c>
      <c r="C205" s="6" t="s">
        <v>31</v>
      </c>
      <c r="D205" s="6">
        <v>0.36</v>
      </c>
      <c r="E205" s="6">
        <v>0</v>
      </c>
      <c r="F205" s="6">
        <v>120</v>
      </c>
      <c r="G205" s="6">
        <f t="shared" si="60"/>
        <v>0.36</v>
      </c>
      <c r="H205" s="6">
        <v>0</v>
      </c>
      <c r="I205" s="6">
        <f>1.6*1.05</f>
        <v>1.6800000000000002</v>
      </c>
      <c r="J205" s="6">
        <f t="shared" si="61"/>
        <v>1.3200000000000003</v>
      </c>
      <c r="K205" s="6">
        <f t="shared" si="58"/>
        <v>1.3200000000000003</v>
      </c>
      <c r="L205" s="7" t="str">
        <f t="shared" si="59"/>
        <v>открыт</v>
      </c>
      <c r="M205" s="48"/>
      <c r="N205" s="5">
        <v>139</v>
      </c>
      <c r="O205" s="33" t="s">
        <v>223</v>
      </c>
      <c r="P205" s="140" t="s">
        <v>31</v>
      </c>
      <c r="Q205" s="18">
        <v>0.06</v>
      </c>
      <c r="R205" s="18">
        <f t="shared" si="57"/>
        <v>0.42</v>
      </c>
      <c r="S205" s="154">
        <f t="shared" si="55"/>
        <v>0</v>
      </c>
      <c r="T205" s="42"/>
      <c r="U205" s="18">
        <f t="shared" si="62"/>
        <v>0.42</v>
      </c>
      <c r="V205" s="140">
        <v>0</v>
      </c>
      <c r="W205" s="154">
        <f t="shared" si="63"/>
        <v>1.6800000000000002</v>
      </c>
      <c r="X205" s="55">
        <f t="shared" si="64"/>
        <v>1.2600000000000002</v>
      </c>
      <c r="Y205" s="56">
        <f t="shared" si="66"/>
        <v>1.2600000000000002</v>
      </c>
      <c r="Z205" s="31" t="str">
        <f t="shared" si="67"/>
        <v>открыт</v>
      </c>
    </row>
    <row r="206" spans="1:26" s="1" customFormat="1" ht="11.25" x14ac:dyDescent="0.2">
      <c r="A206" s="5">
        <v>140</v>
      </c>
      <c r="B206" s="37" t="s">
        <v>224</v>
      </c>
      <c r="C206" s="38" t="s">
        <v>26</v>
      </c>
      <c r="D206" s="6">
        <v>0.1</v>
      </c>
      <c r="E206" s="38">
        <v>0</v>
      </c>
      <c r="F206" s="38" t="s">
        <v>225</v>
      </c>
      <c r="G206" s="6">
        <f t="shared" si="60"/>
        <v>0.1</v>
      </c>
      <c r="H206" s="38">
        <v>0</v>
      </c>
      <c r="I206" s="6">
        <f>1.6*1.05</f>
        <v>1.6800000000000002</v>
      </c>
      <c r="J206" s="6">
        <f t="shared" si="61"/>
        <v>1.58</v>
      </c>
      <c r="K206" s="38">
        <f t="shared" si="58"/>
        <v>1.58</v>
      </c>
      <c r="L206" s="53" t="str">
        <f t="shared" si="59"/>
        <v>открыт</v>
      </c>
      <c r="M206" s="48"/>
      <c r="N206" s="5">
        <v>140</v>
      </c>
      <c r="O206" s="40" t="s">
        <v>224</v>
      </c>
      <c r="P206" s="38" t="s">
        <v>26</v>
      </c>
      <c r="Q206" s="18">
        <v>0</v>
      </c>
      <c r="R206" s="41">
        <f t="shared" si="57"/>
        <v>0.1</v>
      </c>
      <c r="S206" s="154">
        <f t="shared" si="55"/>
        <v>0</v>
      </c>
      <c r="T206" s="42" t="s">
        <v>225</v>
      </c>
      <c r="U206" s="18">
        <f t="shared" si="62"/>
        <v>0.1</v>
      </c>
      <c r="V206" s="38">
        <v>0</v>
      </c>
      <c r="W206" s="154">
        <f t="shared" si="63"/>
        <v>1.6800000000000002</v>
      </c>
      <c r="X206" s="55">
        <f t="shared" si="64"/>
        <v>1.58</v>
      </c>
      <c r="Y206" s="54">
        <f t="shared" si="66"/>
        <v>1.58</v>
      </c>
      <c r="Z206" s="39" t="str">
        <f t="shared" si="67"/>
        <v>открыт</v>
      </c>
    </row>
    <row r="207" spans="1:26" s="1" customFormat="1" ht="11.25" x14ac:dyDescent="0.2">
      <c r="A207" s="5">
        <v>141</v>
      </c>
      <c r="B207" s="32" t="s">
        <v>226</v>
      </c>
      <c r="C207" s="6" t="s">
        <v>26</v>
      </c>
      <c r="D207" s="6">
        <v>0.97</v>
      </c>
      <c r="E207" s="6">
        <v>0.52</v>
      </c>
      <c r="F207" s="6">
        <v>20</v>
      </c>
      <c r="G207" s="6">
        <f t="shared" si="60"/>
        <v>0.44999999999999996</v>
      </c>
      <c r="H207" s="6">
        <v>0</v>
      </c>
      <c r="I207" s="6">
        <f>1.6*1.05</f>
        <v>1.6800000000000002</v>
      </c>
      <c r="J207" s="6">
        <f t="shared" si="61"/>
        <v>1.2300000000000002</v>
      </c>
      <c r="K207" s="6">
        <f t="shared" si="58"/>
        <v>1.2300000000000002</v>
      </c>
      <c r="L207" s="7" t="str">
        <f t="shared" si="59"/>
        <v>открыт</v>
      </c>
      <c r="M207" s="48"/>
      <c r="N207" s="5">
        <v>141</v>
      </c>
      <c r="O207" s="33" t="s">
        <v>226</v>
      </c>
      <c r="P207" s="140" t="s">
        <v>26</v>
      </c>
      <c r="Q207" s="18">
        <v>3.5000000000000003E-2</v>
      </c>
      <c r="R207" s="18">
        <f t="shared" si="57"/>
        <v>1.0049999999999999</v>
      </c>
      <c r="S207" s="154">
        <f t="shared" si="55"/>
        <v>0.52</v>
      </c>
      <c r="T207" s="42">
        <f t="shared" si="55"/>
        <v>20</v>
      </c>
      <c r="U207" s="18">
        <f t="shared" si="62"/>
        <v>0.48499999999999988</v>
      </c>
      <c r="V207" s="140">
        <v>0</v>
      </c>
      <c r="W207" s="154">
        <f t="shared" si="63"/>
        <v>1.6800000000000002</v>
      </c>
      <c r="X207" s="55">
        <f t="shared" si="64"/>
        <v>1.1950000000000003</v>
      </c>
      <c r="Y207" s="56">
        <f t="shared" si="66"/>
        <v>1.1950000000000003</v>
      </c>
      <c r="Z207" s="31" t="str">
        <f t="shared" si="67"/>
        <v>открыт</v>
      </c>
    </row>
    <row r="208" spans="1:26" s="1" customFormat="1" ht="11.25" x14ac:dyDescent="0.2">
      <c r="A208" s="5">
        <v>142</v>
      </c>
      <c r="B208" s="32" t="s">
        <v>227</v>
      </c>
      <c r="C208" s="6" t="s">
        <v>32</v>
      </c>
      <c r="D208" s="6">
        <v>2.06</v>
      </c>
      <c r="E208" s="6">
        <v>0.31</v>
      </c>
      <c r="F208" s="6">
        <v>80</v>
      </c>
      <c r="G208" s="6">
        <f t="shared" si="60"/>
        <v>1.75</v>
      </c>
      <c r="H208" s="6">
        <v>0</v>
      </c>
      <c r="I208" s="6">
        <f>4*1.05</f>
        <v>4.2</v>
      </c>
      <c r="J208" s="6">
        <f t="shared" si="61"/>
        <v>2.4500000000000002</v>
      </c>
      <c r="K208" s="6">
        <f t="shared" si="58"/>
        <v>2.4500000000000002</v>
      </c>
      <c r="L208" s="7" t="str">
        <f t="shared" si="59"/>
        <v>открыт</v>
      </c>
      <c r="M208" s="48"/>
      <c r="N208" s="5">
        <v>142</v>
      </c>
      <c r="O208" s="33" t="s">
        <v>227</v>
      </c>
      <c r="P208" s="140" t="s">
        <v>32</v>
      </c>
      <c r="Q208" s="18">
        <v>0.29299999999999998</v>
      </c>
      <c r="R208" s="18">
        <f t="shared" si="57"/>
        <v>2.3530000000000002</v>
      </c>
      <c r="S208" s="154">
        <f t="shared" si="55"/>
        <v>0.31</v>
      </c>
      <c r="T208" s="42">
        <f t="shared" si="55"/>
        <v>80</v>
      </c>
      <c r="U208" s="18">
        <f t="shared" si="62"/>
        <v>2.0430000000000001</v>
      </c>
      <c r="V208" s="140">
        <v>0</v>
      </c>
      <c r="W208" s="154">
        <f t="shared" si="63"/>
        <v>4.2</v>
      </c>
      <c r="X208" s="55">
        <f t="shared" si="64"/>
        <v>2.157</v>
      </c>
      <c r="Y208" s="56">
        <f t="shared" si="66"/>
        <v>2.157</v>
      </c>
      <c r="Z208" s="31" t="str">
        <f t="shared" si="67"/>
        <v>открыт</v>
      </c>
    </row>
    <row r="209" spans="1:26" s="1" customFormat="1" ht="17.25" customHeight="1" x14ac:dyDescent="0.2">
      <c r="A209" s="64"/>
      <c r="B209" s="65" t="s">
        <v>41</v>
      </c>
      <c r="C209" s="66"/>
      <c r="D209" s="66"/>
      <c r="E209" s="67"/>
      <c r="F209" s="67"/>
      <c r="G209" s="66"/>
      <c r="H209" s="66"/>
      <c r="I209" s="66"/>
      <c r="J209" s="66"/>
      <c r="K209" s="66"/>
      <c r="L209" s="68"/>
      <c r="M209" s="48"/>
      <c r="N209" s="69"/>
      <c r="O209" s="176" t="s">
        <v>41</v>
      </c>
      <c r="P209" s="66"/>
      <c r="Q209" s="70">
        <f>SUM(Q8:Q208)</f>
        <v>134.27399999999997</v>
      </c>
      <c r="R209" s="71">
        <f>SUM(R8:R208)</f>
        <v>737.20400000000006</v>
      </c>
      <c r="S209" s="177"/>
      <c r="T209" s="177"/>
      <c r="U209" s="177"/>
      <c r="V209" s="177"/>
      <c r="W209" s="177"/>
      <c r="X209" s="177"/>
      <c r="Y209" s="177"/>
      <c r="Z209" s="177"/>
    </row>
    <row r="210" spans="1:26" s="1" customFormat="1" ht="18.75" customHeight="1" x14ac:dyDescent="0.2">
      <c r="A210" s="64"/>
      <c r="B210" s="72" t="s">
        <v>13</v>
      </c>
      <c r="C210" s="66"/>
      <c r="D210" s="66"/>
      <c r="E210" s="66"/>
      <c r="F210" s="66"/>
      <c r="G210" s="66"/>
      <c r="H210" s="66"/>
      <c r="I210" s="66"/>
      <c r="J210" s="66"/>
      <c r="K210" s="73">
        <f>K18+K25+K34+K46+K200</f>
        <v>-2.3699999999999997</v>
      </c>
      <c r="L210" s="68"/>
      <c r="M210" s="48"/>
      <c r="N210" s="69"/>
      <c r="O210" s="177" t="s">
        <v>13</v>
      </c>
      <c r="P210" s="66"/>
      <c r="Q210" s="178"/>
      <c r="R210" s="177"/>
      <c r="S210" s="177"/>
      <c r="T210" s="177"/>
      <c r="U210" s="177"/>
      <c r="V210" s="177"/>
      <c r="W210" s="177"/>
      <c r="X210" s="177"/>
      <c r="Y210" s="74">
        <f>Y15+Y18+Y25+Y34+Y46+Y70+Y125+Y200+Y79+Y81</f>
        <v>-22.226999999999997</v>
      </c>
      <c r="Z210" s="177"/>
    </row>
    <row r="211" spans="1:26" s="1" customFormat="1" ht="11.25" x14ac:dyDescent="0.2">
      <c r="A211" s="64"/>
      <c r="B211" s="72" t="s">
        <v>14</v>
      </c>
      <c r="C211" s="66"/>
      <c r="D211" s="66"/>
      <c r="E211" s="66"/>
      <c r="F211" s="66"/>
      <c r="G211" s="66"/>
      <c r="H211" s="66"/>
      <c r="I211" s="66"/>
      <c r="J211" s="66"/>
      <c r="K211" s="75">
        <f>SUM(K8:K17)+SUM(K21:K33)+SUM(K35:K45)+SUM(K49:K199)+SUM(K201:K208)</f>
        <v>599.55499999999984</v>
      </c>
      <c r="L211" s="68"/>
      <c r="M211" s="48"/>
      <c r="N211" s="69"/>
      <c r="O211" s="177" t="s">
        <v>14</v>
      </c>
      <c r="P211" s="66"/>
      <c r="Q211" s="178"/>
      <c r="R211" s="177"/>
      <c r="S211" s="177"/>
      <c r="T211" s="177"/>
      <c r="U211" s="177"/>
      <c r="V211" s="177"/>
      <c r="W211" s="177"/>
      <c r="X211" s="177"/>
      <c r="Y211" s="76">
        <f>SUM(Y8:Y14)+SUM(Y21:Y24)+SUM(Y28:Y32)+SUM(Y35:Y45)+SUM(Y49:Y69)+Y71+Y72+Y75+Y76+Y77+Y79+Y80+Y84+Y87+SUM(Y88:Y99)+SUM(Y101:Y125)+SUM(Y127:Y199)+SUM(Y201:Y208)</f>
        <v>457.08000000000004</v>
      </c>
      <c r="Z211" s="177"/>
    </row>
    <row r="212" spans="1:26" x14ac:dyDescent="0.25">
      <c r="A212" s="77"/>
      <c r="B212" s="78"/>
      <c r="C212" s="79"/>
      <c r="D212" s="79"/>
      <c r="E212" s="79"/>
      <c r="F212" s="79"/>
      <c r="G212" s="77"/>
      <c r="H212" s="77"/>
      <c r="I212" s="77"/>
      <c r="J212" s="80"/>
      <c r="K212" s="81"/>
      <c r="L212" s="78"/>
      <c r="M212" s="82"/>
      <c r="Y212" s="180"/>
    </row>
    <row r="213" spans="1:26" x14ac:dyDescent="0.25">
      <c r="A213" s="83" t="s">
        <v>228</v>
      </c>
      <c r="B213" s="207" t="s">
        <v>229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M213" s="82"/>
    </row>
    <row r="214" spans="1:26" x14ac:dyDescent="0.25">
      <c r="B214" s="207" t="s">
        <v>230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M214" s="82"/>
    </row>
    <row r="215" spans="1:26" x14ac:dyDescent="0.25">
      <c r="M215" s="84"/>
      <c r="W215" s="181"/>
    </row>
    <row r="220" spans="1:26" x14ac:dyDescent="0.25">
      <c r="K220" s="126"/>
    </row>
  </sheetData>
  <mergeCells count="132">
    <mergeCell ref="B213:K213"/>
    <mergeCell ref="B214:K214"/>
    <mergeCell ref="A181:A183"/>
    <mergeCell ref="K181:K183"/>
    <mergeCell ref="L181:L183"/>
    <mergeCell ref="N181:N183"/>
    <mergeCell ref="A175:A177"/>
    <mergeCell ref="K175:K177"/>
    <mergeCell ref="L175:L177"/>
    <mergeCell ref="N175:N177"/>
    <mergeCell ref="A169:A171"/>
    <mergeCell ref="K169:K171"/>
    <mergeCell ref="L169:L171"/>
    <mergeCell ref="N169:N171"/>
    <mergeCell ref="A172:A174"/>
    <mergeCell ref="K172:K174"/>
    <mergeCell ref="L172:L174"/>
    <mergeCell ref="N172:N174"/>
    <mergeCell ref="A178:A180"/>
    <mergeCell ref="K178:K180"/>
    <mergeCell ref="L178:L180"/>
    <mergeCell ref="N178:N180"/>
    <mergeCell ref="A144:A146"/>
    <mergeCell ref="K144:K146"/>
    <mergeCell ref="L144:L146"/>
    <mergeCell ref="N144:N146"/>
    <mergeCell ref="A163:A165"/>
    <mergeCell ref="K163:K165"/>
    <mergeCell ref="L163:L165"/>
    <mergeCell ref="N163:N165"/>
    <mergeCell ref="A166:A168"/>
    <mergeCell ref="K166:K168"/>
    <mergeCell ref="L166:L168"/>
    <mergeCell ref="N166:N168"/>
    <mergeCell ref="A134:A136"/>
    <mergeCell ref="K134:K136"/>
    <mergeCell ref="L134:L136"/>
    <mergeCell ref="N134:N136"/>
    <mergeCell ref="A138:A140"/>
    <mergeCell ref="K138:K140"/>
    <mergeCell ref="L138:L140"/>
    <mergeCell ref="N138:N140"/>
    <mergeCell ref="A141:A143"/>
    <mergeCell ref="K141:K143"/>
    <mergeCell ref="L141:L143"/>
    <mergeCell ref="N141:N143"/>
    <mergeCell ref="A120:A122"/>
    <mergeCell ref="K120:K122"/>
    <mergeCell ref="L120:L122"/>
    <mergeCell ref="N120:N122"/>
    <mergeCell ref="A127:A129"/>
    <mergeCell ref="K127:K129"/>
    <mergeCell ref="L127:L129"/>
    <mergeCell ref="N127:N129"/>
    <mergeCell ref="A130:A132"/>
    <mergeCell ref="K130:K132"/>
    <mergeCell ref="L130:L132"/>
    <mergeCell ref="N130:N132"/>
    <mergeCell ref="A102:A104"/>
    <mergeCell ref="K102:K104"/>
    <mergeCell ref="L102:L104"/>
    <mergeCell ref="N102:N104"/>
    <mergeCell ref="A106:A109"/>
    <mergeCell ref="K106:K109"/>
    <mergeCell ref="L106:L109"/>
    <mergeCell ref="N106:N109"/>
    <mergeCell ref="A117:A119"/>
    <mergeCell ref="K117:K119"/>
    <mergeCell ref="L117:L119"/>
    <mergeCell ref="N117:N119"/>
    <mergeCell ref="A81:A83"/>
    <mergeCell ref="K81:K83"/>
    <mergeCell ref="L81:L83"/>
    <mergeCell ref="N81:N83"/>
    <mergeCell ref="A84:A86"/>
    <mergeCell ref="K84:K86"/>
    <mergeCell ref="L84:L86"/>
    <mergeCell ref="N84:N86"/>
    <mergeCell ref="A94:A96"/>
    <mergeCell ref="K94:K96"/>
    <mergeCell ref="L94:L96"/>
    <mergeCell ref="N94:N96"/>
    <mergeCell ref="A49:A51"/>
    <mergeCell ref="K49:K51"/>
    <mergeCell ref="L49:L51"/>
    <mergeCell ref="N49:N51"/>
    <mergeCell ref="A65:A67"/>
    <mergeCell ref="K65:K67"/>
    <mergeCell ref="L65:L67"/>
    <mergeCell ref="N65:N67"/>
    <mergeCell ref="A72:A74"/>
    <mergeCell ref="K72:K74"/>
    <mergeCell ref="L72:L74"/>
    <mergeCell ref="N72:N74"/>
    <mergeCell ref="A30:A32"/>
    <mergeCell ref="K30:K32"/>
    <mergeCell ref="L30:L32"/>
    <mergeCell ref="N30:N32"/>
    <mergeCell ref="A43:A45"/>
    <mergeCell ref="K43:K45"/>
    <mergeCell ref="L43:L45"/>
    <mergeCell ref="N43:N45"/>
    <mergeCell ref="A46:A48"/>
    <mergeCell ref="K46:K48"/>
    <mergeCell ref="L46:L48"/>
    <mergeCell ref="N46:N48"/>
    <mergeCell ref="A15:A17"/>
    <mergeCell ref="K15:K17"/>
    <mergeCell ref="L15:L17"/>
    <mergeCell ref="N15:N17"/>
    <mergeCell ref="A18:A20"/>
    <mergeCell ref="K18:K20"/>
    <mergeCell ref="L18:L20"/>
    <mergeCell ref="N18:N20"/>
    <mergeCell ref="A25:A27"/>
    <mergeCell ref="K25:K27"/>
    <mergeCell ref="L25:L27"/>
    <mergeCell ref="N25:N27"/>
    <mergeCell ref="A2:L2"/>
    <mergeCell ref="A4:A6"/>
    <mergeCell ref="B4:B6"/>
    <mergeCell ref="C4:K4"/>
    <mergeCell ref="L4:L6"/>
    <mergeCell ref="N4:N6"/>
    <mergeCell ref="K5:K6"/>
    <mergeCell ref="C5:C6"/>
    <mergeCell ref="D5:D6"/>
    <mergeCell ref="E5:F5"/>
    <mergeCell ref="G5:G6"/>
    <mergeCell ref="H5:H6"/>
    <mergeCell ref="I5:I6"/>
    <mergeCell ref="J5:J6"/>
  </mergeCells>
  <pageMargins left="0.23622047244094491" right="0.19685039370078741" top="0.28000000000000003" bottom="0.28000000000000003" header="0.18" footer="0.18"/>
  <pageSetup paperSize="9" scale="80" fitToHeight="8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M147"/>
  <sheetViews>
    <sheetView tabSelected="1" zoomScale="90" zoomScaleNormal="90" zoomScaleSheetLayoutView="100" workbookViewId="0">
      <selection activeCell="A9" sqref="A9"/>
    </sheetView>
  </sheetViews>
  <sheetFormatPr defaultRowHeight="15" x14ac:dyDescent="0.25"/>
  <cols>
    <col min="1" max="1" width="34.42578125" style="20" customWidth="1"/>
    <col min="2" max="2" width="16.7109375" style="20" customWidth="1"/>
    <col min="3" max="3" width="16.85546875" style="20" customWidth="1"/>
    <col min="4" max="4" width="12" style="20" customWidth="1"/>
    <col min="5" max="5" width="18.140625" style="20" customWidth="1"/>
    <col min="6" max="7" width="13.5703125" style="182" customWidth="1"/>
    <col min="8" max="8" width="13.7109375" style="20" customWidth="1"/>
    <col min="9" max="9" width="13.7109375" style="193" customWidth="1"/>
    <col min="10" max="10" width="10.85546875" style="20" customWidth="1"/>
    <col min="11" max="11" width="14.42578125" style="20" customWidth="1"/>
    <col min="12" max="12" width="14.7109375" style="20" customWidth="1"/>
    <col min="13" max="13" width="13.5703125" style="20" customWidth="1"/>
  </cols>
  <sheetData>
    <row r="5" spans="1:13" ht="81.75" customHeight="1" x14ac:dyDescent="0.25">
      <c r="A5" s="183" t="s">
        <v>2</v>
      </c>
      <c r="B5" s="183" t="s">
        <v>284</v>
      </c>
      <c r="C5" s="183" t="s">
        <v>285</v>
      </c>
      <c r="D5" s="183" t="s">
        <v>286</v>
      </c>
      <c r="E5" s="183" t="s">
        <v>287</v>
      </c>
      <c r="F5" s="183" t="s">
        <v>288</v>
      </c>
      <c r="G5" s="184" t="s">
        <v>289</v>
      </c>
      <c r="H5" s="183" t="s">
        <v>290</v>
      </c>
      <c r="I5" s="185" t="s">
        <v>291</v>
      </c>
      <c r="J5" s="183" t="s">
        <v>49</v>
      </c>
      <c r="K5" s="183" t="s">
        <v>48</v>
      </c>
      <c r="L5" s="183" t="s">
        <v>47</v>
      </c>
      <c r="M5" s="183" t="s">
        <v>46</v>
      </c>
    </row>
    <row r="6" spans="1:13" x14ac:dyDescent="0.25">
      <c r="A6" s="186" t="s">
        <v>52</v>
      </c>
      <c r="B6" s="187">
        <v>1983</v>
      </c>
      <c r="C6" s="186">
        <v>2.5</v>
      </c>
      <c r="D6" s="188">
        <v>0.67</v>
      </c>
      <c r="E6" s="186">
        <v>0.15999999999999992</v>
      </c>
      <c r="F6" s="195">
        <v>0.13300000000000001</v>
      </c>
      <c r="G6" s="188">
        <v>9.9750000000000005E-2</v>
      </c>
      <c r="H6" s="189">
        <v>2.6999999999999913E-2</v>
      </c>
      <c r="I6" s="189"/>
      <c r="J6" s="186" t="s">
        <v>238</v>
      </c>
      <c r="K6" s="186" t="s">
        <v>238</v>
      </c>
      <c r="L6" s="190">
        <v>52.825388668254824</v>
      </c>
      <c r="M6" s="190">
        <v>35.595744284018295</v>
      </c>
    </row>
    <row r="7" spans="1:13" x14ac:dyDescent="0.25">
      <c r="A7" s="186" t="s">
        <v>53</v>
      </c>
      <c r="B7" s="187">
        <v>1986</v>
      </c>
      <c r="C7" s="186">
        <v>2.5</v>
      </c>
      <c r="D7" s="188">
        <v>0.24</v>
      </c>
      <c r="E7" s="186">
        <v>0.67</v>
      </c>
      <c r="F7" s="195">
        <v>7.0000000000000001E-3</v>
      </c>
      <c r="G7" s="188">
        <v>5.2500000000000003E-3</v>
      </c>
      <c r="H7" s="189">
        <v>2.6999999999999913E-2</v>
      </c>
      <c r="I7" s="189"/>
      <c r="J7" s="186" t="s">
        <v>238</v>
      </c>
      <c r="K7" s="186" t="s">
        <v>238</v>
      </c>
      <c r="L7" s="190">
        <v>52.409466233978662</v>
      </c>
      <c r="M7" s="190">
        <v>35.984171614920804</v>
      </c>
    </row>
    <row r="8" spans="1:13" x14ac:dyDescent="0.25">
      <c r="A8" s="186" t="s">
        <v>54</v>
      </c>
      <c r="B8" s="187">
        <v>1980</v>
      </c>
      <c r="C8" s="186">
        <v>2.5</v>
      </c>
      <c r="D8" s="188">
        <v>0.73</v>
      </c>
      <c r="E8" s="186">
        <v>0.87000000000000011</v>
      </c>
      <c r="F8" s="195">
        <v>0.124</v>
      </c>
      <c r="G8" s="188">
        <v>9.2999999999999999E-2</v>
      </c>
      <c r="H8" s="189">
        <v>2.6999999999999913E-2</v>
      </c>
      <c r="I8" s="189"/>
      <c r="J8" s="186" t="s">
        <v>238</v>
      </c>
      <c r="K8" s="186" t="s">
        <v>238</v>
      </c>
      <c r="L8" s="191">
        <v>52.559096301409944</v>
      </c>
      <c r="M8" s="191">
        <v>35.765073340812286</v>
      </c>
    </row>
    <row r="9" spans="1:13" x14ac:dyDescent="0.25">
      <c r="A9" s="186" t="s">
        <v>55</v>
      </c>
      <c r="B9" s="187" t="s">
        <v>239</v>
      </c>
      <c r="C9" s="186">
        <v>3.2</v>
      </c>
      <c r="D9" s="188">
        <v>0.36</v>
      </c>
      <c r="E9" s="186">
        <v>1.2000000000000002</v>
      </c>
      <c r="F9" s="195">
        <v>9.8000000000000004E-2</v>
      </c>
      <c r="G9" s="188">
        <v>7.350000000000001E-2</v>
      </c>
      <c r="H9" s="189">
        <v>1.1020000000000001</v>
      </c>
      <c r="I9" s="189"/>
      <c r="J9" s="186" t="s">
        <v>238</v>
      </c>
      <c r="K9" s="186" t="s">
        <v>238</v>
      </c>
      <c r="L9" s="191">
        <v>52.352406679757301</v>
      </c>
      <c r="M9" s="191">
        <v>36.623247132860683</v>
      </c>
    </row>
    <row r="10" spans="1:13" x14ac:dyDescent="0.25">
      <c r="A10" s="186" t="s">
        <v>56</v>
      </c>
      <c r="B10" s="187" t="s">
        <v>240</v>
      </c>
      <c r="C10" s="186">
        <v>1.6</v>
      </c>
      <c r="D10" s="188">
        <v>0.19</v>
      </c>
      <c r="E10" s="186">
        <v>0.52</v>
      </c>
      <c r="F10" s="195">
        <v>1.7000000000000001E-2</v>
      </c>
      <c r="G10" s="188">
        <v>1.2750000000000001E-2</v>
      </c>
      <c r="H10" s="189">
        <v>1.1020000000000001</v>
      </c>
      <c r="I10" s="189"/>
      <c r="J10" s="186" t="s">
        <v>238</v>
      </c>
      <c r="K10" s="186" t="s">
        <v>238</v>
      </c>
      <c r="L10" s="191">
        <v>52.391142559311966</v>
      </c>
      <c r="M10" s="191">
        <v>35.021670145231703</v>
      </c>
    </row>
    <row r="11" spans="1:13" x14ac:dyDescent="0.25">
      <c r="A11" s="186" t="s">
        <v>57</v>
      </c>
      <c r="B11" s="187">
        <v>1988</v>
      </c>
      <c r="C11" s="186">
        <v>2.5</v>
      </c>
      <c r="D11" s="188">
        <v>0.68</v>
      </c>
      <c r="E11" s="186">
        <v>0.92</v>
      </c>
      <c r="F11" s="195">
        <v>4.1000000000000002E-2</v>
      </c>
      <c r="G11" s="188">
        <v>3.075E-2</v>
      </c>
      <c r="H11" s="189">
        <v>1.1020000000000001</v>
      </c>
      <c r="I11" s="189"/>
      <c r="J11" s="186" t="s">
        <v>238</v>
      </c>
      <c r="K11" s="186" t="s">
        <v>238</v>
      </c>
      <c r="L11" s="191">
        <v>52.420647199753979</v>
      </c>
      <c r="M11" s="191">
        <v>36.627515600372035</v>
      </c>
    </row>
    <row r="12" spans="1:13" x14ac:dyDescent="0.25">
      <c r="A12" s="186" t="s">
        <v>58</v>
      </c>
      <c r="B12" s="187" t="s">
        <v>241</v>
      </c>
      <c r="C12" s="186">
        <v>1.6</v>
      </c>
      <c r="D12" s="188">
        <v>0.32</v>
      </c>
      <c r="E12" s="186">
        <v>0.97</v>
      </c>
      <c r="F12" s="195">
        <v>2.7E-2</v>
      </c>
      <c r="G12" s="188">
        <v>2.0250000000000001E-2</v>
      </c>
      <c r="H12" s="189">
        <v>0.94300000000000006</v>
      </c>
      <c r="I12" s="189"/>
      <c r="J12" s="186" t="s">
        <v>238</v>
      </c>
      <c r="K12" s="186" t="s">
        <v>238</v>
      </c>
      <c r="L12" s="191">
        <v>52.649838183776481</v>
      </c>
      <c r="M12" s="191">
        <v>36.192577925871035</v>
      </c>
    </row>
    <row r="13" spans="1:13" x14ac:dyDescent="0.25">
      <c r="A13" s="186" t="s">
        <v>59</v>
      </c>
      <c r="B13" s="187">
        <v>1984</v>
      </c>
      <c r="C13" s="186">
        <v>10</v>
      </c>
      <c r="D13" s="188">
        <v>5.17</v>
      </c>
      <c r="E13" s="186">
        <v>0.45000000000000018</v>
      </c>
      <c r="F13" s="195">
        <v>3.4119999999999999</v>
      </c>
      <c r="G13" s="188">
        <v>2.5590000000000002</v>
      </c>
      <c r="H13" s="189">
        <v>0</v>
      </c>
      <c r="I13" s="189"/>
      <c r="J13" s="186" t="s">
        <v>238</v>
      </c>
      <c r="K13" s="186" t="s">
        <v>23</v>
      </c>
      <c r="L13" s="191">
        <v>52.41380612130822</v>
      </c>
      <c r="M13" s="191">
        <v>36.50788182362411</v>
      </c>
    </row>
    <row r="14" spans="1:13" x14ac:dyDescent="0.25">
      <c r="A14" s="186" t="s">
        <v>62</v>
      </c>
      <c r="B14" s="187">
        <v>1998</v>
      </c>
      <c r="C14" s="186">
        <v>16</v>
      </c>
      <c r="D14" s="188">
        <v>3.37</v>
      </c>
      <c r="E14" s="186">
        <v>-2.9999999999999805E-2</v>
      </c>
      <c r="F14" s="195">
        <v>0.47199999999999998</v>
      </c>
      <c r="G14" s="188">
        <v>0.35399999999999998</v>
      </c>
      <c r="H14" s="189">
        <v>0</v>
      </c>
      <c r="I14" s="194"/>
      <c r="J14" s="186" t="s">
        <v>238</v>
      </c>
      <c r="K14" s="186" t="s">
        <v>23</v>
      </c>
      <c r="L14" s="191">
        <v>52.507877162436571</v>
      </c>
      <c r="M14" s="191">
        <v>36.353281806384295</v>
      </c>
    </row>
    <row r="15" spans="1:13" x14ac:dyDescent="0.25">
      <c r="A15" s="187" t="s">
        <v>63</v>
      </c>
      <c r="B15" s="187" t="s">
        <v>242</v>
      </c>
      <c r="C15" s="186">
        <v>2.5</v>
      </c>
      <c r="D15" s="188">
        <v>0.71</v>
      </c>
      <c r="E15" s="186">
        <v>0.62000000000000011</v>
      </c>
      <c r="F15" s="195">
        <v>3.4000000000000002E-2</v>
      </c>
      <c r="G15" s="188">
        <v>2.5500000000000002E-2</v>
      </c>
      <c r="H15" s="189">
        <v>0.58600000000000008</v>
      </c>
      <c r="I15" s="189"/>
      <c r="J15" s="186" t="s">
        <v>238</v>
      </c>
      <c r="K15" s="186" t="s">
        <v>238</v>
      </c>
      <c r="L15" s="191">
        <v>52.65740470444279</v>
      </c>
      <c r="M15" s="191">
        <v>36.045246075761874</v>
      </c>
    </row>
    <row r="16" spans="1:13" x14ac:dyDescent="0.25">
      <c r="A16" s="187" t="s">
        <v>64</v>
      </c>
      <c r="B16" s="187">
        <v>1978</v>
      </c>
      <c r="C16" s="186">
        <v>1.8</v>
      </c>
      <c r="D16" s="188">
        <v>0.19</v>
      </c>
      <c r="E16" s="186">
        <v>0.28999999999999998</v>
      </c>
      <c r="F16" s="195">
        <v>0</v>
      </c>
      <c r="G16" s="188">
        <v>0</v>
      </c>
      <c r="H16" s="189">
        <v>0.28999999999999998</v>
      </c>
      <c r="I16" s="189"/>
      <c r="J16" s="186" t="s">
        <v>238</v>
      </c>
      <c r="K16" s="186" t="s">
        <v>238</v>
      </c>
      <c r="L16" s="191">
        <v>53.161589688086373</v>
      </c>
      <c r="M16" s="191">
        <v>35.695044459236023</v>
      </c>
    </row>
    <row r="17" spans="1:13" x14ac:dyDescent="0.25">
      <c r="A17" s="186" t="s">
        <v>65</v>
      </c>
      <c r="B17" s="187">
        <v>1989</v>
      </c>
      <c r="C17" s="186">
        <v>1.6</v>
      </c>
      <c r="D17" s="188">
        <v>0.48</v>
      </c>
      <c r="E17" s="186">
        <v>0.81</v>
      </c>
      <c r="F17" s="195">
        <v>3.3000000000000002E-2</v>
      </c>
      <c r="G17" s="188">
        <v>2.4750000000000001E-2</v>
      </c>
      <c r="H17" s="189">
        <v>0.77700000000000002</v>
      </c>
      <c r="I17" s="189"/>
      <c r="J17" s="186" t="s">
        <v>238</v>
      </c>
      <c r="K17" s="186" t="s">
        <v>238</v>
      </c>
      <c r="L17" s="191">
        <v>52.422800967264472</v>
      </c>
      <c r="M17" s="191">
        <v>36.16497103400868</v>
      </c>
    </row>
    <row r="18" spans="1:13" x14ac:dyDescent="0.25">
      <c r="A18" s="186" t="s">
        <v>66</v>
      </c>
      <c r="B18" s="187">
        <v>1985</v>
      </c>
      <c r="C18" s="186">
        <v>2.5</v>
      </c>
      <c r="D18" s="188">
        <v>0.37</v>
      </c>
      <c r="E18" s="186">
        <v>0.59</v>
      </c>
      <c r="F18" s="195">
        <v>0</v>
      </c>
      <c r="G18" s="188">
        <v>0</v>
      </c>
      <c r="H18" s="189">
        <v>0.59</v>
      </c>
      <c r="I18" s="189"/>
      <c r="J18" s="186" t="s">
        <v>238</v>
      </c>
      <c r="K18" s="186" t="s">
        <v>238</v>
      </c>
      <c r="L18" s="191">
        <v>52.851954502813854</v>
      </c>
      <c r="M18" s="191">
        <v>34.974128783789794</v>
      </c>
    </row>
    <row r="19" spans="1:13" x14ac:dyDescent="0.25">
      <c r="A19" s="186" t="s">
        <v>67</v>
      </c>
      <c r="B19" s="187">
        <v>1982</v>
      </c>
      <c r="C19" s="186">
        <v>16</v>
      </c>
      <c r="D19" s="188">
        <v>3.74</v>
      </c>
      <c r="E19" s="186">
        <v>-0.30000000000000027</v>
      </c>
      <c r="F19" s="195">
        <v>0.40400000000000003</v>
      </c>
      <c r="G19" s="188">
        <v>0.30300000000000005</v>
      </c>
      <c r="H19" s="189">
        <v>0</v>
      </c>
      <c r="I19" s="194"/>
      <c r="J19" s="186" t="s">
        <v>238</v>
      </c>
      <c r="K19" s="186" t="s">
        <v>23</v>
      </c>
      <c r="L19" s="191">
        <v>52.440953793510261</v>
      </c>
      <c r="M19" s="191">
        <v>35.766929886325023</v>
      </c>
    </row>
    <row r="20" spans="1:13" x14ac:dyDescent="0.25">
      <c r="A20" s="186" t="s">
        <v>68</v>
      </c>
      <c r="B20" s="187">
        <v>1959</v>
      </c>
      <c r="C20" s="186">
        <v>5.6</v>
      </c>
      <c r="D20" s="188">
        <v>0.1</v>
      </c>
      <c r="E20" s="186">
        <v>0.70000000000000007</v>
      </c>
      <c r="F20" s="195">
        <v>4.9000000000000002E-2</v>
      </c>
      <c r="G20" s="188">
        <v>3.6750000000000005E-2</v>
      </c>
      <c r="H20" s="189">
        <v>0.65100000000000002</v>
      </c>
      <c r="I20" s="189"/>
      <c r="J20" s="186" t="s">
        <v>238</v>
      </c>
      <c r="K20" s="186" t="s">
        <v>238</v>
      </c>
      <c r="L20" s="191">
        <v>52.862003834084547</v>
      </c>
      <c r="M20" s="191">
        <v>35.195388395870431</v>
      </c>
    </row>
    <row r="21" spans="1:13" x14ac:dyDescent="0.25">
      <c r="A21" s="186" t="s">
        <v>69</v>
      </c>
      <c r="B21" s="187">
        <v>1981</v>
      </c>
      <c r="C21" s="186">
        <v>2.5</v>
      </c>
      <c r="D21" s="188">
        <v>0.2</v>
      </c>
      <c r="E21" s="186">
        <v>0.87000000000000011</v>
      </c>
      <c r="F21" s="195">
        <v>2.9000000000000001E-2</v>
      </c>
      <c r="G21" s="188">
        <v>2.1750000000000002E-2</v>
      </c>
      <c r="H21" s="189">
        <v>0.84100000000000008</v>
      </c>
      <c r="I21" s="189"/>
      <c r="J21" s="186" t="s">
        <v>238</v>
      </c>
      <c r="K21" s="186" t="s">
        <v>238</v>
      </c>
      <c r="L21" s="191">
        <v>53.15100345377757</v>
      </c>
      <c r="M21" s="191">
        <v>35.249855349402644</v>
      </c>
    </row>
    <row r="22" spans="1:13" x14ac:dyDescent="0.25">
      <c r="A22" s="186" t="s">
        <v>70</v>
      </c>
      <c r="B22" s="187">
        <v>1986</v>
      </c>
      <c r="C22" s="186">
        <v>10</v>
      </c>
      <c r="D22" s="188">
        <v>3.95</v>
      </c>
      <c r="E22" s="186">
        <v>1.87</v>
      </c>
      <c r="F22" s="195">
        <v>0.64100000000000001</v>
      </c>
      <c r="G22" s="188">
        <v>0.48075000000000001</v>
      </c>
      <c r="H22" s="189">
        <v>0.80900000000000016</v>
      </c>
      <c r="I22" s="189"/>
      <c r="J22" s="186" t="s">
        <v>238</v>
      </c>
      <c r="K22" s="186" t="s">
        <v>238</v>
      </c>
      <c r="L22" s="191">
        <v>53.316047405387408</v>
      </c>
      <c r="M22" s="191">
        <v>36.58314489115952</v>
      </c>
    </row>
    <row r="23" spans="1:13" x14ac:dyDescent="0.25">
      <c r="A23" s="186" t="s">
        <v>71</v>
      </c>
      <c r="B23" s="187">
        <v>2007</v>
      </c>
      <c r="C23" s="186">
        <v>6.3</v>
      </c>
      <c r="D23" s="188">
        <v>2.1800000000000002</v>
      </c>
      <c r="E23" s="186">
        <v>0.96999999999999975</v>
      </c>
      <c r="F23" s="195">
        <v>3.5000000000000003E-2</v>
      </c>
      <c r="G23" s="188">
        <v>2.6250000000000002E-2</v>
      </c>
      <c r="H23" s="189">
        <v>0.93499999999999961</v>
      </c>
      <c r="I23" s="189"/>
      <c r="J23" s="186" t="s">
        <v>238</v>
      </c>
      <c r="K23" s="186" t="s">
        <v>238</v>
      </c>
      <c r="L23" s="191">
        <v>53.297297010238196</v>
      </c>
      <c r="M23" s="191">
        <v>36.562262253597979</v>
      </c>
    </row>
    <row r="24" spans="1:13" x14ac:dyDescent="0.25">
      <c r="A24" s="186" t="s">
        <v>72</v>
      </c>
      <c r="B24" s="187" t="s">
        <v>243</v>
      </c>
      <c r="C24" s="186">
        <v>3.2</v>
      </c>
      <c r="D24" s="188">
        <v>1.63</v>
      </c>
      <c r="E24" s="186">
        <v>-0.16999999999999993</v>
      </c>
      <c r="F24" s="195">
        <v>0.28499999999999998</v>
      </c>
      <c r="G24" s="188">
        <v>0.21375</v>
      </c>
      <c r="H24" s="189">
        <v>0</v>
      </c>
      <c r="I24" s="194"/>
      <c r="J24" s="186" t="s">
        <v>238</v>
      </c>
      <c r="K24" s="186" t="s">
        <v>23</v>
      </c>
      <c r="L24" s="191">
        <v>53.336837568020115</v>
      </c>
      <c r="M24" s="191">
        <v>36.327081816382965</v>
      </c>
    </row>
    <row r="25" spans="1:13" x14ac:dyDescent="0.25">
      <c r="A25" s="186" t="s">
        <v>73</v>
      </c>
      <c r="B25" s="187" t="s">
        <v>244</v>
      </c>
      <c r="C25" s="186">
        <v>2.5</v>
      </c>
      <c r="D25" s="188">
        <v>0.2</v>
      </c>
      <c r="E25" s="186">
        <v>0.8</v>
      </c>
      <c r="F25" s="195">
        <v>1.4E-2</v>
      </c>
      <c r="G25" s="188">
        <v>1.0500000000000001E-2</v>
      </c>
      <c r="H25" s="189">
        <v>0.78600000000000003</v>
      </c>
      <c r="I25" s="189"/>
      <c r="J25" s="186" t="s">
        <v>238</v>
      </c>
      <c r="K25" s="186" t="s">
        <v>238</v>
      </c>
      <c r="L25" s="191">
        <v>53.349970679139382</v>
      </c>
      <c r="M25" s="191">
        <v>35.845009528674112</v>
      </c>
    </row>
    <row r="26" spans="1:13" x14ac:dyDescent="0.25">
      <c r="A26" s="186" t="s">
        <v>74</v>
      </c>
      <c r="B26" s="187">
        <v>1970</v>
      </c>
      <c r="C26" s="186">
        <v>1.6</v>
      </c>
      <c r="D26" s="188">
        <v>0.36</v>
      </c>
      <c r="E26" s="186">
        <v>0.44000000000000006</v>
      </c>
      <c r="F26" s="195">
        <v>8.6999999999999994E-2</v>
      </c>
      <c r="G26" s="188">
        <v>6.5250000000000002E-2</v>
      </c>
      <c r="H26" s="189">
        <v>0.35300000000000009</v>
      </c>
      <c r="I26" s="189"/>
      <c r="J26" s="186" t="s">
        <v>238</v>
      </c>
      <c r="K26" s="186" t="s">
        <v>238</v>
      </c>
      <c r="L26" s="191">
        <v>53.171959270456426</v>
      </c>
      <c r="M26" s="191">
        <v>36.263973443381879</v>
      </c>
    </row>
    <row r="27" spans="1:13" x14ac:dyDescent="0.25">
      <c r="A27" s="186" t="s">
        <v>75</v>
      </c>
      <c r="B27" s="187">
        <v>1993</v>
      </c>
      <c r="C27" s="186">
        <v>1.6</v>
      </c>
      <c r="D27" s="188">
        <v>0.22</v>
      </c>
      <c r="E27" s="186">
        <v>1.02</v>
      </c>
      <c r="F27" s="195">
        <v>4.8000000000000001E-2</v>
      </c>
      <c r="G27" s="188">
        <v>3.6000000000000004E-2</v>
      </c>
      <c r="H27" s="189">
        <v>0.97199999999999998</v>
      </c>
      <c r="I27" s="189"/>
      <c r="J27" s="186" t="s">
        <v>238</v>
      </c>
      <c r="K27" s="186" t="s">
        <v>238</v>
      </c>
      <c r="L27" s="191">
        <v>53.121862787382412</v>
      </c>
      <c r="M27" s="191">
        <v>36.714204851380003</v>
      </c>
    </row>
    <row r="28" spans="1:13" x14ac:dyDescent="0.25">
      <c r="A28" s="186" t="s">
        <v>76</v>
      </c>
      <c r="B28" s="187">
        <v>1998</v>
      </c>
      <c r="C28" s="186">
        <v>2.5</v>
      </c>
      <c r="D28" s="188">
        <v>0.4</v>
      </c>
      <c r="E28" s="186">
        <v>1.06</v>
      </c>
      <c r="F28" s="195">
        <v>2.1000000000000001E-2</v>
      </c>
      <c r="G28" s="188">
        <v>1.575E-2</v>
      </c>
      <c r="H28" s="189">
        <v>1.0389999999999999</v>
      </c>
      <c r="I28" s="189"/>
      <c r="J28" s="186" t="s">
        <v>238</v>
      </c>
      <c r="K28" s="186" t="s">
        <v>238</v>
      </c>
      <c r="L28" s="191">
        <v>53.209302047750739</v>
      </c>
      <c r="M28" s="191">
        <v>36.890391082935999</v>
      </c>
    </row>
    <row r="29" spans="1:13" x14ac:dyDescent="0.25">
      <c r="A29" s="186" t="s">
        <v>77</v>
      </c>
      <c r="B29" s="187">
        <v>1978</v>
      </c>
      <c r="C29" s="186">
        <v>2.5</v>
      </c>
      <c r="D29" s="188">
        <v>0.76</v>
      </c>
      <c r="E29" s="186">
        <v>0.48</v>
      </c>
      <c r="F29" s="195">
        <v>0.21199999999999999</v>
      </c>
      <c r="G29" s="188">
        <v>0.159</v>
      </c>
      <c r="H29" s="189">
        <v>0.26800000000000002</v>
      </c>
      <c r="I29" s="189"/>
      <c r="J29" s="186" t="s">
        <v>238</v>
      </c>
      <c r="K29" s="186" t="s">
        <v>238</v>
      </c>
      <c r="L29" s="191">
        <v>53.186909371798087</v>
      </c>
      <c r="M29" s="191">
        <v>36.713617757219417</v>
      </c>
    </row>
    <row r="30" spans="1:13" x14ac:dyDescent="0.25">
      <c r="A30" s="186" t="s">
        <v>78</v>
      </c>
      <c r="B30" s="187">
        <v>2007</v>
      </c>
      <c r="C30" s="186">
        <v>4</v>
      </c>
      <c r="D30" s="188">
        <v>0.86</v>
      </c>
      <c r="E30" s="186">
        <v>0.14000000000000001</v>
      </c>
      <c r="F30" s="195">
        <v>0</v>
      </c>
      <c r="G30" s="188">
        <v>0</v>
      </c>
      <c r="H30" s="189">
        <v>0.14000000000000001</v>
      </c>
      <c r="I30" s="189"/>
      <c r="J30" s="186" t="s">
        <v>238</v>
      </c>
      <c r="K30" s="186" t="s">
        <v>238</v>
      </c>
      <c r="L30" s="191">
        <v>52.891624472368655</v>
      </c>
      <c r="M30" s="191">
        <v>36.868016172891608</v>
      </c>
    </row>
    <row r="31" spans="1:13" x14ac:dyDescent="0.25">
      <c r="A31" s="186" t="s">
        <v>79</v>
      </c>
      <c r="B31" s="187">
        <v>1977</v>
      </c>
      <c r="C31" s="186">
        <v>1.6</v>
      </c>
      <c r="D31" s="188">
        <v>0.27</v>
      </c>
      <c r="E31" s="186">
        <v>0.41000000000000003</v>
      </c>
      <c r="F31" s="195">
        <v>3.9E-2</v>
      </c>
      <c r="G31" s="188">
        <v>2.9249999999999998E-2</v>
      </c>
      <c r="H31" s="189">
        <v>0.37100000000000005</v>
      </c>
      <c r="I31" s="189"/>
      <c r="J31" s="186" t="s">
        <v>238</v>
      </c>
      <c r="K31" s="186" t="s">
        <v>238</v>
      </c>
      <c r="L31" s="191">
        <v>53.529950382128099</v>
      </c>
      <c r="M31" s="191">
        <v>35.925133606420346</v>
      </c>
    </row>
    <row r="32" spans="1:13" x14ac:dyDescent="0.25">
      <c r="A32" s="186" t="s">
        <v>80</v>
      </c>
      <c r="B32" s="187">
        <v>1992</v>
      </c>
      <c r="C32" s="186">
        <v>1.6</v>
      </c>
      <c r="D32" s="188">
        <v>0.28000000000000003</v>
      </c>
      <c r="E32" s="186">
        <v>0.15999999999999998</v>
      </c>
      <c r="F32" s="195">
        <v>2E-3</v>
      </c>
      <c r="G32" s="188">
        <v>1.5E-3</v>
      </c>
      <c r="H32" s="189">
        <v>0.15799999999999997</v>
      </c>
      <c r="I32" s="189"/>
      <c r="J32" s="186" t="s">
        <v>238</v>
      </c>
      <c r="K32" s="186" t="s">
        <v>238</v>
      </c>
      <c r="L32" s="191">
        <v>53.372417312309125</v>
      </c>
      <c r="M32" s="191">
        <v>35.659563653320163</v>
      </c>
    </row>
    <row r="33" spans="1:13" x14ac:dyDescent="0.25">
      <c r="A33" s="186" t="s">
        <v>81</v>
      </c>
      <c r="B33" s="187">
        <v>1993</v>
      </c>
      <c r="C33" s="186">
        <v>10</v>
      </c>
      <c r="D33" s="188">
        <v>1.97</v>
      </c>
      <c r="E33" s="186">
        <v>0.45</v>
      </c>
      <c r="F33" s="195">
        <v>4.8000000000000001E-2</v>
      </c>
      <c r="G33" s="188">
        <v>3.6000000000000004E-2</v>
      </c>
      <c r="H33" s="189">
        <v>0.1120000000000001</v>
      </c>
      <c r="I33" s="189"/>
      <c r="J33" s="186" t="s">
        <v>238</v>
      </c>
      <c r="K33" s="186" t="s">
        <v>238</v>
      </c>
      <c r="L33" s="191">
        <v>52.439480343536474</v>
      </c>
      <c r="M33" s="191">
        <v>37.562192641645439</v>
      </c>
    </row>
    <row r="34" spans="1:13" x14ac:dyDescent="0.25">
      <c r="A34" s="186" t="s">
        <v>82</v>
      </c>
      <c r="B34" s="187">
        <v>1984</v>
      </c>
      <c r="C34" s="186">
        <v>10</v>
      </c>
      <c r="D34" s="188">
        <v>1.4100000000000001</v>
      </c>
      <c r="E34" s="186">
        <v>-0.72000000000000008</v>
      </c>
      <c r="F34" s="195">
        <v>0.13300000000000001</v>
      </c>
      <c r="G34" s="188">
        <v>9.9750000000000005E-2</v>
      </c>
      <c r="H34" s="189">
        <v>0</v>
      </c>
      <c r="I34" s="194"/>
      <c r="J34" s="186" t="s">
        <v>238</v>
      </c>
      <c r="K34" s="186" t="s">
        <v>23</v>
      </c>
      <c r="L34" s="191">
        <v>52.995018049506797</v>
      </c>
      <c r="M34" s="191">
        <v>37.391943127491402</v>
      </c>
    </row>
    <row r="35" spans="1:13" x14ac:dyDescent="0.25">
      <c r="A35" s="186" t="s">
        <v>83</v>
      </c>
      <c r="B35" s="187">
        <v>1985</v>
      </c>
      <c r="C35" s="186">
        <v>10</v>
      </c>
      <c r="D35" s="188">
        <v>3.3499999999999996</v>
      </c>
      <c r="E35" s="186">
        <v>1.3499999999999999</v>
      </c>
      <c r="F35" s="195">
        <v>0.62</v>
      </c>
      <c r="G35" s="188">
        <v>0.46499999999999997</v>
      </c>
      <c r="H35" s="189">
        <v>1.2769999999999999</v>
      </c>
      <c r="I35" s="189"/>
      <c r="J35" s="186" t="s">
        <v>238</v>
      </c>
      <c r="K35" s="186" t="s">
        <v>238</v>
      </c>
      <c r="L35" s="191">
        <v>52.403582412030616</v>
      </c>
      <c r="M35" s="191">
        <v>37.548639728036775</v>
      </c>
    </row>
    <row r="36" spans="1:13" x14ac:dyDescent="0.25">
      <c r="A36" s="186" t="s">
        <v>84</v>
      </c>
      <c r="B36" s="187">
        <v>1973</v>
      </c>
      <c r="C36" s="186">
        <v>1.6</v>
      </c>
      <c r="D36" s="188">
        <v>0.47</v>
      </c>
      <c r="E36" s="186">
        <v>0.21000000000000008</v>
      </c>
      <c r="F36" s="195">
        <v>0</v>
      </c>
      <c r="G36" s="188">
        <v>0</v>
      </c>
      <c r="H36" s="189">
        <v>0.21000000000000008</v>
      </c>
      <c r="I36" s="189"/>
      <c r="J36" s="186" t="s">
        <v>238</v>
      </c>
      <c r="K36" s="186" t="s">
        <v>238</v>
      </c>
      <c r="L36" s="191">
        <v>52.620896452269641</v>
      </c>
      <c r="M36" s="191">
        <v>36.813992508677821</v>
      </c>
    </row>
    <row r="37" spans="1:13" x14ac:dyDescent="0.25">
      <c r="A37" s="186" t="s">
        <v>85</v>
      </c>
      <c r="B37" s="187">
        <v>1964</v>
      </c>
      <c r="C37" s="186">
        <v>1.8</v>
      </c>
      <c r="D37" s="188">
        <v>0.02</v>
      </c>
      <c r="E37" s="186">
        <v>0.86</v>
      </c>
      <c r="F37" s="195">
        <v>0</v>
      </c>
      <c r="G37" s="188">
        <v>0</v>
      </c>
      <c r="H37" s="189">
        <v>0.86</v>
      </c>
      <c r="I37" s="189"/>
      <c r="J37" s="186" t="s">
        <v>238</v>
      </c>
      <c r="K37" s="186" t="s">
        <v>238</v>
      </c>
      <c r="L37" s="191">
        <v>52.966192927172294</v>
      </c>
      <c r="M37" s="191">
        <v>37.448641230422169</v>
      </c>
    </row>
    <row r="38" spans="1:13" x14ac:dyDescent="0.25">
      <c r="A38" s="186" t="s">
        <v>86</v>
      </c>
      <c r="B38" s="187">
        <v>2003</v>
      </c>
      <c r="C38" s="186">
        <v>2.5</v>
      </c>
      <c r="D38" s="188">
        <v>0.69</v>
      </c>
      <c r="E38" s="186">
        <v>0.7</v>
      </c>
      <c r="F38" s="195">
        <v>0.215</v>
      </c>
      <c r="G38" s="188">
        <v>0.16125</v>
      </c>
      <c r="H38" s="189">
        <v>0.48499999999999999</v>
      </c>
      <c r="I38" s="189"/>
      <c r="J38" s="186" t="s">
        <v>238</v>
      </c>
      <c r="K38" s="186" t="s">
        <v>238</v>
      </c>
      <c r="L38" s="191">
        <v>52.43530541289087</v>
      </c>
      <c r="M38" s="191">
        <v>37.674820108030993</v>
      </c>
    </row>
    <row r="39" spans="1:13" x14ac:dyDescent="0.25">
      <c r="A39" s="186" t="s">
        <v>87</v>
      </c>
      <c r="B39" s="187" t="s">
        <v>245</v>
      </c>
      <c r="C39" s="186">
        <v>1.6</v>
      </c>
      <c r="D39" s="188">
        <v>0.35</v>
      </c>
      <c r="E39" s="186">
        <v>1.25</v>
      </c>
      <c r="F39" s="195">
        <v>4.7E-2</v>
      </c>
      <c r="G39" s="188">
        <v>3.5250000000000004E-2</v>
      </c>
      <c r="H39" s="189">
        <v>1.2030000000000001</v>
      </c>
      <c r="I39" s="189"/>
      <c r="J39" s="186" t="s">
        <v>238</v>
      </c>
      <c r="K39" s="186" t="s">
        <v>238</v>
      </c>
      <c r="L39" s="191">
        <v>52.281424861833052</v>
      </c>
      <c r="M39" s="191">
        <v>36.762077692603413</v>
      </c>
    </row>
    <row r="40" spans="1:13" x14ac:dyDescent="0.25">
      <c r="A40" s="186" t="s">
        <v>89</v>
      </c>
      <c r="B40" s="187">
        <v>1982</v>
      </c>
      <c r="C40" s="186">
        <v>2.5</v>
      </c>
      <c r="D40" s="188">
        <v>0.27</v>
      </c>
      <c r="E40" s="186">
        <v>3.999999999999998E-2</v>
      </c>
      <c r="F40" s="195">
        <v>1.4E-2</v>
      </c>
      <c r="G40" s="188">
        <v>1.0500000000000001E-2</v>
      </c>
      <c r="H40" s="189">
        <v>2.5999999999999968E-2</v>
      </c>
      <c r="I40" s="189"/>
      <c r="J40" s="186" t="s">
        <v>238</v>
      </c>
      <c r="K40" s="186" t="s">
        <v>238</v>
      </c>
      <c r="L40" s="191">
        <v>52.871040197513345</v>
      </c>
      <c r="M40" s="191">
        <v>37.559435995778912</v>
      </c>
    </row>
    <row r="41" spans="1:13" x14ac:dyDescent="0.25">
      <c r="A41" s="186" t="s">
        <v>90</v>
      </c>
      <c r="B41" s="187" t="s">
        <v>246</v>
      </c>
      <c r="C41" s="186">
        <v>1.8</v>
      </c>
      <c r="D41" s="188">
        <v>0.73</v>
      </c>
      <c r="E41" s="186">
        <v>0.87000000000000011</v>
      </c>
      <c r="F41" s="195">
        <v>9.8000000000000004E-2</v>
      </c>
      <c r="G41" s="188">
        <v>7.350000000000001E-2</v>
      </c>
      <c r="H41" s="189">
        <v>0.77200000000000013</v>
      </c>
      <c r="I41" s="189"/>
      <c r="J41" s="186" t="s">
        <v>238</v>
      </c>
      <c r="K41" s="186" t="s">
        <v>238</v>
      </c>
      <c r="L41" s="191">
        <v>53.029729698057899</v>
      </c>
      <c r="M41" s="191">
        <v>37.328528812954069</v>
      </c>
    </row>
    <row r="42" spans="1:13" x14ac:dyDescent="0.25">
      <c r="A42" s="186" t="s">
        <v>91</v>
      </c>
      <c r="B42" s="187">
        <v>1964</v>
      </c>
      <c r="C42" s="186">
        <v>2.5</v>
      </c>
      <c r="D42" s="188">
        <v>0.6</v>
      </c>
      <c r="E42" s="186">
        <v>1</v>
      </c>
      <c r="F42" s="195">
        <v>1.4E-2</v>
      </c>
      <c r="G42" s="188">
        <v>1.0500000000000001E-2</v>
      </c>
      <c r="H42" s="189">
        <v>0.9860000000000001</v>
      </c>
      <c r="I42" s="189"/>
      <c r="J42" s="186" t="s">
        <v>238</v>
      </c>
      <c r="K42" s="186" t="s">
        <v>238</v>
      </c>
      <c r="L42" s="191">
        <v>52.961387659017099</v>
      </c>
      <c r="M42" s="191">
        <v>37.664518840955168</v>
      </c>
    </row>
    <row r="43" spans="1:13" x14ac:dyDescent="0.25">
      <c r="A43" s="186" t="s">
        <v>92</v>
      </c>
      <c r="B43" s="187">
        <v>1992</v>
      </c>
      <c r="C43" s="186">
        <v>1.6</v>
      </c>
      <c r="D43" s="188">
        <v>0.68</v>
      </c>
      <c r="E43" s="186">
        <v>0.92</v>
      </c>
      <c r="F43" s="195">
        <v>3.2000000000000001E-2</v>
      </c>
      <c r="G43" s="188">
        <v>2.4E-2</v>
      </c>
      <c r="H43" s="189">
        <v>0.88800000000000001</v>
      </c>
      <c r="I43" s="189"/>
      <c r="J43" s="186" t="s">
        <v>238</v>
      </c>
      <c r="K43" s="186" t="s">
        <v>238</v>
      </c>
      <c r="L43" s="191">
        <v>52.12498143481367</v>
      </c>
      <c r="M43" s="191">
        <v>37.462166631951021</v>
      </c>
    </row>
    <row r="44" spans="1:13" x14ac:dyDescent="0.25">
      <c r="A44" s="186" t="s">
        <v>93</v>
      </c>
      <c r="B44" s="187" t="s">
        <v>247</v>
      </c>
      <c r="C44" s="186">
        <v>1</v>
      </c>
      <c r="D44" s="188">
        <v>0.31</v>
      </c>
      <c r="E44" s="186">
        <v>1.29</v>
      </c>
      <c r="F44" s="195">
        <v>7.2999999999999995E-2</v>
      </c>
      <c r="G44" s="188">
        <v>5.4749999999999993E-2</v>
      </c>
      <c r="H44" s="189">
        <v>1.2170000000000001</v>
      </c>
      <c r="I44" s="189"/>
      <c r="J44" s="186" t="s">
        <v>238</v>
      </c>
      <c r="K44" s="186" t="s">
        <v>238</v>
      </c>
      <c r="L44" s="191">
        <v>52.404828510291267</v>
      </c>
      <c r="M44" s="191">
        <v>36.851897615485292</v>
      </c>
    </row>
    <row r="45" spans="1:13" x14ac:dyDescent="0.25">
      <c r="A45" s="186" t="s">
        <v>94</v>
      </c>
      <c r="B45" s="187">
        <v>1975</v>
      </c>
      <c r="C45" s="186">
        <v>2.5</v>
      </c>
      <c r="D45" s="188">
        <v>0.28999999999999998</v>
      </c>
      <c r="E45" s="186">
        <v>1.31</v>
      </c>
      <c r="F45" s="195">
        <v>7.4999999999999997E-2</v>
      </c>
      <c r="G45" s="188">
        <v>5.6249999999999994E-2</v>
      </c>
      <c r="H45" s="189">
        <v>1.2350000000000001</v>
      </c>
      <c r="I45" s="189"/>
      <c r="J45" s="186" t="s">
        <v>238</v>
      </c>
      <c r="K45" s="186" t="s">
        <v>238</v>
      </c>
      <c r="L45" s="191">
        <v>52.241158816693279</v>
      </c>
      <c r="M45" s="191">
        <v>37.147480442295489</v>
      </c>
    </row>
    <row r="46" spans="1:13" x14ac:dyDescent="0.25">
      <c r="A46" s="186" t="s">
        <v>95</v>
      </c>
      <c r="B46" s="187">
        <v>1979</v>
      </c>
      <c r="C46" s="186" t="s">
        <v>24</v>
      </c>
      <c r="D46" s="188">
        <v>3.57</v>
      </c>
      <c r="E46" s="186">
        <v>10.81</v>
      </c>
      <c r="F46" s="195">
        <v>2.6880000000000002</v>
      </c>
      <c r="G46" s="188">
        <v>2.016</v>
      </c>
      <c r="H46" s="189">
        <v>8.1219999999999999</v>
      </c>
      <c r="I46" s="189"/>
      <c r="J46" s="186" t="s">
        <v>238</v>
      </c>
      <c r="K46" s="186" t="s">
        <v>238</v>
      </c>
      <c r="L46" s="191">
        <v>52.873363554668742</v>
      </c>
      <c r="M46" s="191">
        <v>35.915256777671758</v>
      </c>
    </row>
    <row r="47" spans="1:13" x14ac:dyDescent="0.25">
      <c r="A47" s="186" t="s">
        <v>96</v>
      </c>
      <c r="B47" s="187">
        <v>1983</v>
      </c>
      <c r="C47" s="186" t="s">
        <v>25</v>
      </c>
      <c r="D47" s="188">
        <v>0.55000000000000004</v>
      </c>
      <c r="E47" s="186">
        <v>3.0049999999999999</v>
      </c>
      <c r="F47" s="195">
        <v>0.05</v>
      </c>
      <c r="G47" s="188">
        <v>3.7500000000000006E-2</v>
      </c>
      <c r="H47" s="189">
        <v>2.9550000000000001</v>
      </c>
      <c r="I47" s="189"/>
      <c r="J47" s="186" t="s">
        <v>238</v>
      </c>
      <c r="K47" s="186" t="s">
        <v>238</v>
      </c>
      <c r="L47" s="191">
        <v>52.975056135320393</v>
      </c>
      <c r="M47" s="191">
        <v>35.571773482661584</v>
      </c>
    </row>
    <row r="48" spans="1:13" x14ac:dyDescent="0.25">
      <c r="A48" s="186" t="s">
        <v>97</v>
      </c>
      <c r="B48" s="187">
        <v>1975</v>
      </c>
      <c r="C48" s="186" t="s">
        <v>98</v>
      </c>
      <c r="D48" s="188">
        <v>0.63</v>
      </c>
      <c r="E48" s="186">
        <v>1.0500000000000003</v>
      </c>
      <c r="F48" s="195">
        <v>0.40600000000000003</v>
      </c>
      <c r="G48" s="188">
        <v>0.30449999999999999</v>
      </c>
      <c r="H48" s="189">
        <v>0.64400000000000013</v>
      </c>
      <c r="I48" s="189"/>
      <c r="J48" s="186" t="s">
        <v>238</v>
      </c>
      <c r="K48" s="186" t="s">
        <v>238</v>
      </c>
      <c r="L48" s="191">
        <v>52.656964317753491</v>
      </c>
      <c r="M48" s="191">
        <v>35.818593265509712</v>
      </c>
    </row>
    <row r="49" spans="1:13" x14ac:dyDescent="0.25">
      <c r="A49" s="186" t="s">
        <v>100</v>
      </c>
      <c r="B49" s="187">
        <v>1982</v>
      </c>
      <c r="C49" s="186" t="s">
        <v>24</v>
      </c>
      <c r="D49" s="188">
        <v>3.12</v>
      </c>
      <c r="E49" s="186">
        <v>10.039999999999999</v>
      </c>
      <c r="F49" s="195">
        <v>0.433</v>
      </c>
      <c r="G49" s="188">
        <v>0.32474999999999998</v>
      </c>
      <c r="H49" s="189">
        <v>10.007</v>
      </c>
      <c r="I49" s="189"/>
      <c r="J49" s="186" t="s">
        <v>238</v>
      </c>
      <c r="K49" s="186" t="s">
        <v>238</v>
      </c>
      <c r="L49" s="191">
        <v>53.059856569456386</v>
      </c>
      <c r="M49" s="191">
        <v>35.362483933569145</v>
      </c>
    </row>
    <row r="50" spans="1:13" x14ac:dyDescent="0.25">
      <c r="A50" s="186" t="s">
        <v>101</v>
      </c>
      <c r="B50" s="187">
        <v>1982</v>
      </c>
      <c r="C50" s="186" t="s">
        <v>26</v>
      </c>
      <c r="D50" s="188">
        <v>1.06</v>
      </c>
      <c r="E50" s="186">
        <v>1.2600000000000002</v>
      </c>
      <c r="F50" s="195">
        <v>0.33800000000000002</v>
      </c>
      <c r="G50" s="188">
        <v>0.2535</v>
      </c>
      <c r="H50" s="189">
        <v>0.92200000000000004</v>
      </c>
      <c r="I50" s="189"/>
      <c r="J50" s="186" t="s">
        <v>238</v>
      </c>
      <c r="K50" s="186" t="s">
        <v>238</v>
      </c>
      <c r="L50" s="191">
        <v>53.110752093485722</v>
      </c>
      <c r="M50" s="191">
        <v>35.887171900078272</v>
      </c>
    </row>
    <row r="51" spans="1:13" x14ac:dyDescent="0.25">
      <c r="A51" s="186" t="s">
        <v>102</v>
      </c>
      <c r="B51" s="187" t="s">
        <v>248</v>
      </c>
      <c r="C51" s="186" t="s">
        <v>27</v>
      </c>
      <c r="D51" s="188">
        <v>3.04</v>
      </c>
      <c r="E51" s="186">
        <v>5.625</v>
      </c>
      <c r="F51" s="195">
        <v>3.3759999999999999</v>
      </c>
      <c r="G51" s="188">
        <v>2.532</v>
      </c>
      <c r="H51" s="189">
        <v>2.2489999999999997</v>
      </c>
      <c r="I51" s="189"/>
      <c r="J51" s="186" t="s">
        <v>238</v>
      </c>
      <c r="K51" s="186" t="s">
        <v>238</v>
      </c>
      <c r="L51" s="191">
        <v>52.999208590421219</v>
      </c>
      <c r="M51" s="191">
        <v>35.9710951760716</v>
      </c>
    </row>
    <row r="52" spans="1:13" x14ac:dyDescent="0.25">
      <c r="A52" s="186" t="s">
        <v>103</v>
      </c>
      <c r="B52" s="187">
        <v>1990</v>
      </c>
      <c r="C52" s="186" t="s">
        <v>104</v>
      </c>
      <c r="D52" s="188">
        <v>3.53</v>
      </c>
      <c r="E52" s="186">
        <v>0.55500000000000016</v>
      </c>
      <c r="F52" s="195">
        <v>8.1039999999999992</v>
      </c>
      <c r="G52" s="188">
        <v>6.0779999999999994</v>
      </c>
      <c r="H52" s="189">
        <v>0</v>
      </c>
      <c r="I52" s="189"/>
      <c r="J52" s="186" t="s">
        <v>238</v>
      </c>
      <c r="K52" s="186" t="s">
        <v>23</v>
      </c>
      <c r="L52" s="191">
        <v>53.037387495969391</v>
      </c>
      <c r="M52" s="191">
        <v>36.176282290734079</v>
      </c>
    </row>
    <row r="53" spans="1:13" x14ac:dyDescent="0.25">
      <c r="A53" s="186" t="s">
        <v>105</v>
      </c>
      <c r="B53" s="187">
        <v>1968</v>
      </c>
      <c r="C53" s="186" t="s">
        <v>106</v>
      </c>
      <c r="D53" s="188">
        <v>15.28</v>
      </c>
      <c r="E53" s="186">
        <v>6.34</v>
      </c>
      <c r="F53" s="195">
        <v>4.0000000000000001E-3</v>
      </c>
      <c r="G53" s="188">
        <v>3.0000000000000001E-3</v>
      </c>
      <c r="H53" s="189">
        <v>6.3360000000000021</v>
      </c>
      <c r="I53" s="189"/>
      <c r="J53" s="186" t="s">
        <v>238</v>
      </c>
      <c r="K53" s="186" t="s">
        <v>238</v>
      </c>
      <c r="L53" s="191">
        <v>53.000011172259647</v>
      </c>
      <c r="M53" s="191">
        <v>36.14029898581385</v>
      </c>
    </row>
    <row r="54" spans="1:13" x14ac:dyDescent="0.25">
      <c r="A54" s="186" t="s">
        <v>107</v>
      </c>
      <c r="B54" s="187">
        <v>1972</v>
      </c>
      <c r="C54" s="186" t="s">
        <v>24</v>
      </c>
      <c r="D54" s="188">
        <v>3.73</v>
      </c>
      <c r="E54" s="186">
        <v>7.47</v>
      </c>
      <c r="F54" s="195">
        <v>0.309</v>
      </c>
      <c r="G54" s="188">
        <v>0.23175000000000001</v>
      </c>
      <c r="H54" s="189">
        <v>7.1610000000000005</v>
      </c>
      <c r="I54" s="189"/>
      <c r="J54" s="186" t="s">
        <v>238</v>
      </c>
      <c r="K54" s="186" t="s">
        <v>238</v>
      </c>
      <c r="L54" s="191">
        <v>52.506283744651959</v>
      </c>
      <c r="M54" s="191">
        <v>35.175890414596367</v>
      </c>
    </row>
    <row r="55" spans="1:13" x14ac:dyDescent="0.25">
      <c r="A55" s="186" t="s">
        <v>108</v>
      </c>
      <c r="B55" s="187" t="s">
        <v>249</v>
      </c>
      <c r="C55" s="186" t="s">
        <v>28</v>
      </c>
      <c r="D55" s="188">
        <v>15.17</v>
      </c>
      <c r="E55" s="186">
        <v>5.6100000000000012</v>
      </c>
      <c r="F55" s="195">
        <v>0.106</v>
      </c>
      <c r="G55" s="188">
        <v>7.9500000000000001E-2</v>
      </c>
      <c r="H55" s="189">
        <v>5.5040000000000013</v>
      </c>
      <c r="I55" s="189"/>
      <c r="J55" s="186" t="s">
        <v>238</v>
      </c>
      <c r="K55" s="186" t="s">
        <v>238</v>
      </c>
      <c r="L55" s="191">
        <v>52.94728800537434</v>
      </c>
      <c r="M55" s="191">
        <v>36.114671938245749</v>
      </c>
    </row>
    <row r="56" spans="1:13" x14ac:dyDescent="0.25">
      <c r="A56" s="186" t="s">
        <v>110</v>
      </c>
      <c r="B56" s="187" t="s">
        <v>250</v>
      </c>
      <c r="C56" s="186" t="s">
        <v>111</v>
      </c>
      <c r="D56" s="188">
        <v>0.74</v>
      </c>
      <c r="E56" s="186">
        <v>1.79</v>
      </c>
      <c r="F56" s="195">
        <v>3.5000000000000003E-2</v>
      </c>
      <c r="G56" s="188">
        <v>2.6250000000000002E-2</v>
      </c>
      <c r="H56" s="189">
        <v>1.7550000000000001</v>
      </c>
      <c r="I56" s="189"/>
      <c r="J56" s="186" t="s">
        <v>238</v>
      </c>
      <c r="K56" s="186" t="s">
        <v>238</v>
      </c>
      <c r="L56" s="191">
        <v>53.209375632517947</v>
      </c>
      <c r="M56" s="191">
        <v>35.967180481708169</v>
      </c>
    </row>
    <row r="57" spans="1:13" x14ac:dyDescent="0.25">
      <c r="A57" s="186" t="s">
        <v>112</v>
      </c>
      <c r="B57" s="187" t="s">
        <v>251</v>
      </c>
      <c r="C57" s="186" t="s">
        <v>113</v>
      </c>
      <c r="D57" s="188">
        <v>14.86</v>
      </c>
      <c r="E57" s="186">
        <v>15.780000000000001</v>
      </c>
      <c r="F57" s="195">
        <v>0.71399999999999997</v>
      </c>
      <c r="G57" s="188">
        <v>0.53549999999999998</v>
      </c>
      <c r="H57" s="189">
        <v>15.065999999999999</v>
      </c>
      <c r="I57" s="189"/>
      <c r="J57" s="186" t="s">
        <v>238</v>
      </c>
      <c r="K57" s="186" t="s">
        <v>238</v>
      </c>
      <c r="L57" s="191">
        <v>52.935112519418247</v>
      </c>
      <c r="M57" s="191">
        <v>36.072607861390665</v>
      </c>
    </row>
    <row r="58" spans="1:13" x14ac:dyDescent="0.25">
      <c r="A58" s="186" t="s">
        <v>114</v>
      </c>
      <c r="B58" s="187" t="s">
        <v>252</v>
      </c>
      <c r="C58" s="186" t="s">
        <v>115</v>
      </c>
      <c r="D58" s="188">
        <v>30.15</v>
      </c>
      <c r="E58" s="186">
        <v>22.370000000000008</v>
      </c>
      <c r="F58" s="195">
        <v>0</v>
      </c>
      <c r="G58" s="188">
        <v>0</v>
      </c>
      <c r="H58" s="189">
        <v>22.370000000000008</v>
      </c>
      <c r="I58" s="189"/>
      <c r="J58" s="186" t="s">
        <v>238</v>
      </c>
      <c r="K58" s="186" t="s">
        <v>238</v>
      </c>
      <c r="L58" s="191">
        <v>52.953694631305652</v>
      </c>
      <c r="M58" s="191">
        <v>36.028086560115732</v>
      </c>
    </row>
    <row r="59" spans="1:13" x14ac:dyDescent="0.25">
      <c r="A59" s="186" t="s">
        <v>117</v>
      </c>
      <c r="B59" s="187">
        <v>1979</v>
      </c>
      <c r="C59" s="186" t="s">
        <v>25</v>
      </c>
      <c r="D59" s="188">
        <v>2.8</v>
      </c>
      <c r="E59" s="186">
        <v>1.3050000000000002</v>
      </c>
      <c r="F59" s="195">
        <v>3.0579999999999998</v>
      </c>
      <c r="G59" s="188">
        <v>2.2934999999999999</v>
      </c>
      <c r="H59" s="189">
        <v>0</v>
      </c>
      <c r="I59" s="189"/>
      <c r="J59" s="186" t="s">
        <v>238</v>
      </c>
      <c r="K59" s="186" t="s">
        <v>23</v>
      </c>
      <c r="L59" s="191">
        <v>52.956853612146602</v>
      </c>
      <c r="M59" s="191">
        <v>35.919481974966594</v>
      </c>
    </row>
    <row r="60" spans="1:13" x14ac:dyDescent="0.25">
      <c r="A60" s="186" t="s">
        <v>118</v>
      </c>
      <c r="B60" s="187" t="s">
        <v>253</v>
      </c>
      <c r="C60" s="186" t="s">
        <v>119</v>
      </c>
      <c r="D60" s="188">
        <v>1</v>
      </c>
      <c r="E60" s="186">
        <v>2.8049999999999997</v>
      </c>
      <c r="F60" s="195">
        <v>0.45800000000000002</v>
      </c>
      <c r="G60" s="188">
        <v>0.34350000000000003</v>
      </c>
      <c r="H60" s="189">
        <v>2.347</v>
      </c>
      <c r="I60" s="189"/>
      <c r="J60" s="186" t="s">
        <v>238</v>
      </c>
      <c r="K60" s="186" t="s">
        <v>238</v>
      </c>
      <c r="L60" s="191">
        <v>53.24445649900116</v>
      </c>
      <c r="M60" s="191">
        <v>35.429315788023054</v>
      </c>
    </row>
    <row r="61" spans="1:13" x14ac:dyDescent="0.25">
      <c r="A61" s="186" t="s">
        <v>120</v>
      </c>
      <c r="B61" s="187">
        <v>1980</v>
      </c>
      <c r="C61" s="186" t="s">
        <v>24</v>
      </c>
      <c r="D61" s="188">
        <v>8.57</v>
      </c>
      <c r="E61" s="186">
        <v>2.3699999999999992</v>
      </c>
      <c r="F61" s="195">
        <v>5.5750000000000002</v>
      </c>
      <c r="G61" s="188">
        <v>4.1812500000000004</v>
      </c>
      <c r="H61" s="189">
        <v>0</v>
      </c>
      <c r="I61" s="189"/>
      <c r="J61" s="186" t="s">
        <v>238</v>
      </c>
      <c r="K61" s="186" t="s">
        <v>23</v>
      </c>
      <c r="L61" s="191">
        <v>52.954006080737514</v>
      </c>
      <c r="M61" s="191">
        <v>36.218744170911734</v>
      </c>
    </row>
    <row r="62" spans="1:13" x14ac:dyDescent="0.25">
      <c r="A62" s="186" t="s">
        <v>121</v>
      </c>
      <c r="B62" s="187" t="s">
        <v>231</v>
      </c>
      <c r="C62" s="186" t="s">
        <v>28</v>
      </c>
      <c r="D62" s="188">
        <v>8.8000000000000007</v>
      </c>
      <c r="E62" s="186">
        <v>16.04</v>
      </c>
      <c r="F62" s="195">
        <v>1.2890000000000001</v>
      </c>
      <c r="G62" s="188">
        <v>0.96675000000000011</v>
      </c>
      <c r="H62" s="189">
        <v>16.140999999999998</v>
      </c>
      <c r="I62" s="189"/>
      <c r="J62" s="186" t="s">
        <v>238</v>
      </c>
      <c r="K62" s="186" t="s">
        <v>238</v>
      </c>
      <c r="L62" s="191">
        <v>52.684968951852603</v>
      </c>
      <c r="M62" s="191">
        <v>35.749617915097801</v>
      </c>
    </row>
    <row r="63" spans="1:13" x14ac:dyDescent="0.25">
      <c r="A63" s="186" t="s">
        <v>122</v>
      </c>
      <c r="B63" s="187">
        <v>1976</v>
      </c>
      <c r="C63" s="186" t="s">
        <v>25</v>
      </c>
      <c r="D63" s="188">
        <v>1.5</v>
      </c>
      <c r="E63" s="186">
        <v>2.0750000000000002</v>
      </c>
      <c r="F63" s="195">
        <v>0.11700000000000001</v>
      </c>
      <c r="G63" s="188">
        <v>8.7750000000000009E-2</v>
      </c>
      <c r="H63" s="189">
        <v>1.958</v>
      </c>
      <c r="I63" s="189"/>
      <c r="J63" s="186" t="s">
        <v>238</v>
      </c>
      <c r="K63" s="186" t="s">
        <v>238</v>
      </c>
      <c r="L63" s="191">
        <v>52.368428075800139</v>
      </c>
      <c r="M63" s="191">
        <v>35.796659213679725</v>
      </c>
    </row>
    <row r="64" spans="1:13" x14ac:dyDescent="0.25">
      <c r="A64" s="186" t="s">
        <v>123</v>
      </c>
      <c r="B64" s="187" t="s">
        <v>254</v>
      </c>
      <c r="C64" s="186" t="s">
        <v>30</v>
      </c>
      <c r="D64" s="188">
        <v>0.6</v>
      </c>
      <c r="E64" s="186">
        <v>1.08</v>
      </c>
      <c r="F64" s="195">
        <v>2.9000000000000001E-2</v>
      </c>
      <c r="G64" s="188">
        <v>2.1750000000000002E-2</v>
      </c>
      <c r="H64" s="189">
        <v>1.0510000000000002</v>
      </c>
      <c r="I64" s="189"/>
      <c r="J64" s="186" t="s">
        <v>238</v>
      </c>
      <c r="K64" s="186" t="s">
        <v>238</v>
      </c>
      <c r="L64" s="191">
        <v>52.575396938981505</v>
      </c>
      <c r="M64" s="191">
        <v>36.466137751980988</v>
      </c>
    </row>
    <row r="65" spans="1:13" x14ac:dyDescent="0.25">
      <c r="A65" s="186" t="s">
        <v>124</v>
      </c>
      <c r="B65" s="192" t="s">
        <v>241</v>
      </c>
      <c r="C65" s="186" t="s">
        <v>27</v>
      </c>
      <c r="D65" s="188">
        <v>1.29</v>
      </c>
      <c r="E65" s="186">
        <v>6.1550000000000002</v>
      </c>
      <c r="F65" s="195">
        <v>3.9E-2</v>
      </c>
      <c r="G65" s="188">
        <v>2.9249999999999998E-2</v>
      </c>
      <c r="H65" s="189">
        <v>6.1160000000000005</v>
      </c>
      <c r="I65" s="189"/>
      <c r="J65" s="186" t="s">
        <v>238</v>
      </c>
      <c r="K65" s="186" t="s">
        <v>238</v>
      </c>
      <c r="L65" s="191">
        <v>52.625468455764377</v>
      </c>
      <c r="M65" s="191">
        <v>35.5911848739932</v>
      </c>
    </row>
    <row r="66" spans="1:13" x14ac:dyDescent="0.25">
      <c r="A66" s="186" t="s">
        <v>125</v>
      </c>
      <c r="B66" s="187">
        <v>1989</v>
      </c>
      <c r="C66" s="186" t="s">
        <v>25</v>
      </c>
      <c r="D66" s="188">
        <v>0.57999999999999996</v>
      </c>
      <c r="E66" s="186">
        <v>3.6350000000000002</v>
      </c>
      <c r="F66" s="195">
        <v>0.02</v>
      </c>
      <c r="G66" s="188">
        <v>1.4999999999999999E-2</v>
      </c>
      <c r="H66" s="189">
        <v>3.6150000000000002</v>
      </c>
      <c r="I66" s="189"/>
      <c r="J66" s="186" t="s">
        <v>238</v>
      </c>
      <c r="K66" s="186" t="s">
        <v>238</v>
      </c>
      <c r="L66" s="191">
        <v>52.50297127998148</v>
      </c>
      <c r="M66" s="191">
        <v>36.218609964127602</v>
      </c>
    </row>
    <row r="67" spans="1:13" x14ac:dyDescent="0.25">
      <c r="A67" s="186" t="s">
        <v>126</v>
      </c>
      <c r="B67" s="187" t="s">
        <v>232</v>
      </c>
      <c r="C67" s="186" t="s">
        <v>127</v>
      </c>
      <c r="D67" s="188">
        <v>0.56000000000000005</v>
      </c>
      <c r="E67" s="186">
        <v>0.96</v>
      </c>
      <c r="F67" s="195">
        <v>2.5999999999999999E-2</v>
      </c>
      <c r="G67" s="188">
        <v>1.95E-2</v>
      </c>
      <c r="H67" s="189">
        <v>0.93399999999999994</v>
      </c>
      <c r="I67" s="189"/>
      <c r="J67" s="186" t="s">
        <v>238</v>
      </c>
      <c r="K67" s="186" t="s">
        <v>238</v>
      </c>
      <c r="L67" s="191">
        <v>52.564192548245863</v>
      </c>
      <c r="M67" s="191">
        <v>35.40953875686921</v>
      </c>
    </row>
    <row r="68" spans="1:13" x14ac:dyDescent="0.25">
      <c r="A68" s="186" t="s">
        <v>128</v>
      </c>
      <c r="B68" s="187">
        <v>1994</v>
      </c>
      <c r="C68" s="186" t="s">
        <v>129</v>
      </c>
      <c r="D68" s="188">
        <v>0.37</v>
      </c>
      <c r="E68" s="186">
        <v>2.5100000000000002</v>
      </c>
      <c r="F68" s="195">
        <v>3.1E-2</v>
      </c>
      <c r="G68" s="188">
        <v>2.325E-2</v>
      </c>
      <c r="H68" s="189">
        <v>2.4790000000000001</v>
      </c>
      <c r="I68" s="189"/>
      <c r="J68" s="186" t="s">
        <v>238</v>
      </c>
      <c r="K68" s="186" t="s">
        <v>238</v>
      </c>
      <c r="L68" s="191">
        <v>52.268270985906476</v>
      </c>
      <c r="M68" s="191">
        <v>36.63523334745927</v>
      </c>
    </row>
    <row r="69" spans="1:13" x14ac:dyDescent="0.25">
      <c r="A69" s="186" t="s">
        <v>130</v>
      </c>
      <c r="B69" s="187" t="s">
        <v>255</v>
      </c>
      <c r="C69" s="186" t="s">
        <v>131</v>
      </c>
      <c r="D69" s="188">
        <v>0.75</v>
      </c>
      <c r="E69" s="186">
        <v>6.83</v>
      </c>
      <c r="F69" s="195">
        <v>1.091</v>
      </c>
      <c r="G69" s="188">
        <v>0.81824999999999992</v>
      </c>
      <c r="H69" s="189">
        <v>5.7389999999999999</v>
      </c>
      <c r="I69" s="189"/>
      <c r="J69" s="186" t="s">
        <v>238</v>
      </c>
      <c r="K69" s="186" t="s">
        <v>238</v>
      </c>
      <c r="L69" s="191">
        <v>52.401392293550494</v>
      </c>
      <c r="M69" s="191">
        <v>36.4993776680884</v>
      </c>
    </row>
    <row r="70" spans="1:13" x14ac:dyDescent="0.25">
      <c r="A70" s="186" t="s">
        <v>133</v>
      </c>
      <c r="B70" s="187">
        <v>1974</v>
      </c>
      <c r="C70" s="186" t="s">
        <v>24</v>
      </c>
      <c r="D70" s="188">
        <v>8.0599999999999987</v>
      </c>
      <c r="E70" s="186">
        <v>4.2</v>
      </c>
      <c r="F70" s="195">
        <v>0.9830000000000001</v>
      </c>
      <c r="G70" s="188">
        <v>0.73725000000000007</v>
      </c>
      <c r="H70" s="189">
        <v>4.7670000000000003</v>
      </c>
      <c r="I70" s="189"/>
      <c r="J70" s="186" t="s">
        <v>238</v>
      </c>
      <c r="K70" s="186" t="s">
        <v>238</v>
      </c>
      <c r="L70" s="191">
        <v>52.968310866151711</v>
      </c>
      <c r="M70" s="191">
        <v>35.766953351208976</v>
      </c>
    </row>
    <row r="71" spans="1:13" x14ac:dyDescent="0.25">
      <c r="A71" s="186" t="s">
        <v>134</v>
      </c>
      <c r="B71" s="187" t="s">
        <v>256</v>
      </c>
      <c r="C71" s="186" t="s">
        <v>135</v>
      </c>
      <c r="D71" s="188">
        <v>0.56000000000000005</v>
      </c>
      <c r="E71" s="186">
        <v>3.6949999999999998</v>
      </c>
      <c r="F71" s="195">
        <v>0.03</v>
      </c>
      <c r="G71" s="188">
        <v>2.2499999999999999E-2</v>
      </c>
      <c r="H71" s="189">
        <v>3.665</v>
      </c>
      <c r="I71" s="189"/>
      <c r="J71" s="186" t="s">
        <v>238</v>
      </c>
      <c r="K71" s="186" t="s">
        <v>238</v>
      </c>
      <c r="L71" s="191">
        <v>52.489878187447331</v>
      </c>
      <c r="M71" s="191">
        <v>36.063428304153916</v>
      </c>
    </row>
    <row r="72" spans="1:13" x14ac:dyDescent="0.25">
      <c r="A72" s="186" t="s">
        <v>136</v>
      </c>
      <c r="B72" s="187">
        <v>1981</v>
      </c>
      <c r="C72" s="186" t="s">
        <v>31</v>
      </c>
      <c r="D72" s="188">
        <v>0.49</v>
      </c>
      <c r="E72" s="186">
        <v>1.1900000000000002</v>
      </c>
      <c r="F72" s="195">
        <v>4.2999999999999997E-2</v>
      </c>
      <c r="G72" s="188">
        <v>3.2250000000000001E-2</v>
      </c>
      <c r="H72" s="189">
        <v>1.1470000000000002</v>
      </c>
      <c r="I72" s="189"/>
      <c r="J72" s="186" t="s">
        <v>238</v>
      </c>
      <c r="K72" s="186" t="s">
        <v>238</v>
      </c>
      <c r="L72" s="191">
        <v>52.755179699848597</v>
      </c>
      <c r="M72" s="191">
        <v>36.445434419776063</v>
      </c>
    </row>
    <row r="73" spans="1:13" x14ac:dyDescent="0.25">
      <c r="A73" s="186" t="s">
        <v>137</v>
      </c>
      <c r="B73" s="187">
        <v>2001</v>
      </c>
      <c r="C73" s="186" t="s">
        <v>25</v>
      </c>
      <c r="D73" s="188">
        <v>0.76</v>
      </c>
      <c r="E73" s="186">
        <v>3.395</v>
      </c>
      <c r="F73" s="195">
        <v>1.1080000000000001</v>
      </c>
      <c r="G73" s="188">
        <v>0.83100000000000007</v>
      </c>
      <c r="H73" s="189">
        <v>2.2869999999999999</v>
      </c>
      <c r="I73" s="189"/>
      <c r="J73" s="186" t="s">
        <v>238</v>
      </c>
      <c r="K73" s="186" t="s">
        <v>238</v>
      </c>
      <c r="L73" s="191">
        <v>52.752969908901562</v>
      </c>
      <c r="M73" s="191">
        <v>36.059702007040833</v>
      </c>
    </row>
    <row r="74" spans="1:13" x14ac:dyDescent="0.25">
      <c r="A74" s="186" t="s">
        <v>138</v>
      </c>
      <c r="B74" s="192">
        <v>1981</v>
      </c>
      <c r="C74" s="186" t="s">
        <v>113</v>
      </c>
      <c r="D74" s="188">
        <v>5.94</v>
      </c>
      <c r="E74" s="186">
        <v>22.53</v>
      </c>
      <c r="F74" s="195">
        <v>1.3560000000000001</v>
      </c>
      <c r="G74" s="188">
        <v>1.0170000000000001</v>
      </c>
      <c r="H74" s="189">
        <v>21.173999999999999</v>
      </c>
      <c r="I74" s="189"/>
      <c r="J74" s="186" t="s">
        <v>238</v>
      </c>
      <c r="K74" s="186" t="s">
        <v>238</v>
      </c>
      <c r="L74" s="191">
        <v>53.012515937134538</v>
      </c>
      <c r="M74" s="191">
        <v>36.091256603625048</v>
      </c>
    </row>
    <row r="75" spans="1:13" x14ac:dyDescent="0.25">
      <c r="A75" s="186" t="s">
        <v>139</v>
      </c>
      <c r="B75" s="187">
        <v>1991</v>
      </c>
      <c r="C75" s="186" t="s">
        <v>25</v>
      </c>
      <c r="D75" s="188">
        <v>0.46</v>
      </c>
      <c r="E75" s="186">
        <v>2.8149999999999999</v>
      </c>
      <c r="F75" s="195">
        <v>4.2999999999999997E-2</v>
      </c>
      <c r="G75" s="188">
        <v>3.2250000000000001E-2</v>
      </c>
      <c r="H75" s="189">
        <v>2.7720000000000002</v>
      </c>
      <c r="I75" s="189"/>
      <c r="J75" s="186" t="s">
        <v>238</v>
      </c>
      <c r="K75" s="186" t="s">
        <v>238</v>
      </c>
      <c r="L75" s="191">
        <v>52.67308796934072</v>
      </c>
      <c r="M75" s="191">
        <v>35.427523321517121</v>
      </c>
    </row>
    <row r="76" spans="1:13" x14ac:dyDescent="0.25">
      <c r="A76" s="186" t="s">
        <v>140</v>
      </c>
      <c r="B76" s="187">
        <v>1988</v>
      </c>
      <c r="C76" s="186" t="s">
        <v>24</v>
      </c>
      <c r="D76" s="188">
        <v>3.3</v>
      </c>
      <c r="E76" s="186">
        <v>9.18</v>
      </c>
      <c r="F76" s="195">
        <v>0.82199999999999995</v>
      </c>
      <c r="G76" s="188">
        <v>0.61649999999999994</v>
      </c>
      <c r="H76" s="189">
        <v>8.3580000000000005</v>
      </c>
      <c r="I76" s="189"/>
      <c r="J76" s="186" t="s">
        <v>238</v>
      </c>
      <c r="K76" s="186" t="s">
        <v>238</v>
      </c>
      <c r="L76" s="191">
        <v>52.685974176391973</v>
      </c>
      <c r="M76" s="191">
        <v>36.36271727983361</v>
      </c>
    </row>
    <row r="77" spans="1:13" x14ac:dyDescent="0.25">
      <c r="A77" s="186" t="s">
        <v>141</v>
      </c>
      <c r="B77" s="187" t="s">
        <v>257</v>
      </c>
      <c r="C77" s="186" t="s">
        <v>32</v>
      </c>
      <c r="D77" s="188">
        <v>2.17</v>
      </c>
      <c r="E77" s="186">
        <v>2.9400000000000004</v>
      </c>
      <c r="F77" s="195">
        <v>2.92</v>
      </c>
      <c r="G77" s="188">
        <v>2.19</v>
      </c>
      <c r="H77" s="189">
        <v>2.0000000000000462E-2</v>
      </c>
      <c r="I77" s="189"/>
      <c r="J77" s="186" t="s">
        <v>238</v>
      </c>
      <c r="K77" s="186" t="s">
        <v>238</v>
      </c>
      <c r="L77" s="191">
        <v>53.009605253672895</v>
      </c>
      <c r="M77" s="191">
        <v>35.982973740208543</v>
      </c>
    </row>
    <row r="78" spans="1:13" x14ac:dyDescent="0.25">
      <c r="A78" s="186" t="s">
        <v>142</v>
      </c>
      <c r="B78" s="187" t="s">
        <v>258</v>
      </c>
      <c r="C78" s="186" t="s">
        <v>143</v>
      </c>
      <c r="D78" s="188">
        <v>34.700000000000003</v>
      </c>
      <c r="E78" s="186">
        <v>19.560000000000002</v>
      </c>
      <c r="F78" s="195">
        <v>8.745000000000001</v>
      </c>
      <c r="G78" s="188">
        <v>6.5587500000000007</v>
      </c>
      <c r="H78" s="189">
        <v>16.500999999999998</v>
      </c>
      <c r="I78" s="189"/>
      <c r="J78" s="186" t="s">
        <v>238</v>
      </c>
      <c r="K78" s="186" t="s">
        <v>238</v>
      </c>
      <c r="L78" s="191">
        <v>52.988288207636508</v>
      </c>
      <c r="M78" s="191">
        <v>36.050417715169914</v>
      </c>
    </row>
    <row r="79" spans="1:13" x14ac:dyDescent="0.25">
      <c r="A79" s="186" t="s">
        <v>148</v>
      </c>
      <c r="B79" s="187">
        <v>1964</v>
      </c>
      <c r="C79" s="186" t="s">
        <v>149</v>
      </c>
      <c r="D79" s="188">
        <v>1.1399999999999999</v>
      </c>
      <c r="E79" s="186">
        <v>2.8600000000000003</v>
      </c>
      <c r="F79" s="195">
        <v>7.4999999999999997E-2</v>
      </c>
      <c r="G79" s="188">
        <v>5.6249999999999994E-2</v>
      </c>
      <c r="H79" s="189">
        <v>2.7850000000000006</v>
      </c>
      <c r="I79" s="189"/>
      <c r="J79" s="186" t="s">
        <v>238</v>
      </c>
      <c r="K79" s="186" t="s">
        <v>238</v>
      </c>
      <c r="L79" s="191">
        <v>52.742489707612499</v>
      </c>
      <c r="M79" s="191">
        <v>35.367413726479242</v>
      </c>
    </row>
    <row r="80" spans="1:13" x14ac:dyDescent="0.25">
      <c r="A80" s="186" t="s">
        <v>150</v>
      </c>
      <c r="B80" s="187">
        <v>1958</v>
      </c>
      <c r="C80" s="186" t="s">
        <v>151</v>
      </c>
      <c r="D80" s="188">
        <v>0.91</v>
      </c>
      <c r="E80" s="186">
        <v>4.21</v>
      </c>
      <c r="F80" s="195">
        <v>6.5000000000000002E-2</v>
      </c>
      <c r="G80" s="188">
        <v>4.8750000000000002E-2</v>
      </c>
      <c r="H80" s="189">
        <v>4.1450000000000005</v>
      </c>
      <c r="I80" s="189"/>
      <c r="J80" s="186" t="s">
        <v>238</v>
      </c>
      <c r="K80" s="186" t="s">
        <v>238</v>
      </c>
      <c r="L80" s="191">
        <v>52.449363135567538</v>
      </c>
      <c r="M80" s="191">
        <v>35.770433506436824</v>
      </c>
    </row>
    <row r="81" spans="1:13" x14ac:dyDescent="0.25">
      <c r="A81" s="186" t="s">
        <v>152</v>
      </c>
      <c r="B81" s="187" t="s">
        <v>259</v>
      </c>
      <c r="C81" s="186" t="s">
        <v>29</v>
      </c>
      <c r="D81" s="188">
        <v>7.57</v>
      </c>
      <c r="E81" s="186">
        <v>20.189999999999998</v>
      </c>
      <c r="F81" s="195">
        <v>11.476000000000001</v>
      </c>
      <c r="G81" s="188">
        <v>8.6070000000000011</v>
      </c>
      <c r="H81" s="189">
        <v>8.7140000000000022</v>
      </c>
      <c r="I81" s="189"/>
      <c r="J81" s="186" t="s">
        <v>238</v>
      </c>
      <c r="K81" s="186" t="s">
        <v>238</v>
      </c>
      <c r="L81" s="191">
        <v>52.91545034611628</v>
      </c>
      <c r="M81" s="191">
        <v>36.002984427003867</v>
      </c>
    </row>
    <row r="82" spans="1:13" x14ac:dyDescent="0.25">
      <c r="A82" s="186" t="s">
        <v>153</v>
      </c>
      <c r="B82" s="187" t="s">
        <v>260</v>
      </c>
      <c r="C82" s="186" t="s">
        <v>154</v>
      </c>
      <c r="D82" s="188">
        <v>2.61</v>
      </c>
      <c r="E82" s="186">
        <v>5.87</v>
      </c>
      <c r="F82" s="195">
        <v>3.3000000000000002E-2</v>
      </c>
      <c r="G82" s="188">
        <v>2.4750000000000001E-2</v>
      </c>
      <c r="H82" s="189">
        <v>5.8369999999999997</v>
      </c>
      <c r="I82" s="189"/>
      <c r="J82" s="186" t="s">
        <v>238</v>
      </c>
      <c r="K82" s="186" t="s">
        <v>238</v>
      </c>
      <c r="L82" s="191">
        <v>52.672084342574863</v>
      </c>
      <c r="M82" s="191">
        <v>35.802680679034502</v>
      </c>
    </row>
    <row r="83" spans="1:13" x14ac:dyDescent="0.25">
      <c r="A83" s="186" t="s">
        <v>155</v>
      </c>
      <c r="B83" s="187" t="s">
        <v>261</v>
      </c>
      <c r="C83" s="186" t="s">
        <v>34</v>
      </c>
      <c r="D83" s="188">
        <v>2.7</v>
      </c>
      <c r="E83" s="186">
        <v>1.4149999999999998</v>
      </c>
      <c r="F83" s="195">
        <v>0.35099999999999998</v>
      </c>
      <c r="G83" s="188">
        <v>0.26324999999999998</v>
      </c>
      <c r="H83" s="189">
        <v>1.0639999999999998</v>
      </c>
      <c r="I83" s="189"/>
      <c r="J83" s="186" t="s">
        <v>238</v>
      </c>
      <c r="K83" s="186" t="s">
        <v>238</v>
      </c>
      <c r="L83" s="191">
        <v>53.122817737276414</v>
      </c>
      <c r="M83" s="191">
        <v>35.408138359506253</v>
      </c>
    </row>
    <row r="84" spans="1:13" x14ac:dyDescent="0.25">
      <c r="A84" s="186" t="s">
        <v>156</v>
      </c>
      <c r="B84" s="187">
        <v>1978</v>
      </c>
      <c r="C84" s="186" t="s">
        <v>26</v>
      </c>
      <c r="D84" s="188">
        <v>0.48</v>
      </c>
      <c r="E84" s="186">
        <v>2.2300000000000004</v>
      </c>
      <c r="F84" s="195">
        <v>2.9000000000000001E-2</v>
      </c>
      <c r="G84" s="188">
        <v>2.1750000000000002E-2</v>
      </c>
      <c r="H84" s="189">
        <v>2.2010000000000001</v>
      </c>
      <c r="I84" s="189"/>
      <c r="J84" s="186" t="s">
        <v>238</v>
      </c>
      <c r="K84" s="186" t="s">
        <v>238</v>
      </c>
      <c r="L84" s="191">
        <v>52.905787122259163</v>
      </c>
      <c r="M84" s="191">
        <v>35.394151233646241</v>
      </c>
    </row>
    <row r="85" spans="1:13" x14ac:dyDescent="0.25">
      <c r="A85" s="186" t="s">
        <v>157</v>
      </c>
      <c r="B85" s="187">
        <v>1978</v>
      </c>
      <c r="C85" s="186" t="s">
        <v>29</v>
      </c>
      <c r="D85" s="188">
        <v>14.01</v>
      </c>
      <c r="E85" s="186">
        <v>15.7</v>
      </c>
      <c r="F85" s="195">
        <v>1.5289999999999999</v>
      </c>
      <c r="G85" s="188">
        <v>1.1467499999999999</v>
      </c>
      <c r="H85" s="189">
        <v>14.170999999999999</v>
      </c>
      <c r="I85" s="189"/>
      <c r="J85" s="186" t="s">
        <v>238</v>
      </c>
      <c r="K85" s="186" t="s">
        <v>238</v>
      </c>
      <c r="L85" s="191">
        <v>52.98276623442451</v>
      </c>
      <c r="M85" s="191">
        <v>36.082790335938263</v>
      </c>
    </row>
    <row r="86" spans="1:13" x14ac:dyDescent="0.25">
      <c r="A86" s="186" t="s">
        <v>158</v>
      </c>
      <c r="B86" s="187">
        <v>1980</v>
      </c>
      <c r="C86" s="186" t="s">
        <v>27</v>
      </c>
      <c r="D86" s="188">
        <v>2.2199999999999998</v>
      </c>
      <c r="E86" s="186">
        <v>5.7550000000000008</v>
      </c>
      <c r="F86" s="195">
        <v>0.127</v>
      </c>
      <c r="G86" s="188">
        <v>9.5250000000000001E-2</v>
      </c>
      <c r="H86" s="189">
        <v>5.6280000000000001</v>
      </c>
      <c r="I86" s="189"/>
      <c r="J86" s="186" t="s">
        <v>238</v>
      </c>
      <c r="K86" s="186" t="s">
        <v>238</v>
      </c>
      <c r="L86" s="191">
        <v>52.86688414960372</v>
      </c>
      <c r="M86" s="191">
        <v>35.186784480627935</v>
      </c>
    </row>
    <row r="87" spans="1:13" x14ac:dyDescent="0.25">
      <c r="A87" s="186" t="s">
        <v>159</v>
      </c>
      <c r="B87" s="187" t="s">
        <v>262</v>
      </c>
      <c r="C87" s="186" t="s">
        <v>24</v>
      </c>
      <c r="D87" s="188">
        <v>2.3600000000000003</v>
      </c>
      <c r="E87" s="186">
        <v>10.130000000000001</v>
      </c>
      <c r="F87" s="195">
        <v>5.2449999999999992</v>
      </c>
      <c r="G87" s="188">
        <v>3.9337499999999994</v>
      </c>
      <c r="H87" s="189">
        <v>5.4450000000000003</v>
      </c>
      <c r="I87" s="189"/>
      <c r="J87" s="186" t="s">
        <v>238</v>
      </c>
      <c r="K87" s="186" t="s">
        <v>238</v>
      </c>
      <c r="L87" s="191">
        <v>52.755432445414165</v>
      </c>
      <c r="M87" s="191">
        <v>35.855258811362582</v>
      </c>
    </row>
    <row r="88" spans="1:13" x14ac:dyDescent="0.25">
      <c r="A88" s="186" t="s">
        <v>160</v>
      </c>
      <c r="B88" s="187" t="s">
        <v>263</v>
      </c>
      <c r="C88" s="186" t="s">
        <v>25</v>
      </c>
      <c r="D88" s="188">
        <v>1.51</v>
      </c>
      <c r="E88" s="186">
        <v>2.2149999999999999</v>
      </c>
      <c r="F88" s="195">
        <v>1.038</v>
      </c>
      <c r="G88" s="188">
        <v>0.77849999999999997</v>
      </c>
      <c r="H88" s="189">
        <v>1.177</v>
      </c>
      <c r="I88" s="189"/>
      <c r="J88" s="186" t="s">
        <v>238</v>
      </c>
      <c r="K88" s="186" t="s">
        <v>238</v>
      </c>
      <c r="L88" s="191">
        <v>53.089193289608509</v>
      </c>
      <c r="M88" s="191">
        <v>36.276461861484016</v>
      </c>
    </row>
    <row r="89" spans="1:13" x14ac:dyDescent="0.25">
      <c r="A89" s="186" t="s">
        <v>161</v>
      </c>
      <c r="B89" s="187">
        <v>1982</v>
      </c>
      <c r="C89" s="186" t="s">
        <v>29</v>
      </c>
      <c r="D89" s="188">
        <v>11.64</v>
      </c>
      <c r="E89" s="186">
        <v>15.35</v>
      </c>
      <c r="F89" s="195">
        <v>2.512</v>
      </c>
      <c r="G89" s="188">
        <v>1.8839999999999999</v>
      </c>
      <c r="H89" s="189">
        <v>12.837999999999999</v>
      </c>
      <c r="I89" s="189"/>
      <c r="J89" s="186" t="s">
        <v>238</v>
      </c>
      <c r="K89" s="186" t="s">
        <v>238</v>
      </c>
      <c r="L89" s="191">
        <v>52.952195243748143</v>
      </c>
      <c r="M89" s="191">
        <v>36.151463954787673</v>
      </c>
    </row>
    <row r="90" spans="1:13" x14ac:dyDescent="0.25">
      <c r="A90" s="186" t="s">
        <v>162</v>
      </c>
      <c r="B90" s="187" t="s">
        <v>264</v>
      </c>
      <c r="C90" s="186" t="s">
        <v>24</v>
      </c>
      <c r="D90" s="188">
        <v>9.77</v>
      </c>
      <c r="E90" s="186">
        <v>1.7800000000000011</v>
      </c>
      <c r="F90" s="195">
        <v>5.4359999999999999</v>
      </c>
      <c r="G90" s="188">
        <v>4.077</v>
      </c>
      <c r="H90" s="189">
        <v>0</v>
      </c>
      <c r="I90" s="189"/>
      <c r="J90" s="186" t="s">
        <v>238</v>
      </c>
      <c r="K90" s="186" t="s">
        <v>23</v>
      </c>
      <c r="L90" s="191">
        <v>52.89168994498376</v>
      </c>
      <c r="M90" s="191">
        <v>35.990068697273728</v>
      </c>
    </row>
    <row r="91" spans="1:13" x14ac:dyDescent="0.25">
      <c r="A91" s="186" t="s">
        <v>163</v>
      </c>
      <c r="B91" s="187">
        <v>1959</v>
      </c>
      <c r="C91" s="186" t="s">
        <v>35</v>
      </c>
      <c r="D91" s="188">
        <v>12.1</v>
      </c>
      <c r="E91" s="186">
        <v>29.9</v>
      </c>
      <c r="F91" s="195">
        <v>3.2770000000000001</v>
      </c>
      <c r="G91" s="188">
        <v>2.4577499999999999</v>
      </c>
      <c r="H91" s="189">
        <v>26.623000000000001</v>
      </c>
      <c r="I91" s="189"/>
      <c r="J91" s="186" t="s">
        <v>238</v>
      </c>
      <c r="K91" s="186" t="s">
        <v>238</v>
      </c>
      <c r="L91" s="191">
        <v>53.265170113113754</v>
      </c>
      <c r="M91" s="191">
        <v>36.527878362076606</v>
      </c>
    </row>
    <row r="92" spans="1:13" x14ac:dyDescent="0.25">
      <c r="A92" s="186" t="s">
        <v>165</v>
      </c>
      <c r="B92" s="187">
        <v>1976</v>
      </c>
      <c r="C92" s="186" t="s">
        <v>36</v>
      </c>
      <c r="D92" s="188">
        <v>10.87</v>
      </c>
      <c r="E92" s="186">
        <v>4.2800000000000011</v>
      </c>
      <c r="F92" s="195">
        <v>0.44800000000000001</v>
      </c>
      <c r="G92" s="188">
        <v>0.33600000000000002</v>
      </c>
      <c r="H92" s="189">
        <v>3.8320000000000007</v>
      </c>
      <c r="I92" s="189"/>
      <c r="J92" s="186" t="s">
        <v>238</v>
      </c>
      <c r="K92" s="186" t="s">
        <v>238</v>
      </c>
      <c r="L92" s="191">
        <v>53.261480546332528</v>
      </c>
      <c r="M92" s="191">
        <v>36.604331832698925</v>
      </c>
    </row>
    <row r="93" spans="1:13" x14ac:dyDescent="0.25">
      <c r="A93" s="186" t="s">
        <v>166</v>
      </c>
      <c r="B93" s="187">
        <v>1964</v>
      </c>
      <c r="C93" s="186" t="s">
        <v>167</v>
      </c>
      <c r="D93" s="188">
        <v>1.83</v>
      </c>
      <c r="E93" s="186">
        <v>7.3949999999999996</v>
      </c>
      <c r="F93" s="195">
        <v>0.37099999999999994</v>
      </c>
      <c r="G93" s="188">
        <v>0.27824999999999994</v>
      </c>
      <c r="H93" s="189">
        <v>7.0649999999999995</v>
      </c>
      <c r="I93" s="189"/>
      <c r="J93" s="186" t="s">
        <v>238</v>
      </c>
      <c r="K93" s="186" t="s">
        <v>238</v>
      </c>
      <c r="L93" s="191">
        <v>53.158034128919319</v>
      </c>
      <c r="M93" s="191">
        <v>36.828345876216403</v>
      </c>
    </row>
    <row r="94" spans="1:13" x14ac:dyDescent="0.25">
      <c r="A94" s="186" t="s">
        <v>168</v>
      </c>
      <c r="B94" s="187">
        <v>1977</v>
      </c>
      <c r="C94" s="186" t="s">
        <v>27</v>
      </c>
      <c r="D94" s="188">
        <v>2.48</v>
      </c>
      <c r="E94" s="186">
        <v>5.9649999999999999</v>
      </c>
      <c r="F94" s="195">
        <v>1.59</v>
      </c>
      <c r="G94" s="188">
        <v>1.1925000000000001</v>
      </c>
      <c r="H94" s="189">
        <v>4.375</v>
      </c>
      <c r="I94" s="189"/>
      <c r="J94" s="186" t="s">
        <v>238</v>
      </c>
      <c r="K94" s="186" t="s">
        <v>238</v>
      </c>
      <c r="L94" s="191">
        <v>53.185305920682914</v>
      </c>
      <c r="M94" s="191">
        <v>36.392380872588078</v>
      </c>
    </row>
    <row r="95" spans="1:13" x14ac:dyDescent="0.25">
      <c r="A95" s="186" t="s">
        <v>169</v>
      </c>
      <c r="B95" s="187">
        <v>1970</v>
      </c>
      <c r="C95" s="186" t="s">
        <v>36</v>
      </c>
      <c r="D95" s="188">
        <v>5.73</v>
      </c>
      <c r="E95" s="186">
        <v>8.7199999999999989</v>
      </c>
      <c r="F95" s="195">
        <v>0.65100000000000002</v>
      </c>
      <c r="G95" s="188">
        <v>0.48825000000000002</v>
      </c>
      <c r="H95" s="189">
        <v>8.0689999999999991</v>
      </c>
      <c r="I95" s="189"/>
      <c r="J95" s="186" t="s">
        <v>238</v>
      </c>
      <c r="K95" s="186" t="s">
        <v>238</v>
      </c>
      <c r="L95" s="191">
        <v>52.892026455387999</v>
      </c>
      <c r="M95" s="191">
        <v>36.899389975731836</v>
      </c>
    </row>
    <row r="96" spans="1:13" x14ac:dyDescent="0.25">
      <c r="A96" s="186" t="s">
        <v>170</v>
      </c>
      <c r="B96" s="187" t="s">
        <v>265</v>
      </c>
      <c r="C96" s="186" t="s">
        <v>25</v>
      </c>
      <c r="D96" s="188">
        <v>0.28999999999999998</v>
      </c>
      <c r="E96" s="186">
        <v>2.9950000000000001</v>
      </c>
      <c r="F96" s="195">
        <v>0.13700000000000001</v>
      </c>
      <c r="G96" s="188">
        <v>0.10275000000000001</v>
      </c>
      <c r="H96" s="189">
        <v>2.8580000000000001</v>
      </c>
      <c r="I96" s="189"/>
      <c r="J96" s="186" t="s">
        <v>238</v>
      </c>
      <c r="K96" s="186" t="s">
        <v>238</v>
      </c>
      <c r="L96" s="191">
        <v>53.009105376815427</v>
      </c>
      <c r="M96" s="191">
        <v>36.741884944705362</v>
      </c>
    </row>
    <row r="97" spans="1:13" x14ac:dyDescent="0.25">
      <c r="A97" s="186" t="s">
        <v>171</v>
      </c>
      <c r="B97" s="187" t="s">
        <v>266</v>
      </c>
      <c r="C97" s="186" t="s">
        <v>24</v>
      </c>
      <c r="D97" s="188">
        <v>7.0600000000000005</v>
      </c>
      <c r="E97" s="186">
        <v>7.5399999999999991</v>
      </c>
      <c r="F97" s="195">
        <v>1.5780000000000001</v>
      </c>
      <c r="G97" s="188">
        <v>1.1835</v>
      </c>
      <c r="H97" s="189">
        <v>5.961999999999998</v>
      </c>
      <c r="I97" s="189"/>
      <c r="J97" s="186" t="s">
        <v>238</v>
      </c>
      <c r="K97" s="186" t="s">
        <v>238</v>
      </c>
      <c r="L97" s="191">
        <v>53.434825496356027</v>
      </c>
      <c r="M97" s="191">
        <v>35.984495874329411</v>
      </c>
    </row>
    <row r="98" spans="1:13" x14ac:dyDescent="0.25">
      <c r="A98" s="186" t="s">
        <v>172</v>
      </c>
      <c r="B98" s="187" t="s">
        <v>267</v>
      </c>
      <c r="C98" s="186" t="s">
        <v>24</v>
      </c>
      <c r="D98" s="188">
        <v>3.04</v>
      </c>
      <c r="E98" s="186">
        <v>9.98</v>
      </c>
      <c r="F98" s="195">
        <v>0.4</v>
      </c>
      <c r="G98" s="188">
        <v>0.30000000000000004</v>
      </c>
      <c r="H98" s="189">
        <v>5.961999999999998</v>
      </c>
      <c r="I98" s="189"/>
      <c r="J98" s="186" t="s">
        <v>238</v>
      </c>
      <c r="K98" s="186" t="s">
        <v>238</v>
      </c>
      <c r="L98" s="191">
        <v>52.984175259977214</v>
      </c>
      <c r="M98" s="191">
        <v>37.023762531876002</v>
      </c>
    </row>
    <row r="99" spans="1:13" x14ac:dyDescent="0.25">
      <c r="A99" s="186" t="s">
        <v>173</v>
      </c>
      <c r="B99" s="187">
        <v>1977</v>
      </c>
      <c r="C99" s="186" t="s">
        <v>24</v>
      </c>
      <c r="D99" s="188">
        <v>1.88</v>
      </c>
      <c r="E99" s="186">
        <v>10.4</v>
      </c>
      <c r="F99" s="195">
        <v>0.10300000000000001</v>
      </c>
      <c r="G99" s="188">
        <v>7.7250000000000013E-2</v>
      </c>
      <c r="H99" s="189">
        <v>10.297000000000001</v>
      </c>
      <c r="I99" s="189"/>
      <c r="J99" s="186" t="s">
        <v>238</v>
      </c>
      <c r="K99" s="186" t="s">
        <v>238</v>
      </c>
      <c r="L99" s="191">
        <v>53.270848124537928</v>
      </c>
      <c r="M99" s="191">
        <v>35.700408692991623</v>
      </c>
    </row>
    <row r="100" spans="1:13" x14ac:dyDescent="0.25">
      <c r="A100" s="186" t="s">
        <v>174</v>
      </c>
      <c r="B100" s="187" t="s">
        <v>268</v>
      </c>
      <c r="C100" s="186" t="s">
        <v>111</v>
      </c>
      <c r="D100" s="188">
        <v>0.34</v>
      </c>
      <c r="E100" s="186">
        <v>2.0300000000000002</v>
      </c>
      <c r="F100" s="195">
        <v>4.0000000000000001E-3</v>
      </c>
      <c r="G100" s="188">
        <v>3.0000000000000001E-3</v>
      </c>
      <c r="H100" s="189">
        <v>2.0260000000000002</v>
      </c>
      <c r="I100" s="189"/>
      <c r="J100" s="186" t="s">
        <v>238</v>
      </c>
      <c r="K100" s="186" t="s">
        <v>238</v>
      </c>
      <c r="L100" s="191">
        <v>53.243009914795358</v>
      </c>
      <c r="M100" s="191">
        <v>36.229045201083487</v>
      </c>
    </row>
    <row r="101" spans="1:13" x14ac:dyDescent="0.25">
      <c r="A101" s="186" t="s">
        <v>175</v>
      </c>
      <c r="B101" s="187" t="s">
        <v>269</v>
      </c>
      <c r="C101" s="186" t="s">
        <v>176</v>
      </c>
      <c r="D101" s="188">
        <v>0.14000000000000001</v>
      </c>
      <c r="E101" s="186">
        <v>1.5</v>
      </c>
      <c r="F101" s="195">
        <v>3.5999999999999997E-2</v>
      </c>
      <c r="G101" s="188">
        <v>2.6999999999999996E-2</v>
      </c>
      <c r="H101" s="189">
        <v>1.464</v>
      </c>
      <c r="I101" s="189"/>
      <c r="J101" s="186" t="s">
        <v>238</v>
      </c>
      <c r="K101" s="186" t="s">
        <v>238</v>
      </c>
      <c r="L101" s="191">
        <v>53.244684091695781</v>
      </c>
      <c r="M101" s="191">
        <v>36.630914173220511</v>
      </c>
    </row>
    <row r="102" spans="1:13" x14ac:dyDescent="0.25">
      <c r="A102" s="186" t="s">
        <v>177</v>
      </c>
      <c r="B102" s="187">
        <v>1971</v>
      </c>
      <c r="C102" s="186" t="s">
        <v>31</v>
      </c>
      <c r="D102" s="188">
        <v>0.52</v>
      </c>
      <c r="E102" s="186">
        <v>1.1600000000000001</v>
      </c>
      <c r="F102" s="195">
        <v>1.7999999999999999E-2</v>
      </c>
      <c r="G102" s="188">
        <v>1.3499999999999998E-2</v>
      </c>
      <c r="H102" s="189">
        <v>1.1420000000000001</v>
      </c>
      <c r="I102" s="189"/>
      <c r="J102" s="186" t="s">
        <v>238</v>
      </c>
      <c r="K102" s="186" t="s">
        <v>238</v>
      </c>
      <c r="L102" s="191">
        <v>53.077098415539773</v>
      </c>
      <c r="M102" s="191">
        <v>36.483387523881504</v>
      </c>
    </row>
    <row r="103" spans="1:13" x14ac:dyDescent="0.25">
      <c r="A103" s="186" t="s">
        <v>178</v>
      </c>
      <c r="B103" s="187">
        <v>1998</v>
      </c>
      <c r="C103" s="186" t="s">
        <v>179</v>
      </c>
      <c r="D103" s="188">
        <v>0.28000000000000003</v>
      </c>
      <c r="E103" s="186">
        <v>1.01</v>
      </c>
      <c r="F103" s="195">
        <v>0</v>
      </c>
      <c r="G103" s="188">
        <v>0</v>
      </c>
      <c r="H103" s="189">
        <v>1.01</v>
      </c>
      <c r="I103" s="189"/>
      <c r="J103" s="186" t="s">
        <v>238</v>
      </c>
      <c r="K103" s="186" t="s">
        <v>238</v>
      </c>
      <c r="L103" s="191">
        <v>52.991663621349971</v>
      </c>
      <c r="M103" s="191">
        <v>36.486360335573131</v>
      </c>
    </row>
    <row r="104" spans="1:13" x14ac:dyDescent="0.25">
      <c r="A104" s="186" t="s">
        <v>180</v>
      </c>
      <c r="B104" s="187">
        <v>1976</v>
      </c>
      <c r="C104" s="186" t="s">
        <v>25</v>
      </c>
      <c r="D104" s="188">
        <v>0.48</v>
      </c>
      <c r="E104" s="186">
        <v>2.145</v>
      </c>
      <c r="F104" s="195">
        <v>0</v>
      </c>
      <c r="G104" s="188">
        <v>0</v>
      </c>
      <c r="H104" s="189">
        <v>2.145</v>
      </c>
      <c r="I104" s="189"/>
      <c r="J104" s="186" t="s">
        <v>238</v>
      </c>
      <c r="K104" s="186" t="s">
        <v>238</v>
      </c>
      <c r="L104" s="191">
        <v>52.885066212407743</v>
      </c>
      <c r="M104" s="191">
        <v>36.571873086822542</v>
      </c>
    </row>
    <row r="105" spans="1:13" x14ac:dyDescent="0.25">
      <c r="A105" s="186" t="s">
        <v>181</v>
      </c>
      <c r="B105" s="187">
        <v>1997</v>
      </c>
      <c r="C105" s="186" t="s">
        <v>37</v>
      </c>
      <c r="D105" s="188">
        <v>0.96</v>
      </c>
      <c r="E105" s="186">
        <v>2.2949999999999999</v>
      </c>
      <c r="F105" s="195">
        <v>0.251</v>
      </c>
      <c r="G105" s="188">
        <v>0.18825</v>
      </c>
      <c r="H105" s="189">
        <v>2.044</v>
      </c>
      <c r="I105" s="189"/>
      <c r="J105" s="186" t="s">
        <v>238</v>
      </c>
      <c r="K105" s="186" t="s">
        <v>238</v>
      </c>
      <c r="L105" s="191">
        <v>52.92946886742881</v>
      </c>
      <c r="M105" s="191">
        <v>36.575343008991936</v>
      </c>
    </row>
    <row r="106" spans="1:13" x14ac:dyDescent="0.25">
      <c r="A106" s="186" t="s">
        <v>182</v>
      </c>
      <c r="B106" s="187">
        <v>1977</v>
      </c>
      <c r="C106" s="186" t="s">
        <v>26</v>
      </c>
      <c r="D106" s="188">
        <v>0.2</v>
      </c>
      <c r="E106" s="186">
        <v>1.9500000000000002</v>
      </c>
      <c r="F106" s="195">
        <v>4.0000000000000001E-3</v>
      </c>
      <c r="G106" s="188">
        <v>3.0000000000000001E-3</v>
      </c>
      <c r="H106" s="189">
        <v>1.9460000000000002</v>
      </c>
      <c r="I106" s="189"/>
      <c r="J106" s="186" t="s">
        <v>238</v>
      </c>
      <c r="K106" s="186" t="s">
        <v>238</v>
      </c>
      <c r="L106" s="191">
        <v>52.829529259748952</v>
      </c>
      <c r="M106" s="191">
        <v>36.768526885231374</v>
      </c>
    </row>
    <row r="107" spans="1:13" x14ac:dyDescent="0.25">
      <c r="A107" s="186" t="s">
        <v>183</v>
      </c>
      <c r="B107" s="187">
        <v>1982</v>
      </c>
      <c r="C107" s="186" t="s">
        <v>25</v>
      </c>
      <c r="D107" s="188">
        <v>0.23</v>
      </c>
      <c r="E107" s="186">
        <v>2.395</v>
      </c>
      <c r="F107" s="195">
        <v>7.0000000000000001E-3</v>
      </c>
      <c r="G107" s="188">
        <v>5.2500000000000003E-3</v>
      </c>
      <c r="H107" s="189">
        <v>2.3879999999999999</v>
      </c>
      <c r="I107" s="189"/>
      <c r="J107" s="186" t="s">
        <v>238</v>
      </c>
      <c r="K107" s="186" t="s">
        <v>238</v>
      </c>
      <c r="L107" s="191">
        <v>53.492440032969952</v>
      </c>
      <c r="M107" s="191">
        <v>35.805188958571165</v>
      </c>
    </row>
    <row r="108" spans="1:13" x14ac:dyDescent="0.25">
      <c r="A108" s="186" t="s">
        <v>184</v>
      </c>
      <c r="B108" s="187">
        <v>1980</v>
      </c>
      <c r="C108" s="186" t="s">
        <v>25</v>
      </c>
      <c r="D108" s="188">
        <v>0.74</v>
      </c>
      <c r="E108" s="186">
        <v>2.5550000000000002</v>
      </c>
      <c r="F108" s="195">
        <v>3.7999999999999999E-2</v>
      </c>
      <c r="G108" s="188">
        <v>2.8499999999999998E-2</v>
      </c>
      <c r="H108" s="189">
        <v>2.5169999999999999</v>
      </c>
      <c r="I108" s="189"/>
      <c r="J108" s="186" t="s">
        <v>238</v>
      </c>
      <c r="K108" s="186" t="s">
        <v>238</v>
      </c>
      <c r="L108" s="191">
        <v>53.309017983221231</v>
      </c>
      <c r="M108" s="191">
        <v>36.055156016922076</v>
      </c>
    </row>
    <row r="109" spans="1:13" x14ac:dyDescent="0.25">
      <c r="A109" s="186" t="s">
        <v>185</v>
      </c>
      <c r="B109" s="187">
        <v>1979</v>
      </c>
      <c r="C109" s="186" t="s">
        <v>26</v>
      </c>
      <c r="D109" s="188">
        <v>0.74</v>
      </c>
      <c r="E109" s="186">
        <v>1.31</v>
      </c>
      <c r="F109" s="195">
        <v>2.9000000000000001E-2</v>
      </c>
      <c r="G109" s="188">
        <v>2.1750000000000002E-2</v>
      </c>
      <c r="H109" s="189">
        <v>1.2810000000000001</v>
      </c>
      <c r="I109" s="189"/>
      <c r="J109" s="186" t="s">
        <v>238</v>
      </c>
      <c r="K109" s="186" t="s">
        <v>238</v>
      </c>
      <c r="L109" s="191">
        <v>53.479942363516038</v>
      </c>
      <c r="M109" s="191">
        <v>36.211552226515295</v>
      </c>
    </row>
    <row r="110" spans="1:13" x14ac:dyDescent="0.25">
      <c r="A110" s="186" t="s">
        <v>186</v>
      </c>
      <c r="B110" s="187">
        <v>1962</v>
      </c>
      <c r="C110" s="186" t="s">
        <v>25</v>
      </c>
      <c r="D110" s="188">
        <v>0.62</v>
      </c>
      <c r="E110" s="186">
        <v>2.6949999999999998</v>
      </c>
      <c r="F110" s="195">
        <v>0.1</v>
      </c>
      <c r="G110" s="188">
        <v>7.5000000000000011E-2</v>
      </c>
      <c r="H110" s="189">
        <v>2.5949999999999998</v>
      </c>
      <c r="I110" s="189"/>
      <c r="J110" s="186" t="s">
        <v>238</v>
      </c>
      <c r="K110" s="186" t="s">
        <v>238</v>
      </c>
      <c r="L110" s="191">
        <v>53.108970322468167</v>
      </c>
      <c r="M110" s="191">
        <v>37.086692066499786</v>
      </c>
    </row>
    <row r="111" spans="1:13" x14ac:dyDescent="0.25">
      <c r="A111" s="186" t="s">
        <v>187</v>
      </c>
      <c r="B111" s="187">
        <v>1988</v>
      </c>
      <c r="C111" s="186" t="s">
        <v>26</v>
      </c>
      <c r="D111" s="188">
        <v>0.4</v>
      </c>
      <c r="E111" s="186">
        <v>1.2800000000000002</v>
      </c>
      <c r="F111" s="195">
        <v>4.4999999999999998E-2</v>
      </c>
      <c r="G111" s="188">
        <v>3.3750000000000002E-2</v>
      </c>
      <c r="H111" s="189">
        <v>1.2350000000000001</v>
      </c>
      <c r="I111" s="189"/>
      <c r="J111" s="186" t="s">
        <v>238</v>
      </c>
      <c r="K111" s="186" t="s">
        <v>238</v>
      </c>
      <c r="L111" s="191">
        <v>53.054276674098652</v>
      </c>
      <c r="M111" s="191">
        <v>36.902380751774309</v>
      </c>
    </row>
    <row r="112" spans="1:13" x14ac:dyDescent="0.25">
      <c r="A112" s="186" t="s">
        <v>188</v>
      </c>
      <c r="B112" s="187">
        <v>1992</v>
      </c>
      <c r="C112" s="186" t="s">
        <v>189</v>
      </c>
      <c r="D112" s="188">
        <v>0.19</v>
      </c>
      <c r="E112" s="186">
        <v>1.1100000000000001</v>
      </c>
      <c r="F112" s="195">
        <v>0</v>
      </c>
      <c r="G112" s="188">
        <v>0</v>
      </c>
      <c r="H112" s="189">
        <v>1.1100000000000001</v>
      </c>
      <c r="I112" s="189"/>
      <c r="J112" s="186" t="s">
        <v>238</v>
      </c>
      <c r="K112" s="186" t="s">
        <v>238</v>
      </c>
      <c r="L112" s="191">
        <v>53.341367604865276</v>
      </c>
      <c r="M112" s="191">
        <v>35.573557917368667</v>
      </c>
    </row>
    <row r="113" spans="1:13" x14ac:dyDescent="0.25">
      <c r="A113" s="186" t="s">
        <v>190</v>
      </c>
      <c r="B113" s="187">
        <v>1981</v>
      </c>
      <c r="C113" s="186" t="s">
        <v>37</v>
      </c>
      <c r="D113" s="188">
        <v>0.86</v>
      </c>
      <c r="E113" s="186">
        <v>2.4550000000000001</v>
      </c>
      <c r="F113" s="195">
        <v>0.36399999999999999</v>
      </c>
      <c r="G113" s="188">
        <v>0.27300000000000002</v>
      </c>
      <c r="H113" s="189">
        <v>2.0910000000000002</v>
      </c>
      <c r="I113" s="189"/>
      <c r="J113" s="186" t="s">
        <v>238</v>
      </c>
      <c r="K113" s="186" t="s">
        <v>238</v>
      </c>
      <c r="L113" s="191">
        <v>53.251709082407267</v>
      </c>
      <c r="M113" s="191">
        <v>37.347712632581512</v>
      </c>
    </row>
    <row r="114" spans="1:13" x14ac:dyDescent="0.25">
      <c r="A114" s="187" t="s">
        <v>191</v>
      </c>
      <c r="B114" s="187">
        <v>1962</v>
      </c>
      <c r="C114" s="186" t="s">
        <v>34</v>
      </c>
      <c r="D114" s="188">
        <v>0.87</v>
      </c>
      <c r="E114" s="186">
        <v>2.5150000000000001</v>
      </c>
      <c r="F114" s="195">
        <v>5.2999999999999999E-2</v>
      </c>
      <c r="G114" s="188">
        <v>3.9750000000000001E-2</v>
      </c>
      <c r="H114" s="189">
        <v>2.4619999999999997</v>
      </c>
      <c r="I114" s="189"/>
      <c r="J114" s="186" t="s">
        <v>238</v>
      </c>
      <c r="K114" s="186" t="s">
        <v>238</v>
      </c>
      <c r="L114" s="191">
        <v>53.157417317833954</v>
      </c>
      <c r="M114" s="191">
        <v>37.379916072820826</v>
      </c>
    </row>
    <row r="115" spans="1:13" x14ac:dyDescent="0.25">
      <c r="A115" s="186" t="s">
        <v>192</v>
      </c>
      <c r="B115" s="187">
        <v>1977</v>
      </c>
      <c r="C115" s="186" t="s">
        <v>26</v>
      </c>
      <c r="D115" s="188">
        <v>0.17</v>
      </c>
      <c r="E115" s="186">
        <v>1.5100000000000002</v>
      </c>
      <c r="F115" s="195">
        <v>1.2999999999999999E-2</v>
      </c>
      <c r="G115" s="188">
        <v>9.75E-3</v>
      </c>
      <c r="H115" s="189">
        <v>1.4970000000000001</v>
      </c>
      <c r="I115" s="189"/>
      <c r="J115" s="186" t="s">
        <v>238</v>
      </c>
      <c r="K115" s="186" t="s">
        <v>238</v>
      </c>
      <c r="L115" s="191">
        <v>53.235577227851266</v>
      </c>
      <c r="M115" s="191">
        <v>37.079434532968783</v>
      </c>
    </row>
    <row r="116" spans="1:13" x14ac:dyDescent="0.25">
      <c r="A116" s="186" t="s">
        <v>193</v>
      </c>
      <c r="B116" s="187">
        <v>1964</v>
      </c>
      <c r="C116" s="186" t="s">
        <v>38</v>
      </c>
      <c r="D116" s="188">
        <v>7.13</v>
      </c>
      <c r="E116" s="186">
        <v>7.02</v>
      </c>
      <c r="F116" s="195">
        <v>0.38499999999999995</v>
      </c>
      <c r="G116" s="188">
        <v>0.28874999999999995</v>
      </c>
      <c r="H116" s="189">
        <v>6.6349999999999998</v>
      </c>
      <c r="I116" s="189"/>
      <c r="J116" s="186" t="s">
        <v>238</v>
      </c>
      <c r="K116" s="186" t="s">
        <v>238</v>
      </c>
      <c r="L116" s="191">
        <v>52.810936517400343</v>
      </c>
      <c r="M116" s="191">
        <v>37.247381220590988</v>
      </c>
    </row>
    <row r="117" spans="1:13" x14ac:dyDescent="0.25">
      <c r="A117" s="186" t="s">
        <v>194</v>
      </c>
      <c r="B117" s="187">
        <v>1977</v>
      </c>
      <c r="C117" s="186" t="s">
        <v>35</v>
      </c>
      <c r="D117" s="188">
        <v>4.51</v>
      </c>
      <c r="E117" s="186">
        <v>37.79</v>
      </c>
      <c r="F117" s="195">
        <v>4.9000000000000002E-2</v>
      </c>
      <c r="G117" s="188">
        <v>3.6750000000000005E-2</v>
      </c>
      <c r="H117" s="189">
        <v>37.741</v>
      </c>
      <c r="I117" s="189"/>
      <c r="J117" s="186" t="s">
        <v>238</v>
      </c>
      <c r="K117" s="186" t="s">
        <v>238</v>
      </c>
      <c r="L117" s="191">
        <v>52.846132548901238</v>
      </c>
      <c r="M117" s="191">
        <v>37.188611451639979</v>
      </c>
    </row>
    <row r="118" spans="1:13" x14ac:dyDescent="0.25">
      <c r="A118" s="186" t="s">
        <v>195</v>
      </c>
      <c r="B118" s="187">
        <v>1979</v>
      </c>
      <c r="C118" s="186" t="s">
        <v>38</v>
      </c>
      <c r="D118" s="188">
        <v>4.99</v>
      </c>
      <c r="E118" s="186">
        <v>8.89</v>
      </c>
      <c r="F118" s="195">
        <v>0.56399999999999995</v>
      </c>
      <c r="G118" s="188">
        <v>0.42299999999999993</v>
      </c>
      <c r="H118" s="189">
        <v>8.4809999999999999</v>
      </c>
      <c r="I118" s="189"/>
      <c r="J118" s="186" t="s">
        <v>238</v>
      </c>
      <c r="K118" s="186" t="s">
        <v>238</v>
      </c>
      <c r="L118" s="191">
        <v>52.052084711269707</v>
      </c>
      <c r="M118" s="191">
        <v>37.524145790787017</v>
      </c>
    </row>
    <row r="119" spans="1:13" x14ac:dyDescent="0.25">
      <c r="A119" s="186" t="s">
        <v>196</v>
      </c>
      <c r="B119" s="187">
        <v>1983</v>
      </c>
      <c r="C119" s="186" t="s">
        <v>36</v>
      </c>
      <c r="D119" s="188">
        <v>4</v>
      </c>
      <c r="E119" s="186">
        <v>9.15</v>
      </c>
      <c r="F119" s="195">
        <v>1.407</v>
      </c>
      <c r="G119" s="188">
        <v>1.05525</v>
      </c>
      <c r="H119" s="189">
        <v>7.9670000000000005</v>
      </c>
      <c r="I119" s="189"/>
      <c r="J119" s="186" t="s">
        <v>238</v>
      </c>
      <c r="K119" s="186" t="s">
        <v>238</v>
      </c>
      <c r="L119" s="191">
        <v>52.237980363274751</v>
      </c>
      <c r="M119" s="191">
        <v>37.052733033845264</v>
      </c>
    </row>
    <row r="120" spans="1:13" x14ac:dyDescent="0.25">
      <c r="A120" s="186" t="s">
        <v>197</v>
      </c>
      <c r="B120" s="187">
        <v>1981</v>
      </c>
      <c r="C120" s="186" t="s">
        <v>24</v>
      </c>
      <c r="D120" s="188">
        <v>5.07</v>
      </c>
      <c r="E120" s="186">
        <v>6.97</v>
      </c>
      <c r="F120" s="195">
        <v>0.65800000000000003</v>
      </c>
      <c r="G120" s="188">
        <v>0.49350000000000005</v>
      </c>
      <c r="H120" s="189">
        <v>6.3120000000000003</v>
      </c>
      <c r="I120" s="189"/>
      <c r="J120" s="186" t="s">
        <v>238</v>
      </c>
      <c r="K120" s="186" t="s">
        <v>238</v>
      </c>
      <c r="L120" s="191">
        <v>52.788059535294593</v>
      </c>
      <c r="M120" s="191">
        <v>37.678137573915741</v>
      </c>
    </row>
    <row r="121" spans="1:13" x14ac:dyDescent="0.25">
      <c r="A121" s="186" t="s">
        <v>198</v>
      </c>
      <c r="B121" s="187">
        <v>1978</v>
      </c>
      <c r="C121" s="186" t="s">
        <v>24</v>
      </c>
      <c r="D121" s="188">
        <v>5.65</v>
      </c>
      <c r="E121" s="186">
        <v>7.6899999999999995</v>
      </c>
      <c r="F121" s="195">
        <v>0.84899999999999998</v>
      </c>
      <c r="G121" s="188">
        <v>0.63674999999999993</v>
      </c>
      <c r="H121" s="189">
        <v>6.8410000000000002</v>
      </c>
      <c r="I121" s="189"/>
      <c r="J121" s="186" t="s">
        <v>238</v>
      </c>
      <c r="K121" s="186" t="s">
        <v>238</v>
      </c>
      <c r="L121" s="191">
        <v>52.616644672410303</v>
      </c>
      <c r="M121" s="191">
        <v>36.879784632380442</v>
      </c>
    </row>
    <row r="122" spans="1:13" x14ac:dyDescent="0.25">
      <c r="A122" s="186" t="s">
        <v>199</v>
      </c>
      <c r="B122" s="187">
        <v>1964</v>
      </c>
      <c r="C122" s="186" t="s">
        <v>113</v>
      </c>
      <c r="D122" s="188">
        <v>25.589999999999996</v>
      </c>
      <c r="E122" s="186">
        <v>14.050000000000004</v>
      </c>
      <c r="F122" s="195">
        <v>0.56699999999999995</v>
      </c>
      <c r="G122" s="188">
        <v>0.42524999999999996</v>
      </c>
      <c r="H122" s="189">
        <v>13.483000000000001</v>
      </c>
      <c r="I122" s="189"/>
      <c r="J122" s="186" t="s">
        <v>238</v>
      </c>
      <c r="K122" s="186" t="s">
        <v>238</v>
      </c>
      <c r="L122" s="191">
        <v>52.425566624461048</v>
      </c>
      <c r="M122" s="191">
        <v>37.567824852629336</v>
      </c>
    </row>
    <row r="123" spans="1:13" x14ac:dyDescent="0.25">
      <c r="A123" s="186" t="s">
        <v>200</v>
      </c>
      <c r="B123" s="187">
        <v>1972</v>
      </c>
      <c r="C123" s="186" t="s">
        <v>28</v>
      </c>
      <c r="D123" s="188">
        <v>9.84</v>
      </c>
      <c r="E123" s="186">
        <v>6.9600000000000009</v>
      </c>
      <c r="F123" s="195">
        <v>1.6E-2</v>
      </c>
      <c r="G123" s="188">
        <v>1.2E-2</v>
      </c>
      <c r="H123" s="189">
        <v>6.9440000000000008</v>
      </c>
      <c r="I123" s="189"/>
      <c r="J123" s="186" t="s">
        <v>238</v>
      </c>
      <c r="K123" s="186" t="s">
        <v>238</v>
      </c>
      <c r="L123" s="191">
        <v>52.424761795685846</v>
      </c>
      <c r="M123" s="191">
        <v>37.563472304397649</v>
      </c>
    </row>
    <row r="124" spans="1:13" x14ac:dyDescent="0.25">
      <c r="A124" s="186" t="s">
        <v>201</v>
      </c>
      <c r="B124" s="187">
        <v>1979</v>
      </c>
      <c r="C124" s="186" t="s">
        <v>24</v>
      </c>
      <c r="D124" s="188">
        <v>5.05</v>
      </c>
      <c r="E124" s="186">
        <v>5.45</v>
      </c>
      <c r="F124" s="195">
        <v>1.4119999999999999</v>
      </c>
      <c r="G124" s="188">
        <v>1.0589999999999999</v>
      </c>
      <c r="H124" s="189">
        <v>4.0380000000000003</v>
      </c>
      <c r="I124" s="189"/>
      <c r="J124" s="186" t="s">
        <v>238</v>
      </c>
      <c r="K124" s="186" t="s">
        <v>238</v>
      </c>
      <c r="L124" s="191">
        <v>52.419058615528435</v>
      </c>
      <c r="M124" s="191">
        <v>37.584005144043992</v>
      </c>
    </row>
    <row r="125" spans="1:13" x14ac:dyDescent="0.25">
      <c r="A125" s="186" t="s">
        <v>202</v>
      </c>
      <c r="B125" s="187">
        <v>1989</v>
      </c>
      <c r="C125" s="186" t="s">
        <v>27</v>
      </c>
      <c r="D125" s="188">
        <v>1.1399999999999999</v>
      </c>
      <c r="E125" s="186">
        <v>7.3250000000000002</v>
      </c>
      <c r="F125" s="195">
        <v>0.03</v>
      </c>
      <c r="G125" s="188">
        <v>2.2499999999999999E-2</v>
      </c>
      <c r="H125" s="189">
        <v>7.2949999999999999</v>
      </c>
      <c r="I125" s="189"/>
      <c r="J125" s="186" t="s">
        <v>238</v>
      </c>
      <c r="K125" s="186" t="s">
        <v>238</v>
      </c>
      <c r="L125" s="191">
        <v>52.410432982394056</v>
      </c>
      <c r="M125" s="191">
        <v>37.378699314221912</v>
      </c>
    </row>
    <row r="126" spans="1:13" x14ac:dyDescent="0.25">
      <c r="A126" s="186" t="s">
        <v>203</v>
      </c>
      <c r="B126" s="187" t="s">
        <v>270</v>
      </c>
      <c r="C126" s="186" t="s">
        <v>204</v>
      </c>
      <c r="D126" s="188">
        <v>1.49</v>
      </c>
      <c r="E126" s="186">
        <v>4.68</v>
      </c>
      <c r="F126" s="195">
        <v>0.03</v>
      </c>
      <c r="G126" s="188">
        <v>2.2499999999999999E-2</v>
      </c>
      <c r="H126" s="189">
        <v>4.6500000000000004</v>
      </c>
      <c r="I126" s="189"/>
      <c r="J126" s="186" t="s">
        <v>238</v>
      </c>
      <c r="K126" s="186" t="s">
        <v>238</v>
      </c>
      <c r="L126" s="191">
        <v>52.624580999381273</v>
      </c>
      <c r="M126" s="191">
        <v>37.344096719307501</v>
      </c>
    </row>
    <row r="127" spans="1:13" x14ac:dyDescent="0.25">
      <c r="A127" s="186" t="s">
        <v>205</v>
      </c>
      <c r="B127" s="187">
        <v>1976</v>
      </c>
      <c r="C127" s="186" t="s">
        <v>26</v>
      </c>
      <c r="D127" s="188">
        <v>0.55000000000000004</v>
      </c>
      <c r="E127" s="186">
        <v>1.2600000000000002</v>
      </c>
      <c r="F127" s="195">
        <v>6.9000000000000006E-2</v>
      </c>
      <c r="G127" s="188">
        <v>5.1750000000000004E-2</v>
      </c>
      <c r="H127" s="189">
        <v>1.1910000000000003</v>
      </c>
      <c r="I127" s="189"/>
      <c r="J127" s="186" t="s">
        <v>238</v>
      </c>
      <c r="K127" s="186" t="s">
        <v>238</v>
      </c>
      <c r="L127" s="191">
        <v>52.629184988364614</v>
      </c>
      <c r="M127" s="191">
        <v>36.61813459843038</v>
      </c>
    </row>
    <row r="128" spans="1:13" x14ac:dyDescent="0.25">
      <c r="A128" s="186" t="s">
        <v>206</v>
      </c>
      <c r="B128" s="187" t="s">
        <v>271</v>
      </c>
      <c r="C128" s="186" t="s">
        <v>25</v>
      </c>
      <c r="D128" s="188">
        <v>1.28</v>
      </c>
      <c r="E128" s="186">
        <v>1.9950000000000001</v>
      </c>
      <c r="F128" s="195">
        <v>3.5999999999999997E-2</v>
      </c>
      <c r="G128" s="188">
        <v>2.6999999999999996E-2</v>
      </c>
      <c r="H128" s="189">
        <v>1.9590000000000001</v>
      </c>
      <c r="I128" s="189"/>
      <c r="J128" s="186" t="s">
        <v>238</v>
      </c>
      <c r="K128" s="186" t="s">
        <v>238</v>
      </c>
      <c r="L128" s="191">
        <v>52.308634310403598</v>
      </c>
      <c r="M128" s="191">
        <v>37.881349792259897</v>
      </c>
    </row>
    <row r="129" spans="1:13" x14ac:dyDescent="0.25">
      <c r="A129" s="186" t="s">
        <v>207</v>
      </c>
      <c r="B129" s="187" t="s">
        <v>272</v>
      </c>
      <c r="C129" s="186" t="s">
        <v>34</v>
      </c>
      <c r="D129" s="188">
        <v>0.81</v>
      </c>
      <c r="E129" s="186">
        <v>2.2450000000000001</v>
      </c>
      <c r="F129" s="195">
        <v>1.7999999999999999E-2</v>
      </c>
      <c r="G129" s="188">
        <v>1.3499999999999998E-2</v>
      </c>
      <c r="H129" s="189">
        <v>2.2269999999999999</v>
      </c>
      <c r="I129" s="189"/>
      <c r="J129" s="186" t="s">
        <v>238</v>
      </c>
      <c r="K129" s="186" t="s">
        <v>238</v>
      </c>
      <c r="L129" s="191">
        <v>52.136884063065125</v>
      </c>
      <c r="M129" s="191">
        <v>37.636692142472434</v>
      </c>
    </row>
    <row r="130" spans="1:13" x14ac:dyDescent="0.25">
      <c r="A130" s="186" t="s">
        <v>208</v>
      </c>
      <c r="B130" s="187" t="s">
        <v>273</v>
      </c>
      <c r="C130" s="186" t="s">
        <v>30</v>
      </c>
      <c r="D130" s="188">
        <v>0.86</v>
      </c>
      <c r="E130" s="186">
        <v>1.3800000000000003</v>
      </c>
      <c r="F130" s="195">
        <v>2.4E-2</v>
      </c>
      <c r="G130" s="188">
        <v>1.8000000000000002E-2</v>
      </c>
      <c r="H130" s="189">
        <v>1.3560000000000003</v>
      </c>
      <c r="I130" s="189"/>
      <c r="J130" s="186" t="s">
        <v>238</v>
      </c>
      <c r="K130" s="186" t="s">
        <v>238</v>
      </c>
      <c r="L130" s="191">
        <v>52.302628202300674</v>
      </c>
      <c r="M130" s="191">
        <v>37.375620093898249</v>
      </c>
    </row>
    <row r="131" spans="1:13" x14ac:dyDescent="0.25">
      <c r="A131" s="186" t="s">
        <v>209</v>
      </c>
      <c r="B131" s="187" t="s">
        <v>282</v>
      </c>
      <c r="C131" s="186" t="s">
        <v>34</v>
      </c>
      <c r="D131" s="188">
        <v>1.58</v>
      </c>
      <c r="E131" s="186">
        <v>1.0449999999999999</v>
      </c>
      <c r="F131" s="195">
        <v>0.16600000000000001</v>
      </c>
      <c r="G131" s="188">
        <v>0.1245</v>
      </c>
      <c r="H131" s="189">
        <v>0.879</v>
      </c>
      <c r="I131" s="189"/>
      <c r="J131" s="186" t="s">
        <v>238</v>
      </c>
      <c r="K131" s="186" t="s">
        <v>238</v>
      </c>
      <c r="L131" s="191">
        <v>52.490169236138804</v>
      </c>
      <c r="M131" s="191">
        <v>37.053371421347848</v>
      </c>
    </row>
    <row r="132" spans="1:13" x14ac:dyDescent="0.25">
      <c r="A132" s="186" t="s">
        <v>210</v>
      </c>
      <c r="B132" s="187" t="s">
        <v>274</v>
      </c>
      <c r="C132" s="186" t="s">
        <v>27</v>
      </c>
      <c r="D132" s="188">
        <v>0.79</v>
      </c>
      <c r="E132" s="186">
        <v>6.2149999999999999</v>
      </c>
      <c r="F132" s="195">
        <v>3.5000000000000003E-2</v>
      </c>
      <c r="G132" s="188">
        <v>2.6250000000000002E-2</v>
      </c>
      <c r="H132" s="189">
        <v>6.18</v>
      </c>
      <c r="I132" s="189"/>
      <c r="J132" s="186" t="s">
        <v>238</v>
      </c>
      <c r="K132" s="186" t="s">
        <v>238</v>
      </c>
      <c r="L132" s="191">
        <v>52.239035505977277</v>
      </c>
      <c r="M132" s="191">
        <v>37.012822614787794</v>
      </c>
    </row>
    <row r="133" spans="1:13" x14ac:dyDescent="0.25">
      <c r="A133" s="186" t="s">
        <v>211</v>
      </c>
      <c r="B133" s="187" t="s">
        <v>283</v>
      </c>
      <c r="C133" s="186" t="s">
        <v>25</v>
      </c>
      <c r="D133" s="188">
        <v>1.9</v>
      </c>
      <c r="E133" s="186">
        <v>1.5950000000000002</v>
      </c>
      <c r="F133" s="195">
        <v>0.13400000000000001</v>
      </c>
      <c r="G133" s="188">
        <v>0.10050000000000001</v>
      </c>
      <c r="H133" s="189">
        <v>1.4610000000000003</v>
      </c>
      <c r="I133" s="189"/>
      <c r="J133" s="186" t="s">
        <v>238</v>
      </c>
      <c r="K133" s="186" t="s">
        <v>238</v>
      </c>
      <c r="L133" s="191">
        <v>52.441473052746069</v>
      </c>
      <c r="M133" s="191">
        <v>37.499782097001862</v>
      </c>
    </row>
    <row r="134" spans="1:13" x14ac:dyDescent="0.25">
      <c r="A134" s="186" t="s">
        <v>212</v>
      </c>
      <c r="B134" s="187" t="s">
        <v>275</v>
      </c>
      <c r="C134" s="186" t="s">
        <v>39</v>
      </c>
      <c r="D134" s="188">
        <v>1.5</v>
      </c>
      <c r="E134" s="186">
        <v>3.8100000000000005</v>
      </c>
      <c r="F134" s="195">
        <v>0.13600000000000001</v>
      </c>
      <c r="G134" s="188">
        <v>0.10200000000000001</v>
      </c>
      <c r="H134" s="189">
        <v>3.6740000000000004</v>
      </c>
      <c r="I134" s="189"/>
      <c r="J134" s="186" t="s">
        <v>238</v>
      </c>
      <c r="K134" s="186" t="s">
        <v>238</v>
      </c>
      <c r="L134" s="191">
        <v>52.525728928154727</v>
      </c>
      <c r="M134" s="191">
        <v>37.638705485654604</v>
      </c>
    </row>
    <row r="135" spans="1:13" x14ac:dyDescent="0.25">
      <c r="A135" s="186" t="s">
        <v>213</v>
      </c>
      <c r="B135" s="187">
        <v>1976</v>
      </c>
      <c r="C135" s="186" t="s">
        <v>26</v>
      </c>
      <c r="D135" s="188">
        <v>0.11</v>
      </c>
      <c r="E135" s="186">
        <v>1.57</v>
      </c>
      <c r="F135" s="195">
        <v>0</v>
      </c>
      <c r="G135" s="188">
        <v>0</v>
      </c>
      <c r="H135" s="189">
        <v>1.57</v>
      </c>
      <c r="I135" s="189"/>
      <c r="J135" s="186" t="s">
        <v>238</v>
      </c>
      <c r="K135" s="186" t="s">
        <v>238</v>
      </c>
      <c r="L135" s="191">
        <v>52.487756647560211</v>
      </c>
      <c r="M135" s="191">
        <v>37.292703976640595</v>
      </c>
    </row>
    <row r="136" spans="1:13" x14ac:dyDescent="0.25">
      <c r="A136" s="186" t="s">
        <v>214</v>
      </c>
      <c r="B136" s="187">
        <v>1995</v>
      </c>
      <c r="C136" s="186" t="s">
        <v>25</v>
      </c>
      <c r="D136" s="188">
        <v>0.52</v>
      </c>
      <c r="E136" s="186">
        <v>2.4950000000000001</v>
      </c>
      <c r="F136" s="195">
        <v>8.9999999999999993E-3</v>
      </c>
      <c r="G136" s="188">
        <v>6.7499999999999991E-3</v>
      </c>
      <c r="H136" s="189">
        <v>2.4859999999999998</v>
      </c>
      <c r="I136" s="189"/>
      <c r="J136" s="186" t="s">
        <v>238</v>
      </c>
      <c r="K136" s="186" t="s">
        <v>238</v>
      </c>
      <c r="L136" s="191">
        <v>52.196081863020389</v>
      </c>
      <c r="M136" s="191">
        <v>36.862073371645266</v>
      </c>
    </row>
    <row r="137" spans="1:13" x14ac:dyDescent="0.25">
      <c r="A137" s="186" t="s">
        <v>215</v>
      </c>
      <c r="B137" s="187">
        <v>1966</v>
      </c>
      <c r="C137" s="186" t="s">
        <v>40</v>
      </c>
      <c r="D137" s="188">
        <v>1.84</v>
      </c>
      <c r="E137" s="186">
        <v>1.325</v>
      </c>
      <c r="F137" s="195">
        <v>7.0000000000000007E-2</v>
      </c>
      <c r="G137" s="188">
        <v>5.2500000000000005E-2</v>
      </c>
      <c r="H137" s="189">
        <v>1.2549999999999999</v>
      </c>
      <c r="I137" s="189"/>
      <c r="J137" s="186" t="s">
        <v>238</v>
      </c>
      <c r="K137" s="186" t="s">
        <v>238</v>
      </c>
      <c r="L137" s="191">
        <v>52.293698973920073</v>
      </c>
      <c r="M137" s="191">
        <v>37.667537421182104</v>
      </c>
    </row>
    <row r="138" spans="1:13" x14ac:dyDescent="0.25">
      <c r="A138" s="186" t="s">
        <v>216</v>
      </c>
      <c r="B138" s="187" t="s">
        <v>276</v>
      </c>
      <c r="C138" s="186" t="s">
        <v>217</v>
      </c>
      <c r="D138" s="188">
        <v>0.49</v>
      </c>
      <c r="E138" s="186">
        <v>4.54</v>
      </c>
      <c r="F138" s="195">
        <v>4.9000000000000002E-2</v>
      </c>
      <c r="G138" s="188">
        <v>3.6750000000000005E-2</v>
      </c>
      <c r="H138" s="189">
        <v>4.4909999999999997</v>
      </c>
      <c r="I138" s="189"/>
      <c r="J138" s="186" t="s">
        <v>238</v>
      </c>
      <c r="K138" s="186" t="s">
        <v>238</v>
      </c>
      <c r="L138" s="191">
        <v>52.833728375644164</v>
      </c>
      <c r="M138" s="191">
        <v>37.203839292127192</v>
      </c>
    </row>
    <row r="139" spans="1:13" x14ac:dyDescent="0.25">
      <c r="A139" s="186" t="s">
        <v>218</v>
      </c>
      <c r="B139" s="187">
        <v>1978</v>
      </c>
      <c r="C139" s="186" t="s">
        <v>32</v>
      </c>
      <c r="D139" s="188">
        <v>5.35</v>
      </c>
      <c r="E139" s="186">
        <v>-1.1499999999999995</v>
      </c>
      <c r="F139" s="195">
        <v>0</v>
      </c>
      <c r="G139" s="188">
        <v>0</v>
      </c>
      <c r="H139" s="189">
        <v>0</v>
      </c>
      <c r="I139" s="194">
        <v>2013</v>
      </c>
      <c r="J139" s="186" t="s">
        <v>23</v>
      </c>
      <c r="K139" s="186" t="s">
        <v>23</v>
      </c>
      <c r="L139" s="191">
        <v>52.428735539973907</v>
      </c>
      <c r="M139" s="191">
        <v>37.622985068919874</v>
      </c>
    </row>
    <row r="140" spans="1:13" x14ac:dyDescent="0.25">
      <c r="A140" s="186" t="s">
        <v>219</v>
      </c>
      <c r="B140" s="187">
        <v>1980</v>
      </c>
      <c r="C140" s="186" t="s">
        <v>25</v>
      </c>
      <c r="D140" s="188">
        <v>0.4</v>
      </c>
      <c r="E140" s="186">
        <v>2.4750000000000001</v>
      </c>
      <c r="F140" s="195">
        <v>1.7999999999999999E-2</v>
      </c>
      <c r="G140" s="188">
        <v>1.3499999999999998E-2</v>
      </c>
      <c r="H140" s="189">
        <v>2.4569999999999999</v>
      </c>
      <c r="I140" s="189"/>
      <c r="J140" s="186" t="s">
        <v>238</v>
      </c>
      <c r="K140" s="186" t="s">
        <v>238</v>
      </c>
      <c r="L140" s="191">
        <v>52.652574831753924</v>
      </c>
      <c r="M140" s="191">
        <v>37.695444951622477</v>
      </c>
    </row>
    <row r="141" spans="1:13" x14ac:dyDescent="0.25">
      <c r="A141" s="186" t="s">
        <v>220</v>
      </c>
      <c r="B141" s="187" t="s">
        <v>277</v>
      </c>
      <c r="C141" s="186" t="s">
        <v>25</v>
      </c>
      <c r="D141" s="188">
        <v>1.2</v>
      </c>
      <c r="E141" s="186">
        <v>2.125</v>
      </c>
      <c r="F141" s="195">
        <v>0.09</v>
      </c>
      <c r="G141" s="188">
        <v>6.7500000000000004E-2</v>
      </c>
      <c r="H141" s="189">
        <v>2.0350000000000001</v>
      </c>
      <c r="I141" s="189"/>
      <c r="J141" s="186" t="s">
        <v>238</v>
      </c>
      <c r="K141" s="186" t="s">
        <v>238</v>
      </c>
      <c r="L141" s="191">
        <v>52.353123139510501</v>
      </c>
      <c r="M141" s="191">
        <v>37.510527933854142</v>
      </c>
    </row>
    <row r="142" spans="1:13" x14ac:dyDescent="0.25">
      <c r="A142" s="186" t="s">
        <v>221</v>
      </c>
      <c r="B142" s="187" t="s">
        <v>278</v>
      </c>
      <c r="C142" s="186" t="s">
        <v>34</v>
      </c>
      <c r="D142" s="188">
        <v>1.38</v>
      </c>
      <c r="E142" s="186">
        <v>2.7450000000000001</v>
      </c>
      <c r="F142" s="195">
        <v>0.33200000000000002</v>
      </c>
      <c r="G142" s="188">
        <v>0.249</v>
      </c>
      <c r="H142" s="189">
        <v>2.4130000000000003</v>
      </c>
      <c r="I142" s="189"/>
      <c r="J142" s="186" t="s">
        <v>238</v>
      </c>
      <c r="K142" s="186" t="s">
        <v>238</v>
      </c>
      <c r="L142" s="191">
        <v>52.355682318908251</v>
      </c>
      <c r="M142" s="191">
        <v>37.687018651039807</v>
      </c>
    </row>
    <row r="143" spans="1:13" x14ac:dyDescent="0.25">
      <c r="A143" s="186" t="s">
        <v>222</v>
      </c>
      <c r="B143" s="187">
        <v>1976</v>
      </c>
      <c r="C143" s="186" t="s">
        <v>26</v>
      </c>
      <c r="D143" s="188">
        <v>0.54</v>
      </c>
      <c r="E143" s="186">
        <v>1.4700000000000002</v>
      </c>
      <c r="F143" s="195">
        <v>3.3000000000000002E-2</v>
      </c>
      <c r="G143" s="188">
        <v>2.4750000000000001E-2</v>
      </c>
      <c r="H143" s="189">
        <v>1.4370000000000001</v>
      </c>
      <c r="I143" s="189"/>
      <c r="J143" s="186" t="s">
        <v>238</v>
      </c>
      <c r="K143" s="186" t="s">
        <v>238</v>
      </c>
      <c r="L143" s="191">
        <v>52.77428207179495</v>
      </c>
      <c r="M143" s="191">
        <v>37.099269205033679</v>
      </c>
    </row>
    <row r="144" spans="1:13" x14ac:dyDescent="0.25">
      <c r="A144" s="186" t="s">
        <v>223</v>
      </c>
      <c r="B144" s="187" t="s">
        <v>279</v>
      </c>
      <c r="C144" s="186" t="s">
        <v>31</v>
      </c>
      <c r="D144" s="188">
        <v>0.36</v>
      </c>
      <c r="E144" s="186">
        <v>1.3200000000000003</v>
      </c>
      <c r="F144" s="195">
        <v>0.06</v>
      </c>
      <c r="G144" s="188">
        <v>4.4999999999999998E-2</v>
      </c>
      <c r="H144" s="189">
        <v>1.2600000000000002</v>
      </c>
      <c r="I144" s="189"/>
      <c r="J144" s="186" t="s">
        <v>238</v>
      </c>
      <c r="K144" s="186" t="s">
        <v>238</v>
      </c>
      <c r="L144" s="191">
        <v>52.125637636122327</v>
      </c>
      <c r="M144" s="191">
        <v>37.10892028257156</v>
      </c>
    </row>
    <row r="145" spans="1:13" x14ac:dyDescent="0.25">
      <c r="A145" s="186" t="s">
        <v>224</v>
      </c>
      <c r="B145" s="187" t="s">
        <v>280</v>
      </c>
      <c r="C145" s="186" t="s">
        <v>26</v>
      </c>
      <c r="D145" s="188">
        <v>0.1</v>
      </c>
      <c r="E145" s="186">
        <v>1.58</v>
      </c>
      <c r="F145" s="195">
        <v>0</v>
      </c>
      <c r="G145" s="188">
        <v>0</v>
      </c>
      <c r="H145" s="189">
        <v>1.58</v>
      </c>
      <c r="I145" s="189"/>
      <c r="J145" s="186" t="s">
        <v>238</v>
      </c>
      <c r="K145" s="186" t="s">
        <v>238</v>
      </c>
      <c r="L145" s="191">
        <v>52.418700779373644</v>
      </c>
      <c r="M145" s="191">
        <v>37.528260568571554</v>
      </c>
    </row>
    <row r="146" spans="1:13" x14ac:dyDescent="0.25">
      <c r="A146" s="186" t="s">
        <v>226</v>
      </c>
      <c r="B146" s="187">
        <v>1974</v>
      </c>
      <c r="C146" s="186" t="s">
        <v>26</v>
      </c>
      <c r="D146" s="188">
        <v>0.97</v>
      </c>
      <c r="E146" s="186">
        <v>1.2300000000000002</v>
      </c>
      <c r="F146" s="195">
        <v>3.5000000000000003E-2</v>
      </c>
      <c r="G146" s="188">
        <v>2.6250000000000002E-2</v>
      </c>
      <c r="H146" s="189">
        <v>1.1950000000000003</v>
      </c>
      <c r="I146" s="189"/>
      <c r="J146" s="186" t="s">
        <v>238</v>
      </c>
      <c r="K146" s="186" t="s">
        <v>238</v>
      </c>
      <c r="L146" s="191">
        <v>52.071782991141504</v>
      </c>
      <c r="M146" s="191">
        <v>37.33087773841045</v>
      </c>
    </row>
    <row r="147" spans="1:13" x14ac:dyDescent="0.25">
      <c r="A147" s="186" t="s">
        <v>227</v>
      </c>
      <c r="B147" s="187" t="s">
        <v>281</v>
      </c>
      <c r="C147" s="186" t="s">
        <v>32</v>
      </c>
      <c r="D147" s="188">
        <v>2.06</v>
      </c>
      <c r="E147" s="186">
        <v>2.4500000000000002</v>
      </c>
      <c r="F147" s="195">
        <v>0.29299999999999998</v>
      </c>
      <c r="G147" s="188">
        <v>0.21975</v>
      </c>
      <c r="H147" s="189">
        <v>2.157</v>
      </c>
      <c r="I147" s="189"/>
      <c r="J147" s="186" t="s">
        <v>238</v>
      </c>
      <c r="K147" s="186" t="s">
        <v>238</v>
      </c>
      <c r="L147" s="191">
        <v>52.861829117372778</v>
      </c>
      <c r="M147" s="191">
        <v>37.41348038480519</v>
      </c>
    </row>
  </sheetData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S4" sqref="S4"/>
    </sheetView>
  </sheetViews>
  <sheetFormatPr defaultRowHeight="15" x14ac:dyDescent="0.25"/>
  <cols>
    <col min="1" max="1" width="3.42578125" customWidth="1"/>
    <col min="2" max="2" width="49.28515625" customWidth="1"/>
    <col min="3" max="3" width="8.28515625" customWidth="1"/>
    <col min="4" max="4" width="16.7109375" hidden="1" customWidth="1"/>
    <col min="5" max="9" width="9.140625" hidden="1" customWidth="1"/>
    <col min="10" max="10" width="7.7109375" customWidth="1"/>
  </cols>
  <sheetData>
    <row r="1" spans="1:10" ht="47.25" customHeight="1" x14ac:dyDescent="0.25">
      <c r="A1" s="213" t="s">
        <v>237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s="8" customFormat="1" ht="15" customHeight="1" x14ac:dyDescent="0.25">
      <c r="A2" s="210" t="s">
        <v>1</v>
      </c>
      <c r="B2" s="212" t="s">
        <v>2</v>
      </c>
      <c r="C2" s="212"/>
      <c r="D2" s="101"/>
      <c r="E2" s="101"/>
      <c r="F2" s="101"/>
      <c r="G2" s="101"/>
      <c r="H2" s="101"/>
      <c r="I2" s="101"/>
      <c r="J2" s="211" t="s">
        <v>43</v>
      </c>
    </row>
    <row r="3" spans="1:10" s="8" customFormat="1" ht="15" customHeight="1" x14ac:dyDescent="0.25">
      <c r="A3" s="210"/>
      <c r="B3" s="212"/>
      <c r="C3" s="212"/>
      <c r="D3" s="101"/>
      <c r="E3" s="101"/>
      <c r="F3" s="101"/>
      <c r="G3" s="101"/>
      <c r="H3" s="101"/>
      <c r="I3" s="101"/>
      <c r="J3" s="211"/>
    </row>
    <row r="4" spans="1:10" s="8" customFormat="1" ht="194.25" customHeight="1" x14ac:dyDescent="0.25">
      <c r="A4" s="210"/>
      <c r="B4" s="212"/>
      <c r="C4" s="212"/>
      <c r="D4" s="101"/>
      <c r="E4" s="101"/>
      <c r="F4" s="101"/>
      <c r="G4" s="101"/>
      <c r="H4" s="101"/>
      <c r="I4" s="101"/>
      <c r="J4" s="211"/>
    </row>
    <row r="5" spans="1:10" s="9" customFormat="1" ht="15" customHeight="1" x14ac:dyDescent="0.25">
      <c r="A5" s="214" t="s">
        <v>234</v>
      </c>
      <c r="B5" s="214"/>
      <c r="C5" s="214"/>
      <c r="D5" s="214"/>
      <c r="E5" s="214"/>
      <c r="F5" s="214"/>
      <c r="G5" s="214"/>
      <c r="H5" s="214"/>
      <c r="I5" s="214"/>
      <c r="J5" s="214"/>
    </row>
    <row r="6" spans="1:10" s="9" customFormat="1" x14ac:dyDescent="0.25">
      <c r="A6" s="214">
        <v>1</v>
      </c>
      <c r="B6" s="96" t="s">
        <v>62</v>
      </c>
      <c r="C6" s="38">
        <v>16</v>
      </c>
      <c r="D6" s="99"/>
      <c r="E6" s="99"/>
      <c r="F6" s="100"/>
      <c r="G6" s="100"/>
      <c r="H6" s="100"/>
      <c r="I6" s="99"/>
      <c r="J6" s="215">
        <f>'Орел '!K18</f>
        <v>-2.9999999999999805E-2</v>
      </c>
    </row>
    <row r="7" spans="1:10" s="9" customFormat="1" x14ac:dyDescent="0.25">
      <c r="A7" s="214"/>
      <c r="B7" s="96" t="s">
        <v>60</v>
      </c>
      <c r="C7" s="38">
        <v>16</v>
      </c>
      <c r="D7" s="99"/>
      <c r="E7" s="99"/>
      <c r="F7" s="100"/>
      <c r="G7" s="100"/>
      <c r="H7" s="100"/>
      <c r="I7" s="99"/>
      <c r="J7" s="216"/>
    </row>
    <row r="8" spans="1:10" s="9" customFormat="1" x14ac:dyDescent="0.25">
      <c r="A8" s="214"/>
      <c r="B8" s="96" t="s">
        <v>61</v>
      </c>
      <c r="C8" s="38">
        <v>16</v>
      </c>
      <c r="D8" s="99"/>
      <c r="E8" s="99"/>
      <c r="F8" s="100"/>
      <c r="G8" s="100"/>
      <c r="H8" s="100"/>
      <c r="I8" s="99"/>
      <c r="J8" s="216"/>
    </row>
    <row r="9" spans="1:10" s="9" customFormat="1" x14ac:dyDescent="0.25">
      <c r="A9" s="214">
        <v>2</v>
      </c>
      <c r="B9" s="96" t="s">
        <v>67</v>
      </c>
      <c r="C9" s="38">
        <v>16</v>
      </c>
      <c r="D9" s="99"/>
      <c r="E9" s="99"/>
      <c r="F9" s="100"/>
      <c r="G9" s="100"/>
      <c r="H9" s="100"/>
      <c r="I9" s="99"/>
      <c r="J9" s="217">
        <f>'Орел '!K25</f>
        <v>-0.30000000000000027</v>
      </c>
    </row>
    <row r="10" spans="1:10" s="9" customFormat="1" x14ac:dyDescent="0.25">
      <c r="A10" s="214"/>
      <c r="B10" s="96" t="s">
        <v>60</v>
      </c>
      <c r="C10" s="38">
        <v>16</v>
      </c>
      <c r="D10" s="99"/>
      <c r="E10" s="99"/>
      <c r="F10" s="100"/>
      <c r="G10" s="100"/>
      <c r="H10" s="100"/>
      <c r="I10" s="99"/>
      <c r="J10" s="218"/>
    </row>
    <row r="11" spans="1:10" s="9" customFormat="1" x14ac:dyDescent="0.25">
      <c r="A11" s="214"/>
      <c r="B11" s="96" t="s">
        <v>61</v>
      </c>
      <c r="C11" s="38">
        <v>16</v>
      </c>
      <c r="D11" s="99"/>
      <c r="E11" s="99"/>
      <c r="F11" s="100"/>
      <c r="G11" s="100"/>
      <c r="H11" s="100"/>
      <c r="I11" s="99"/>
      <c r="J11" s="218"/>
    </row>
    <row r="12" spans="1:10" s="9" customFormat="1" x14ac:dyDescent="0.25">
      <c r="A12" s="93">
        <v>3</v>
      </c>
      <c r="B12" s="98" t="s">
        <v>72</v>
      </c>
      <c r="C12" s="97">
        <v>3.2</v>
      </c>
      <c r="D12" s="97" t="e">
        <f>#REF!</f>
        <v>#REF!</v>
      </c>
      <c r="E12" s="97" t="e">
        <f>#REF!</f>
        <v>#REF!</v>
      </c>
      <c r="F12" s="97" t="e">
        <f>#REF!</f>
        <v>#REF!</v>
      </c>
      <c r="G12" s="97" t="e">
        <f>#REF!</f>
        <v>#REF!</v>
      </c>
      <c r="H12" s="97" t="e">
        <f>#REF!</f>
        <v>#REF!</v>
      </c>
      <c r="I12" s="97" t="e">
        <f>#REF!</f>
        <v>#REF!</v>
      </c>
      <c r="J12" s="97">
        <f>'Орел '!K34</f>
        <v>-0.16999999999999993</v>
      </c>
    </row>
    <row r="13" spans="1:10" s="9" customFormat="1" x14ac:dyDescent="0.25">
      <c r="A13" s="93">
        <v>4</v>
      </c>
      <c r="B13" s="96" t="s">
        <v>218</v>
      </c>
      <c r="C13" s="38" t="s">
        <v>32</v>
      </c>
      <c r="D13" s="94" t="e">
        <f>#REF!</f>
        <v>#REF!</v>
      </c>
      <c r="E13" s="94" t="e">
        <f>#REF!</f>
        <v>#REF!</v>
      </c>
      <c r="F13" s="94" t="e">
        <f>#REF!</f>
        <v>#REF!</v>
      </c>
      <c r="G13" s="94" t="e">
        <f>#REF!</f>
        <v>#REF!</v>
      </c>
      <c r="H13" s="94" t="e">
        <f>#REF!</f>
        <v>#REF!</v>
      </c>
      <c r="I13" s="94" t="e">
        <f>#REF!</f>
        <v>#REF!</v>
      </c>
      <c r="J13" s="38">
        <f>'Орел '!K200</f>
        <v>-1.1499999999999995</v>
      </c>
    </row>
    <row r="14" spans="1:10" s="9" customFormat="1" x14ac:dyDescent="0.25">
      <c r="A14" s="214">
        <v>5</v>
      </c>
      <c r="B14" s="95" t="s">
        <v>82</v>
      </c>
      <c r="C14" s="94">
        <v>10</v>
      </c>
      <c r="D14" s="94" t="e">
        <f>#REF!</f>
        <v>#REF!</v>
      </c>
      <c r="E14" s="94" t="e">
        <f>#REF!</f>
        <v>#REF!</v>
      </c>
      <c r="F14" s="94" t="e">
        <f>#REF!</f>
        <v>#REF!</v>
      </c>
      <c r="G14" s="94" t="e">
        <f>#REF!</f>
        <v>#REF!</v>
      </c>
      <c r="H14" s="94" t="e">
        <f>#REF!</f>
        <v>#REF!</v>
      </c>
      <c r="I14" s="94" t="e">
        <f>#REF!</f>
        <v>#REF!</v>
      </c>
      <c r="J14" s="215">
        <f>'Орел '!K46</f>
        <v>-0.72000000000000008</v>
      </c>
    </row>
    <row r="15" spans="1:10" s="9" customFormat="1" x14ac:dyDescent="0.25">
      <c r="A15" s="214"/>
      <c r="B15" s="95" t="s">
        <v>60</v>
      </c>
      <c r="C15" s="94">
        <v>10</v>
      </c>
      <c r="D15" s="94" t="e">
        <f>#REF!</f>
        <v>#REF!</v>
      </c>
      <c r="E15" s="94" t="e">
        <f>#REF!</f>
        <v>#REF!</v>
      </c>
      <c r="F15" s="94" t="e">
        <f>#REF!</f>
        <v>#REF!</v>
      </c>
      <c r="G15" s="94" t="e">
        <f>#REF!</f>
        <v>#REF!</v>
      </c>
      <c r="H15" s="94" t="e">
        <f>#REF!</f>
        <v>#REF!</v>
      </c>
      <c r="I15" s="94" t="e">
        <f>#REF!</f>
        <v>#REF!</v>
      </c>
      <c r="J15" s="216"/>
    </row>
    <row r="16" spans="1:10" s="9" customFormat="1" x14ac:dyDescent="0.25">
      <c r="A16" s="214"/>
      <c r="B16" s="92" t="s">
        <v>61</v>
      </c>
      <c r="C16" s="91">
        <v>10</v>
      </c>
      <c r="D16" s="91" t="e">
        <f>#REF!</f>
        <v>#REF!</v>
      </c>
      <c r="E16" s="91" t="e">
        <f>#REF!</f>
        <v>#REF!</v>
      </c>
      <c r="F16" s="91" t="e">
        <f>#REF!</f>
        <v>#REF!</v>
      </c>
      <c r="G16" s="91" t="e">
        <f>#REF!</f>
        <v>#REF!</v>
      </c>
      <c r="H16" s="91" t="e">
        <f>#REF!</f>
        <v>#REF!</v>
      </c>
      <c r="I16" s="91" t="e">
        <f>#REF!</f>
        <v>#REF!</v>
      </c>
      <c r="J16" s="216"/>
    </row>
    <row r="17" spans="1:10" s="87" customFormat="1" ht="15" customHeight="1" x14ac:dyDescent="0.25">
      <c r="A17" s="208" t="s">
        <v>233</v>
      </c>
      <c r="B17" s="209"/>
      <c r="C17" s="90">
        <f>C6+C9+C12+C14+4+4</f>
        <v>53.2</v>
      </c>
      <c r="D17" s="89"/>
      <c r="E17" s="11"/>
      <c r="F17" s="12"/>
      <c r="G17" s="12"/>
      <c r="H17" s="12"/>
      <c r="I17" s="11"/>
      <c r="J17" s="88">
        <f>SUM(J6:J15)</f>
        <v>-2.3699999999999997</v>
      </c>
    </row>
  </sheetData>
  <mergeCells count="12">
    <mergeCell ref="A17:B17"/>
    <mergeCell ref="A2:A4"/>
    <mergeCell ref="J2:J4"/>
    <mergeCell ref="B2:C4"/>
    <mergeCell ref="A1:J1"/>
    <mergeCell ref="A5:J5"/>
    <mergeCell ref="J6:J8"/>
    <mergeCell ref="A6:A8"/>
    <mergeCell ref="A14:A16"/>
    <mergeCell ref="A9:A11"/>
    <mergeCell ref="J9:J11"/>
    <mergeCell ref="J14:J16"/>
  </mergeCells>
  <pageMargins left="0.7" right="0.7" top="0.42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workbookViewId="0">
      <selection activeCell="R12" sqref="R12"/>
    </sheetView>
  </sheetViews>
  <sheetFormatPr defaultRowHeight="15" x14ac:dyDescent="0.25"/>
  <cols>
    <col min="1" max="1" width="3.85546875" customWidth="1"/>
    <col min="2" max="2" width="30" customWidth="1"/>
    <col min="3" max="3" width="15.14062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8" bestFit="1" customWidth="1"/>
    <col min="13" max="13" width="10.85546875" style="8" customWidth="1"/>
    <col min="14" max="16384" width="9.140625" style="8"/>
  </cols>
  <sheetData>
    <row r="1" spans="1:256" s="13" customFormat="1" ht="54" customHeight="1" thickBot="1" x14ac:dyDescent="0.3">
      <c r="A1" s="213" t="s">
        <v>235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s="15" customFormat="1" ht="15" customHeight="1" x14ac:dyDescent="0.2">
      <c r="A2" s="233" t="s">
        <v>1</v>
      </c>
      <c r="B2" s="236" t="s">
        <v>2</v>
      </c>
      <c r="C2" s="238" t="s">
        <v>16</v>
      </c>
      <c r="D2" s="239"/>
      <c r="E2" s="239"/>
      <c r="F2" s="239"/>
      <c r="G2" s="239"/>
      <c r="H2" s="239"/>
      <c r="I2" s="239"/>
      <c r="J2" s="239"/>
      <c r="K2" s="239"/>
      <c r="L2" s="240"/>
      <c r="M2" s="241" t="s">
        <v>15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s="15" customFormat="1" ht="11.25" customHeight="1" x14ac:dyDescent="0.2">
      <c r="A3" s="234"/>
      <c r="B3" s="237"/>
      <c r="C3" s="237" t="s">
        <v>18</v>
      </c>
      <c r="D3" s="237" t="s">
        <v>19</v>
      </c>
      <c r="E3" s="237" t="s">
        <v>20</v>
      </c>
      <c r="F3" s="237" t="s">
        <v>21</v>
      </c>
      <c r="G3" s="237"/>
      <c r="H3" s="237" t="s">
        <v>22</v>
      </c>
      <c r="I3" s="237" t="s">
        <v>8</v>
      </c>
      <c r="J3" s="237" t="s">
        <v>9</v>
      </c>
      <c r="K3" s="237" t="s">
        <v>44</v>
      </c>
      <c r="L3" s="244" t="s">
        <v>45</v>
      </c>
      <c r="M3" s="242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s="15" customFormat="1" ht="127.5" customHeight="1" x14ac:dyDescent="0.2">
      <c r="A4" s="235"/>
      <c r="B4" s="237"/>
      <c r="C4" s="237"/>
      <c r="D4" s="237"/>
      <c r="E4" s="237"/>
      <c r="F4" s="16" t="s">
        <v>10</v>
      </c>
      <c r="G4" s="16" t="s">
        <v>11</v>
      </c>
      <c r="H4" s="237"/>
      <c r="I4" s="237"/>
      <c r="J4" s="237"/>
      <c r="K4" s="237"/>
      <c r="L4" s="245"/>
      <c r="M4" s="24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5" customFormat="1" ht="11.25" x14ac:dyDescent="0.2">
      <c r="A5" s="102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4</v>
      </c>
      <c r="M5" s="103">
        <v>5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x14ac:dyDescent="0.25">
      <c r="A6" s="219" t="s">
        <v>234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1"/>
    </row>
    <row r="7" spans="1:256" s="10" customFormat="1" x14ac:dyDescent="0.25">
      <c r="A7" s="222">
        <v>1</v>
      </c>
      <c r="B7" s="104" t="s">
        <v>59</v>
      </c>
      <c r="C7" s="105">
        <v>10</v>
      </c>
      <c r="D7" s="106"/>
      <c r="E7" s="106"/>
      <c r="F7" s="105"/>
      <c r="G7" s="105"/>
      <c r="H7" s="105"/>
      <c r="I7" s="106"/>
      <c r="J7" s="231" t="e">
        <f>#REF!</f>
        <v>#REF!</v>
      </c>
      <c r="K7" s="6"/>
      <c r="L7" s="225">
        <f>'Орел '!Y15</f>
        <v>-2.7919999999999998</v>
      </c>
      <c r="M7" s="228" t="s">
        <v>23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s="10" customFormat="1" x14ac:dyDescent="0.25">
      <c r="A8" s="223"/>
      <c r="B8" s="104" t="s">
        <v>60</v>
      </c>
      <c r="C8" s="105">
        <v>10</v>
      </c>
      <c r="D8" s="106"/>
      <c r="E8" s="106"/>
      <c r="F8" s="105"/>
      <c r="G8" s="105"/>
      <c r="H8" s="105"/>
      <c r="I8" s="106"/>
      <c r="J8" s="232"/>
      <c r="K8" s="6"/>
      <c r="L8" s="226"/>
      <c r="M8" s="229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s="10" customFormat="1" x14ac:dyDescent="0.25">
      <c r="A9" s="224"/>
      <c r="B9" s="104" t="s">
        <v>61</v>
      </c>
      <c r="C9" s="105">
        <v>10</v>
      </c>
      <c r="D9" s="91"/>
      <c r="E9" s="91"/>
      <c r="F9" s="97"/>
      <c r="G9" s="97"/>
      <c r="H9" s="97"/>
      <c r="I9" s="91"/>
      <c r="J9" s="232"/>
      <c r="K9" s="6"/>
      <c r="L9" s="227"/>
      <c r="M9" s="230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s="10" customFormat="1" x14ac:dyDescent="0.25">
      <c r="A10" s="222">
        <v>2</v>
      </c>
      <c r="B10" s="104" t="s">
        <v>62</v>
      </c>
      <c r="C10" s="105">
        <v>16</v>
      </c>
      <c r="D10" s="106"/>
      <c r="E10" s="106"/>
      <c r="F10" s="105"/>
      <c r="G10" s="105"/>
      <c r="H10" s="105"/>
      <c r="I10" s="106"/>
      <c r="J10" s="231" t="e">
        <f>#REF!</f>
        <v>#REF!</v>
      </c>
      <c r="K10" s="6"/>
      <c r="L10" s="225">
        <f>'Орел '!Y18</f>
        <v>-0.3899999999999999</v>
      </c>
      <c r="M10" s="228" t="s">
        <v>23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s="10" customFormat="1" x14ac:dyDescent="0.25">
      <c r="A11" s="223"/>
      <c r="B11" s="104" t="s">
        <v>60</v>
      </c>
      <c r="C11" s="105">
        <v>16</v>
      </c>
      <c r="D11" s="106"/>
      <c r="E11" s="106"/>
      <c r="F11" s="105"/>
      <c r="G11" s="105"/>
      <c r="H11" s="105"/>
      <c r="I11" s="106"/>
      <c r="J11" s="232"/>
      <c r="K11" s="6"/>
      <c r="L11" s="226"/>
      <c r="M11" s="229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</row>
    <row r="12" spans="1:256" s="10" customFormat="1" x14ac:dyDescent="0.25">
      <c r="A12" s="224"/>
      <c r="B12" s="104" t="s">
        <v>61</v>
      </c>
      <c r="C12" s="105">
        <v>16</v>
      </c>
      <c r="D12" s="91"/>
      <c r="E12" s="91"/>
      <c r="F12" s="97"/>
      <c r="G12" s="97"/>
      <c r="H12" s="97"/>
      <c r="I12" s="91"/>
      <c r="J12" s="232"/>
      <c r="K12" s="6"/>
      <c r="L12" s="227"/>
      <c r="M12" s="230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pans="1:256" s="10" customFormat="1" x14ac:dyDescent="0.25">
      <c r="A13" s="107">
        <v>4</v>
      </c>
      <c r="B13" s="104" t="s">
        <v>72</v>
      </c>
      <c r="C13" s="105">
        <v>3.2</v>
      </c>
      <c r="D13" s="105" t="e">
        <f>#REF!</f>
        <v>#REF!</v>
      </c>
      <c r="E13" s="105" t="e">
        <f>#REF!</f>
        <v>#REF!</v>
      </c>
      <c r="F13" s="105" t="e">
        <f>#REF!</f>
        <v>#REF!</v>
      </c>
      <c r="G13" s="105" t="e">
        <f>#REF!</f>
        <v>#REF!</v>
      </c>
      <c r="H13" s="105" t="e">
        <f>#REF!</f>
        <v>#REF!</v>
      </c>
      <c r="I13" s="105" t="e">
        <f>#REF!</f>
        <v>#REF!</v>
      </c>
      <c r="J13" s="105" t="e">
        <f>#REF!</f>
        <v>#REF!</v>
      </c>
      <c r="K13" s="105" t="e">
        <f>#REF!</f>
        <v>#REF!</v>
      </c>
      <c r="L13" s="127">
        <f>'Орел '!Y34</f>
        <v>-0.45499999999999985</v>
      </c>
      <c r="M13" s="108" t="s">
        <v>23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s="10" customFormat="1" x14ac:dyDescent="0.25">
      <c r="A14" s="222">
        <v>5</v>
      </c>
      <c r="B14" s="104" t="s">
        <v>82</v>
      </c>
      <c r="C14" s="109">
        <v>10</v>
      </c>
      <c r="D14" s="106"/>
      <c r="E14" s="106"/>
      <c r="F14" s="105"/>
      <c r="G14" s="105"/>
      <c r="H14" s="105"/>
      <c r="I14" s="106"/>
      <c r="J14" s="231" t="e">
        <f>#REF!</f>
        <v>#REF!</v>
      </c>
      <c r="K14" s="6"/>
      <c r="L14" s="225">
        <f>'Орел '!Y46</f>
        <v>-0.85300000000000009</v>
      </c>
      <c r="M14" s="228" t="s">
        <v>23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s="10" customFormat="1" x14ac:dyDescent="0.25">
      <c r="A15" s="223"/>
      <c r="B15" s="104" t="s">
        <v>60</v>
      </c>
      <c r="C15" s="109">
        <v>10</v>
      </c>
      <c r="D15" s="106"/>
      <c r="E15" s="106"/>
      <c r="F15" s="105"/>
      <c r="G15" s="105"/>
      <c r="H15" s="105"/>
      <c r="I15" s="106"/>
      <c r="J15" s="232"/>
      <c r="K15" s="6"/>
      <c r="L15" s="226"/>
      <c r="M15" s="229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s="10" customFormat="1" x14ac:dyDescent="0.25">
      <c r="A16" s="224"/>
      <c r="B16" s="104" t="s">
        <v>61</v>
      </c>
      <c r="C16" s="109">
        <v>10</v>
      </c>
      <c r="D16" s="91"/>
      <c r="E16" s="91"/>
      <c r="F16" s="97"/>
      <c r="G16" s="97"/>
      <c r="H16" s="97"/>
      <c r="I16" s="91"/>
      <c r="J16" s="232"/>
      <c r="K16" s="6"/>
      <c r="L16" s="227"/>
      <c r="M16" s="23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s="10" customFormat="1" x14ac:dyDescent="0.25">
      <c r="A17" s="107">
        <v>6</v>
      </c>
      <c r="B17" s="104" t="s">
        <v>103</v>
      </c>
      <c r="C17" s="109" t="s">
        <v>104</v>
      </c>
      <c r="D17" s="110"/>
      <c r="E17" s="110"/>
      <c r="F17" s="111"/>
      <c r="G17" s="111"/>
      <c r="H17" s="111"/>
      <c r="I17" s="110"/>
      <c r="J17" s="112"/>
      <c r="K17" s="6"/>
      <c r="L17" s="127">
        <f>'Орел '!Y70</f>
        <v>-7.5489999999999995</v>
      </c>
      <c r="M17" s="108" t="s">
        <v>23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s="10" customFormat="1" x14ac:dyDescent="0.25">
      <c r="A18" s="107">
        <v>7</v>
      </c>
      <c r="B18" s="113" t="s">
        <v>218</v>
      </c>
      <c r="C18" s="94" t="s">
        <v>32</v>
      </c>
      <c r="D18" s="110"/>
      <c r="E18" s="110"/>
      <c r="F18" s="110"/>
      <c r="G18" s="110"/>
      <c r="H18" s="110"/>
      <c r="I18" s="110"/>
      <c r="J18" s="110"/>
      <c r="K18" s="18"/>
      <c r="L18" s="127">
        <f>'Орел '!Y200</f>
        <v>-1.1499999999999995</v>
      </c>
      <c r="M18" s="114" t="s">
        <v>23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pans="1:256" s="10" customFormat="1" x14ac:dyDescent="0.25">
      <c r="A19" s="222">
        <v>8</v>
      </c>
      <c r="B19" s="113" t="s">
        <v>67</v>
      </c>
      <c r="C19" s="94">
        <v>16</v>
      </c>
      <c r="D19" s="110"/>
      <c r="E19" s="110"/>
      <c r="F19" s="110"/>
      <c r="G19" s="110"/>
      <c r="H19" s="110"/>
      <c r="I19" s="110"/>
      <c r="J19" s="110"/>
      <c r="K19" s="18"/>
      <c r="L19" s="225">
        <f>'Орел '!Y25</f>
        <v>-0.42400000000000038</v>
      </c>
      <c r="M19" s="228" t="s">
        <v>23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0" spans="1:256" s="10" customFormat="1" x14ac:dyDescent="0.25">
      <c r="A20" s="223"/>
      <c r="B20" s="104" t="s">
        <v>60</v>
      </c>
      <c r="C20" s="115">
        <v>16</v>
      </c>
      <c r="D20" s="109"/>
      <c r="E20" s="109"/>
      <c r="F20" s="109"/>
      <c r="G20" s="109"/>
      <c r="H20" s="109"/>
      <c r="I20" s="109"/>
      <c r="J20" s="109"/>
      <c r="K20" s="86"/>
      <c r="L20" s="226"/>
      <c r="M20" s="229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</row>
    <row r="21" spans="1:256" s="10" customFormat="1" x14ac:dyDescent="0.25">
      <c r="A21" s="224"/>
      <c r="B21" s="104" t="s">
        <v>61</v>
      </c>
      <c r="C21" s="115">
        <v>16</v>
      </c>
      <c r="D21" s="109"/>
      <c r="E21" s="109"/>
      <c r="F21" s="109"/>
      <c r="G21" s="109"/>
      <c r="H21" s="109"/>
      <c r="I21" s="109"/>
      <c r="J21" s="109"/>
      <c r="K21" s="86"/>
      <c r="L21" s="227"/>
      <c r="M21" s="23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</row>
    <row r="22" spans="1:256" s="10" customFormat="1" x14ac:dyDescent="0.25">
      <c r="A22" s="5">
        <v>9</v>
      </c>
      <c r="B22" s="104" t="s">
        <v>117</v>
      </c>
      <c r="C22" s="38" t="s">
        <v>25</v>
      </c>
      <c r="D22" s="116"/>
      <c r="E22" s="116"/>
      <c r="F22" s="116"/>
      <c r="G22" s="116"/>
      <c r="H22" s="116"/>
      <c r="I22" s="116"/>
      <c r="J22" s="116"/>
      <c r="K22" s="116"/>
      <c r="L22" s="127">
        <f>'Орел '!Y79</f>
        <v>-1.7530000000000001</v>
      </c>
      <c r="M22" s="114" t="s">
        <v>23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</row>
    <row r="23" spans="1:256" s="10" customFormat="1" x14ac:dyDescent="0.25">
      <c r="A23" s="117">
        <v>10</v>
      </c>
      <c r="B23" s="104" t="s">
        <v>120</v>
      </c>
      <c r="C23" s="115" t="s">
        <v>24</v>
      </c>
      <c r="D23" s="118"/>
      <c r="E23" s="118"/>
      <c r="F23" s="118"/>
      <c r="G23" s="118"/>
      <c r="H23" s="118"/>
      <c r="I23" s="118"/>
      <c r="J23" s="118"/>
      <c r="K23" s="118"/>
      <c r="L23" s="127">
        <f>'Орел '!Y81</f>
        <v>-3.2050000000000001</v>
      </c>
      <c r="M23" s="114" t="s">
        <v>23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</row>
    <row r="24" spans="1:256" s="10" customFormat="1" x14ac:dyDescent="0.25">
      <c r="A24" s="117">
        <v>12</v>
      </c>
      <c r="B24" s="132" t="s">
        <v>162</v>
      </c>
      <c r="C24" s="130" t="s">
        <v>24</v>
      </c>
      <c r="D24" s="118"/>
      <c r="E24" s="118"/>
      <c r="F24" s="118"/>
      <c r="G24" s="118"/>
      <c r="H24" s="118"/>
      <c r="I24" s="118"/>
      <c r="J24" s="118"/>
      <c r="K24" s="118"/>
      <c r="L24" s="127">
        <f>'Орел '!Y125</f>
        <v>-3.6559999999999988</v>
      </c>
      <c r="M24" s="114" t="s">
        <v>23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s="10" customFormat="1" ht="15.75" thickBot="1" x14ac:dyDescent="0.3">
      <c r="A25" s="119"/>
      <c r="B25" s="120" t="s">
        <v>41</v>
      </c>
      <c r="C25" s="121">
        <f>C7+C10+C13+C14+C19+2.5+2.5+4+4+2.5+6.3+10+10+10+10</f>
        <v>117</v>
      </c>
      <c r="D25" s="122"/>
      <c r="E25" s="123"/>
      <c r="F25" s="122"/>
      <c r="G25" s="122"/>
      <c r="H25" s="122"/>
      <c r="I25" s="122"/>
      <c r="J25" s="122"/>
      <c r="K25" s="122"/>
      <c r="L25" s="124">
        <f>SUM(L7:L24)</f>
        <v>-22.226999999999997</v>
      </c>
      <c r="M25" s="125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  <row r="26" spans="1:256" s="10" customFormat="1" x14ac:dyDescent="0.25">
      <c r="A26"/>
      <c r="B26"/>
      <c r="C26"/>
      <c r="D26"/>
      <c r="E26"/>
      <c r="F26"/>
      <c r="G26"/>
      <c r="H26"/>
      <c r="I26"/>
      <c r="J26"/>
      <c r="K26"/>
      <c r="L26" s="8"/>
      <c r="M26" s="8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  <row r="28" spans="1:256" s="10" customFormat="1" x14ac:dyDescent="0.25">
      <c r="A28"/>
      <c r="B28"/>
      <c r="C28"/>
      <c r="D28"/>
      <c r="E28"/>
      <c r="F28"/>
      <c r="G28"/>
      <c r="H28"/>
      <c r="I28"/>
      <c r="J28"/>
      <c r="K28"/>
      <c r="L28" s="8"/>
      <c r="M28" s="8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</row>
  </sheetData>
  <mergeCells count="30"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  <mergeCell ref="A6:M6"/>
    <mergeCell ref="A19:A21"/>
    <mergeCell ref="L19:L21"/>
    <mergeCell ref="M19:M21"/>
    <mergeCell ref="A10:A12"/>
    <mergeCell ref="J10:J12"/>
    <mergeCell ref="L10:L12"/>
    <mergeCell ref="M10:M12"/>
    <mergeCell ref="A14:A16"/>
    <mergeCell ref="J14:J16"/>
    <mergeCell ref="L14:L16"/>
    <mergeCell ref="M14:M16"/>
    <mergeCell ref="A7:A9"/>
    <mergeCell ref="J7:J9"/>
    <mergeCell ref="L7:L9"/>
    <mergeCell ref="M7:M9"/>
  </mergeCells>
  <pageMargins left="0.70866141732283472" right="0.70866141732283472" top="0.42" bottom="0.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Орел </vt:lpstr>
      <vt:lpstr>Интерактивная карта</vt:lpstr>
      <vt:lpstr>Свод.тек.деф.</vt:lpstr>
      <vt:lpstr>Свод.ожид.деф.</vt:lpstr>
      <vt:lpstr>'Интерактивная карта'!Область_печати</vt:lpstr>
      <vt:lpstr>'Орел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2013-02-08T10:57:37Z</dcterms:modified>
</cp:coreProperties>
</file>