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70" windowHeight="9255" activeTab="0"/>
  </bookViews>
  <sheets>
    <sheet name="брянск" sheetId="1" r:id="rId1"/>
    <sheet name="Свод тек.деф.зима" sheetId="2" r:id="rId2"/>
    <sheet name="Свод.ожид.тек.зима" sheetId="3" r:id="rId3"/>
  </sheets>
  <definedNames>
    <definedName name="_xlnm._FilterDatabase" localSheetId="0" hidden="1">'брянск'!$A$6:$Z$198</definedName>
  </definedNames>
  <calcPr fullCalcOnLoad="1"/>
</workbook>
</file>

<file path=xl/sharedStrings.xml><?xml version="1.0" encoding="utf-8"?>
<sst xmlns="http://schemas.openxmlformats.org/spreadsheetml/2006/main" count="1168" uniqueCount="227">
  <si>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</si>
  <si>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</si>
  <si>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</si>
  <si>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</si>
  <si>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</si>
  <si>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</si>
  <si>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</si>
  <si>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</si>
  <si>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</si>
  <si>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</si>
  <si>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</si>
  <si>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</si>
  <si>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</si>
  <si>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</si>
  <si>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</si>
  <si>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</si>
  <si>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</si>
  <si>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</si>
  <si>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</si>
  <si>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</si>
  <si>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</si>
  <si>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</si>
  <si>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</si>
  <si>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</si>
  <si>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</si>
  <si>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</si>
  <si>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</si>
  <si>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</si>
  <si>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</si>
  <si>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</si>
  <si>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</si>
  <si>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</si>
  <si>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</si>
  <si>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</si>
  <si>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</si>
  <si>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</si>
  <si>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</si>
  <si>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</si>
  <si>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</si>
  <si>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</si>
  <si>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</si>
  <si>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</si>
  <si>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</si>
  <si>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</si>
  <si>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</si>
  <si>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</si>
  <si>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</si>
  <si>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</si>
  <si>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</si>
  <si>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</si>
  <si>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</si>
  <si>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</si>
  <si>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</si>
  <si>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</si>
  <si>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</si>
  <si>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</si>
  <si>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</si>
  <si>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</si>
  <si>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</si>
  <si>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</si>
  <si>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</si>
  <si>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</si>
  <si>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</si>
  <si>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</si>
  <si>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</si>
  <si>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</si>
  <si>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</si>
  <si>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</si>
  <si>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</si>
  <si>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</si>
  <si>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</si>
  <si>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</si>
  <si>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</si>
  <si>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</si>
  <si>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</si>
  <si>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</si>
  <si>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</si>
  <si>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</si>
  <si>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</si>
  <si>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</si>
  <si>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</si>
  <si>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</si>
  <si>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</si>
  <si>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</si>
  <si>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</si>
  <si>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</si>
  <si>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</si>
  <si>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</si>
  <si>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</si>
  <si>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</si>
  <si>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</si>
  <si>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</si>
  <si>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</si>
  <si>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</si>
  <si>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</si>
  <si>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</si>
  <si>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</si>
  <si>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</si>
  <si>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</si>
  <si>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</si>
  <si>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</si>
  <si>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</si>
  <si>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</si>
  <si>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</si>
  <si>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</si>
  <si>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</si>
  <si>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</si>
  <si>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</si>
  <si>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</si>
  <si>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</si>
  <si>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</si>
  <si>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</si>
  <si>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</si>
  <si>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</si>
  <si>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</si>
  <si>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</si>
  <si>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</si>
  <si>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</si>
  <si>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</si>
  <si>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</si>
  <si>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</si>
  <si>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</si>
  <si>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</si>
  <si>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</si>
  <si>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</si>
  <si>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</si>
  <si>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</si>
  <si>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</si>
  <si>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</si>
  <si>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</si>
  <si>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</si>
  <si>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</si>
  <si>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</si>
  <si>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</si>
  <si>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</si>
  <si>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</si>
  <si>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</si>
  <si>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</si>
  <si>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</si>
  <si>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</si>
  <si>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</si>
  <si>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</si>
  <si>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</si>
  <si>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</si>
  <si>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</si>
  <si>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</si>
  <si>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</si>
  <si>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</si>
  <si>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</si>
  <si>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</si>
  <si>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</si>
  <si>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</si>
  <si>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</si>
  <si>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</si>
  <si>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</si>
  <si>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</si>
  <si>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</si>
  <si>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</si>
  <si>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</si>
  <si>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</si>
  <si>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</si>
  <si>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</si>
  <si>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</si>
  <si>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</si>
  <si>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</si>
  <si>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</si>
  <si>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</si>
  <si>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</si>
  <si>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</si>
  <si>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</si>
  <si>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</si>
  <si>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</si>
  <si>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</si>
  <si>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</si>
  <si>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</si>
  <si>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</si>
  <si>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</si>
  <si>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</si>
  <si>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</si>
  <si>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</si>
  <si>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</si>
  <si>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</si>
  <si>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</si>
  <si>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</si>
  <si>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</si>
  <si>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</si>
  <si>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</si>
  <si>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</si>
  <si>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</si>
  <si>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</si>
  <si>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</si>
  <si>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</si>
  <si>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</si>
  <si>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</si>
  <si>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</si>
  <si>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</si>
  <si>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</si>
  <si>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</si>
  <si>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</si>
  <si>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</si>
  <si>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</si>
  <si>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</si>
  <si>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</si>
  <si>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</si>
  <si>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</si>
  <si>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</si>
  <si>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</si>
  <si>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</si>
  <si>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</si>
  <si>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</si>
  <si>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</si>
  <si>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</si>
  <si>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</si>
  <si>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</si>
  <si>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</si>
  <si>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</si>
  <si>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</si>
  <si>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</si>
  <si>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</si>
  <si>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</si>
  <si>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</si>
  <si>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 xml:space="preserve"> ПС 110/10кВ Добруньская</t>
  </si>
  <si>
    <t>ПС 110/35/6кВ Дормашевская</t>
  </si>
  <si>
    <t>ПС 110/6кВ Западная</t>
  </si>
  <si>
    <t>ПС 35/10кВ Ружненская</t>
  </si>
  <si>
    <t>40+25+40</t>
  </si>
  <si>
    <t>Перечень закрытых центров питания ОАО "МРСК Центра"  по зимним нагрузкам 2011 года (текущий дефицит мощности).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</si>
</sst>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1" fillId="0" borderId="18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A1">
      <pane ySplit="5" topLeftCell="A96" activePane="bottomLeft" state="frozen"/>
      <selection pane="topLeft" activeCell="A1" sqref="A1"/>
      <selection pane="bottomLeft" activeCell="Y196" sqref="Y196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60"/>
      <c r="K1" s="160"/>
      <c r="L1" s="43"/>
      <c r="M1" s="43"/>
      <c r="N1" s="43"/>
      <c r="X1" s="160"/>
      <c r="Y1" s="160"/>
    </row>
    <row r="2" spans="1:25" s="1" customFormat="1" ht="11.25">
      <c r="A2" s="74"/>
      <c r="C2" s="74"/>
      <c r="J2" s="161" t="s">
        <v>0</v>
      </c>
      <c r="K2" s="161"/>
      <c r="L2" s="43"/>
      <c r="M2" s="43"/>
      <c r="N2" s="43"/>
      <c r="X2" s="161" t="s">
        <v>15</v>
      </c>
      <c r="Y2" s="161"/>
    </row>
    <row r="3" spans="1:26" s="1" customFormat="1" ht="15">
      <c r="A3" s="149" t="s">
        <v>1</v>
      </c>
      <c r="B3" s="141" t="s">
        <v>2</v>
      </c>
      <c r="C3" s="143" t="s">
        <v>3</v>
      </c>
      <c r="D3" s="151"/>
      <c r="E3" s="151"/>
      <c r="F3" s="151"/>
      <c r="G3" s="151"/>
      <c r="H3" s="151"/>
      <c r="I3" s="151"/>
      <c r="J3" s="151"/>
      <c r="K3" s="144"/>
      <c r="L3" s="152" t="s">
        <v>16</v>
      </c>
      <c r="M3" s="42"/>
      <c r="N3" s="170" t="s">
        <v>1</v>
      </c>
      <c r="O3" s="147" t="s">
        <v>2</v>
      </c>
      <c r="P3" s="143" t="s">
        <v>17</v>
      </c>
      <c r="Q3" s="173"/>
      <c r="R3" s="173"/>
      <c r="S3" s="173"/>
      <c r="T3" s="173"/>
      <c r="U3" s="173"/>
      <c r="V3" s="173"/>
      <c r="W3" s="173"/>
      <c r="X3" s="173"/>
      <c r="Y3" s="174"/>
      <c r="Z3" s="152" t="s">
        <v>16</v>
      </c>
    </row>
    <row r="4" spans="1:26" s="1" customFormat="1" ht="63.75" customHeight="1">
      <c r="A4" s="139"/>
      <c r="B4" s="150"/>
      <c r="C4" s="153" t="s">
        <v>4</v>
      </c>
      <c r="D4" s="141" t="s">
        <v>5</v>
      </c>
      <c r="E4" s="143" t="s">
        <v>6</v>
      </c>
      <c r="F4" s="144"/>
      <c r="G4" s="141" t="s">
        <v>7</v>
      </c>
      <c r="H4" s="141" t="s">
        <v>8</v>
      </c>
      <c r="I4" s="141" t="s">
        <v>9</v>
      </c>
      <c r="J4" s="162" t="s">
        <v>18</v>
      </c>
      <c r="K4" s="163"/>
      <c r="L4" s="127"/>
      <c r="M4" s="42"/>
      <c r="N4" s="171"/>
      <c r="O4" s="147"/>
      <c r="P4" s="147" t="s">
        <v>19</v>
      </c>
      <c r="Q4" s="147" t="s">
        <v>20</v>
      </c>
      <c r="R4" s="147" t="s">
        <v>21</v>
      </c>
      <c r="S4" s="147" t="s">
        <v>22</v>
      </c>
      <c r="T4" s="148"/>
      <c r="U4" s="147" t="s">
        <v>7</v>
      </c>
      <c r="V4" s="147" t="s">
        <v>8</v>
      </c>
      <c r="W4" s="147" t="s">
        <v>9</v>
      </c>
      <c r="X4" s="162" t="s">
        <v>18</v>
      </c>
      <c r="Y4" s="175"/>
      <c r="Z4" s="168"/>
    </row>
    <row r="5" spans="1:26" s="1" customFormat="1" ht="64.5" customHeight="1">
      <c r="A5" s="140"/>
      <c r="B5" s="142"/>
      <c r="C5" s="154"/>
      <c r="D5" s="142"/>
      <c r="E5" s="39" t="s">
        <v>10</v>
      </c>
      <c r="F5" s="39" t="s">
        <v>11</v>
      </c>
      <c r="G5" s="142"/>
      <c r="H5" s="142"/>
      <c r="I5" s="142"/>
      <c r="J5" s="164"/>
      <c r="K5" s="165"/>
      <c r="L5" s="128"/>
      <c r="M5" s="42"/>
      <c r="N5" s="172"/>
      <c r="O5" s="147"/>
      <c r="P5" s="147"/>
      <c r="Q5" s="147"/>
      <c r="R5" s="147"/>
      <c r="S5" s="39" t="s">
        <v>10</v>
      </c>
      <c r="T5" s="39" t="s">
        <v>11</v>
      </c>
      <c r="U5" s="147"/>
      <c r="V5" s="147"/>
      <c r="W5" s="147"/>
      <c r="X5" s="176"/>
      <c r="Y5" s="177"/>
      <c r="Z5" s="169"/>
    </row>
    <row r="6" spans="1:26" s="1" customFormat="1" ht="11.25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67</v>
      </c>
      <c r="C7" s="18">
        <v>6.3</v>
      </c>
      <c r="D7" s="47">
        <v>0.715</v>
      </c>
      <c r="E7" s="12">
        <f>C7</f>
        <v>6.3</v>
      </c>
      <c r="F7" s="12" t="s">
        <v>12</v>
      </c>
      <c r="G7" s="48">
        <f aca="true" t="shared" si="0" ref="G7:G48">E7</f>
        <v>6.3</v>
      </c>
      <c r="H7" s="12">
        <v>0</v>
      </c>
      <c r="I7" s="48">
        <f aca="true" t="shared" si="1" ref="I7:I48">E7</f>
        <v>6.3</v>
      </c>
      <c r="J7" s="106">
        <f aca="true" t="shared" si="2" ref="J7:J48">I7-D7</f>
        <v>5.585</v>
      </c>
      <c r="K7" s="106">
        <f>J7</f>
        <v>5.585</v>
      </c>
      <c r="L7" s="17" t="s">
        <v>24</v>
      </c>
      <c r="M7" s="16"/>
      <c r="N7" s="18">
        <v>1</v>
      </c>
      <c r="O7" s="12" t="s">
        <v>67</v>
      </c>
      <c r="P7" s="12">
        <v>6.3</v>
      </c>
      <c r="Q7" s="47">
        <f>0.0075</f>
        <v>0.0075</v>
      </c>
      <c r="R7" s="79">
        <f>Q7+D7</f>
        <v>0.7224999999999999</v>
      </c>
      <c r="S7" s="18">
        <f aca="true" t="shared" si="3" ref="S7:T12">E7</f>
        <v>6.3</v>
      </c>
      <c r="T7" s="18" t="str">
        <f t="shared" si="3"/>
        <v>1 сутки</v>
      </c>
      <c r="U7" s="64">
        <f aca="true" t="shared" si="4" ref="U7:U48">S7</f>
        <v>6.3</v>
      </c>
      <c r="V7" s="18">
        <v>0</v>
      </c>
      <c r="W7" s="66">
        <f aca="true" t="shared" si="5" ref="W7:W48">S7</f>
        <v>6.3</v>
      </c>
      <c r="X7" s="90">
        <f aca="true" t="shared" si="6" ref="X7:X48">W7-R7</f>
        <v>5.5775</v>
      </c>
      <c r="Y7" s="90">
        <f>X7</f>
        <v>5.5775</v>
      </c>
      <c r="Z7" s="12" t="s">
        <v>24</v>
      </c>
    </row>
    <row r="8" spans="1:26" s="1" customFormat="1" ht="22.5">
      <c r="A8" s="112">
        <v>2</v>
      </c>
      <c r="B8" s="12" t="s">
        <v>90</v>
      </c>
      <c r="C8" s="69">
        <v>16</v>
      </c>
      <c r="D8" s="47">
        <f>D9+D10</f>
        <v>4.21</v>
      </c>
      <c r="E8" s="12">
        <v>16</v>
      </c>
      <c r="F8" s="12" t="s">
        <v>12</v>
      </c>
      <c r="G8" s="48">
        <f t="shared" si="0"/>
        <v>16</v>
      </c>
      <c r="H8" s="12">
        <v>0</v>
      </c>
      <c r="I8" s="48">
        <f t="shared" si="1"/>
        <v>16</v>
      </c>
      <c r="J8" s="106">
        <f t="shared" si="2"/>
        <v>11.79</v>
      </c>
      <c r="K8" s="115">
        <f>MIN(J8:J10)</f>
        <v>11.79</v>
      </c>
      <c r="L8" s="126" t="s">
        <v>24</v>
      </c>
      <c r="M8" s="16"/>
      <c r="N8" s="112">
        <v>2</v>
      </c>
      <c r="O8" s="12" t="s">
        <v>90</v>
      </c>
      <c r="P8" s="15">
        <v>16</v>
      </c>
      <c r="Q8" s="86">
        <f>Q10</f>
        <v>0.0562</v>
      </c>
      <c r="R8" s="79">
        <f>Q8+D8</f>
        <v>4.2661999999999995</v>
      </c>
      <c r="S8" s="18">
        <f t="shared" si="3"/>
        <v>16</v>
      </c>
      <c r="T8" s="18" t="str">
        <f t="shared" si="3"/>
        <v>1 сутки</v>
      </c>
      <c r="U8" s="64">
        <f t="shared" si="4"/>
        <v>16</v>
      </c>
      <c r="V8" s="18">
        <v>0</v>
      </c>
      <c r="W8" s="66">
        <f t="shared" si="5"/>
        <v>16</v>
      </c>
      <c r="X8" s="90">
        <f t="shared" si="6"/>
        <v>11.7338</v>
      </c>
      <c r="Y8" s="115">
        <f>MIN(X8:X10)</f>
        <v>11.7338</v>
      </c>
      <c r="Z8" s="126" t="s">
        <v>24</v>
      </c>
    </row>
    <row r="9" spans="1:26" s="1" customFormat="1" ht="22.5" customHeight="1">
      <c r="A9" s="113"/>
      <c r="B9" s="27" t="s">
        <v>56</v>
      </c>
      <c r="C9" s="63">
        <v>16</v>
      </c>
      <c r="D9" s="48">
        <v>2.607</v>
      </c>
      <c r="E9" s="12">
        <f>C9</f>
        <v>16</v>
      </c>
      <c r="F9" s="12" t="s">
        <v>12</v>
      </c>
      <c r="G9" s="48">
        <f t="shared" si="0"/>
        <v>16</v>
      </c>
      <c r="H9" s="12">
        <v>0</v>
      </c>
      <c r="I9" s="48">
        <f t="shared" si="1"/>
        <v>16</v>
      </c>
      <c r="J9" s="106">
        <f t="shared" si="2"/>
        <v>13.393</v>
      </c>
      <c r="K9" s="116"/>
      <c r="L9" s="129"/>
      <c r="M9" s="16"/>
      <c r="N9" s="113"/>
      <c r="O9" s="27" t="s">
        <v>56</v>
      </c>
      <c r="P9" s="28">
        <v>16</v>
      </c>
      <c r="Q9" s="85"/>
      <c r="R9" s="79">
        <f>Q9+D9</f>
        <v>2.607</v>
      </c>
      <c r="S9" s="18">
        <f t="shared" si="3"/>
        <v>16</v>
      </c>
      <c r="T9" s="18" t="str">
        <f t="shared" si="3"/>
        <v>1 сутки</v>
      </c>
      <c r="U9" s="64">
        <f t="shared" si="4"/>
        <v>16</v>
      </c>
      <c r="V9" s="18">
        <v>0</v>
      </c>
      <c r="W9" s="66">
        <f t="shared" si="5"/>
        <v>16</v>
      </c>
      <c r="X9" s="90">
        <f t="shared" si="6"/>
        <v>13.393</v>
      </c>
      <c r="Y9" s="145"/>
      <c r="Z9" s="129"/>
    </row>
    <row r="10" spans="1:26" s="1" customFormat="1" ht="21.75" customHeight="1">
      <c r="A10" s="114"/>
      <c r="B10" s="27" t="s">
        <v>44</v>
      </c>
      <c r="C10" s="63">
        <v>16</v>
      </c>
      <c r="D10" s="48">
        <v>1.603</v>
      </c>
      <c r="E10" s="12">
        <f>C10</f>
        <v>16</v>
      </c>
      <c r="F10" s="12" t="s">
        <v>12</v>
      </c>
      <c r="G10" s="48">
        <f t="shared" si="0"/>
        <v>16</v>
      </c>
      <c r="H10" s="12">
        <v>0</v>
      </c>
      <c r="I10" s="48">
        <f t="shared" si="1"/>
        <v>16</v>
      </c>
      <c r="J10" s="106">
        <f t="shared" si="2"/>
        <v>14.397</v>
      </c>
      <c r="K10" s="117"/>
      <c r="L10" s="130"/>
      <c r="M10" s="16"/>
      <c r="N10" s="114"/>
      <c r="O10" s="27" t="s">
        <v>44</v>
      </c>
      <c r="P10" s="28">
        <v>16</v>
      </c>
      <c r="Q10" s="85">
        <f>0.051+0.003-0.0032+0.0054</f>
        <v>0.0562</v>
      </c>
      <c r="R10" s="79">
        <f>Q10+D10</f>
        <v>1.6592</v>
      </c>
      <c r="S10" s="18">
        <f t="shared" si="3"/>
        <v>16</v>
      </c>
      <c r="T10" s="18" t="str">
        <f t="shared" si="3"/>
        <v>1 сутки</v>
      </c>
      <c r="U10" s="64">
        <f t="shared" si="4"/>
        <v>16</v>
      </c>
      <c r="V10" s="18">
        <v>0</v>
      </c>
      <c r="W10" s="66">
        <f t="shared" si="5"/>
        <v>16</v>
      </c>
      <c r="X10" s="90">
        <f t="shared" si="6"/>
        <v>14.3408</v>
      </c>
      <c r="Y10" s="146"/>
      <c r="Z10" s="130"/>
    </row>
    <row r="11" spans="1:26" s="1" customFormat="1" ht="22.5">
      <c r="A11" s="18">
        <v>3</v>
      </c>
      <c r="B11" s="18" t="s">
        <v>92</v>
      </c>
      <c r="C11" s="69">
        <v>6.3</v>
      </c>
      <c r="D11" s="47">
        <v>1.217</v>
      </c>
      <c r="E11" s="12">
        <f>C11</f>
        <v>6.3</v>
      </c>
      <c r="F11" s="12" t="s">
        <v>12</v>
      </c>
      <c r="G11" s="48">
        <f t="shared" si="0"/>
        <v>6.3</v>
      </c>
      <c r="H11" s="12">
        <v>0</v>
      </c>
      <c r="I11" s="48">
        <f t="shared" si="1"/>
        <v>6.3</v>
      </c>
      <c r="J11" s="106">
        <f t="shared" si="2"/>
        <v>5.083</v>
      </c>
      <c r="K11" s="106">
        <f>J11</f>
        <v>5.083</v>
      </c>
      <c r="L11" s="17" t="s">
        <v>24</v>
      </c>
      <c r="M11" s="16"/>
      <c r="N11" s="18">
        <v>3</v>
      </c>
      <c r="O11" s="12" t="s">
        <v>92</v>
      </c>
      <c r="P11" s="15">
        <v>6.3</v>
      </c>
      <c r="Q11" s="86">
        <f>0.047+0.005+0.001+0.011+0.065+0.048+0.016+0.01+0.0484-0.064+0.0161+0.016+0.0161+0.005376-0.0366+0.021+0.0229</f>
        <v>0.24827600000000002</v>
      </c>
      <c r="R11" s="79">
        <f>Q11+D11</f>
        <v>1.465276</v>
      </c>
      <c r="S11" s="18">
        <f t="shared" si="3"/>
        <v>6.3</v>
      </c>
      <c r="T11" s="18" t="str">
        <f t="shared" si="3"/>
        <v>1 сутки</v>
      </c>
      <c r="U11" s="64">
        <f t="shared" si="4"/>
        <v>6.3</v>
      </c>
      <c r="V11" s="18">
        <v>0</v>
      </c>
      <c r="W11" s="66">
        <f t="shared" si="5"/>
        <v>6.3</v>
      </c>
      <c r="X11" s="90">
        <f t="shared" si="6"/>
        <v>4.834724</v>
      </c>
      <c r="Y11" s="90">
        <f>X11</f>
        <v>4.834724</v>
      </c>
      <c r="Z11" s="12" t="s">
        <v>24</v>
      </c>
    </row>
    <row r="12" spans="1:26" s="1" customFormat="1" ht="22.5">
      <c r="A12" s="18">
        <v>4</v>
      </c>
      <c r="B12" s="18" t="s">
        <v>97</v>
      </c>
      <c r="C12" s="69">
        <v>6.3</v>
      </c>
      <c r="D12" s="47">
        <v>0.345</v>
      </c>
      <c r="E12" s="12">
        <f>C12</f>
        <v>6.3</v>
      </c>
      <c r="F12" s="12" t="s">
        <v>12</v>
      </c>
      <c r="G12" s="48">
        <f t="shared" si="0"/>
        <v>6.3</v>
      </c>
      <c r="H12" s="12">
        <v>0</v>
      </c>
      <c r="I12" s="48">
        <f t="shared" si="1"/>
        <v>6.3</v>
      </c>
      <c r="J12" s="106">
        <f t="shared" si="2"/>
        <v>5.955</v>
      </c>
      <c r="K12" s="106">
        <f>J12</f>
        <v>5.955</v>
      </c>
      <c r="L12" s="17" t="s">
        <v>24</v>
      </c>
      <c r="M12" s="16"/>
      <c r="N12" s="18">
        <v>4</v>
      </c>
      <c r="O12" s="12" t="s">
        <v>97</v>
      </c>
      <c r="P12" s="15">
        <v>6.3</v>
      </c>
      <c r="Q12" s="86">
        <f>0.016+0.005+0.0613-0.0161+1.1827+1.1827+0.5914-0.1661+0.086</f>
        <v>2.9429000000000003</v>
      </c>
      <c r="R12" s="79">
        <f>Q12+D12</f>
        <v>3.2879000000000005</v>
      </c>
      <c r="S12" s="18">
        <f t="shared" si="3"/>
        <v>6.3</v>
      </c>
      <c r="T12" s="18" t="str">
        <f t="shared" si="3"/>
        <v>1 сутки</v>
      </c>
      <c r="U12" s="64">
        <f t="shared" si="4"/>
        <v>6.3</v>
      </c>
      <c r="V12" s="18">
        <v>0</v>
      </c>
      <c r="W12" s="66">
        <f t="shared" si="5"/>
        <v>6.3</v>
      </c>
      <c r="X12" s="90">
        <f t="shared" si="6"/>
        <v>3.0120999999999993</v>
      </c>
      <c r="Y12" s="90">
        <f>X12</f>
        <v>3.0120999999999993</v>
      </c>
      <c r="Z12" s="12" t="s">
        <v>24</v>
      </c>
    </row>
    <row r="13" spans="1:26" s="1" customFormat="1" ht="21.75" customHeight="1">
      <c r="A13" s="22">
        <v>5</v>
      </c>
      <c r="B13" s="22" t="s">
        <v>99</v>
      </c>
      <c r="C13" s="23">
        <v>10</v>
      </c>
      <c r="D13" s="51">
        <v>7.042</v>
      </c>
      <c r="E13" s="22">
        <v>4.3</v>
      </c>
      <c r="F13" s="22" t="s">
        <v>12</v>
      </c>
      <c r="G13" s="49">
        <f t="shared" si="0"/>
        <v>4.3</v>
      </c>
      <c r="H13" s="22">
        <v>0</v>
      </c>
      <c r="I13" s="49">
        <f t="shared" si="1"/>
        <v>4.3</v>
      </c>
      <c r="J13" s="107">
        <f t="shared" si="2"/>
        <v>-2.742</v>
      </c>
      <c r="K13" s="107">
        <f>J13</f>
        <v>-2.742</v>
      </c>
      <c r="L13" s="19" t="s">
        <v>25</v>
      </c>
      <c r="M13" s="16"/>
      <c r="N13" s="22">
        <v>5</v>
      </c>
      <c r="O13" s="22" t="s">
        <v>99</v>
      </c>
      <c r="P13" s="23">
        <v>10</v>
      </c>
      <c r="Q13" s="88">
        <f>0.129+0.8064+0.8</f>
        <v>1.7354</v>
      </c>
      <c r="R13" s="51">
        <f>Q13+D13</f>
        <v>8.7774</v>
      </c>
      <c r="S13" s="22">
        <v>4.3</v>
      </c>
      <c r="T13" s="22" t="str">
        <f aca="true" t="shared" si="7" ref="T13:T48">F13</f>
        <v>1 сутки</v>
      </c>
      <c r="U13" s="29">
        <f t="shared" si="4"/>
        <v>4.3</v>
      </c>
      <c r="V13" s="22">
        <v>0</v>
      </c>
      <c r="W13" s="30">
        <f t="shared" si="5"/>
        <v>4.3</v>
      </c>
      <c r="X13" s="107">
        <f t="shared" si="6"/>
        <v>-4.4774</v>
      </c>
      <c r="Y13" s="107">
        <f>X13</f>
        <v>-4.4774</v>
      </c>
      <c r="Z13" s="22" t="s">
        <v>25</v>
      </c>
    </row>
    <row r="14" spans="1:26" s="1" customFormat="1" ht="33.75">
      <c r="A14" s="18">
        <v>6</v>
      </c>
      <c r="B14" s="12" t="s">
        <v>159</v>
      </c>
      <c r="C14" s="69">
        <v>10</v>
      </c>
      <c r="D14" s="47">
        <v>0.529</v>
      </c>
      <c r="E14" s="12">
        <f aca="true" t="shared" si="8" ref="E14:E26">C14</f>
        <v>10</v>
      </c>
      <c r="F14" s="12" t="s">
        <v>12</v>
      </c>
      <c r="G14" s="48">
        <f t="shared" si="0"/>
        <v>10</v>
      </c>
      <c r="H14" s="12">
        <v>0</v>
      </c>
      <c r="I14" s="48">
        <f t="shared" si="1"/>
        <v>10</v>
      </c>
      <c r="J14" s="106">
        <f t="shared" si="2"/>
        <v>9.471</v>
      </c>
      <c r="K14" s="106">
        <f>J14</f>
        <v>9.471</v>
      </c>
      <c r="L14" s="17" t="s">
        <v>24</v>
      </c>
      <c r="M14" s="16"/>
      <c r="N14" s="18">
        <v>6</v>
      </c>
      <c r="O14" s="12" t="s">
        <v>159</v>
      </c>
      <c r="P14" s="15">
        <v>10</v>
      </c>
      <c r="Q14" s="86">
        <f>0.018+0.002+0.025+0.0108-0.0282+0.0161+0.6451+0.012633-0.0409+0.0226+0.0003+0.0043</f>
        <v>0.6877329999999998</v>
      </c>
      <c r="R14" s="79">
        <f aca="true" t="shared" si="9" ref="R14:R25">Q14+D14</f>
        <v>1.2167329999999998</v>
      </c>
      <c r="S14" s="18">
        <f aca="true" t="shared" si="10" ref="S14:S48">E14</f>
        <v>10</v>
      </c>
      <c r="T14" s="18" t="str">
        <f t="shared" si="7"/>
        <v>1 сутки</v>
      </c>
      <c r="U14" s="64">
        <f t="shared" si="4"/>
        <v>10</v>
      </c>
      <c r="V14" s="18">
        <v>0</v>
      </c>
      <c r="W14" s="66">
        <f t="shared" si="5"/>
        <v>10</v>
      </c>
      <c r="X14" s="90">
        <f t="shared" si="6"/>
        <v>8.783267</v>
      </c>
      <c r="Y14" s="90">
        <f>X14</f>
        <v>8.783267</v>
      </c>
      <c r="Z14" s="12" t="s">
        <v>24</v>
      </c>
    </row>
    <row r="15" spans="1:26" s="1" customFormat="1" ht="22.5">
      <c r="A15" s="18">
        <v>7</v>
      </c>
      <c r="B15" s="12" t="s">
        <v>160</v>
      </c>
      <c r="C15" s="69">
        <v>2.5</v>
      </c>
      <c r="D15" s="47">
        <v>0.233</v>
      </c>
      <c r="E15" s="12">
        <f t="shared" si="8"/>
        <v>2.5</v>
      </c>
      <c r="F15" s="12" t="s">
        <v>12</v>
      </c>
      <c r="G15" s="48">
        <f t="shared" si="0"/>
        <v>2.5</v>
      </c>
      <c r="H15" s="12">
        <v>0</v>
      </c>
      <c r="I15" s="48">
        <f t="shared" si="1"/>
        <v>2.5</v>
      </c>
      <c r="J15" s="106">
        <f t="shared" si="2"/>
        <v>2.267</v>
      </c>
      <c r="K15" s="106">
        <f>J15</f>
        <v>2.267</v>
      </c>
      <c r="L15" s="17" t="s">
        <v>24</v>
      </c>
      <c r="M15" s="16"/>
      <c r="N15" s="18">
        <v>7</v>
      </c>
      <c r="O15" s="12" t="s">
        <v>160</v>
      </c>
      <c r="P15" s="15">
        <v>2.5</v>
      </c>
      <c r="Q15" s="86">
        <f>0.016+0.011+0.112+0.015+0.1813+0.1806+0.0032+0.023-0.1906+0.0065</f>
        <v>0.35800000000000004</v>
      </c>
      <c r="R15" s="79">
        <f t="shared" si="9"/>
        <v>0.5910000000000001</v>
      </c>
      <c r="S15" s="18">
        <f t="shared" si="10"/>
        <v>2.5</v>
      </c>
      <c r="T15" s="18" t="str">
        <f t="shared" si="7"/>
        <v>1 сутки</v>
      </c>
      <c r="U15" s="64">
        <f t="shared" si="4"/>
        <v>2.5</v>
      </c>
      <c r="V15" s="18">
        <v>0</v>
      </c>
      <c r="W15" s="66">
        <f t="shared" si="5"/>
        <v>2.5</v>
      </c>
      <c r="X15" s="90">
        <f t="shared" si="6"/>
        <v>1.9089999999999998</v>
      </c>
      <c r="Y15" s="90">
        <f>X15</f>
        <v>1.9089999999999998</v>
      </c>
      <c r="Z15" s="12" t="s">
        <v>24</v>
      </c>
    </row>
    <row r="16" spans="1:26" s="1" customFormat="1" ht="22.5">
      <c r="A16" s="18">
        <v>8</v>
      </c>
      <c r="B16" s="18" t="s">
        <v>161</v>
      </c>
      <c r="C16" s="69">
        <v>6.3</v>
      </c>
      <c r="D16" s="47">
        <v>1.001</v>
      </c>
      <c r="E16" s="12">
        <f t="shared" si="8"/>
        <v>6.3</v>
      </c>
      <c r="F16" s="12" t="s">
        <v>12</v>
      </c>
      <c r="G16" s="48">
        <f t="shared" si="0"/>
        <v>6.3</v>
      </c>
      <c r="H16" s="12">
        <v>0</v>
      </c>
      <c r="I16" s="48">
        <f t="shared" si="1"/>
        <v>6.3</v>
      </c>
      <c r="J16" s="106">
        <f t="shared" si="2"/>
        <v>5.2989999999999995</v>
      </c>
      <c r="K16" s="106">
        <f>J16</f>
        <v>5.2989999999999995</v>
      </c>
      <c r="L16" s="17" t="s">
        <v>24</v>
      </c>
      <c r="M16" s="16"/>
      <c r="N16" s="18">
        <v>8</v>
      </c>
      <c r="O16" s="12" t="s">
        <v>161</v>
      </c>
      <c r="P16" s="15">
        <v>6.3</v>
      </c>
      <c r="Q16" s="86">
        <f>0.021+0.004+0.001+0.003+0.004+0.017+0.0043-0.0285+0.0097+0.007258-0.0145</f>
        <v>0.028258000000000005</v>
      </c>
      <c r="R16" s="79">
        <f t="shared" si="9"/>
        <v>1.029258</v>
      </c>
      <c r="S16" s="18">
        <f t="shared" si="10"/>
        <v>6.3</v>
      </c>
      <c r="T16" s="18" t="str">
        <f t="shared" si="7"/>
        <v>1 сутки</v>
      </c>
      <c r="U16" s="64">
        <f t="shared" si="4"/>
        <v>6.3</v>
      </c>
      <c r="V16" s="18">
        <v>0</v>
      </c>
      <c r="W16" s="66">
        <f t="shared" si="5"/>
        <v>6.3</v>
      </c>
      <c r="X16" s="90">
        <f t="shared" si="6"/>
        <v>5.270742</v>
      </c>
      <c r="Y16" s="90">
        <f>X16</f>
        <v>5.270742</v>
      </c>
      <c r="Z16" s="12" t="s">
        <v>24</v>
      </c>
    </row>
    <row r="17" spans="1:26" s="1" customFormat="1" ht="22.5">
      <c r="A17" s="112">
        <v>9</v>
      </c>
      <c r="B17" s="18" t="s">
        <v>165</v>
      </c>
      <c r="C17" s="69">
        <v>6.3</v>
      </c>
      <c r="D17" s="47">
        <f>D18+D19</f>
        <v>0.999</v>
      </c>
      <c r="E17" s="12">
        <f t="shared" si="8"/>
        <v>6.3</v>
      </c>
      <c r="F17" s="12" t="s">
        <v>12</v>
      </c>
      <c r="G17" s="48">
        <f t="shared" si="0"/>
        <v>6.3</v>
      </c>
      <c r="H17" s="12">
        <v>0</v>
      </c>
      <c r="I17" s="48">
        <f t="shared" si="1"/>
        <v>6.3</v>
      </c>
      <c r="J17" s="106">
        <f t="shared" si="2"/>
        <v>5.301</v>
      </c>
      <c r="K17" s="115">
        <f>MIN(J17:J19)</f>
        <v>5.301</v>
      </c>
      <c r="L17" s="126" t="s">
        <v>24</v>
      </c>
      <c r="M17" s="16"/>
      <c r="N17" s="112">
        <v>9</v>
      </c>
      <c r="O17" s="12" t="s">
        <v>165</v>
      </c>
      <c r="P17" s="15">
        <v>6.3</v>
      </c>
      <c r="Q17" s="86">
        <f>Q19</f>
        <v>0.290537</v>
      </c>
      <c r="R17" s="79">
        <f t="shared" si="9"/>
        <v>1.289537</v>
      </c>
      <c r="S17" s="18">
        <f t="shared" si="10"/>
        <v>6.3</v>
      </c>
      <c r="T17" s="18" t="str">
        <f t="shared" si="7"/>
        <v>1 сутки</v>
      </c>
      <c r="U17" s="64">
        <f t="shared" si="4"/>
        <v>6.3</v>
      </c>
      <c r="V17" s="18">
        <v>0</v>
      </c>
      <c r="W17" s="66">
        <f t="shared" si="5"/>
        <v>6.3</v>
      </c>
      <c r="X17" s="90">
        <f t="shared" si="6"/>
        <v>5.010463</v>
      </c>
      <c r="Y17" s="115">
        <f>MIN(X17:X19)</f>
        <v>5.010463</v>
      </c>
      <c r="Z17" s="126" t="s">
        <v>24</v>
      </c>
    </row>
    <row r="18" spans="1:26" s="1" customFormat="1" ht="21" customHeight="1">
      <c r="A18" s="113"/>
      <c r="B18" s="80" t="s">
        <v>56</v>
      </c>
      <c r="C18" s="63">
        <v>6.3</v>
      </c>
      <c r="D18" s="48">
        <v>0.212</v>
      </c>
      <c r="E18" s="12">
        <f t="shared" si="8"/>
        <v>6.3</v>
      </c>
      <c r="F18" s="12" t="s">
        <v>12</v>
      </c>
      <c r="G18" s="48">
        <f t="shared" si="0"/>
        <v>6.3</v>
      </c>
      <c r="H18" s="12">
        <v>0</v>
      </c>
      <c r="I18" s="48">
        <f t="shared" si="1"/>
        <v>6.3</v>
      </c>
      <c r="J18" s="106">
        <f t="shared" si="2"/>
        <v>6.088</v>
      </c>
      <c r="K18" s="116"/>
      <c r="L18" s="129"/>
      <c r="M18" s="16"/>
      <c r="N18" s="113"/>
      <c r="O18" s="27" t="s">
        <v>56</v>
      </c>
      <c r="P18" s="28">
        <v>6.3</v>
      </c>
      <c r="Q18" s="85"/>
      <c r="R18" s="79">
        <f t="shared" si="9"/>
        <v>0.212</v>
      </c>
      <c r="S18" s="18">
        <f t="shared" si="10"/>
        <v>6.3</v>
      </c>
      <c r="T18" s="18" t="str">
        <f t="shared" si="7"/>
        <v>1 сутки</v>
      </c>
      <c r="U18" s="64">
        <f t="shared" si="4"/>
        <v>6.3</v>
      </c>
      <c r="V18" s="18">
        <v>0</v>
      </c>
      <c r="W18" s="66">
        <f t="shared" si="5"/>
        <v>6.3</v>
      </c>
      <c r="X18" s="90">
        <f t="shared" si="6"/>
        <v>6.088</v>
      </c>
      <c r="Y18" s="145"/>
      <c r="Z18" s="129"/>
    </row>
    <row r="19" spans="1:26" s="1" customFormat="1" ht="21" customHeight="1">
      <c r="A19" s="114"/>
      <c r="B19" s="80" t="s">
        <v>44</v>
      </c>
      <c r="C19" s="63">
        <v>6.3</v>
      </c>
      <c r="D19" s="48">
        <v>0.787</v>
      </c>
      <c r="E19" s="12">
        <f t="shared" si="8"/>
        <v>6.3</v>
      </c>
      <c r="F19" s="12" t="s">
        <v>12</v>
      </c>
      <c r="G19" s="48">
        <f t="shared" si="0"/>
        <v>6.3</v>
      </c>
      <c r="H19" s="12">
        <v>0</v>
      </c>
      <c r="I19" s="48">
        <f t="shared" si="1"/>
        <v>6.3</v>
      </c>
      <c r="J19" s="106">
        <f t="shared" si="2"/>
        <v>5.513</v>
      </c>
      <c r="K19" s="117"/>
      <c r="L19" s="130"/>
      <c r="M19" s="16"/>
      <c r="N19" s="114"/>
      <c r="O19" s="27" t="s">
        <v>44</v>
      </c>
      <c r="P19" s="28">
        <v>6.3</v>
      </c>
      <c r="Q19" s="85">
        <f>0.021+0.009+0.016+0.0269-0.0177+0.001+0.016+0.0054+0.215037+0.0019-0.0269+0.0161+0.0068</f>
        <v>0.290537</v>
      </c>
      <c r="R19" s="79">
        <f t="shared" si="9"/>
        <v>1.077537</v>
      </c>
      <c r="S19" s="18">
        <f t="shared" si="10"/>
        <v>6.3</v>
      </c>
      <c r="T19" s="18" t="str">
        <f t="shared" si="7"/>
        <v>1 сутки</v>
      </c>
      <c r="U19" s="64">
        <f t="shared" si="4"/>
        <v>6.3</v>
      </c>
      <c r="V19" s="18">
        <v>0</v>
      </c>
      <c r="W19" s="66">
        <f t="shared" si="5"/>
        <v>6.3</v>
      </c>
      <c r="X19" s="90">
        <f t="shared" si="6"/>
        <v>5.222462999999999</v>
      </c>
      <c r="Y19" s="146"/>
      <c r="Z19" s="130"/>
    </row>
    <row r="20" spans="1:26" s="1" customFormat="1" ht="23.25" customHeight="1">
      <c r="A20" s="112">
        <v>10</v>
      </c>
      <c r="B20" s="12" t="s">
        <v>168</v>
      </c>
      <c r="C20" s="69">
        <v>16</v>
      </c>
      <c r="D20" s="47">
        <f>D21+D22</f>
        <v>6.056</v>
      </c>
      <c r="E20" s="12">
        <f t="shared" si="8"/>
        <v>16</v>
      </c>
      <c r="F20" s="12" t="s">
        <v>12</v>
      </c>
      <c r="G20" s="48">
        <f t="shared" si="0"/>
        <v>16</v>
      </c>
      <c r="H20" s="12">
        <v>0</v>
      </c>
      <c r="I20" s="48">
        <f t="shared" si="1"/>
        <v>16</v>
      </c>
      <c r="J20" s="106">
        <f t="shared" si="2"/>
        <v>9.943999999999999</v>
      </c>
      <c r="K20" s="115">
        <f>MIN(J20:J22)</f>
        <v>9.943999999999999</v>
      </c>
      <c r="L20" s="126" t="s">
        <v>24</v>
      </c>
      <c r="M20" s="16"/>
      <c r="N20" s="112">
        <v>10</v>
      </c>
      <c r="O20" s="12" t="s">
        <v>168</v>
      </c>
      <c r="P20" s="15">
        <v>16</v>
      </c>
      <c r="Q20" s="86">
        <f>-Q21+Q22</f>
        <v>0.0718</v>
      </c>
      <c r="R20" s="79">
        <f t="shared" si="9"/>
        <v>6.1278</v>
      </c>
      <c r="S20" s="18">
        <f t="shared" si="10"/>
        <v>16</v>
      </c>
      <c r="T20" s="18" t="str">
        <f t="shared" si="7"/>
        <v>1 сутки</v>
      </c>
      <c r="U20" s="64">
        <f t="shared" si="4"/>
        <v>16</v>
      </c>
      <c r="V20" s="18">
        <v>0</v>
      </c>
      <c r="W20" s="66">
        <f t="shared" si="5"/>
        <v>16</v>
      </c>
      <c r="X20" s="90">
        <f t="shared" si="6"/>
        <v>9.8722</v>
      </c>
      <c r="Y20" s="115">
        <f>MIN(X20:X22)</f>
        <v>9.8722</v>
      </c>
      <c r="Z20" s="126" t="s">
        <v>24</v>
      </c>
    </row>
    <row r="21" spans="1:26" s="1" customFormat="1" ht="22.5" customHeight="1">
      <c r="A21" s="113"/>
      <c r="B21" s="80" t="s">
        <v>56</v>
      </c>
      <c r="C21" s="63">
        <v>16</v>
      </c>
      <c r="D21" s="48">
        <v>5.227</v>
      </c>
      <c r="E21" s="12">
        <f t="shared" si="8"/>
        <v>16</v>
      </c>
      <c r="F21" s="12" t="s">
        <v>12</v>
      </c>
      <c r="G21" s="48">
        <f t="shared" si="0"/>
        <v>16</v>
      </c>
      <c r="H21" s="12">
        <v>0</v>
      </c>
      <c r="I21" s="48">
        <f t="shared" si="1"/>
        <v>16</v>
      </c>
      <c r="J21" s="106">
        <f t="shared" si="2"/>
        <v>10.773</v>
      </c>
      <c r="K21" s="116"/>
      <c r="L21" s="129"/>
      <c r="M21" s="16"/>
      <c r="N21" s="113"/>
      <c r="O21" s="27" t="s">
        <v>56</v>
      </c>
      <c r="P21" s="28">
        <v>16</v>
      </c>
      <c r="Q21" s="85"/>
      <c r="R21" s="79">
        <f t="shared" si="9"/>
        <v>5.227</v>
      </c>
      <c r="S21" s="18">
        <f t="shared" si="10"/>
        <v>16</v>
      </c>
      <c r="T21" s="18" t="str">
        <f t="shared" si="7"/>
        <v>1 сутки</v>
      </c>
      <c r="U21" s="64">
        <f t="shared" si="4"/>
        <v>16</v>
      </c>
      <c r="V21" s="18">
        <v>0</v>
      </c>
      <c r="W21" s="66">
        <f t="shared" si="5"/>
        <v>16</v>
      </c>
      <c r="X21" s="90">
        <f t="shared" si="6"/>
        <v>10.773</v>
      </c>
      <c r="Y21" s="145"/>
      <c r="Z21" s="129"/>
    </row>
    <row r="22" spans="1:26" s="1" customFormat="1" ht="21.75" customHeight="1">
      <c r="A22" s="114"/>
      <c r="B22" s="80" t="s">
        <v>44</v>
      </c>
      <c r="C22" s="63">
        <v>16</v>
      </c>
      <c r="D22" s="48">
        <v>0.829</v>
      </c>
      <c r="E22" s="12">
        <f t="shared" si="8"/>
        <v>16</v>
      </c>
      <c r="F22" s="12" t="s">
        <v>12</v>
      </c>
      <c r="G22" s="48">
        <f t="shared" si="0"/>
        <v>16</v>
      </c>
      <c r="H22" s="12">
        <v>0</v>
      </c>
      <c r="I22" s="48">
        <f t="shared" si="1"/>
        <v>16</v>
      </c>
      <c r="J22" s="106">
        <f t="shared" si="2"/>
        <v>15.171</v>
      </c>
      <c r="K22" s="117"/>
      <c r="L22" s="130"/>
      <c r="M22" s="16"/>
      <c r="N22" s="114"/>
      <c r="O22" s="27" t="s">
        <v>44</v>
      </c>
      <c r="P22" s="28">
        <v>16</v>
      </c>
      <c r="Q22" s="85">
        <f>0.043+0.017+0.012+0.005-0.0102+0.005</f>
        <v>0.0718</v>
      </c>
      <c r="R22" s="79">
        <f t="shared" si="9"/>
        <v>0.9007999999999999</v>
      </c>
      <c r="S22" s="18">
        <f t="shared" si="10"/>
        <v>16</v>
      </c>
      <c r="T22" s="18" t="str">
        <f t="shared" si="7"/>
        <v>1 сутки</v>
      </c>
      <c r="U22" s="64">
        <f t="shared" si="4"/>
        <v>16</v>
      </c>
      <c r="V22" s="18">
        <v>0</v>
      </c>
      <c r="W22" s="66">
        <f t="shared" si="5"/>
        <v>16</v>
      </c>
      <c r="X22" s="90">
        <f t="shared" si="6"/>
        <v>15.0992</v>
      </c>
      <c r="Y22" s="146"/>
      <c r="Z22" s="130"/>
    </row>
    <row r="23" spans="1:26" s="1" customFormat="1" ht="22.5">
      <c r="A23" s="112">
        <v>11</v>
      </c>
      <c r="B23" s="12" t="s">
        <v>153</v>
      </c>
      <c r="C23" s="69">
        <v>6.3</v>
      </c>
      <c r="D23" s="47">
        <f>D24+D25</f>
        <v>1.729</v>
      </c>
      <c r="E23" s="12">
        <f t="shared" si="8"/>
        <v>6.3</v>
      </c>
      <c r="F23" s="12" t="s">
        <v>12</v>
      </c>
      <c r="G23" s="48">
        <f t="shared" si="0"/>
        <v>6.3</v>
      </c>
      <c r="H23" s="12">
        <v>0</v>
      </c>
      <c r="I23" s="48">
        <f t="shared" si="1"/>
        <v>6.3</v>
      </c>
      <c r="J23" s="106">
        <f t="shared" si="2"/>
        <v>4.571</v>
      </c>
      <c r="K23" s="115">
        <f>MIN(J23:J25)</f>
        <v>4.571</v>
      </c>
      <c r="L23" s="126" t="s">
        <v>24</v>
      </c>
      <c r="M23" s="16"/>
      <c r="N23" s="112">
        <v>11</v>
      </c>
      <c r="O23" s="12" t="s">
        <v>153</v>
      </c>
      <c r="P23" s="15">
        <v>6.3</v>
      </c>
      <c r="Q23" s="86">
        <f>Q25</f>
        <v>1.8653999999999997</v>
      </c>
      <c r="R23" s="79">
        <f t="shared" si="9"/>
        <v>3.5944</v>
      </c>
      <c r="S23" s="18">
        <f t="shared" si="10"/>
        <v>6.3</v>
      </c>
      <c r="T23" s="18" t="str">
        <f t="shared" si="7"/>
        <v>1 сутки</v>
      </c>
      <c r="U23" s="64">
        <f t="shared" si="4"/>
        <v>6.3</v>
      </c>
      <c r="V23" s="18">
        <v>0</v>
      </c>
      <c r="W23" s="66">
        <f t="shared" si="5"/>
        <v>6.3</v>
      </c>
      <c r="X23" s="90">
        <f t="shared" si="6"/>
        <v>2.7056</v>
      </c>
      <c r="Y23" s="115">
        <f>MIN(X23:X25)</f>
        <v>2.7056</v>
      </c>
      <c r="Z23" s="126" t="s">
        <v>24</v>
      </c>
    </row>
    <row r="24" spans="1:26" s="1" customFormat="1" ht="21" customHeight="1">
      <c r="A24" s="113"/>
      <c r="B24" s="80" t="s">
        <v>56</v>
      </c>
      <c r="C24" s="63">
        <v>6.3</v>
      </c>
      <c r="D24" s="48">
        <v>0.822</v>
      </c>
      <c r="E24" s="12">
        <f t="shared" si="8"/>
        <v>6.3</v>
      </c>
      <c r="F24" s="12" t="s">
        <v>12</v>
      </c>
      <c r="G24" s="48">
        <f t="shared" si="0"/>
        <v>6.3</v>
      </c>
      <c r="H24" s="12">
        <v>0</v>
      </c>
      <c r="I24" s="48">
        <f t="shared" si="1"/>
        <v>6.3</v>
      </c>
      <c r="J24" s="106">
        <f t="shared" si="2"/>
        <v>5.478</v>
      </c>
      <c r="K24" s="116"/>
      <c r="L24" s="129"/>
      <c r="M24" s="16"/>
      <c r="N24" s="113"/>
      <c r="O24" s="27" t="s">
        <v>56</v>
      </c>
      <c r="P24" s="28">
        <v>6.3</v>
      </c>
      <c r="Q24" s="85"/>
      <c r="R24" s="79">
        <f t="shared" si="9"/>
        <v>0.822</v>
      </c>
      <c r="S24" s="18">
        <f t="shared" si="10"/>
        <v>6.3</v>
      </c>
      <c r="T24" s="18" t="str">
        <f t="shared" si="7"/>
        <v>1 сутки</v>
      </c>
      <c r="U24" s="64">
        <f t="shared" si="4"/>
        <v>6.3</v>
      </c>
      <c r="V24" s="18">
        <v>0</v>
      </c>
      <c r="W24" s="66">
        <f t="shared" si="5"/>
        <v>6.3</v>
      </c>
      <c r="X24" s="90">
        <f t="shared" si="6"/>
        <v>5.478</v>
      </c>
      <c r="Y24" s="145"/>
      <c r="Z24" s="129"/>
    </row>
    <row r="25" spans="1:26" s="1" customFormat="1" ht="20.25" customHeight="1">
      <c r="A25" s="114"/>
      <c r="B25" s="80" t="s">
        <v>44</v>
      </c>
      <c r="C25" s="63">
        <v>6.3</v>
      </c>
      <c r="D25" s="48">
        <v>0.907</v>
      </c>
      <c r="E25" s="12">
        <f t="shared" si="8"/>
        <v>6.3</v>
      </c>
      <c r="F25" s="12" t="s">
        <v>12</v>
      </c>
      <c r="G25" s="48">
        <f t="shared" si="0"/>
        <v>6.3</v>
      </c>
      <c r="H25" s="12">
        <v>0</v>
      </c>
      <c r="I25" s="48">
        <f t="shared" si="1"/>
        <v>6.3</v>
      </c>
      <c r="J25" s="106">
        <f t="shared" si="2"/>
        <v>5.393</v>
      </c>
      <c r="K25" s="117"/>
      <c r="L25" s="130"/>
      <c r="M25" s="16"/>
      <c r="N25" s="114"/>
      <c r="O25" s="27" t="s">
        <v>44</v>
      </c>
      <c r="P25" s="28">
        <v>6.3</v>
      </c>
      <c r="Q25" s="85">
        <f>0.082+0.016+0.005+0.005+0.181+0.0161+0.1806+0.0161+0.4564+0.0161+0.0151+0.5639-0.7034+0.5639+0.4516</f>
        <v>1.8653999999999997</v>
      </c>
      <c r="R25" s="79">
        <f t="shared" si="9"/>
        <v>2.7723999999999998</v>
      </c>
      <c r="S25" s="18">
        <f t="shared" si="10"/>
        <v>6.3</v>
      </c>
      <c r="T25" s="18" t="str">
        <f t="shared" si="7"/>
        <v>1 сутки</v>
      </c>
      <c r="U25" s="64">
        <f t="shared" si="4"/>
        <v>6.3</v>
      </c>
      <c r="V25" s="18">
        <v>0</v>
      </c>
      <c r="W25" s="66">
        <f t="shared" si="5"/>
        <v>6.3</v>
      </c>
      <c r="X25" s="90">
        <f t="shared" si="6"/>
        <v>3.5276</v>
      </c>
      <c r="Y25" s="146"/>
      <c r="Z25" s="130"/>
    </row>
    <row r="26" spans="1:26" s="74" customFormat="1" ht="22.5">
      <c r="A26" s="18">
        <v>12</v>
      </c>
      <c r="B26" s="18" t="s">
        <v>101</v>
      </c>
      <c r="C26" s="69">
        <v>2.5</v>
      </c>
      <c r="D26" s="79">
        <v>0.402</v>
      </c>
      <c r="E26" s="18">
        <f t="shared" si="8"/>
        <v>2.5</v>
      </c>
      <c r="F26" s="18" t="s">
        <v>12</v>
      </c>
      <c r="G26" s="82">
        <f t="shared" si="0"/>
        <v>2.5</v>
      </c>
      <c r="H26" s="18">
        <v>0</v>
      </c>
      <c r="I26" s="82">
        <f t="shared" si="1"/>
        <v>2.5</v>
      </c>
      <c r="J26" s="90">
        <f t="shared" si="2"/>
        <v>2.098</v>
      </c>
      <c r="K26" s="90">
        <f>J26</f>
        <v>2.098</v>
      </c>
      <c r="L26" s="97" t="s">
        <v>24</v>
      </c>
      <c r="M26" s="104"/>
      <c r="N26" s="18">
        <v>12</v>
      </c>
      <c r="O26" s="18" t="s">
        <v>101</v>
      </c>
      <c r="P26" s="69">
        <v>2.5</v>
      </c>
      <c r="Q26" s="108">
        <f>0.019+0.016+0.024+0.0129-0.007+0.0108-0.0183+0.0008</f>
        <v>0.05820000000000001</v>
      </c>
      <c r="R26" s="79">
        <f aca="true" t="shared" si="11" ref="R26:R48">Q26+D26</f>
        <v>0.46020000000000005</v>
      </c>
      <c r="S26" s="18">
        <f t="shared" si="10"/>
        <v>2.5</v>
      </c>
      <c r="T26" s="18" t="str">
        <f t="shared" si="7"/>
        <v>1 сутки</v>
      </c>
      <c r="U26" s="64">
        <f t="shared" si="4"/>
        <v>2.5</v>
      </c>
      <c r="V26" s="18">
        <v>0</v>
      </c>
      <c r="W26" s="66">
        <f t="shared" si="5"/>
        <v>2.5</v>
      </c>
      <c r="X26" s="90">
        <f t="shared" si="6"/>
        <v>2.0398</v>
      </c>
      <c r="Y26" s="90">
        <f aca="true" t="shared" si="12" ref="Y26:Y48">X26</f>
        <v>2.0398</v>
      </c>
      <c r="Z26" s="18" t="s">
        <v>24</v>
      </c>
    </row>
    <row r="27" spans="1:26" s="1" customFormat="1" ht="22.5">
      <c r="A27" s="18">
        <v>13</v>
      </c>
      <c r="B27" s="12" t="s">
        <v>102</v>
      </c>
      <c r="C27" s="69">
        <v>1.6</v>
      </c>
      <c r="D27" s="47">
        <v>0.4</v>
      </c>
      <c r="E27" s="12">
        <f aca="true" t="shared" si="13" ref="E27:E48">C27</f>
        <v>1.6</v>
      </c>
      <c r="F27" s="12" t="s">
        <v>12</v>
      </c>
      <c r="G27" s="48">
        <f t="shared" si="0"/>
        <v>1.6</v>
      </c>
      <c r="H27" s="12">
        <v>0</v>
      </c>
      <c r="I27" s="48">
        <f t="shared" si="1"/>
        <v>1.6</v>
      </c>
      <c r="J27" s="106">
        <f t="shared" si="2"/>
        <v>1.2000000000000002</v>
      </c>
      <c r="K27" s="106">
        <f>J27</f>
        <v>1.2000000000000002</v>
      </c>
      <c r="L27" s="17" t="s">
        <v>24</v>
      </c>
      <c r="M27" s="16"/>
      <c r="N27" s="18">
        <v>13</v>
      </c>
      <c r="O27" s="12" t="s">
        <v>102</v>
      </c>
      <c r="P27" s="15">
        <v>1.6</v>
      </c>
      <c r="Q27" s="86">
        <v>0</v>
      </c>
      <c r="R27" s="79">
        <f t="shared" si="11"/>
        <v>0.4</v>
      </c>
      <c r="S27" s="18">
        <f t="shared" si="10"/>
        <v>1.6</v>
      </c>
      <c r="T27" s="18" t="str">
        <f t="shared" si="7"/>
        <v>1 сутки</v>
      </c>
      <c r="U27" s="64">
        <f t="shared" si="4"/>
        <v>1.6</v>
      </c>
      <c r="V27" s="18">
        <v>0</v>
      </c>
      <c r="W27" s="66">
        <f t="shared" si="5"/>
        <v>1.6</v>
      </c>
      <c r="X27" s="90">
        <f t="shared" si="6"/>
        <v>1.2000000000000002</v>
      </c>
      <c r="Y27" s="90">
        <f t="shared" si="12"/>
        <v>1.2000000000000002</v>
      </c>
      <c r="Z27" s="12" t="s">
        <v>24</v>
      </c>
    </row>
    <row r="28" spans="1:26" s="1" customFormat="1" ht="22.5">
      <c r="A28" s="18">
        <v>14</v>
      </c>
      <c r="B28" s="12" t="s">
        <v>114</v>
      </c>
      <c r="C28" s="69">
        <v>2.5</v>
      </c>
      <c r="D28" s="47">
        <v>0.514</v>
      </c>
      <c r="E28" s="12">
        <f t="shared" si="13"/>
        <v>2.5</v>
      </c>
      <c r="F28" s="12" t="s">
        <v>12</v>
      </c>
      <c r="G28" s="48">
        <f t="shared" si="0"/>
        <v>2.5</v>
      </c>
      <c r="H28" s="12">
        <v>0</v>
      </c>
      <c r="I28" s="48">
        <f t="shared" si="1"/>
        <v>2.5</v>
      </c>
      <c r="J28" s="106">
        <f t="shared" si="2"/>
        <v>1.986</v>
      </c>
      <c r="K28" s="106">
        <f>J28</f>
        <v>1.986</v>
      </c>
      <c r="L28" s="17" t="s">
        <v>24</v>
      </c>
      <c r="M28" s="16"/>
      <c r="N28" s="18">
        <v>14</v>
      </c>
      <c r="O28" s="12" t="s">
        <v>114</v>
      </c>
      <c r="P28" s="15">
        <v>2.5</v>
      </c>
      <c r="Q28" s="86">
        <f>0.091+0.016+0.009+0.288+0.487+0.005+0.0054-0.2091+0.0011+0.0054+0.0048+0.172-0.0183+0.0387</f>
        <v>0.8959999999999999</v>
      </c>
      <c r="R28" s="79">
        <f t="shared" si="11"/>
        <v>1.41</v>
      </c>
      <c r="S28" s="18">
        <f t="shared" si="10"/>
        <v>2.5</v>
      </c>
      <c r="T28" s="18" t="str">
        <f t="shared" si="7"/>
        <v>1 сутки</v>
      </c>
      <c r="U28" s="64">
        <f t="shared" si="4"/>
        <v>2.5</v>
      </c>
      <c r="V28" s="18">
        <v>0</v>
      </c>
      <c r="W28" s="66">
        <f t="shared" si="5"/>
        <v>2.5</v>
      </c>
      <c r="X28" s="90">
        <f t="shared" si="6"/>
        <v>1.09</v>
      </c>
      <c r="Y28" s="90">
        <f t="shared" si="12"/>
        <v>1.09</v>
      </c>
      <c r="Z28" s="12" t="s">
        <v>24</v>
      </c>
    </row>
    <row r="29" spans="1:26" s="1" customFormat="1" ht="22.5">
      <c r="A29" s="18">
        <v>15</v>
      </c>
      <c r="B29" s="12" t="s">
        <v>115</v>
      </c>
      <c r="C29" s="69">
        <v>2.5</v>
      </c>
      <c r="D29" s="47">
        <v>0.586</v>
      </c>
      <c r="E29" s="12">
        <f t="shared" si="13"/>
        <v>2.5</v>
      </c>
      <c r="F29" s="12" t="s">
        <v>12</v>
      </c>
      <c r="G29" s="48">
        <f t="shared" si="0"/>
        <v>2.5</v>
      </c>
      <c r="H29" s="12">
        <v>0</v>
      </c>
      <c r="I29" s="48">
        <f t="shared" si="1"/>
        <v>2.5</v>
      </c>
      <c r="J29" s="106">
        <f t="shared" si="2"/>
        <v>1.9140000000000001</v>
      </c>
      <c r="K29" s="106">
        <f aca="true" t="shared" si="14" ref="K29:K48">J29</f>
        <v>1.9140000000000001</v>
      </c>
      <c r="L29" s="17" t="s">
        <v>24</v>
      </c>
      <c r="M29" s="16"/>
      <c r="N29" s="18">
        <v>15</v>
      </c>
      <c r="O29" s="12" t="s">
        <v>115</v>
      </c>
      <c r="P29" s="15">
        <v>2.5</v>
      </c>
      <c r="Q29" s="86">
        <f>0.001+0.01+0.0161+0.0161+0.0032+0.0161+0.0011+0.0065-0.0161</f>
        <v>0.054000000000000006</v>
      </c>
      <c r="R29" s="79">
        <f t="shared" si="11"/>
        <v>0.64</v>
      </c>
      <c r="S29" s="18">
        <f t="shared" si="10"/>
        <v>2.5</v>
      </c>
      <c r="T29" s="18" t="str">
        <f t="shared" si="7"/>
        <v>1 сутки</v>
      </c>
      <c r="U29" s="64">
        <f t="shared" si="4"/>
        <v>2.5</v>
      </c>
      <c r="V29" s="18">
        <v>0</v>
      </c>
      <c r="W29" s="66">
        <f t="shared" si="5"/>
        <v>2.5</v>
      </c>
      <c r="X29" s="90">
        <f t="shared" si="6"/>
        <v>1.8599999999999999</v>
      </c>
      <c r="Y29" s="90">
        <f t="shared" si="12"/>
        <v>1.8599999999999999</v>
      </c>
      <c r="Z29" s="12" t="s">
        <v>24</v>
      </c>
    </row>
    <row r="30" spans="1:26" s="1" customFormat="1" ht="22.5">
      <c r="A30" s="18">
        <v>16</v>
      </c>
      <c r="B30" s="12" t="s">
        <v>212</v>
      </c>
      <c r="C30" s="69">
        <v>4</v>
      </c>
      <c r="D30" s="47">
        <v>0.85</v>
      </c>
      <c r="E30" s="12">
        <f t="shared" si="13"/>
        <v>4</v>
      </c>
      <c r="F30" s="12" t="s">
        <v>12</v>
      </c>
      <c r="G30" s="48">
        <f t="shared" si="0"/>
        <v>4</v>
      </c>
      <c r="H30" s="12">
        <v>0</v>
      </c>
      <c r="I30" s="48">
        <f t="shared" si="1"/>
        <v>4</v>
      </c>
      <c r="J30" s="106">
        <f t="shared" si="2"/>
        <v>3.15</v>
      </c>
      <c r="K30" s="106">
        <f t="shared" si="14"/>
        <v>3.15</v>
      </c>
      <c r="L30" s="17" t="s">
        <v>24</v>
      </c>
      <c r="M30" s="16"/>
      <c r="N30" s="18">
        <v>16</v>
      </c>
      <c r="O30" s="12" t="s">
        <v>119</v>
      </c>
      <c r="P30" s="15">
        <v>4</v>
      </c>
      <c r="Q30" s="86">
        <f>0.003+0.0161</f>
        <v>0.0191</v>
      </c>
      <c r="R30" s="79">
        <f t="shared" si="11"/>
        <v>0.8691</v>
      </c>
      <c r="S30" s="18">
        <f t="shared" si="10"/>
        <v>4</v>
      </c>
      <c r="T30" s="18" t="str">
        <f t="shared" si="7"/>
        <v>1 сутки</v>
      </c>
      <c r="U30" s="64">
        <f t="shared" si="4"/>
        <v>4</v>
      </c>
      <c r="V30" s="18">
        <v>0</v>
      </c>
      <c r="W30" s="66">
        <f t="shared" si="5"/>
        <v>4</v>
      </c>
      <c r="X30" s="90">
        <f t="shared" si="6"/>
        <v>3.1309</v>
      </c>
      <c r="Y30" s="90">
        <f t="shared" si="12"/>
        <v>3.1309</v>
      </c>
      <c r="Z30" s="12" t="s">
        <v>24</v>
      </c>
    </row>
    <row r="31" spans="1:26" s="1" customFormat="1" ht="27" customHeight="1">
      <c r="A31" s="18">
        <v>17</v>
      </c>
      <c r="B31" s="12" t="s">
        <v>125</v>
      </c>
      <c r="C31" s="69">
        <v>4</v>
      </c>
      <c r="D31" s="47">
        <v>0.72</v>
      </c>
      <c r="E31" s="12">
        <f t="shared" si="13"/>
        <v>4</v>
      </c>
      <c r="F31" s="12" t="s">
        <v>12</v>
      </c>
      <c r="G31" s="48">
        <f t="shared" si="0"/>
        <v>4</v>
      </c>
      <c r="H31" s="12">
        <v>0</v>
      </c>
      <c r="I31" s="48">
        <f t="shared" si="1"/>
        <v>4</v>
      </c>
      <c r="J31" s="106">
        <f t="shared" si="2"/>
        <v>3.2800000000000002</v>
      </c>
      <c r="K31" s="106">
        <f t="shared" si="14"/>
        <v>3.2800000000000002</v>
      </c>
      <c r="L31" s="17" t="s">
        <v>24</v>
      </c>
      <c r="M31" s="16"/>
      <c r="N31" s="18">
        <v>17</v>
      </c>
      <c r="O31" s="12" t="s">
        <v>125</v>
      </c>
      <c r="P31" s="15">
        <v>4</v>
      </c>
      <c r="Q31" s="86">
        <f>0.031+0.018+0.005+0.005+0.011+0.016+0.005+0.007+0.0011+0.0215+0.005376+0.0129-0.0124+0.0068</f>
        <v>0.133276</v>
      </c>
      <c r="R31" s="79">
        <f t="shared" si="11"/>
        <v>0.8532759999999999</v>
      </c>
      <c r="S31" s="18">
        <f t="shared" si="10"/>
        <v>4</v>
      </c>
      <c r="T31" s="18" t="str">
        <f t="shared" si="7"/>
        <v>1 сутки</v>
      </c>
      <c r="U31" s="64">
        <f t="shared" si="4"/>
        <v>4</v>
      </c>
      <c r="V31" s="18">
        <v>0</v>
      </c>
      <c r="W31" s="66">
        <f t="shared" si="5"/>
        <v>4</v>
      </c>
      <c r="X31" s="90">
        <f t="shared" si="6"/>
        <v>3.146724</v>
      </c>
      <c r="Y31" s="90">
        <f t="shared" si="12"/>
        <v>3.146724</v>
      </c>
      <c r="Z31" s="12" t="s">
        <v>24</v>
      </c>
    </row>
    <row r="32" spans="1:26" s="1" customFormat="1" ht="22.5">
      <c r="A32" s="18">
        <v>18</v>
      </c>
      <c r="B32" s="12" t="s">
        <v>126</v>
      </c>
      <c r="C32" s="69">
        <v>1.6</v>
      </c>
      <c r="D32" s="47">
        <v>0.527</v>
      </c>
      <c r="E32" s="12">
        <f t="shared" si="13"/>
        <v>1.6</v>
      </c>
      <c r="F32" s="12" t="s">
        <v>12</v>
      </c>
      <c r="G32" s="48">
        <f t="shared" si="0"/>
        <v>1.6</v>
      </c>
      <c r="H32" s="12">
        <v>0</v>
      </c>
      <c r="I32" s="48">
        <f t="shared" si="1"/>
        <v>1.6</v>
      </c>
      <c r="J32" s="106">
        <f t="shared" si="2"/>
        <v>1.073</v>
      </c>
      <c r="K32" s="106">
        <f t="shared" si="14"/>
        <v>1.073</v>
      </c>
      <c r="L32" s="17" t="s">
        <v>24</v>
      </c>
      <c r="M32" s="16"/>
      <c r="N32" s="18">
        <v>18</v>
      </c>
      <c r="O32" s="12" t="s">
        <v>126</v>
      </c>
      <c r="P32" s="15">
        <v>1.6</v>
      </c>
      <c r="Q32" s="86">
        <f>0.016+0.725-0.109+0.0514</f>
        <v>0.6834</v>
      </c>
      <c r="R32" s="79">
        <f t="shared" si="11"/>
        <v>1.2104</v>
      </c>
      <c r="S32" s="18">
        <f t="shared" si="10"/>
        <v>1.6</v>
      </c>
      <c r="T32" s="18" t="str">
        <f t="shared" si="7"/>
        <v>1 сутки</v>
      </c>
      <c r="U32" s="64">
        <f t="shared" si="4"/>
        <v>1.6</v>
      </c>
      <c r="V32" s="18">
        <v>0</v>
      </c>
      <c r="W32" s="66">
        <f t="shared" si="5"/>
        <v>1.6</v>
      </c>
      <c r="X32" s="90">
        <f t="shared" si="6"/>
        <v>0.38960000000000017</v>
      </c>
      <c r="Y32" s="90">
        <f t="shared" si="12"/>
        <v>0.38960000000000017</v>
      </c>
      <c r="Z32" s="12" t="s">
        <v>24</v>
      </c>
    </row>
    <row r="33" spans="1:26" s="1" customFormat="1" ht="22.5">
      <c r="A33" s="18">
        <v>19</v>
      </c>
      <c r="B33" s="12" t="s">
        <v>137</v>
      </c>
      <c r="C33" s="69">
        <v>2.5</v>
      </c>
      <c r="D33" s="47">
        <v>0.452</v>
      </c>
      <c r="E33" s="12">
        <f t="shared" si="13"/>
        <v>2.5</v>
      </c>
      <c r="F33" s="12" t="s">
        <v>12</v>
      </c>
      <c r="G33" s="48">
        <f t="shared" si="0"/>
        <v>2.5</v>
      </c>
      <c r="H33" s="12">
        <v>0</v>
      </c>
      <c r="I33" s="48">
        <f t="shared" si="1"/>
        <v>2.5</v>
      </c>
      <c r="J33" s="106">
        <f t="shared" si="2"/>
        <v>2.048</v>
      </c>
      <c r="K33" s="106">
        <f t="shared" si="14"/>
        <v>2.048</v>
      </c>
      <c r="L33" s="17" t="s">
        <v>24</v>
      </c>
      <c r="M33" s="16"/>
      <c r="N33" s="18">
        <v>19</v>
      </c>
      <c r="O33" s="12" t="s">
        <v>137</v>
      </c>
      <c r="P33" s="15">
        <v>2.5</v>
      </c>
      <c r="Q33" s="86">
        <f>0.002+0.003+0.0161+0.0376-0.0202</f>
        <v>0.038500000000000006</v>
      </c>
      <c r="R33" s="79">
        <f t="shared" si="11"/>
        <v>0.49050000000000005</v>
      </c>
      <c r="S33" s="18">
        <f t="shared" si="10"/>
        <v>2.5</v>
      </c>
      <c r="T33" s="18" t="str">
        <f t="shared" si="7"/>
        <v>1 сутки</v>
      </c>
      <c r="U33" s="64">
        <f t="shared" si="4"/>
        <v>2.5</v>
      </c>
      <c r="V33" s="18">
        <v>0</v>
      </c>
      <c r="W33" s="66">
        <f t="shared" si="5"/>
        <v>2.5</v>
      </c>
      <c r="X33" s="90">
        <f t="shared" si="6"/>
        <v>2.0095</v>
      </c>
      <c r="Y33" s="90">
        <f t="shared" si="12"/>
        <v>2.0095</v>
      </c>
      <c r="Z33" s="12" t="s">
        <v>24</v>
      </c>
    </row>
    <row r="34" spans="1:26" s="1" customFormat="1" ht="22.5">
      <c r="A34" s="18">
        <v>20</v>
      </c>
      <c r="B34" s="12" t="s">
        <v>138</v>
      </c>
      <c r="C34" s="69">
        <v>2.5</v>
      </c>
      <c r="D34" s="47">
        <v>0.343</v>
      </c>
      <c r="E34" s="12">
        <f t="shared" si="13"/>
        <v>2.5</v>
      </c>
      <c r="F34" s="12" t="s">
        <v>12</v>
      </c>
      <c r="G34" s="48">
        <f t="shared" si="0"/>
        <v>2.5</v>
      </c>
      <c r="H34" s="12">
        <v>0</v>
      </c>
      <c r="I34" s="48">
        <f t="shared" si="1"/>
        <v>2.5</v>
      </c>
      <c r="J34" s="106">
        <f t="shared" si="2"/>
        <v>2.157</v>
      </c>
      <c r="K34" s="106">
        <f t="shared" si="14"/>
        <v>2.157</v>
      </c>
      <c r="L34" s="17" t="s">
        <v>24</v>
      </c>
      <c r="M34" s="16"/>
      <c r="N34" s="18">
        <v>20</v>
      </c>
      <c r="O34" s="12" t="s">
        <v>138</v>
      </c>
      <c r="P34" s="15">
        <v>2.5</v>
      </c>
      <c r="Q34" s="86">
        <f>0.005+0.0161-0.0048+0.0108</f>
        <v>0.027100000000000003</v>
      </c>
      <c r="R34" s="79">
        <f t="shared" si="11"/>
        <v>0.37010000000000004</v>
      </c>
      <c r="S34" s="18">
        <f t="shared" si="10"/>
        <v>2.5</v>
      </c>
      <c r="T34" s="18" t="str">
        <f t="shared" si="7"/>
        <v>1 сутки</v>
      </c>
      <c r="U34" s="64">
        <f t="shared" si="4"/>
        <v>2.5</v>
      </c>
      <c r="V34" s="18">
        <v>0</v>
      </c>
      <c r="W34" s="66">
        <f t="shared" si="5"/>
        <v>2.5</v>
      </c>
      <c r="X34" s="90">
        <f t="shared" si="6"/>
        <v>2.1299</v>
      </c>
      <c r="Y34" s="90">
        <f t="shared" si="12"/>
        <v>2.1299</v>
      </c>
      <c r="Z34" s="12" t="s">
        <v>24</v>
      </c>
    </row>
    <row r="35" spans="1:26" s="1" customFormat="1" ht="22.5">
      <c r="A35" s="18">
        <v>21</v>
      </c>
      <c r="B35" s="12" t="s">
        <v>139</v>
      </c>
      <c r="C35" s="69">
        <v>2.5</v>
      </c>
      <c r="D35" s="47">
        <v>0.753</v>
      </c>
      <c r="E35" s="12">
        <f t="shared" si="13"/>
        <v>2.5</v>
      </c>
      <c r="F35" s="12" t="s">
        <v>12</v>
      </c>
      <c r="G35" s="48">
        <f t="shared" si="0"/>
        <v>2.5</v>
      </c>
      <c r="H35" s="12">
        <v>0</v>
      </c>
      <c r="I35" s="48">
        <f t="shared" si="1"/>
        <v>2.5</v>
      </c>
      <c r="J35" s="106">
        <f t="shared" si="2"/>
        <v>1.7469999999999999</v>
      </c>
      <c r="K35" s="106">
        <f t="shared" si="14"/>
        <v>1.7469999999999999</v>
      </c>
      <c r="L35" s="17" t="s">
        <v>24</v>
      </c>
      <c r="M35" s="16"/>
      <c r="N35" s="18">
        <v>21</v>
      </c>
      <c r="O35" s="12" t="s">
        <v>139</v>
      </c>
      <c r="P35" s="15">
        <v>2.5</v>
      </c>
      <c r="Q35" s="86">
        <f>0.01</f>
        <v>0.01</v>
      </c>
      <c r="R35" s="79">
        <f t="shared" si="11"/>
        <v>0.763</v>
      </c>
      <c r="S35" s="18">
        <f t="shared" si="10"/>
        <v>2.5</v>
      </c>
      <c r="T35" s="18" t="str">
        <f t="shared" si="7"/>
        <v>1 сутки</v>
      </c>
      <c r="U35" s="64">
        <f t="shared" si="4"/>
        <v>2.5</v>
      </c>
      <c r="V35" s="18">
        <v>0</v>
      </c>
      <c r="W35" s="66">
        <f t="shared" si="5"/>
        <v>2.5</v>
      </c>
      <c r="X35" s="90">
        <f t="shared" si="6"/>
        <v>1.737</v>
      </c>
      <c r="Y35" s="90">
        <f t="shared" si="12"/>
        <v>1.737</v>
      </c>
      <c r="Z35" s="12" t="s">
        <v>24</v>
      </c>
    </row>
    <row r="36" spans="1:26" s="1" customFormat="1" ht="22.5">
      <c r="A36" s="18">
        <v>22</v>
      </c>
      <c r="B36" s="12" t="s">
        <v>140</v>
      </c>
      <c r="C36" s="69">
        <v>4</v>
      </c>
      <c r="D36" s="47">
        <v>0.379</v>
      </c>
      <c r="E36" s="12">
        <f t="shared" si="13"/>
        <v>4</v>
      </c>
      <c r="F36" s="12" t="s">
        <v>12</v>
      </c>
      <c r="G36" s="48">
        <f t="shared" si="0"/>
        <v>4</v>
      </c>
      <c r="H36" s="12">
        <v>0</v>
      </c>
      <c r="I36" s="48">
        <f t="shared" si="1"/>
        <v>4</v>
      </c>
      <c r="J36" s="106">
        <f t="shared" si="2"/>
        <v>3.621</v>
      </c>
      <c r="K36" s="106">
        <f t="shared" si="14"/>
        <v>3.621</v>
      </c>
      <c r="L36" s="17" t="s">
        <v>24</v>
      </c>
      <c r="M36" s="16"/>
      <c r="N36" s="18">
        <v>22</v>
      </c>
      <c r="O36" s="12" t="s">
        <v>140</v>
      </c>
      <c r="P36" s="15">
        <v>4</v>
      </c>
      <c r="Q36" s="86">
        <f>0.005+0.0043-0.0054+0.0032-0.0032</f>
        <v>0.0038999999999999985</v>
      </c>
      <c r="R36" s="79">
        <f t="shared" si="11"/>
        <v>0.3829</v>
      </c>
      <c r="S36" s="18">
        <f t="shared" si="10"/>
        <v>4</v>
      </c>
      <c r="T36" s="18" t="str">
        <f t="shared" si="7"/>
        <v>1 сутки</v>
      </c>
      <c r="U36" s="64">
        <f t="shared" si="4"/>
        <v>4</v>
      </c>
      <c r="V36" s="18">
        <v>0</v>
      </c>
      <c r="W36" s="66">
        <f t="shared" si="5"/>
        <v>4</v>
      </c>
      <c r="X36" s="90">
        <f t="shared" si="6"/>
        <v>3.6170999999999998</v>
      </c>
      <c r="Y36" s="90">
        <f t="shared" si="12"/>
        <v>3.6170999999999998</v>
      </c>
      <c r="Z36" s="12" t="s">
        <v>24</v>
      </c>
    </row>
    <row r="37" spans="1:26" s="1" customFormat="1" ht="22.5">
      <c r="A37" s="18">
        <v>23</v>
      </c>
      <c r="B37" s="12" t="s">
        <v>141</v>
      </c>
      <c r="C37" s="69">
        <v>2.5</v>
      </c>
      <c r="D37" s="47">
        <v>0.496</v>
      </c>
      <c r="E37" s="12">
        <f t="shared" si="13"/>
        <v>2.5</v>
      </c>
      <c r="F37" s="12" t="s">
        <v>12</v>
      </c>
      <c r="G37" s="48">
        <f t="shared" si="0"/>
        <v>2.5</v>
      </c>
      <c r="H37" s="12">
        <v>0</v>
      </c>
      <c r="I37" s="48">
        <f t="shared" si="1"/>
        <v>2.5</v>
      </c>
      <c r="J37" s="106">
        <f t="shared" si="2"/>
        <v>2.004</v>
      </c>
      <c r="K37" s="106">
        <f t="shared" si="14"/>
        <v>2.004</v>
      </c>
      <c r="L37" s="17" t="s">
        <v>24</v>
      </c>
      <c r="M37" s="16"/>
      <c r="N37" s="18">
        <v>23</v>
      </c>
      <c r="O37" s="12" t="s">
        <v>141</v>
      </c>
      <c r="P37" s="15">
        <v>2.5</v>
      </c>
      <c r="Q37" s="86">
        <f>0.02+0.005+0.002+0.011+0.016+0.0161-0.0129+0.0462+0.028+0.0065+0.0199+0.0161-0.0484+0.0043+0.0161+0.0038</f>
        <v>0.14970000000000003</v>
      </c>
      <c r="R37" s="79">
        <f t="shared" si="11"/>
        <v>0.6457</v>
      </c>
      <c r="S37" s="18">
        <f t="shared" si="10"/>
        <v>2.5</v>
      </c>
      <c r="T37" s="18" t="str">
        <f t="shared" si="7"/>
        <v>1 сутки</v>
      </c>
      <c r="U37" s="64">
        <f t="shared" si="4"/>
        <v>2.5</v>
      </c>
      <c r="V37" s="18">
        <v>0</v>
      </c>
      <c r="W37" s="66">
        <f t="shared" si="5"/>
        <v>2.5</v>
      </c>
      <c r="X37" s="90">
        <f t="shared" si="6"/>
        <v>1.8542999999999998</v>
      </c>
      <c r="Y37" s="90">
        <f t="shared" si="12"/>
        <v>1.8542999999999998</v>
      </c>
      <c r="Z37" s="12" t="s">
        <v>24</v>
      </c>
    </row>
    <row r="38" spans="1:26" s="1" customFormat="1" ht="22.5">
      <c r="A38" s="18">
        <v>24</v>
      </c>
      <c r="B38" s="12" t="s">
        <v>144</v>
      </c>
      <c r="C38" s="69">
        <v>4</v>
      </c>
      <c r="D38" s="47">
        <v>1.36</v>
      </c>
      <c r="E38" s="12">
        <f t="shared" si="13"/>
        <v>4</v>
      </c>
      <c r="F38" s="12" t="s">
        <v>12</v>
      </c>
      <c r="G38" s="48">
        <f t="shared" si="0"/>
        <v>4</v>
      </c>
      <c r="H38" s="12">
        <v>0</v>
      </c>
      <c r="I38" s="48">
        <f t="shared" si="1"/>
        <v>4</v>
      </c>
      <c r="J38" s="106">
        <f t="shared" si="2"/>
        <v>2.6399999999999997</v>
      </c>
      <c r="K38" s="106">
        <f t="shared" si="14"/>
        <v>2.6399999999999997</v>
      </c>
      <c r="L38" s="17" t="s">
        <v>24</v>
      </c>
      <c r="M38" s="16"/>
      <c r="N38" s="18">
        <v>24</v>
      </c>
      <c r="O38" s="12" t="s">
        <v>144</v>
      </c>
      <c r="P38" s="15">
        <v>4</v>
      </c>
      <c r="Q38" s="86">
        <f>0.009+1.129+0.0161+0.0462-0.5209+0.1613+0.1613+0.269+0.5914-0.3129+0.5914+0.2763</f>
        <v>2.4172000000000002</v>
      </c>
      <c r="R38" s="79">
        <f t="shared" si="11"/>
        <v>3.7772000000000006</v>
      </c>
      <c r="S38" s="18">
        <f t="shared" si="10"/>
        <v>4</v>
      </c>
      <c r="T38" s="18" t="str">
        <f t="shared" si="7"/>
        <v>1 сутки</v>
      </c>
      <c r="U38" s="64">
        <f t="shared" si="4"/>
        <v>4</v>
      </c>
      <c r="V38" s="18">
        <v>0</v>
      </c>
      <c r="W38" s="66">
        <f t="shared" si="5"/>
        <v>4</v>
      </c>
      <c r="X38" s="90">
        <f t="shared" si="6"/>
        <v>0.22279999999999944</v>
      </c>
      <c r="Y38" s="90">
        <f t="shared" si="12"/>
        <v>0.22279999999999944</v>
      </c>
      <c r="Z38" s="12" t="s">
        <v>24</v>
      </c>
    </row>
    <row r="39" spans="1:26" s="1" customFormat="1" ht="22.5">
      <c r="A39" s="18">
        <v>25</v>
      </c>
      <c r="B39" s="12" t="s">
        <v>146</v>
      </c>
      <c r="C39" s="69">
        <v>2.5</v>
      </c>
      <c r="D39" s="47">
        <v>0.613</v>
      </c>
      <c r="E39" s="12">
        <f t="shared" si="13"/>
        <v>2.5</v>
      </c>
      <c r="F39" s="12" t="s">
        <v>12</v>
      </c>
      <c r="G39" s="48">
        <f t="shared" si="0"/>
        <v>2.5</v>
      </c>
      <c r="H39" s="12">
        <v>0</v>
      </c>
      <c r="I39" s="48">
        <f t="shared" si="1"/>
        <v>2.5</v>
      </c>
      <c r="J39" s="106">
        <f t="shared" si="2"/>
        <v>1.887</v>
      </c>
      <c r="K39" s="106">
        <f t="shared" si="14"/>
        <v>1.887</v>
      </c>
      <c r="L39" s="17" t="s">
        <v>24</v>
      </c>
      <c r="M39" s="16"/>
      <c r="N39" s="18">
        <v>25</v>
      </c>
      <c r="O39" s="12" t="s">
        <v>146</v>
      </c>
      <c r="P39" s="15">
        <v>2.5</v>
      </c>
      <c r="Q39" s="86">
        <f>0.03+0.016+0.008+0.0068</f>
        <v>0.0608</v>
      </c>
      <c r="R39" s="79">
        <f t="shared" si="11"/>
        <v>0.6738</v>
      </c>
      <c r="S39" s="18">
        <f t="shared" si="10"/>
        <v>2.5</v>
      </c>
      <c r="T39" s="18" t="str">
        <f t="shared" si="7"/>
        <v>1 сутки</v>
      </c>
      <c r="U39" s="64">
        <f t="shared" si="4"/>
        <v>2.5</v>
      </c>
      <c r="V39" s="18">
        <v>0</v>
      </c>
      <c r="W39" s="66">
        <f t="shared" si="5"/>
        <v>2.5</v>
      </c>
      <c r="X39" s="90">
        <f t="shared" si="6"/>
        <v>1.8262</v>
      </c>
      <c r="Y39" s="90">
        <f t="shared" si="12"/>
        <v>1.8262</v>
      </c>
      <c r="Z39" s="12" t="s">
        <v>24</v>
      </c>
    </row>
    <row r="40" spans="1:26" s="1" customFormat="1" ht="22.5">
      <c r="A40" s="18">
        <v>26</v>
      </c>
      <c r="B40" s="12" t="s">
        <v>150</v>
      </c>
      <c r="C40" s="69">
        <v>1</v>
      </c>
      <c r="D40" s="47">
        <v>0.08</v>
      </c>
      <c r="E40" s="12">
        <f t="shared" si="13"/>
        <v>1</v>
      </c>
      <c r="F40" s="12" t="s">
        <v>12</v>
      </c>
      <c r="G40" s="48">
        <f t="shared" si="0"/>
        <v>1</v>
      </c>
      <c r="H40" s="12">
        <v>0</v>
      </c>
      <c r="I40" s="48">
        <f t="shared" si="1"/>
        <v>1</v>
      </c>
      <c r="J40" s="106">
        <f t="shared" si="2"/>
        <v>0.92</v>
      </c>
      <c r="K40" s="106">
        <f t="shared" si="14"/>
        <v>0.92</v>
      </c>
      <c r="L40" s="17" t="s">
        <v>24</v>
      </c>
      <c r="M40" s="16"/>
      <c r="N40" s="18">
        <v>26</v>
      </c>
      <c r="O40" s="12" t="s">
        <v>150</v>
      </c>
      <c r="P40" s="15">
        <v>1</v>
      </c>
      <c r="Q40" s="86">
        <v>0</v>
      </c>
      <c r="R40" s="79">
        <f t="shared" si="11"/>
        <v>0.08</v>
      </c>
      <c r="S40" s="18">
        <f t="shared" si="10"/>
        <v>1</v>
      </c>
      <c r="T40" s="18" t="str">
        <f t="shared" si="7"/>
        <v>1 сутки</v>
      </c>
      <c r="U40" s="64">
        <f t="shared" si="4"/>
        <v>1</v>
      </c>
      <c r="V40" s="18">
        <v>0</v>
      </c>
      <c r="W40" s="66">
        <f t="shared" si="5"/>
        <v>1</v>
      </c>
      <c r="X40" s="90">
        <f t="shared" si="6"/>
        <v>0.92</v>
      </c>
      <c r="Y40" s="90">
        <f t="shared" si="12"/>
        <v>0.92</v>
      </c>
      <c r="Z40" s="12" t="s">
        <v>24</v>
      </c>
    </row>
    <row r="41" spans="1:26" s="1" customFormat="1" ht="24.75" customHeight="1">
      <c r="A41" s="18">
        <v>27</v>
      </c>
      <c r="B41" s="12" t="s">
        <v>151</v>
      </c>
      <c r="C41" s="69">
        <v>4</v>
      </c>
      <c r="D41" s="47">
        <v>0.748</v>
      </c>
      <c r="E41" s="12">
        <f t="shared" si="13"/>
        <v>4</v>
      </c>
      <c r="F41" s="12" t="s">
        <v>12</v>
      </c>
      <c r="G41" s="48">
        <f t="shared" si="0"/>
        <v>4</v>
      </c>
      <c r="H41" s="12">
        <v>0</v>
      </c>
      <c r="I41" s="48">
        <f t="shared" si="1"/>
        <v>4</v>
      </c>
      <c r="J41" s="106">
        <f t="shared" si="2"/>
        <v>3.252</v>
      </c>
      <c r="K41" s="106">
        <f t="shared" si="14"/>
        <v>3.252</v>
      </c>
      <c r="L41" s="17" t="s">
        <v>24</v>
      </c>
      <c r="M41" s="16"/>
      <c r="N41" s="18">
        <v>27</v>
      </c>
      <c r="O41" s="12" t="s">
        <v>151</v>
      </c>
      <c r="P41" s="15">
        <v>4</v>
      </c>
      <c r="Q41" s="86">
        <f>0.1+0.01+0.007-0.0032+0.006+0.0097</f>
        <v>0.1295</v>
      </c>
      <c r="R41" s="79">
        <f t="shared" si="11"/>
        <v>0.8775</v>
      </c>
      <c r="S41" s="18">
        <f t="shared" si="10"/>
        <v>4</v>
      </c>
      <c r="T41" s="18" t="str">
        <f t="shared" si="7"/>
        <v>1 сутки</v>
      </c>
      <c r="U41" s="64">
        <f t="shared" si="4"/>
        <v>4</v>
      </c>
      <c r="V41" s="18">
        <v>0</v>
      </c>
      <c r="W41" s="66">
        <f t="shared" si="5"/>
        <v>4</v>
      </c>
      <c r="X41" s="90">
        <f t="shared" si="6"/>
        <v>3.1225</v>
      </c>
      <c r="Y41" s="90">
        <f t="shared" si="12"/>
        <v>3.1225</v>
      </c>
      <c r="Z41" s="12" t="s">
        <v>24</v>
      </c>
    </row>
    <row r="42" spans="1:26" s="1" customFormat="1" ht="22.5">
      <c r="A42" s="18">
        <v>28</v>
      </c>
      <c r="B42" s="12" t="s">
        <v>211</v>
      </c>
      <c r="C42" s="69">
        <v>2.5</v>
      </c>
      <c r="D42" s="47">
        <v>0.63</v>
      </c>
      <c r="E42" s="12">
        <f t="shared" si="13"/>
        <v>2.5</v>
      </c>
      <c r="F42" s="12" t="s">
        <v>12</v>
      </c>
      <c r="G42" s="48">
        <f t="shared" si="0"/>
        <v>2.5</v>
      </c>
      <c r="H42" s="12">
        <v>0</v>
      </c>
      <c r="I42" s="48">
        <f t="shared" si="1"/>
        <v>2.5</v>
      </c>
      <c r="J42" s="106">
        <f t="shared" si="2"/>
        <v>1.87</v>
      </c>
      <c r="K42" s="106">
        <f t="shared" si="14"/>
        <v>1.87</v>
      </c>
      <c r="L42" s="17" t="s">
        <v>24</v>
      </c>
      <c r="M42" s="16"/>
      <c r="N42" s="18">
        <v>28</v>
      </c>
      <c r="O42" s="12" t="s">
        <v>211</v>
      </c>
      <c r="P42" s="15">
        <v>2.5</v>
      </c>
      <c r="Q42" s="86">
        <f>0.005+0.003+0.005+0.0156+0.215</f>
        <v>0.24359999999999998</v>
      </c>
      <c r="R42" s="79">
        <f t="shared" si="11"/>
        <v>0.8735999999999999</v>
      </c>
      <c r="S42" s="18">
        <f t="shared" si="10"/>
        <v>2.5</v>
      </c>
      <c r="T42" s="18" t="str">
        <f t="shared" si="7"/>
        <v>1 сутки</v>
      </c>
      <c r="U42" s="64">
        <f t="shared" si="4"/>
        <v>2.5</v>
      </c>
      <c r="V42" s="18">
        <v>0</v>
      </c>
      <c r="W42" s="66">
        <f t="shared" si="5"/>
        <v>2.5</v>
      </c>
      <c r="X42" s="90">
        <f t="shared" si="6"/>
        <v>1.6264</v>
      </c>
      <c r="Y42" s="90">
        <f t="shared" si="12"/>
        <v>1.6264</v>
      </c>
      <c r="Z42" s="12" t="s">
        <v>24</v>
      </c>
    </row>
    <row r="43" spans="1:26" s="1" customFormat="1" ht="22.5">
      <c r="A43" s="18">
        <v>29</v>
      </c>
      <c r="B43" s="12" t="s">
        <v>195</v>
      </c>
      <c r="C43" s="69">
        <v>1.6</v>
      </c>
      <c r="D43" s="47">
        <v>0.225</v>
      </c>
      <c r="E43" s="12">
        <f t="shared" si="13"/>
        <v>1.6</v>
      </c>
      <c r="F43" s="12" t="s">
        <v>12</v>
      </c>
      <c r="G43" s="48">
        <f t="shared" si="0"/>
        <v>1.6</v>
      </c>
      <c r="H43" s="12">
        <v>0</v>
      </c>
      <c r="I43" s="48">
        <f t="shared" si="1"/>
        <v>1.6</v>
      </c>
      <c r="J43" s="106">
        <f t="shared" si="2"/>
        <v>1.375</v>
      </c>
      <c r="K43" s="106">
        <f t="shared" si="14"/>
        <v>1.375</v>
      </c>
      <c r="L43" s="17" t="s">
        <v>24</v>
      </c>
      <c r="M43" s="16"/>
      <c r="N43" s="18">
        <v>29</v>
      </c>
      <c r="O43" s="12" t="s">
        <v>195</v>
      </c>
      <c r="P43" s="15">
        <v>1.6</v>
      </c>
      <c r="Q43" s="86">
        <f>0.0108-0.0097</f>
        <v>0.0011000000000000003</v>
      </c>
      <c r="R43" s="79">
        <f t="shared" si="11"/>
        <v>0.2261</v>
      </c>
      <c r="S43" s="18">
        <f t="shared" si="10"/>
        <v>1.6</v>
      </c>
      <c r="T43" s="18" t="str">
        <f t="shared" si="7"/>
        <v>1 сутки</v>
      </c>
      <c r="U43" s="64">
        <f t="shared" si="4"/>
        <v>1.6</v>
      </c>
      <c r="V43" s="18">
        <v>0</v>
      </c>
      <c r="W43" s="66">
        <f t="shared" si="5"/>
        <v>1.6</v>
      </c>
      <c r="X43" s="90">
        <f t="shared" si="6"/>
        <v>1.3739000000000001</v>
      </c>
      <c r="Y43" s="90">
        <f t="shared" si="12"/>
        <v>1.3739000000000001</v>
      </c>
      <c r="Z43" s="12" t="s">
        <v>24</v>
      </c>
    </row>
    <row r="44" spans="1:26" s="1" customFormat="1" ht="22.5">
      <c r="A44" s="18">
        <v>30</v>
      </c>
      <c r="B44" s="12" t="s">
        <v>197</v>
      </c>
      <c r="C44" s="69">
        <v>2.5</v>
      </c>
      <c r="D44" s="47">
        <v>0.322</v>
      </c>
      <c r="E44" s="12">
        <f t="shared" si="13"/>
        <v>2.5</v>
      </c>
      <c r="F44" s="12" t="s">
        <v>12</v>
      </c>
      <c r="G44" s="48">
        <f t="shared" si="0"/>
        <v>2.5</v>
      </c>
      <c r="H44" s="12">
        <v>0</v>
      </c>
      <c r="I44" s="48">
        <f t="shared" si="1"/>
        <v>2.5</v>
      </c>
      <c r="J44" s="106">
        <f t="shared" si="2"/>
        <v>2.178</v>
      </c>
      <c r="K44" s="106">
        <f t="shared" si="14"/>
        <v>2.178</v>
      </c>
      <c r="L44" s="17" t="s">
        <v>24</v>
      </c>
      <c r="M44" s="16"/>
      <c r="N44" s="18">
        <v>30</v>
      </c>
      <c r="O44" s="12" t="s">
        <v>197</v>
      </c>
      <c r="P44" s="15">
        <v>2.5</v>
      </c>
      <c r="Q44" s="86">
        <f>0.003+0.005+0.003+0.003-0.0086-0.003+0.0108</f>
        <v>0.0132</v>
      </c>
      <c r="R44" s="79">
        <f t="shared" si="11"/>
        <v>0.3352</v>
      </c>
      <c r="S44" s="18">
        <f t="shared" si="10"/>
        <v>2.5</v>
      </c>
      <c r="T44" s="18" t="str">
        <f t="shared" si="7"/>
        <v>1 сутки</v>
      </c>
      <c r="U44" s="64">
        <f t="shared" si="4"/>
        <v>2.5</v>
      </c>
      <c r="V44" s="18">
        <v>0</v>
      </c>
      <c r="W44" s="66">
        <f t="shared" si="5"/>
        <v>2.5</v>
      </c>
      <c r="X44" s="90">
        <f t="shared" si="6"/>
        <v>2.1648</v>
      </c>
      <c r="Y44" s="90">
        <f t="shared" si="12"/>
        <v>2.1648</v>
      </c>
      <c r="Z44" s="12" t="s">
        <v>24</v>
      </c>
    </row>
    <row r="45" spans="1:26" s="1" customFormat="1" ht="22.5">
      <c r="A45" s="18">
        <v>31</v>
      </c>
      <c r="B45" s="12" t="s">
        <v>199</v>
      </c>
      <c r="C45" s="69">
        <v>1.6</v>
      </c>
      <c r="D45" s="47">
        <v>0.537</v>
      </c>
      <c r="E45" s="12">
        <f t="shared" si="13"/>
        <v>1.6</v>
      </c>
      <c r="F45" s="12" t="s">
        <v>12</v>
      </c>
      <c r="G45" s="48">
        <f t="shared" si="0"/>
        <v>1.6</v>
      </c>
      <c r="H45" s="12">
        <v>0</v>
      </c>
      <c r="I45" s="48">
        <f t="shared" si="1"/>
        <v>1.6</v>
      </c>
      <c r="J45" s="106">
        <f t="shared" si="2"/>
        <v>1.0630000000000002</v>
      </c>
      <c r="K45" s="106">
        <f t="shared" si="14"/>
        <v>1.0630000000000002</v>
      </c>
      <c r="L45" s="17" t="s">
        <v>24</v>
      </c>
      <c r="M45" s="16"/>
      <c r="N45" s="18">
        <v>31</v>
      </c>
      <c r="O45" s="12" t="s">
        <v>199</v>
      </c>
      <c r="P45" s="15">
        <v>1.6</v>
      </c>
      <c r="Q45" s="86">
        <f>0.022+0.01+0.024+0.016+0.0054+0.0183+0.0086-0.0371</f>
        <v>0.06720000000000001</v>
      </c>
      <c r="R45" s="79">
        <f t="shared" si="11"/>
        <v>0.6042000000000001</v>
      </c>
      <c r="S45" s="18">
        <f t="shared" si="10"/>
        <v>1.6</v>
      </c>
      <c r="T45" s="18" t="str">
        <f t="shared" si="7"/>
        <v>1 сутки</v>
      </c>
      <c r="U45" s="64">
        <f t="shared" si="4"/>
        <v>1.6</v>
      </c>
      <c r="V45" s="18">
        <v>0</v>
      </c>
      <c r="W45" s="66">
        <f t="shared" si="5"/>
        <v>1.6</v>
      </c>
      <c r="X45" s="90">
        <f t="shared" si="6"/>
        <v>0.9958</v>
      </c>
      <c r="Y45" s="90">
        <f t="shared" si="12"/>
        <v>0.9958</v>
      </c>
      <c r="Z45" s="12" t="s">
        <v>24</v>
      </c>
    </row>
    <row r="46" spans="1:26" s="1" customFormat="1" ht="22.5">
      <c r="A46" s="18">
        <v>32</v>
      </c>
      <c r="B46" s="12" t="s">
        <v>206</v>
      </c>
      <c r="C46" s="69">
        <v>1.6</v>
      </c>
      <c r="D46" s="47">
        <v>0.294</v>
      </c>
      <c r="E46" s="12">
        <f t="shared" si="13"/>
        <v>1.6</v>
      </c>
      <c r="F46" s="12" t="s">
        <v>12</v>
      </c>
      <c r="G46" s="48">
        <f t="shared" si="0"/>
        <v>1.6</v>
      </c>
      <c r="H46" s="12">
        <v>0</v>
      </c>
      <c r="I46" s="48">
        <f t="shared" si="1"/>
        <v>1.6</v>
      </c>
      <c r="J46" s="106">
        <f t="shared" si="2"/>
        <v>1.306</v>
      </c>
      <c r="K46" s="106">
        <f t="shared" si="14"/>
        <v>1.306</v>
      </c>
      <c r="L46" s="17" t="s">
        <v>24</v>
      </c>
      <c r="M46" s="16"/>
      <c r="N46" s="18">
        <v>32</v>
      </c>
      <c r="O46" s="12" t="s">
        <v>206</v>
      </c>
      <c r="P46" s="15">
        <v>1.6</v>
      </c>
      <c r="Q46" s="86">
        <f>0.005+0.005+0.007+0.005+0.0054+0.0048+0.0032+0.0065-0.0301</f>
        <v>0.011800000000000001</v>
      </c>
      <c r="R46" s="79">
        <f t="shared" si="11"/>
        <v>0.30579999999999996</v>
      </c>
      <c r="S46" s="18">
        <f t="shared" si="10"/>
        <v>1.6</v>
      </c>
      <c r="T46" s="18" t="str">
        <f t="shared" si="7"/>
        <v>1 сутки</v>
      </c>
      <c r="U46" s="64">
        <f t="shared" si="4"/>
        <v>1.6</v>
      </c>
      <c r="V46" s="18">
        <v>0</v>
      </c>
      <c r="W46" s="66">
        <f t="shared" si="5"/>
        <v>1.6</v>
      </c>
      <c r="X46" s="90">
        <f t="shared" si="6"/>
        <v>1.2942</v>
      </c>
      <c r="Y46" s="90">
        <f t="shared" si="12"/>
        <v>1.2942</v>
      </c>
      <c r="Z46" s="12" t="s">
        <v>24</v>
      </c>
    </row>
    <row r="47" spans="1:26" s="1" customFormat="1" ht="22.5">
      <c r="A47" s="18">
        <v>32</v>
      </c>
      <c r="B47" s="12" t="s">
        <v>207</v>
      </c>
      <c r="C47" s="69">
        <v>1.6</v>
      </c>
      <c r="D47" s="47">
        <v>0.049</v>
      </c>
      <c r="E47" s="12">
        <f t="shared" si="13"/>
        <v>1.6</v>
      </c>
      <c r="F47" s="12" t="s">
        <v>12</v>
      </c>
      <c r="G47" s="48">
        <f t="shared" si="0"/>
        <v>1.6</v>
      </c>
      <c r="H47" s="12">
        <v>0</v>
      </c>
      <c r="I47" s="48">
        <f t="shared" si="1"/>
        <v>1.6</v>
      </c>
      <c r="J47" s="106">
        <f t="shared" si="2"/>
        <v>1.5510000000000002</v>
      </c>
      <c r="K47" s="106">
        <f t="shared" si="14"/>
        <v>1.5510000000000002</v>
      </c>
      <c r="L47" s="17" t="s">
        <v>24</v>
      </c>
      <c r="M47" s="16"/>
      <c r="N47" s="18">
        <v>32</v>
      </c>
      <c r="O47" s="12" t="s">
        <v>207</v>
      </c>
      <c r="P47" s="15">
        <v>1.6</v>
      </c>
      <c r="Q47" s="86">
        <v>0</v>
      </c>
      <c r="R47" s="79">
        <f t="shared" si="11"/>
        <v>0.049</v>
      </c>
      <c r="S47" s="18">
        <f t="shared" si="10"/>
        <v>1.6</v>
      </c>
      <c r="T47" s="18" t="str">
        <f t="shared" si="7"/>
        <v>1 сутки</v>
      </c>
      <c r="U47" s="64">
        <f t="shared" si="4"/>
        <v>1.6</v>
      </c>
      <c r="V47" s="18">
        <v>0</v>
      </c>
      <c r="W47" s="66">
        <f t="shared" si="5"/>
        <v>1.6</v>
      </c>
      <c r="X47" s="90">
        <f t="shared" si="6"/>
        <v>1.5510000000000002</v>
      </c>
      <c r="Y47" s="90">
        <f t="shared" si="12"/>
        <v>1.5510000000000002</v>
      </c>
      <c r="Z47" s="12" t="s">
        <v>24</v>
      </c>
    </row>
    <row r="48" spans="1:26" s="1" customFormat="1" ht="22.5">
      <c r="A48" s="18">
        <v>33</v>
      </c>
      <c r="B48" s="12" t="s">
        <v>210</v>
      </c>
      <c r="C48" s="69">
        <v>2.5</v>
      </c>
      <c r="D48" s="47">
        <v>0.547</v>
      </c>
      <c r="E48" s="12">
        <f t="shared" si="13"/>
        <v>2.5</v>
      </c>
      <c r="F48" s="12" t="s">
        <v>12</v>
      </c>
      <c r="G48" s="48">
        <f t="shared" si="0"/>
        <v>2.5</v>
      </c>
      <c r="H48" s="12">
        <v>0</v>
      </c>
      <c r="I48" s="48">
        <f t="shared" si="1"/>
        <v>2.5</v>
      </c>
      <c r="J48" s="106">
        <f t="shared" si="2"/>
        <v>1.9529999999999998</v>
      </c>
      <c r="K48" s="106">
        <f t="shared" si="14"/>
        <v>1.9529999999999998</v>
      </c>
      <c r="L48" s="17" t="s">
        <v>24</v>
      </c>
      <c r="M48" s="16"/>
      <c r="N48" s="18">
        <v>33</v>
      </c>
      <c r="O48" s="12" t="s">
        <v>210</v>
      </c>
      <c r="P48" s="15">
        <v>2.5</v>
      </c>
      <c r="Q48" s="86">
        <f>0.025+0.009+0.016+0.065+0.0043-0.1011+0.0155+0.0054+0.080639+0.0075+0.0108+0.0075</f>
        <v>0.14553900000000003</v>
      </c>
      <c r="R48" s="79">
        <f t="shared" si="11"/>
        <v>0.692539</v>
      </c>
      <c r="S48" s="18">
        <f t="shared" si="10"/>
        <v>2.5</v>
      </c>
      <c r="T48" s="18" t="str">
        <f t="shared" si="7"/>
        <v>1 сутки</v>
      </c>
      <c r="U48" s="64">
        <f t="shared" si="4"/>
        <v>2.5</v>
      </c>
      <c r="V48" s="18">
        <v>0</v>
      </c>
      <c r="W48" s="66">
        <f t="shared" si="5"/>
        <v>2.5</v>
      </c>
      <c r="X48" s="90">
        <f t="shared" si="6"/>
        <v>1.807461</v>
      </c>
      <c r="Y48" s="90">
        <f t="shared" si="12"/>
        <v>1.807461</v>
      </c>
      <c r="Z48" s="12" t="s">
        <v>24</v>
      </c>
    </row>
    <row r="49" spans="1:26" s="1" customFormat="1" ht="22.5">
      <c r="A49" s="112">
        <v>34</v>
      </c>
      <c r="B49" s="25" t="s">
        <v>68</v>
      </c>
      <c r="C49" s="63" t="s">
        <v>37</v>
      </c>
      <c r="D49" s="48">
        <f>D50+D51</f>
        <v>18.677</v>
      </c>
      <c r="E49" s="25">
        <f>E50+E51</f>
        <v>0</v>
      </c>
      <c r="F49" s="25">
        <v>0</v>
      </c>
      <c r="G49" s="26">
        <f aca="true" t="shared" si="15" ref="G49:G71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15">
        <f>MIN(J49:J51)</f>
        <v>23.323</v>
      </c>
      <c r="L49" s="126" t="s">
        <v>24</v>
      </c>
      <c r="M49" s="16"/>
      <c r="N49" s="112">
        <v>34</v>
      </c>
      <c r="O49" s="25" t="s">
        <v>68</v>
      </c>
      <c r="P49" s="28" t="s">
        <v>37</v>
      </c>
      <c r="Q49" s="85">
        <f>Q51</f>
        <v>0.0335</v>
      </c>
      <c r="R49" s="47">
        <f>R50+R51</f>
        <v>18.7105</v>
      </c>
      <c r="S49" s="25">
        <f>S50+S51</f>
        <v>0</v>
      </c>
      <c r="T49" s="25">
        <v>0</v>
      </c>
      <c r="U49" s="26">
        <f aca="true" t="shared" si="16" ref="U49:U71">R49-S49</f>
        <v>18.7105</v>
      </c>
      <c r="V49" s="25">
        <v>0</v>
      </c>
      <c r="W49" s="24">
        <f>1.05*40</f>
        <v>42</v>
      </c>
      <c r="X49" s="5">
        <f>W49-U49-V49</f>
        <v>23.2895</v>
      </c>
      <c r="Y49" s="115">
        <f>MIN(X49:X51)</f>
        <v>23.2895</v>
      </c>
      <c r="Z49" s="126" t="s">
        <v>24</v>
      </c>
    </row>
    <row r="50" spans="1:26" s="1" customFormat="1" ht="24" customHeight="1">
      <c r="A50" s="139"/>
      <c r="B50" s="27" t="s">
        <v>56</v>
      </c>
      <c r="C50" s="63" t="s">
        <v>37</v>
      </c>
      <c r="D50" s="48">
        <v>2.57</v>
      </c>
      <c r="E50" s="25">
        <v>0</v>
      </c>
      <c r="F50" s="25">
        <v>0</v>
      </c>
      <c r="G50" s="26">
        <f t="shared" si="15"/>
        <v>2.57</v>
      </c>
      <c r="H50" s="25">
        <v>0</v>
      </c>
      <c r="I50" s="24">
        <f>1.05*40</f>
        <v>42</v>
      </c>
      <c r="J50" s="5">
        <f>I50-D50</f>
        <v>39.43</v>
      </c>
      <c r="K50" s="116"/>
      <c r="L50" s="127"/>
      <c r="M50" s="16"/>
      <c r="N50" s="139"/>
      <c r="O50" s="27" t="s">
        <v>56</v>
      </c>
      <c r="P50" s="28" t="s">
        <v>37</v>
      </c>
      <c r="Q50" s="85"/>
      <c r="R50" s="47">
        <f>Q50+D50</f>
        <v>2.57</v>
      </c>
      <c r="S50" s="25">
        <v>0</v>
      </c>
      <c r="T50" s="25">
        <v>0</v>
      </c>
      <c r="U50" s="26">
        <f t="shared" si="16"/>
        <v>2.57</v>
      </c>
      <c r="V50" s="25">
        <v>0</v>
      </c>
      <c r="W50" s="24">
        <f>1.05*40</f>
        <v>42</v>
      </c>
      <c r="X50" s="5">
        <f>W50-R50</f>
        <v>39.43</v>
      </c>
      <c r="Y50" s="145"/>
      <c r="Z50" s="129"/>
    </row>
    <row r="51" spans="1:26" s="1" customFormat="1" ht="21.75" customHeight="1">
      <c r="A51" s="140"/>
      <c r="B51" s="27" t="s">
        <v>44</v>
      </c>
      <c r="C51" s="63" t="s">
        <v>37</v>
      </c>
      <c r="D51" s="48">
        <v>16.107</v>
      </c>
      <c r="E51" s="25">
        <v>0</v>
      </c>
      <c r="F51" s="25">
        <v>0</v>
      </c>
      <c r="G51" s="26">
        <f t="shared" si="15"/>
        <v>16.107</v>
      </c>
      <c r="H51" s="25">
        <v>0</v>
      </c>
      <c r="I51" s="24">
        <f>1.05*40</f>
        <v>42</v>
      </c>
      <c r="J51" s="5">
        <f aca="true" t="shared" si="17" ref="J51:J57">I51-G51-H51</f>
        <v>25.893</v>
      </c>
      <c r="K51" s="117"/>
      <c r="L51" s="128"/>
      <c r="M51" s="16"/>
      <c r="N51" s="140"/>
      <c r="O51" s="27" t="s">
        <v>44</v>
      </c>
      <c r="P51" s="28" t="s">
        <v>37</v>
      </c>
      <c r="Q51" s="85">
        <f>0.005+0.009+0.005+0.0048-0.0048+0.0024-0.0048+0.0008+0.0161</f>
        <v>0.0335</v>
      </c>
      <c r="R51" s="47">
        <f>Q51+D51</f>
        <v>16.1405</v>
      </c>
      <c r="S51" s="25">
        <v>0</v>
      </c>
      <c r="T51" s="25">
        <v>0</v>
      </c>
      <c r="U51" s="26">
        <f t="shared" si="16"/>
        <v>16.1405</v>
      </c>
      <c r="V51" s="25">
        <v>0</v>
      </c>
      <c r="W51" s="24">
        <f>1.05*40</f>
        <v>42</v>
      </c>
      <c r="X51" s="5">
        <f aca="true" t="shared" si="18" ref="X51:X57">W51-U51-V51</f>
        <v>25.8595</v>
      </c>
      <c r="Y51" s="146"/>
      <c r="Z51" s="130"/>
    </row>
    <row r="52" spans="1:26" s="1" customFormat="1" ht="22.5">
      <c r="A52" s="18">
        <v>35</v>
      </c>
      <c r="B52" s="65" t="s">
        <v>69</v>
      </c>
      <c r="C52" s="63" t="s">
        <v>29</v>
      </c>
      <c r="D52" s="48">
        <v>0.715</v>
      </c>
      <c r="E52" s="25">
        <v>0</v>
      </c>
      <c r="F52" s="25">
        <v>0</v>
      </c>
      <c r="G52" s="26">
        <f t="shared" si="15"/>
        <v>0.715</v>
      </c>
      <c r="H52" s="25">
        <v>0</v>
      </c>
      <c r="I52" s="24">
        <f>1.05*6.3</f>
        <v>6.615</v>
      </c>
      <c r="J52" s="6">
        <f t="shared" si="17"/>
        <v>5.9</v>
      </c>
      <c r="K52" s="48">
        <f>J52</f>
        <v>5.9</v>
      </c>
      <c r="L52" s="17" t="s">
        <v>24</v>
      </c>
      <c r="M52" s="16"/>
      <c r="N52" s="18">
        <v>35</v>
      </c>
      <c r="O52" s="25" t="s">
        <v>69</v>
      </c>
      <c r="P52" s="28" t="s">
        <v>29</v>
      </c>
      <c r="Q52" s="85">
        <f>0.003+0.005+0.005+0.0376+0.0097+0.0032+0.0215+0.0194+0.0186</f>
        <v>0.123</v>
      </c>
      <c r="R52" s="47">
        <f>Q52+D52</f>
        <v>0.838</v>
      </c>
      <c r="S52" s="25">
        <v>0</v>
      </c>
      <c r="T52" s="25">
        <v>0</v>
      </c>
      <c r="U52" s="26">
        <f t="shared" si="16"/>
        <v>0.838</v>
      </c>
      <c r="V52" s="25">
        <v>0</v>
      </c>
      <c r="W52" s="24">
        <f>1.05*6.3</f>
        <v>6.615</v>
      </c>
      <c r="X52" s="6">
        <f t="shared" si="18"/>
        <v>5.777</v>
      </c>
      <c r="Y52" s="48">
        <f>X52</f>
        <v>5.777</v>
      </c>
      <c r="Z52" s="12" t="s">
        <v>24</v>
      </c>
    </row>
    <row r="53" spans="1:26" s="37" customFormat="1" ht="22.5">
      <c r="A53" s="22">
        <v>36</v>
      </c>
      <c r="B53" s="31" t="s">
        <v>70</v>
      </c>
      <c r="C53" s="32" t="s">
        <v>47</v>
      </c>
      <c r="D53" s="49">
        <v>27.183</v>
      </c>
      <c r="E53" s="31">
        <v>0</v>
      </c>
      <c r="F53" s="31">
        <v>0</v>
      </c>
      <c r="G53" s="29">
        <f t="shared" si="15"/>
        <v>27.183</v>
      </c>
      <c r="H53" s="31">
        <v>0</v>
      </c>
      <c r="I53" s="30">
        <f>1.05*25</f>
        <v>26.25</v>
      </c>
      <c r="J53" s="4">
        <f t="shared" si="17"/>
        <v>-0.9329999999999998</v>
      </c>
      <c r="K53" s="49">
        <f>J53</f>
        <v>-0.9329999999999998</v>
      </c>
      <c r="L53" s="19" t="s">
        <v>25</v>
      </c>
      <c r="M53" s="36"/>
      <c r="N53" s="22">
        <v>36</v>
      </c>
      <c r="O53" s="31" t="s">
        <v>70</v>
      </c>
      <c r="P53" s="32" t="s">
        <v>47</v>
      </c>
      <c r="Q53" s="87">
        <f>3.182+0.629+0.2021+0.5215+0.204+0.2451+0.2043</f>
        <v>5.187999999999999</v>
      </c>
      <c r="R53" s="51">
        <f>Q53+D53</f>
        <v>32.370999999999995</v>
      </c>
      <c r="S53" s="31">
        <v>0</v>
      </c>
      <c r="T53" s="31">
        <v>0</v>
      </c>
      <c r="U53" s="29">
        <f t="shared" si="16"/>
        <v>32.370999999999995</v>
      </c>
      <c r="V53" s="31">
        <v>0</v>
      </c>
      <c r="W53" s="30">
        <f>1.05*25</f>
        <v>26.25</v>
      </c>
      <c r="X53" s="4">
        <f>W53-U53-V53</f>
        <v>-6.120999999999995</v>
      </c>
      <c r="Y53" s="49">
        <f>X53</f>
        <v>-6.120999999999995</v>
      </c>
      <c r="Z53" s="22" t="s">
        <v>25</v>
      </c>
    </row>
    <row r="54" spans="1:26" s="1" customFormat="1" ht="22.5">
      <c r="A54" s="18">
        <v>37</v>
      </c>
      <c r="B54" s="65" t="s">
        <v>71</v>
      </c>
      <c r="C54" s="63" t="s">
        <v>29</v>
      </c>
      <c r="D54" s="48">
        <v>3.6</v>
      </c>
      <c r="E54" s="25">
        <v>0</v>
      </c>
      <c r="F54" s="25">
        <v>0</v>
      </c>
      <c r="G54" s="26">
        <f t="shared" si="15"/>
        <v>3.6</v>
      </c>
      <c r="H54" s="25">
        <v>0</v>
      </c>
      <c r="I54" s="24">
        <f>1.05*6.3</f>
        <v>6.615</v>
      </c>
      <c r="J54" s="6">
        <f t="shared" si="17"/>
        <v>3.015</v>
      </c>
      <c r="K54" s="48">
        <f>J54</f>
        <v>3.015</v>
      </c>
      <c r="L54" s="17" t="s">
        <v>24</v>
      </c>
      <c r="M54" s="16"/>
      <c r="N54" s="18">
        <v>37</v>
      </c>
      <c r="O54" s="25" t="s">
        <v>71</v>
      </c>
      <c r="P54" s="28" t="s">
        <v>29</v>
      </c>
      <c r="Q54" s="85">
        <f>0.811+0.005+0.026+0.016+0.005-0.0349+0.0161+0.0161+0.0054+1.0827+0.0215+0.0054+0.010752-0.1925+0.0075+0.0054+0.0914+0.3064+0.0065</f>
        <v>2.2107520000000003</v>
      </c>
      <c r="R54" s="47">
        <f>Q54+D54</f>
        <v>5.810752000000001</v>
      </c>
      <c r="S54" s="25">
        <v>0</v>
      </c>
      <c r="T54" s="25">
        <v>0</v>
      </c>
      <c r="U54" s="26">
        <f t="shared" si="16"/>
        <v>5.810752000000001</v>
      </c>
      <c r="V54" s="25">
        <v>0</v>
      </c>
      <c r="W54" s="24">
        <f>1.05*6.3</f>
        <v>6.615</v>
      </c>
      <c r="X54" s="6">
        <f t="shared" si="18"/>
        <v>0.8042479999999994</v>
      </c>
      <c r="Y54" s="48">
        <f>X54</f>
        <v>0.8042479999999994</v>
      </c>
      <c r="Z54" s="12" t="s">
        <v>24</v>
      </c>
    </row>
    <row r="55" spans="1:26" s="1" customFormat="1" ht="22.5">
      <c r="A55" s="22">
        <v>38</v>
      </c>
      <c r="B55" s="31" t="s">
        <v>72</v>
      </c>
      <c r="C55" s="32" t="s">
        <v>30</v>
      </c>
      <c r="D55" s="49">
        <v>20.67</v>
      </c>
      <c r="E55" s="31">
        <v>1.5</v>
      </c>
      <c r="F55" s="31" t="s">
        <v>59</v>
      </c>
      <c r="G55" s="29">
        <f t="shared" si="15"/>
        <v>19.17</v>
      </c>
      <c r="H55" s="31">
        <v>0</v>
      </c>
      <c r="I55" s="30">
        <f>1.05*16</f>
        <v>16.8</v>
      </c>
      <c r="J55" s="4">
        <f t="shared" si="17"/>
        <v>-2.370000000000001</v>
      </c>
      <c r="K55" s="49">
        <f>J55</f>
        <v>-2.370000000000001</v>
      </c>
      <c r="L55" s="19" t="s">
        <v>25</v>
      </c>
      <c r="M55" s="36"/>
      <c r="N55" s="22">
        <v>38</v>
      </c>
      <c r="O55" s="31" t="s">
        <v>72</v>
      </c>
      <c r="P55" s="32" t="s">
        <v>30</v>
      </c>
      <c r="Q55" s="87">
        <f>0.806+0.2421+0.3387+1.29+1.43+0.285+3.7847+0.5956</f>
        <v>8.7721</v>
      </c>
      <c r="R55" s="51">
        <f>Q55+D55</f>
        <v>29.442100000000003</v>
      </c>
      <c r="S55" s="31">
        <v>1.5</v>
      </c>
      <c r="T55" s="31" t="s">
        <v>59</v>
      </c>
      <c r="U55" s="29">
        <f t="shared" si="16"/>
        <v>27.942100000000003</v>
      </c>
      <c r="V55" s="31">
        <v>0</v>
      </c>
      <c r="W55" s="30">
        <f>1.05*16</f>
        <v>16.8</v>
      </c>
      <c r="X55" s="4">
        <f t="shared" si="18"/>
        <v>-11.142100000000003</v>
      </c>
      <c r="Y55" s="49">
        <f>X55</f>
        <v>-11.142100000000003</v>
      </c>
      <c r="Z55" s="22" t="s">
        <v>25</v>
      </c>
    </row>
    <row r="56" spans="1:26" s="100" customFormat="1" ht="22.5">
      <c r="A56" s="31">
        <v>39</v>
      </c>
      <c r="B56" s="31" t="s">
        <v>73</v>
      </c>
      <c r="C56" s="32" t="s">
        <v>45</v>
      </c>
      <c r="D56" s="49">
        <v>4.405</v>
      </c>
      <c r="E56" s="31">
        <v>0</v>
      </c>
      <c r="F56" s="31">
        <v>0</v>
      </c>
      <c r="G56" s="29">
        <f t="shared" si="15"/>
        <v>4.405</v>
      </c>
      <c r="H56" s="31">
        <v>0</v>
      </c>
      <c r="I56" s="30">
        <f>1.05*4</f>
        <v>4.2</v>
      </c>
      <c r="J56" s="45">
        <f t="shared" si="17"/>
        <v>-0.20500000000000007</v>
      </c>
      <c r="K56" s="49">
        <f>J56</f>
        <v>-0.20500000000000007</v>
      </c>
      <c r="L56" s="31" t="s">
        <v>25</v>
      </c>
      <c r="M56" s="98"/>
      <c r="N56" s="31">
        <v>39</v>
      </c>
      <c r="O56" s="31" t="s">
        <v>73</v>
      </c>
      <c r="P56" s="32" t="s">
        <v>45</v>
      </c>
      <c r="Q56" s="87">
        <f>0.412+0.096+0.016+0.03+0.022+0.037+0.046+0.06+0.069+0.062+0.017+0.027+0.4785+0.0581+0.3871-0.4422+0.0097+0.4833+0.0855+0.0564+0.3473+0.166+0.0667+0.0441+0.1456+0.0489+0.048383+0.0296-0.7682+0.1667+0.0446+0.0376+0.0844+0.0409+0.0886+0.1658</f>
        <v>2.767383</v>
      </c>
      <c r="R56" s="49">
        <f>Q56+D56</f>
        <v>7.172383</v>
      </c>
      <c r="S56" s="31">
        <v>0</v>
      </c>
      <c r="T56" s="31">
        <v>0</v>
      </c>
      <c r="U56" s="29">
        <f t="shared" si="16"/>
        <v>7.172383</v>
      </c>
      <c r="V56" s="31">
        <v>0</v>
      </c>
      <c r="W56" s="30">
        <f>1.05*4</f>
        <v>4.2</v>
      </c>
      <c r="X56" s="99">
        <f t="shared" si="18"/>
        <v>-2.9723829999999998</v>
      </c>
      <c r="Y56" s="49">
        <f>X56</f>
        <v>-2.9723829999999998</v>
      </c>
      <c r="Z56" s="31" t="s">
        <v>25</v>
      </c>
    </row>
    <row r="57" spans="1:26" s="100" customFormat="1" ht="26.25" customHeight="1">
      <c r="A57" s="121">
        <v>40</v>
      </c>
      <c r="B57" s="31" t="s">
        <v>74</v>
      </c>
      <c r="C57" s="32" t="s">
        <v>60</v>
      </c>
      <c r="D57" s="49">
        <f>D58+D59</f>
        <v>44.456</v>
      </c>
      <c r="E57" s="31">
        <f>E58+E59</f>
        <v>0</v>
      </c>
      <c r="F57" s="31">
        <v>0</v>
      </c>
      <c r="G57" s="30">
        <f t="shared" si="15"/>
        <v>44.456</v>
      </c>
      <c r="H57" s="31">
        <v>0</v>
      </c>
      <c r="I57" s="30">
        <f>1.05*40</f>
        <v>42</v>
      </c>
      <c r="J57" s="3">
        <f t="shared" si="17"/>
        <v>-2.456000000000003</v>
      </c>
      <c r="K57" s="131">
        <f>MIN(J57:J59)</f>
        <v>-2.456000000000003</v>
      </c>
      <c r="L57" s="121" t="s">
        <v>25</v>
      </c>
      <c r="M57" s="98"/>
      <c r="N57" s="121">
        <v>40</v>
      </c>
      <c r="O57" s="31" t="s">
        <v>74</v>
      </c>
      <c r="P57" s="32" t="s">
        <v>60</v>
      </c>
      <c r="Q57" s="87">
        <f>Q58+Q59</f>
        <v>12.201121</v>
      </c>
      <c r="R57" s="49">
        <f>R58+R59</f>
        <v>56.657121000000004</v>
      </c>
      <c r="S57" s="31">
        <f>S58+S59</f>
        <v>0</v>
      </c>
      <c r="T57" s="31">
        <v>0</v>
      </c>
      <c r="U57" s="29">
        <f t="shared" si="16"/>
        <v>56.657121000000004</v>
      </c>
      <c r="V57" s="31">
        <v>0</v>
      </c>
      <c r="W57" s="30">
        <f>1.05*40</f>
        <v>42</v>
      </c>
      <c r="X57" s="3">
        <f t="shared" si="18"/>
        <v>-14.657121000000004</v>
      </c>
      <c r="Y57" s="131">
        <f>MIN(X57:X59)</f>
        <v>-14.657121000000004</v>
      </c>
      <c r="Z57" s="121" t="s">
        <v>25</v>
      </c>
    </row>
    <row r="58" spans="1:26" s="100" customFormat="1" ht="21.75" customHeight="1">
      <c r="A58" s="122"/>
      <c r="B58" s="35" t="s">
        <v>56</v>
      </c>
      <c r="C58" s="32" t="s">
        <v>60</v>
      </c>
      <c r="D58" s="49">
        <v>24.363</v>
      </c>
      <c r="E58" s="31">
        <v>0</v>
      </c>
      <c r="F58" s="31">
        <v>0</v>
      </c>
      <c r="G58" s="30">
        <f t="shared" si="15"/>
        <v>24.363</v>
      </c>
      <c r="H58" s="31">
        <v>0</v>
      </c>
      <c r="I58" s="30">
        <f>1.05*40</f>
        <v>42</v>
      </c>
      <c r="J58" s="3">
        <f>I58-D58</f>
        <v>17.637</v>
      </c>
      <c r="K58" s="166"/>
      <c r="L58" s="137"/>
      <c r="M58" s="98"/>
      <c r="N58" s="122"/>
      <c r="O58" s="35" t="s">
        <v>56</v>
      </c>
      <c r="P58" s="32" t="s">
        <v>60</v>
      </c>
      <c r="Q58" s="87"/>
      <c r="R58" s="49">
        <f>Q58+D58</f>
        <v>24.363</v>
      </c>
      <c r="S58" s="31">
        <v>0</v>
      </c>
      <c r="T58" s="31">
        <v>0</v>
      </c>
      <c r="U58" s="29">
        <f t="shared" si="16"/>
        <v>24.363</v>
      </c>
      <c r="V58" s="31">
        <v>0</v>
      </c>
      <c r="W58" s="30">
        <f>1.05*40</f>
        <v>42</v>
      </c>
      <c r="X58" s="3">
        <f>W58-R58</f>
        <v>17.637</v>
      </c>
      <c r="Y58" s="155"/>
      <c r="Z58" s="122"/>
    </row>
    <row r="59" spans="1:26" s="100" customFormat="1" ht="24.75" customHeight="1">
      <c r="A59" s="123"/>
      <c r="B59" s="35" t="s">
        <v>44</v>
      </c>
      <c r="C59" s="32" t="s">
        <v>60</v>
      </c>
      <c r="D59" s="49">
        <v>20.093</v>
      </c>
      <c r="E59" s="31">
        <v>0</v>
      </c>
      <c r="F59" s="31">
        <v>0</v>
      </c>
      <c r="G59" s="30">
        <f t="shared" si="15"/>
        <v>20.093</v>
      </c>
      <c r="H59" s="31">
        <v>0</v>
      </c>
      <c r="I59" s="30">
        <f>1.05*40</f>
        <v>42</v>
      </c>
      <c r="J59" s="3">
        <f>I59-G59-H59</f>
        <v>21.907</v>
      </c>
      <c r="K59" s="167"/>
      <c r="L59" s="138"/>
      <c r="M59" s="98"/>
      <c r="N59" s="123"/>
      <c r="O59" s="35" t="s">
        <v>44</v>
      </c>
      <c r="P59" s="32" t="s">
        <v>60</v>
      </c>
      <c r="Q59" s="87">
        <f>3.226+0.267+0.161+0.188-0.7956+0.4301+1.6061+0.5376+0.1236+3.2757+0.698871-0.00215+0.2421+2.2428</f>
        <v>12.201121</v>
      </c>
      <c r="R59" s="49">
        <f>Q59+D59</f>
        <v>32.294121000000004</v>
      </c>
      <c r="S59" s="31">
        <v>0</v>
      </c>
      <c r="T59" s="31">
        <v>0</v>
      </c>
      <c r="U59" s="29">
        <f t="shared" si="16"/>
        <v>32.294121000000004</v>
      </c>
      <c r="V59" s="31">
        <v>0</v>
      </c>
      <c r="W59" s="30">
        <f>1.05*40</f>
        <v>42</v>
      </c>
      <c r="X59" s="3">
        <f>W59-U59-V59</f>
        <v>9.705878999999996</v>
      </c>
      <c r="Y59" s="156"/>
      <c r="Z59" s="123"/>
    </row>
    <row r="60" spans="1:26" s="1" customFormat="1" ht="22.5">
      <c r="A60" s="112">
        <v>41</v>
      </c>
      <c r="B60" s="25" t="s">
        <v>75</v>
      </c>
      <c r="C60" s="63" t="s">
        <v>30</v>
      </c>
      <c r="D60" s="48">
        <f>D61+D62</f>
        <v>9.892</v>
      </c>
      <c r="E60" s="25">
        <f>E61+E62</f>
        <v>0</v>
      </c>
      <c r="F60" s="25">
        <v>0</v>
      </c>
      <c r="G60" s="26">
        <f t="shared" si="15"/>
        <v>9.892</v>
      </c>
      <c r="H60" s="25">
        <v>0</v>
      </c>
      <c r="I60" s="24">
        <f>1.05*16</f>
        <v>16.8</v>
      </c>
      <c r="J60" s="5">
        <f>I60-G60-H60</f>
        <v>6.908000000000001</v>
      </c>
      <c r="K60" s="115">
        <f>MIN(J60:J62)</f>
        <v>6.908000000000001</v>
      </c>
      <c r="L60" s="126" t="s">
        <v>24</v>
      </c>
      <c r="M60" s="16"/>
      <c r="N60" s="112">
        <v>41</v>
      </c>
      <c r="O60" s="25" t="s">
        <v>75</v>
      </c>
      <c r="P60" s="28" t="s">
        <v>30</v>
      </c>
      <c r="Q60" s="85">
        <f>Q61+Q62</f>
        <v>0.1081</v>
      </c>
      <c r="R60" s="47">
        <f>R61+R62</f>
        <v>10.0001</v>
      </c>
      <c r="S60" s="25">
        <f>S61+S62</f>
        <v>0</v>
      </c>
      <c r="T60" s="25">
        <v>0</v>
      </c>
      <c r="U60" s="26">
        <f t="shared" si="16"/>
        <v>10.0001</v>
      </c>
      <c r="V60" s="25">
        <v>0</v>
      </c>
      <c r="W60" s="24">
        <f>1.05*16</f>
        <v>16.8</v>
      </c>
      <c r="X60" s="5">
        <f>W60-U60-V60</f>
        <v>6.799900000000001</v>
      </c>
      <c r="Y60" s="115">
        <f>MIN(X60:X62)</f>
        <v>6.799900000000001</v>
      </c>
      <c r="Z60" s="126" t="s">
        <v>24</v>
      </c>
    </row>
    <row r="61" spans="1:26" s="1" customFormat="1" ht="24.75" customHeight="1">
      <c r="A61" s="113"/>
      <c r="B61" s="27" t="s">
        <v>56</v>
      </c>
      <c r="C61" s="63" t="s">
        <v>30</v>
      </c>
      <c r="D61" s="48">
        <v>6.161</v>
      </c>
      <c r="E61" s="25">
        <v>0</v>
      </c>
      <c r="F61" s="25">
        <v>0</v>
      </c>
      <c r="G61" s="26">
        <f t="shared" si="15"/>
        <v>6.161</v>
      </c>
      <c r="H61" s="25">
        <v>0</v>
      </c>
      <c r="I61" s="24">
        <f>1.05*16</f>
        <v>16.8</v>
      </c>
      <c r="J61" s="5">
        <f>I61-D61</f>
        <v>10.639000000000001</v>
      </c>
      <c r="K61" s="116"/>
      <c r="L61" s="127"/>
      <c r="M61" s="16"/>
      <c r="N61" s="113"/>
      <c r="O61" s="27" t="s">
        <v>56</v>
      </c>
      <c r="P61" s="28" t="s">
        <v>30</v>
      </c>
      <c r="Q61" s="85"/>
      <c r="R61" s="47">
        <f>Q61+D61</f>
        <v>6.161</v>
      </c>
      <c r="S61" s="25">
        <v>0</v>
      </c>
      <c r="T61" s="25">
        <v>0</v>
      </c>
      <c r="U61" s="26">
        <f t="shared" si="16"/>
        <v>6.161</v>
      </c>
      <c r="V61" s="25">
        <v>0</v>
      </c>
      <c r="W61" s="24">
        <f>1.05*16</f>
        <v>16.8</v>
      </c>
      <c r="X61" s="5">
        <f>W61-R61</f>
        <v>10.639000000000001</v>
      </c>
      <c r="Y61" s="145"/>
      <c r="Z61" s="129"/>
    </row>
    <row r="62" spans="1:26" s="1" customFormat="1" ht="22.5" customHeight="1">
      <c r="A62" s="114"/>
      <c r="B62" s="27" t="s">
        <v>44</v>
      </c>
      <c r="C62" s="63" t="s">
        <v>30</v>
      </c>
      <c r="D62" s="48">
        <v>3.731</v>
      </c>
      <c r="E62" s="25">
        <v>0</v>
      </c>
      <c r="F62" s="25">
        <v>0</v>
      </c>
      <c r="G62" s="26">
        <f t="shared" si="15"/>
        <v>3.731</v>
      </c>
      <c r="H62" s="25">
        <v>0</v>
      </c>
      <c r="I62" s="24">
        <f>1.05*16</f>
        <v>16.8</v>
      </c>
      <c r="J62" s="5">
        <f>I62-G62-H62</f>
        <v>13.069</v>
      </c>
      <c r="K62" s="117"/>
      <c r="L62" s="128"/>
      <c r="M62" s="16"/>
      <c r="N62" s="114"/>
      <c r="O62" s="27" t="s">
        <v>44</v>
      </c>
      <c r="P62" s="28" t="s">
        <v>30</v>
      </c>
      <c r="Q62" s="85">
        <f>0.04+0.01+0.005+0.003+0.004+0.0199+0.0102+0.0075-0.0446+0.0102+0.0349+0.0054+0.005+0.0046-0.0403+0.0129+0.0161+0.0011+0.0032</f>
        <v>0.1081</v>
      </c>
      <c r="R62" s="47">
        <f>Q62+D62</f>
        <v>3.8390999999999997</v>
      </c>
      <c r="S62" s="25">
        <v>0</v>
      </c>
      <c r="T62" s="25">
        <v>0</v>
      </c>
      <c r="U62" s="26">
        <f t="shared" si="16"/>
        <v>3.8390999999999997</v>
      </c>
      <c r="V62" s="25">
        <v>0</v>
      </c>
      <c r="W62" s="24">
        <f>1.05*16</f>
        <v>16.8</v>
      </c>
      <c r="X62" s="5">
        <f>W62-U62-V62</f>
        <v>12.9609</v>
      </c>
      <c r="Y62" s="146"/>
      <c r="Z62" s="130"/>
    </row>
    <row r="63" spans="1:26" s="1" customFormat="1" ht="22.5">
      <c r="A63" s="118">
        <v>42</v>
      </c>
      <c r="B63" s="31" t="s">
        <v>76</v>
      </c>
      <c r="C63" s="32" t="s">
        <v>31</v>
      </c>
      <c r="D63" s="49">
        <f>D64+D65</f>
        <v>28.415</v>
      </c>
      <c r="E63" s="31">
        <f>E64+E65</f>
        <v>0</v>
      </c>
      <c r="F63" s="31">
        <v>0</v>
      </c>
      <c r="G63" s="29">
        <f t="shared" si="15"/>
        <v>28.415</v>
      </c>
      <c r="H63" s="31">
        <v>0</v>
      </c>
      <c r="I63" s="30">
        <f>1.05*25</f>
        <v>26.25</v>
      </c>
      <c r="J63" s="45">
        <f>I63-G63-H63</f>
        <v>-2.164999999999999</v>
      </c>
      <c r="K63" s="131">
        <f>MIN(J63:J65)</f>
        <v>-2.164999999999999</v>
      </c>
      <c r="L63" s="118" t="s">
        <v>25</v>
      </c>
      <c r="M63" s="16"/>
      <c r="N63" s="118">
        <v>42</v>
      </c>
      <c r="O63" s="31" t="s">
        <v>76</v>
      </c>
      <c r="P63" s="32" t="s">
        <v>31</v>
      </c>
      <c r="Q63" s="87">
        <f>Q64+Q65</f>
        <v>0.6363770000000001</v>
      </c>
      <c r="R63" s="51">
        <f>R64+R65</f>
        <v>29.051377000000002</v>
      </c>
      <c r="S63" s="31">
        <v>0</v>
      </c>
      <c r="T63" s="31">
        <v>0</v>
      </c>
      <c r="U63" s="29">
        <f t="shared" si="16"/>
        <v>29.051377000000002</v>
      </c>
      <c r="V63" s="31">
        <v>0</v>
      </c>
      <c r="W63" s="30">
        <f>1.05*25</f>
        <v>26.25</v>
      </c>
      <c r="X63" s="3">
        <f>W63-U63-V63</f>
        <v>-2.8013770000000022</v>
      </c>
      <c r="Y63" s="131">
        <f>MIN(X63:X65)</f>
        <v>-2.8013770000000022</v>
      </c>
      <c r="Z63" s="118" t="s">
        <v>25</v>
      </c>
    </row>
    <row r="64" spans="1:26" s="1" customFormat="1" ht="21.75" customHeight="1">
      <c r="A64" s="119"/>
      <c r="B64" s="35" t="s">
        <v>56</v>
      </c>
      <c r="C64" s="32" t="s">
        <v>31</v>
      </c>
      <c r="D64" s="49">
        <v>7.92</v>
      </c>
      <c r="E64" s="49">
        <v>0</v>
      </c>
      <c r="F64" s="31">
        <v>0</v>
      </c>
      <c r="G64" s="30">
        <f t="shared" si="15"/>
        <v>7.92</v>
      </c>
      <c r="H64" s="31">
        <v>0</v>
      </c>
      <c r="I64" s="30">
        <f>1.05*25</f>
        <v>26.25</v>
      </c>
      <c r="J64" s="3">
        <f>I64-D64</f>
        <v>18.33</v>
      </c>
      <c r="K64" s="132"/>
      <c r="L64" s="124"/>
      <c r="M64" s="16"/>
      <c r="N64" s="119"/>
      <c r="O64" s="35" t="s">
        <v>56</v>
      </c>
      <c r="P64" s="32" t="s">
        <v>31</v>
      </c>
      <c r="Q64" s="87"/>
      <c r="R64" s="51">
        <f>D64+Q64</f>
        <v>7.92</v>
      </c>
      <c r="S64" s="31">
        <v>0</v>
      </c>
      <c r="T64" s="31">
        <v>0</v>
      </c>
      <c r="U64" s="29">
        <f t="shared" si="16"/>
        <v>7.92</v>
      </c>
      <c r="V64" s="31">
        <v>0</v>
      </c>
      <c r="W64" s="30">
        <f>1.05*25</f>
        <v>26.25</v>
      </c>
      <c r="X64" s="3">
        <f>W64-R64</f>
        <v>18.33</v>
      </c>
      <c r="Y64" s="155"/>
      <c r="Z64" s="119"/>
    </row>
    <row r="65" spans="1:26" s="1" customFormat="1" ht="25.5" customHeight="1">
      <c r="A65" s="120"/>
      <c r="B65" s="35" t="s">
        <v>44</v>
      </c>
      <c r="C65" s="32" t="s">
        <v>31</v>
      </c>
      <c r="D65" s="49">
        <v>20.495</v>
      </c>
      <c r="E65" s="31">
        <v>0</v>
      </c>
      <c r="F65" s="31">
        <v>0</v>
      </c>
      <c r="G65" s="30">
        <f t="shared" si="15"/>
        <v>20.495</v>
      </c>
      <c r="H65" s="31">
        <v>0</v>
      </c>
      <c r="I65" s="30">
        <f>1.05*25</f>
        <v>26.25</v>
      </c>
      <c r="J65" s="3">
        <f>I65-G65-H65</f>
        <v>5.754999999999999</v>
      </c>
      <c r="K65" s="133"/>
      <c r="L65" s="125"/>
      <c r="M65" s="16"/>
      <c r="N65" s="120"/>
      <c r="O65" s="35" t="s">
        <v>44</v>
      </c>
      <c r="P65" s="32" t="s">
        <v>31</v>
      </c>
      <c r="Q65" s="87">
        <f>0.012+0.017+0.0054-0.0215+0.607+0.0161+0.013977-0.0204+0.0068</f>
        <v>0.6363770000000001</v>
      </c>
      <c r="R65" s="51">
        <f>D65+Q65</f>
        <v>21.131377</v>
      </c>
      <c r="S65" s="31">
        <v>0</v>
      </c>
      <c r="T65" s="31">
        <v>0</v>
      </c>
      <c r="U65" s="29">
        <f t="shared" si="16"/>
        <v>21.131377</v>
      </c>
      <c r="V65" s="31">
        <v>0</v>
      </c>
      <c r="W65" s="30">
        <f>1.05*25</f>
        <v>26.25</v>
      </c>
      <c r="X65" s="3">
        <f>W65-U65-V65</f>
        <v>5.1186229999999995</v>
      </c>
      <c r="Y65" s="156"/>
      <c r="Z65" s="120"/>
    </row>
    <row r="66" spans="1:26" s="1" customFormat="1" ht="22.5">
      <c r="A66" s="112">
        <v>43</v>
      </c>
      <c r="B66" s="25" t="s">
        <v>77</v>
      </c>
      <c r="C66" s="63" t="s">
        <v>48</v>
      </c>
      <c r="D66" s="48">
        <f>D67+D68</f>
        <v>14.693</v>
      </c>
      <c r="E66" s="25">
        <f>E67+E68</f>
        <v>5.2</v>
      </c>
      <c r="F66" s="25" t="str">
        <f>F67</f>
        <v>6 час</v>
      </c>
      <c r="G66" s="26">
        <f t="shared" si="15"/>
        <v>9.492999999999999</v>
      </c>
      <c r="H66" s="25">
        <v>0</v>
      </c>
      <c r="I66" s="24">
        <f>1.05*16</f>
        <v>16.8</v>
      </c>
      <c r="J66" s="5">
        <f>I66-G66-H66</f>
        <v>7.307000000000002</v>
      </c>
      <c r="K66" s="115">
        <f>MIN(J66:J68)</f>
        <v>7.307000000000002</v>
      </c>
      <c r="L66" s="126" t="s">
        <v>24</v>
      </c>
      <c r="M66" s="16"/>
      <c r="N66" s="112">
        <v>43</v>
      </c>
      <c r="O66" s="25" t="s">
        <v>77</v>
      </c>
      <c r="P66" s="28" t="s">
        <v>48</v>
      </c>
      <c r="Q66" s="85">
        <f>Q67+Q68+0</f>
        <v>0.308728</v>
      </c>
      <c r="R66" s="47">
        <f>R67+R68</f>
        <v>15.001728</v>
      </c>
      <c r="S66" s="25">
        <f>S67+S68</f>
        <v>5.2</v>
      </c>
      <c r="T66" s="25" t="str">
        <f>T67</f>
        <v>6 час</v>
      </c>
      <c r="U66" s="26">
        <f t="shared" si="16"/>
        <v>9.801728</v>
      </c>
      <c r="V66" s="25">
        <v>0</v>
      </c>
      <c r="W66" s="24">
        <f>1.05*16</f>
        <v>16.8</v>
      </c>
      <c r="X66" s="5">
        <f>W66-U66-V66</f>
        <v>6.998272</v>
      </c>
      <c r="Y66" s="115">
        <f>MIN(X66:X68)</f>
        <v>6.998272</v>
      </c>
      <c r="Z66" s="126" t="s">
        <v>24</v>
      </c>
    </row>
    <row r="67" spans="1:26" s="1" customFormat="1" ht="22.5" customHeight="1">
      <c r="A67" s="113"/>
      <c r="B67" s="27" t="s">
        <v>56</v>
      </c>
      <c r="C67" s="63" t="s">
        <v>48</v>
      </c>
      <c r="D67" s="48">
        <v>6.789</v>
      </c>
      <c r="E67" s="25">
        <v>5.2</v>
      </c>
      <c r="F67" s="25" t="s">
        <v>57</v>
      </c>
      <c r="G67" s="26">
        <f t="shared" si="15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16"/>
      <c r="L67" s="127"/>
      <c r="M67" s="16"/>
      <c r="N67" s="113"/>
      <c r="O67" s="27" t="s">
        <v>56</v>
      </c>
      <c r="P67" s="28" t="s">
        <v>48</v>
      </c>
      <c r="Q67" s="85"/>
      <c r="R67" s="47">
        <f>Q67+D67</f>
        <v>6.789</v>
      </c>
      <c r="S67" s="25">
        <v>5.2</v>
      </c>
      <c r="T67" s="25" t="s">
        <v>57</v>
      </c>
      <c r="U67" s="26">
        <f t="shared" si="16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45"/>
      <c r="Z67" s="129"/>
    </row>
    <row r="68" spans="1:26" s="1" customFormat="1" ht="22.5" customHeight="1">
      <c r="A68" s="114"/>
      <c r="B68" s="27" t="s">
        <v>44</v>
      </c>
      <c r="C68" s="63" t="s">
        <v>48</v>
      </c>
      <c r="D68" s="48">
        <v>7.904</v>
      </c>
      <c r="E68" s="25">
        <v>0</v>
      </c>
      <c r="F68" s="25">
        <v>0</v>
      </c>
      <c r="G68" s="26">
        <f t="shared" si="15"/>
        <v>7.904</v>
      </c>
      <c r="H68" s="25">
        <v>0</v>
      </c>
      <c r="I68" s="24">
        <f>1.05*16</f>
        <v>16.8</v>
      </c>
      <c r="J68" s="5">
        <f>I68-G68-H68</f>
        <v>8.896</v>
      </c>
      <c r="K68" s="117"/>
      <c r="L68" s="128"/>
      <c r="M68" s="16"/>
      <c r="N68" s="114"/>
      <c r="O68" s="27" t="s">
        <v>44</v>
      </c>
      <c r="P68" s="28" t="s">
        <v>48</v>
      </c>
      <c r="Q68" s="85">
        <f>0.102+0.031+0.005+0.032+0.018+0.006+0.011+0.016+0.007-0.0973+0.0215+0.0269+0.0183+0.0312+0.008+0.0054+0.0161+0.0161+0.0645+0.016128-0.0882+0.0065+0.0215+0.0073+0.0068</f>
        <v>0.308728</v>
      </c>
      <c r="R68" s="47">
        <f>Q68+D68</f>
        <v>8.212728</v>
      </c>
      <c r="S68" s="25">
        <v>0</v>
      </c>
      <c r="T68" s="25">
        <v>0</v>
      </c>
      <c r="U68" s="26">
        <f t="shared" si="16"/>
        <v>8.212728</v>
      </c>
      <c r="V68" s="25">
        <v>0</v>
      </c>
      <c r="W68" s="24">
        <f>1.05*16</f>
        <v>16.8</v>
      </c>
      <c r="X68" s="5">
        <f>W68-U68-V68</f>
        <v>8.587272</v>
      </c>
      <c r="Y68" s="146"/>
      <c r="Z68" s="130"/>
    </row>
    <row r="69" spans="1:26" s="1" customFormat="1" ht="22.5">
      <c r="A69" s="18">
        <v>44</v>
      </c>
      <c r="B69" s="65" t="s">
        <v>78</v>
      </c>
      <c r="C69" s="63" t="s">
        <v>26</v>
      </c>
      <c r="D69" s="48">
        <v>7.923</v>
      </c>
      <c r="E69" s="25">
        <v>0</v>
      </c>
      <c r="F69" s="25">
        <v>0</v>
      </c>
      <c r="G69" s="24">
        <f t="shared" si="15"/>
        <v>7.923</v>
      </c>
      <c r="H69" s="25">
        <v>0</v>
      </c>
      <c r="I69" s="24">
        <f>1.05*10</f>
        <v>10.5</v>
      </c>
      <c r="J69" s="6">
        <f>I69-G69-H69</f>
        <v>2.577</v>
      </c>
      <c r="K69" s="48">
        <f>J69</f>
        <v>2.577</v>
      </c>
      <c r="L69" s="17" t="s">
        <v>24</v>
      </c>
      <c r="M69" s="16"/>
      <c r="N69" s="18">
        <v>44</v>
      </c>
      <c r="O69" s="65" t="s">
        <v>78</v>
      </c>
      <c r="P69" s="28" t="s">
        <v>26</v>
      </c>
      <c r="Q69" s="85">
        <f>1.183+0.215+0.323+0.3226</f>
        <v>2.0436</v>
      </c>
      <c r="R69" s="47">
        <f>Q69+D69</f>
        <v>9.9666</v>
      </c>
      <c r="S69" s="25">
        <v>0</v>
      </c>
      <c r="T69" s="25">
        <v>0</v>
      </c>
      <c r="U69" s="26">
        <f t="shared" si="16"/>
        <v>9.9666</v>
      </c>
      <c r="V69" s="25">
        <v>0</v>
      </c>
      <c r="W69" s="24">
        <f>1.05*10</f>
        <v>10.5</v>
      </c>
      <c r="X69" s="6">
        <f>W69-U69-V69</f>
        <v>0.5334000000000003</v>
      </c>
      <c r="Y69" s="48">
        <f>X69</f>
        <v>0.5334000000000003</v>
      </c>
      <c r="Z69" s="12" t="s">
        <v>24</v>
      </c>
    </row>
    <row r="70" spans="1:26" s="1" customFormat="1" ht="22.5">
      <c r="A70" s="112">
        <v>45</v>
      </c>
      <c r="B70" s="25" t="s">
        <v>79</v>
      </c>
      <c r="C70" s="63" t="s">
        <v>31</v>
      </c>
      <c r="D70" s="48">
        <f>D71+D72</f>
        <v>8.434000000000001</v>
      </c>
      <c r="E70" s="25">
        <f>E71+E72</f>
        <v>2.68</v>
      </c>
      <c r="F70" s="25" t="s">
        <v>57</v>
      </c>
      <c r="G70" s="26">
        <f t="shared" si="15"/>
        <v>5.754000000000001</v>
      </c>
      <c r="H70" s="25">
        <v>0</v>
      </c>
      <c r="I70" s="24">
        <f>1.05*25</f>
        <v>26.25</v>
      </c>
      <c r="J70" s="5">
        <f>I70-G70-H70</f>
        <v>20.496</v>
      </c>
      <c r="K70" s="115">
        <f>MIN(J70:J72)</f>
        <v>20.496</v>
      </c>
      <c r="L70" s="126" t="s">
        <v>24</v>
      </c>
      <c r="M70" s="16"/>
      <c r="N70" s="112">
        <v>45</v>
      </c>
      <c r="O70" s="25" t="s">
        <v>79</v>
      </c>
      <c r="P70" s="28" t="s">
        <v>31</v>
      </c>
      <c r="Q70" s="85">
        <f>Q71+Q72</f>
        <v>0</v>
      </c>
      <c r="R70" s="47">
        <f>R71+R72</f>
        <v>8.434000000000001</v>
      </c>
      <c r="S70" s="25">
        <f>S71+S72</f>
        <v>2.4</v>
      </c>
      <c r="T70" s="25" t="s">
        <v>57</v>
      </c>
      <c r="U70" s="26">
        <f t="shared" si="16"/>
        <v>6.034000000000001</v>
      </c>
      <c r="V70" s="25">
        <v>0</v>
      </c>
      <c r="W70" s="24">
        <f>1.05*25</f>
        <v>26.25</v>
      </c>
      <c r="X70" s="5">
        <f>W70-U70-V70</f>
        <v>20.216</v>
      </c>
      <c r="Y70" s="115">
        <f>MIN(X70:X72)</f>
        <v>20.216</v>
      </c>
      <c r="Z70" s="126" t="s">
        <v>24</v>
      </c>
    </row>
    <row r="71" spans="1:26" s="1" customFormat="1" ht="22.5" customHeight="1">
      <c r="A71" s="113"/>
      <c r="B71" s="27" t="s">
        <v>56</v>
      </c>
      <c r="C71" s="63" t="s">
        <v>31</v>
      </c>
      <c r="D71" s="48">
        <v>5.229</v>
      </c>
      <c r="E71" s="25">
        <v>2.68</v>
      </c>
      <c r="F71" s="25" t="s">
        <v>57</v>
      </c>
      <c r="G71" s="26">
        <f t="shared" si="15"/>
        <v>2.549</v>
      </c>
      <c r="H71" s="25">
        <v>0</v>
      </c>
      <c r="I71" s="24">
        <f>1.05*25</f>
        <v>26.25</v>
      </c>
      <c r="J71" s="5">
        <f>I71-D71</f>
        <v>21.021</v>
      </c>
      <c r="K71" s="116"/>
      <c r="L71" s="127"/>
      <c r="M71" s="16"/>
      <c r="N71" s="113"/>
      <c r="O71" s="27" t="s">
        <v>56</v>
      </c>
      <c r="P71" s="28" t="s">
        <v>31</v>
      </c>
      <c r="Q71" s="85"/>
      <c r="R71" s="47">
        <f>Q71+D71</f>
        <v>5.229</v>
      </c>
      <c r="S71" s="25">
        <v>2.4</v>
      </c>
      <c r="T71" s="25" t="s">
        <v>57</v>
      </c>
      <c r="U71" s="26">
        <f t="shared" si="16"/>
        <v>2.829</v>
      </c>
      <c r="V71" s="25">
        <v>0</v>
      </c>
      <c r="W71" s="24">
        <f>1.05*25</f>
        <v>26.25</v>
      </c>
      <c r="X71" s="5">
        <f>W71-R71</f>
        <v>21.021</v>
      </c>
      <c r="Y71" s="145"/>
      <c r="Z71" s="129"/>
    </row>
    <row r="72" spans="1:26" s="1" customFormat="1" ht="24.75" customHeight="1">
      <c r="A72" s="114"/>
      <c r="B72" s="27" t="s">
        <v>44</v>
      </c>
      <c r="C72" s="63" t="s">
        <v>31</v>
      </c>
      <c r="D72" s="48">
        <v>3.205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7"/>
      <c r="L72" s="128"/>
      <c r="M72" s="16"/>
      <c r="N72" s="114"/>
      <c r="O72" s="27" t="s">
        <v>44</v>
      </c>
      <c r="P72" s="28" t="s">
        <v>31</v>
      </c>
      <c r="Q72" s="85">
        <v>0</v>
      </c>
      <c r="R72" s="47">
        <f aca="true" t="shared" si="19" ref="R72:R135">Q72+D72</f>
        <v>3.205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6"/>
      <c r="Z72" s="130"/>
    </row>
    <row r="73" spans="1:26" s="1" customFormat="1" ht="22.5">
      <c r="A73" s="18">
        <v>46</v>
      </c>
      <c r="B73" s="65" t="s">
        <v>80</v>
      </c>
      <c r="C73" s="63" t="s">
        <v>31</v>
      </c>
      <c r="D73" s="82">
        <v>16.253</v>
      </c>
      <c r="E73" s="65">
        <v>0</v>
      </c>
      <c r="F73" s="65">
        <v>0</v>
      </c>
      <c r="G73" s="66">
        <f aca="true" t="shared" si="20" ref="G73:G104">D73-E73</f>
        <v>16.253</v>
      </c>
      <c r="H73" s="65">
        <v>0</v>
      </c>
      <c r="I73" s="66">
        <f>1.05*25</f>
        <v>26.25</v>
      </c>
      <c r="J73" s="2">
        <f>I73-G73-H73</f>
        <v>9.997</v>
      </c>
      <c r="K73" s="82">
        <f>J73</f>
        <v>9.997</v>
      </c>
      <c r="L73" s="97" t="s">
        <v>24</v>
      </c>
      <c r="M73" s="16"/>
      <c r="N73" s="18">
        <v>46</v>
      </c>
      <c r="O73" s="65" t="s">
        <v>80</v>
      </c>
      <c r="P73" s="63" t="s">
        <v>31</v>
      </c>
      <c r="Q73" s="81">
        <f>0.965+0.005+0.011+0.12+0.011+0.054+0.8505+0.0054-0.2408+1.0214+0.0237+0.7956+1.355+0.043+0.0215+0.0323+0.801014-0.0876+0.0054+0.0054+0.258+0.0283+0.0108+0.0237</f>
        <v>6.118613999999998</v>
      </c>
      <c r="R73" s="79">
        <f t="shared" si="19"/>
        <v>22.371613999999997</v>
      </c>
      <c r="S73" s="65">
        <v>0</v>
      </c>
      <c r="T73" s="65">
        <v>0</v>
      </c>
      <c r="U73" s="64">
        <f aca="true" t="shared" si="21" ref="U73:U104">R73-S73</f>
        <v>22.371613999999997</v>
      </c>
      <c r="V73" s="65">
        <v>0</v>
      </c>
      <c r="W73" s="66">
        <f>1.05*25</f>
        <v>26.25</v>
      </c>
      <c r="X73" s="2">
        <f>W73-U73-V73</f>
        <v>3.8783860000000026</v>
      </c>
      <c r="Y73" s="82">
        <f>X73</f>
        <v>3.8783860000000026</v>
      </c>
      <c r="Z73" s="18" t="s">
        <v>24</v>
      </c>
    </row>
    <row r="74" spans="1:26" s="1" customFormat="1" ht="22.5">
      <c r="A74" s="18">
        <v>47</v>
      </c>
      <c r="B74" s="25" t="s">
        <v>81</v>
      </c>
      <c r="C74" s="63" t="s">
        <v>48</v>
      </c>
      <c r="D74" s="48">
        <v>11.914</v>
      </c>
      <c r="E74" s="25">
        <v>0</v>
      </c>
      <c r="F74" s="25">
        <v>0</v>
      </c>
      <c r="G74" s="26">
        <f t="shared" si="20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48">
        <f>J74</f>
        <v>4.886000000000001</v>
      </c>
      <c r="L74" s="17" t="s">
        <v>24</v>
      </c>
      <c r="M74" s="16"/>
      <c r="N74" s="18">
        <v>47</v>
      </c>
      <c r="O74" s="25" t="s">
        <v>81</v>
      </c>
      <c r="P74" s="28" t="s">
        <v>48</v>
      </c>
      <c r="Q74" s="85">
        <f>0.143+0.054+0.005+0.015+0.075+0.016+0.005+0.053+0.215+0.012+0.038+0.0048+0.0161-0.3316+0.029+0.0048+0.0581+0.0048+0.0538+0.5221+0.0086+0.018816+0.0317-0.0831+0.0156+0.0382+0.0242+0.0161+0.0068+0.021</f>
        <v>1.0908159999999998</v>
      </c>
      <c r="R74" s="47">
        <f t="shared" si="19"/>
        <v>13.004816</v>
      </c>
      <c r="S74" s="25">
        <v>0</v>
      </c>
      <c r="T74" s="25">
        <v>0</v>
      </c>
      <c r="U74" s="26">
        <f t="shared" si="21"/>
        <v>13.004816</v>
      </c>
      <c r="V74" s="25">
        <v>0</v>
      </c>
      <c r="W74" s="24">
        <f>1.05*16</f>
        <v>16.8</v>
      </c>
      <c r="X74" s="6">
        <f>W74-U74-V74</f>
        <v>3.795184000000001</v>
      </c>
      <c r="Y74" s="48">
        <f>X74</f>
        <v>3.795184000000001</v>
      </c>
      <c r="Z74" s="12" t="s">
        <v>24</v>
      </c>
    </row>
    <row r="75" spans="1:26" s="1" customFormat="1" ht="22.5">
      <c r="A75" s="22">
        <v>48</v>
      </c>
      <c r="B75" s="31" t="s">
        <v>82</v>
      </c>
      <c r="C75" s="32" t="s">
        <v>26</v>
      </c>
      <c r="D75" s="49">
        <v>13.931</v>
      </c>
      <c r="E75" s="31">
        <v>0</v>
      </c>
      <c r="F75" s="31">
        <v>0</v>
      </c>
      <c r="G75" s="30">
        <f t="shared" si="20"/>
        <v>13.931</v>
      </c>
      <c r="H75" s="31">
        <v>0</v>
      </c>
      <c r="I75" s="30">
        <f>1.05*10</f>
        <v>10.5</v>
      </c>
      <c r="J75" s="4">
        <f>I75-G75-H75</f>
        <v>-3.430999999999999</v>
      </c>
      <c r="K75" s="49">
        <f>J75</f>
        <v>-3.430999999999999</v>
      </c>
      <c r="L75" s="19" t="s">
        <v>25</v>
      </c>
      <c r="M75" s="16"/>
      <c r="N75" s="22">
        <v>48</v>
      </c>
      <c r="O75" s="31" t="s">
        <v>82</v>
      </c>
      <c r="P75" s="32" t="s">
        <v>26</v>
      </c>
      <c r="Q75" s="87">
        <f>0.457+1.078+1.078+0.1398+0.1398</f>
        <v>2.8926000000000007</v>
      </c>
      <c r="R75" s="51">
        <f t="shared" si="19"/>
        <v>16.8236</v>
      </c>
      <c r="S75" s="31">
        <v>0</v>
      </c>
      <c r="T75" s="31">
        <v>0</v>
      </c>
      <c r="U75" s="29">
        <f t="shared" si="21"/>
        <v>16.8236</v>
      </c>
      <c r="V75" s="31">
        <v>0</v>
      </c>
      <c r="W75" s="30">
        <f>1.05*10</f>
        <v>10.5</v>
      </c>
      <c r="X75" s="4">
        <f>W75-U75-V75</f>
        <v>-6.323599999999999</v>
      </c>
      <c r="Y75" s="49">
        <f>X75</f>
        <v>-6.323599999999999</v>
      </c>
      <c r="Z75" s="22" t="s">
        <v>25</v>
      </c>
    </row>
    <row r="76" spans="1:26" s="1" customFormat="1" ht="33.75">
      <c r="A76" s="112">
        <v>49</v>
      </c>
      <c r="B76" s="25" t="s">
        <v>83</v>
      </c>
      <c r="C76" s="63" t="s">
        <v>38</v>
      </c>
      <c r="D76" s="48">
        <f>D77+D78</f>
        <v>6.545</v>
      </c>
      <c r="E76" s="25">
        <f>E77+E78</f>
        <v>1.4</v>
      </c>
      <c r="F76" s="25" t="s">
        <v>57</v>
      </c>
      <c r="G76" s="26">
        <f t="shared" si="20"/>
        <v>5.145</v>
      </c>
      <c r="H76" s="25">
        <v>0</v>
      </c>
      <c r="I76" s="24">
        <f>1.05*10</f>
        <v>10.5</v>
      </c>
      <c r="J76" s="5">
        <f>I76-G76-H76</f>
        <v>5.355</v>
      </c>
      <c r="K76" s="115">
        <f>MIN(J76:J78)</f>
        <v>5.355</v>
      </c>
      <c r="L76" s="126" t="s">
        <v>24</v>
      </c>
      <c r="M76" s="16"/>
      <c r="N76" s="112">
        <v>49</v>
      </c>
      <c r="O76" s="25" t="s">
        <v>83</v>
      </c>
      <c r="P76" s="28" t="s">
        <v>38</v>
      </c>
      <c r="Q76" s="85">
        <f>Q77+Q78</f>
        <v>1.0428760000000001</v>
      </c>
      <c r="R76" s="47">
        <f>R77+R78</f>
        <v>7.5878760000000005</v>
      </c>
      <c r="S76" s="25">
        <f>S77+S78</f>
        <v>1.4</v>
      </c>
      <c r="T76" s="25" t="s">
        <v>57</v>
      </c>
      <c r="U76" s="26">
        <f t="shared" si="21"/>
        <v>6.187876000000001</v>
      </c>
      <c r="V76" s="25">
        <v>0</v>
      </c>
      <c r="W76" s="24">
        <f>1.05*10</f>
        <v>10.5</v>
      </c>
      <c r="X76" s="5">
        <f>W76-U76-V76</f>
        <v>4.312123999999999</v>
      </c>
      <c r="Y76" s="115">
        <f>MIN(X76:X78)</f>
        <v>4.312123999999999</v>
      </c>
      <c r="Z76" s="126" t="s">
        <v>24</v>
      </c>
    </row>
    <row r="77" spans="1:26" s="1" customFormat="1" ht="24" customHeight="1">
      <c r="A77" s="113"/>
      <c r="B77" s="27" t="s">
        <v>56</v>
      </c>
      <c r="C77" s="63" t="s">
        <v>38</v>
      </c>
      <c r="D77" s="48">
        <v>2.149</v>
      </c>
      <c r="E77" s="25">
        <v>1.4</v>
      </c>
      <c r="F77" s="25" t="s">
        <v>57</v>
      </c>
      <c r="G77" s="26">
        <f t="shared" si="20"/>
        <v>0.7490000000000001</v>
      </c>
      <c r="H77" s="25">
        <v>0</v>
      </c>
      <c r="I77" s="24">
        <f>1.05*10</f>
        <v>10.5</v>
      </c>
      <c r="J77" s="5">
        <f>I77-D77</f>
        <v>8.350999999999999</v>
      </c>
      <c r="K77" s="116"/>
      <c r="L77" s="127"/>
      <c r="M77" s="16"/>
      <c r="N77" s="113"/>
      <c r="O77" s="27" t="s">
        <v>56</v>
      </c>
      <c r="P77" s="28" t="s">
        <v>38</v>
      </c>
      <c r="Q77" s="85"/>
      <c r="R77" s="47">
        <f t="shared" si="19"/>
        <v>2.149</v>
      </c>
      <c r="S77" s="25">
        <v>1.4</v>
      </c>
      <c r="T77" s="25" t="s">
        <v>57</v>
      </c>
      <c r="U77" s="26">
        <f t="shared" si="21"/>
        <v>0.7490000000000001</v>
      </c>
      <c r="V77" s="25">
        <v>0</v>
      </c>
      <c r="W77" s="24">
        <f>1.05*10</f>
        <v>10.5</v>
      </c>
      <c r="X77" s="5">
        <f>W77-R77</f>
        <v>8.350999999999999</v>
      </c>
      <c r="Y77" s="145"/>
      <c r="Z77" s="129"/>
    </row>
    <row r="78" spans="1:26" s="1" customFormat="1" ht="24" customHeight="1">
      <c r="A78" s="114"/>
      <c r="B78" s="27" t="s">
        <v>44</v>
      </c>
      <c r="C78" s="63" t="s">
        <v>38</v>
      </c>
      <c r="D78" s="48">
        <v>4.396</v>
      </c>
      <c r="E78" s="25">
        <v>0</v>
      </c>
      <c r="F78" s="25">
        <v>0</v>
      </c>
      <c r="G78" s="26">
        <f t="shared" si="20"/>
        <v>4.396</v>
      </c>
      <c r="H78" s="25">
        <v>0</v>
      </c>
      <c r="I78" s="24">
        <f>1.05*10</f>
        <v>10.5</v>
      </c>
      <c r="J78" s="5">
        <f>I78-G78-H78</f>
        <v>6.104</v>
      </c>
      <c r="K78" s="117"/>
      <c r="L78" s="128"/>
      <c r="M78" s="16"/>
      <c r="N78" s="114"/>
      <c r="O78" s="27" t="s">
        <v>44</v>
      </c>
      <c r="P78" s="28" t="s">
        <v>38</v>
      </c>
      <c r="Q78" s="85">
        <f>0.059+0.048+0.005+0.017+0.005+0.031+0.023+0.348+0.014+0.01+0.0172+0.0263-0.0914+0.0108+0.0426+0.0183+0.1545+0.006+0.0581+0.0113+0.0484+0.0419+0.005376-0.1726+0.0135+0.0068+0.0135+0.2723</f>
        <v>1.0428760000000001</v>
      </c>
      <c r="R78" s="47">
        <f t="shared" si="19"/>
        <v>5.4388760000000005</v>
      </c>
      <c r="S78" s="25">
        <v>0</v>
      </c>
      <c r="T78" s="25">
        <v>0</v>
      </c>
      <c r="U78" s="26">
        <f t="shared" si="21"/>
        <v>5.4388760000000005</v>
      </c>
      <c r="V78" s="25">
        <v>0</v>
      </c>
      <c r="W78" s="24">
        <f>1.05*10</f>
        <v>10.5</v>
      </c>
      <c r="X78" s="5">
        <f>W78-U78-V78</f>
        <v>5.0611239999999995</v>
      </c>
      <c r="Y78" s="146"/>
      <c r="Z78" s="130"/>
    </row>
    <row r="79" spans="1:26" s="1" customFormat="1" ht="22.5">
      <c r="A79" s="112">
        <v>50</v>
      </c>
      <c r="B79" s="25" t="s">
        <v>84</v>
      </c>
      <c r="C79" s="63" t="s">
        <v>30</v>
      </c>
      <c r="D79" s="48">
        <f>D80+D81</f>
        <v>9.208</v>
      </c>
      <c r="E79" s="25">
        <f>E80+E81</f>
        <v>3.7</v>
      </c>
      <c r="F79" s="25" t="s">
        <v>57</v>
      </c>
      <c r="G79" s="26">
        <f t="shared" si="20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15">
        <f>MIN(J79:J81)</f>
        <v>11.292000000000002</v>
      </c>
      <c r="L79" s="126" t="s">
        <v>24</v>
      </c>
      <c r="M79" s="16"/>
      <c r="N79" s="112">
        <v>50</v>
      </c>
      <c r="O79" s="25" t="s">
        <v>84</v>
      </c>
      <c r="P79" s="28" t="s">
        <v>30</v>
      </c>
      <c r="Q79" s="85">
        <f>Q80+Q81</f>
        <v>0.23130000000000003</v>
      </c>
      <c r="R79" s="47">
        <f>R80+R81</f>
        <v>9.4393</v>
      </c>
      <c r="S79" s="25">
        <f>S80+S81</f>
        <v>3.7</v>
      </c>
      <c r="T79" s="25" t="s">
        <v>57</v>
      </c>
      <c r="U79" s="26">
        <f t="shared" si="21"/>
        <v>5.739299999999999</v>
      </c>
      <c r="V79" s="25">
        <v>0</v>
      </c>
      <c r="W79" s="24">
        <f>1.05*16</f>
        <v>16.8</v>
      </c>
      <c r="X79" s="5">
        <f>W79-U79-V79</f>
        <v>11.0607</v>
      </c>
      <c r="Y79" s="115">
        <f>MIN(X79:X81)</f>
        <v>11.0607</v>
      </c>
      <c r="Z79" s="126" t="s">
        <v>24</v>
      </c>
    </row>
    <row r="80" spans="1:26" s="1" customFormat="1" ht="21" customHeight="1">
      <c r="A80" s="113"/>
      <c r="B80" s="27" t="s">
        <v>56</v>
      </c>
      <c r="C80" s="63" t="s">
        <v>30</v>
      </c>
      <c r="D80" s="48">
        <v>4.72</v>
      </c>
      <c r="E80" s="25">
        <v>3.7</v>
      </c>
      <c r="F80" s="25" t="s">
        <v>57</v>
      </c>
      <c r="G80" s="26">
        <f t="shared" si="20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16"/>
      <c r="L80" s="127"/>
      <c r="M80" s="16"/>
      <c r="N80" s="113"/>
      <c r="O80" s="27" t="s">
        <v>56</v>
      </c>
      <c r="P80" s="28" t="s">
        <v>30</v>
      </c>
      <c r="Q80" s="85"/>
      <c r="R80" s="47">
        <f t="shared" si="19"/>
        <v>4.72</v>
      </c>
      <c r="S80" s="25">
        <v>3.7</v>
      </c>
      <c r="T80" s="25" t="s">
        <v>57</v>
      </c>
      <c r="U80" s="26">
        <f t="shared" si="21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45"/>
      <c r="Z80" s="129"/>
    </row>
    <row r="81" spans="1:26" s="1" customFormat="1" ht="18.75" customHeight="1">
      <c r="A81" s="114"/>
      <c r="B81" s="27" t="s">
        <v>44</v>
      </c>
      <c r="C81" s="63" t="s">
        <v>30</v>
      </c>
      <c r="D81" s="48">
        <v>4.488</v>
      </c>
      <c r="E81" s="25">
        <v>0</v>
      </c>
      <c r="F81" s="25">
        <v>0</v>
      </c>
      <c r="G81" s="26">
        <f t="shared" si="20"/>
        <v>4.488</v>
      </c>
      <c r="H81" s="25">
        <v>0</v>
      </c>
      <c r="I81" s="24">
        <f>1.05*16</f>
        <v>16.8</v>
      </c>
      <c r="J81" s="5">
        <f>I81-G81-H81</f>
        <v>12.312000000000001</v>
      </c>
      <c r="K81" s="117"/>
      <c r="L81" s="128"/>
      <c r="M81" s="16"/>
      <c r="N81" s="114"/>
      <c r="O81" s="27" t="s">
        <v>44</v>
      </c>
      <c r="P81" s="28" t="s">
        <v>30</v>
      </c>
      <c r="Q81" s="85">
        <f>0.02+0.016+0.003+0.003-0.0086+0.0269+0.1562+0.008+0.0068</f>
        <v>0.23130000000000003</v>
      </c>
      <c r="R81" s="47">
        <f t="shared" si="19"/>
        <v>4.7193000000000005</v>
      </c>
      <c r="S81" s="25">
        <v>0</v>
      </c>
      <c r="T81" s="25">
        <v>0</v>
      </c>
      <c r="U81" s="26">
        <f t="shared" si="21"/>
        <v>4.7193000000000005</v>
      </c>
      <c r="V81" s="25">
        <v>0</v>
      </c>
      <c r="W81" s="24">
        <f>1.05*16</f>
        <v>16.8</v>
      </c>
      <c r="X81" s="5">
        <f>W81-U81-V81</f>
        <v>12.0807</v>
      </c>
      <c r="Y81" s="146"/>
      <c r="Z81" s="130"/>
    </row>
    <row r="82" spans="1:26" s="1" customFormat="1" ht="22.5">
      <c r="A82" s="18">
        <v>51</v>
      </c>
      <c r="B82" s="65" t="s">
        <v>85</v>
      </c>
      <c r="C82" s="63" t="s">
        <v>49</v>
      </c>
      <c r="D82" s="48">
        <v>0.815</v>
      </c>
      <c r="E82" s="25">
        <v>0</v>
      </c>
      <c r="F82" s="25">
        <v>0</v>
      </c>
      <c r="G82" s="26">
        <f t="shared" si="20"/>
        <v>0.815</v>
      </c>
      <c r="H82" s="25">
        <v>0</v>
      </c>
      <c r="I82" s="24">
        <f>1.05*2.5</f>
        <v>2.625</v>
      </c>
      <c r="J82" s="6">
        <f>I82-G82-H82</f>
        <v>1.81</v>
      </c>
      <c r="K82" s="48">
        <f>J82</f>
        <v>1.81</v>
      </c>
      <c r="L82" s="17" t="s">
        <v>24</v>
      </c>
      <c r="M82" s="16"/>
      <c r="N82" s="18">
        <v>51</v>
      </c>
      <c r="O82" s="25" t="s">
        <v>85</v>
      </c>
      <c r="P82" s="28" t="s">
        <v>49</v>
      </c>
      <c r="Q82" s="85">
        <f>0.008+0.002+0.005+0.005+0.008+0.0054+0.0108+0.0161+0.1851+0.0075+0.008+0.0102+0.0054+0.0323+0.0108-0.0306+0.0008+0.021</f>
        <v>0.3108</v>
      </c>
      <c r="R82" s="47">
        <f t="shared" si="19"/>
        <v>1.1258</v>
      </c>
      <c r="S82" s="25">
        <v>0</v>
      </c>
      <c r="T82" s="25">
        <v>0</v>
      </c>
      <c r="U82" s="26">
        <f t="shared" si="21"/>
        <v>1.1258</v>
      </c>
      <c r="V82" s="25">
        <v>0</v>
      </c>
      <c r="W82" s="24">
        <f>1.05*2.5</f>
        <v>2.625</v>
      </c>
      <c r="X82" s="6">
        <f>W82-U82-V82</f>
        <v>1.4992</v>
      </c>
      <c r="Y82" s="48">
        <f>X82</f>
        <v>1.4992</v>
      </c>
      <c r="Z82" s="12" t="s">
        <v>24</v>
      </c>
    </row>
    <row r="83" spans="1:26" s="74" customFormat="1" ht="22.5">
      <c r="A83" s="18">
        <v>52</v>
      </c>
      <c r="B83" s="65" t="s">
        <v>86</v>
      </c>
      <c r="C83" s="63" t="s">
        <v>30</v>
      </c>
      <c r="D83" s="82">
        <v>14.723</v>
      </c>
      <c r="E83" s="65">
        <v>0</v>
      </c>
      <c r="F83" s="65">
        <v>0</v>
      </c>
      <c r="G83" s="66">
        <f t="shared" si="20"/>
        <v>14.723</v>
      </c>
      <c r="H83" s="65">
        <v>0</v>
      </c>
      <c r="I83" s="66">
        <f>1.05*16</f>
        <v>16.8</v>
      </c>
      <c r="J83" s="2">
        <f>I83-G83-H83</f>
        <v>2.077</v>
      </c>
      <c r="K83" s="82">
        <f>J83</f>
        <v>2.077</v>
      </c>
      <c r="L83" s="97" t="s">
        <v>24</v>
      </c>
      <c r="M83" s="16"/>
      <c r="N83" s="18">
        <v>52</v>
      </c>
      <c r="O83" s="65" t="s">
        <v>86</v>
      </c>
      <c r="P83" s="63" t="s">
        <v>30</v>
      </c>
      <c r="Q83" s="81">
        <f>1.472-0.8354+0.3226</f>
        <v>0.9591999999999999</v>
      </c>
      <c r="R83" s="79">
        <f t="shared" si="19"/>
        <v>15.6822</v>
      </c>
      <c r="S83" s="65">
        <v>0</v>
      </c>
      <c r="T83" s="65">
        <v>0</v>
      </c>
      <c r="U83" s="64">
        <f t="shared" si="21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2">
        <f>X83</f>
        <v>1.1178000000000008</v>
      </c>
      <c r="Z83" s="18" t="s">
        <v>24</v>
      </c>
    </row>
    <row r="84" spans="1:26" s="1" customFormat="1" ht="22.5">
      <c r="A84" s="112">
        <v>53</v>
      </c>
      <c r="B84" s="25" t="s">
        <v>87</v>
      </c>
      <c r="C84" s="63" t="s">
        <v>38</v>
      </c>
      <c r="D84" s="48">
        <f>D85+D86</f>
        <v>6.54</v>
      </c>
      <c r="E84" s="25">
        <f>E85+E86</f>
        <v>4.5</v>
      </c>
      <c r="F84" s="25" t="s">
        <v>57</v>
      </c>
      <c r="G84" s="26">
        <f t="shared" si="20"/>
        <v>2.04</v>
      </c>
      <c r="H84" s="25">
        <v>0</v>
      </c>
      <c r="I84" s="24">
        <f>1.05*10</f>
        <v>10.5</v>
      </c>
      <c r="J84" s="5">
        <f>I84-G84-H84</f>
        <v>8.46</v>
      </c>
      <c r="K84" s="115">
        <f>MIN(J84:J86)</f>
        <v>4.72</v>
      </c>
      <c r="L84" s="126" t="s">
        <v>24</v>
      </c>
      <c r="M84" s="16"/>
      <c r="N84" s="112">
        <v>53</v>
      </c>
      <c r="O84" s="25" t="s">
        <v>87</v>
      </c>
      <c r="P84" s="28" t="s">
        <v>38</v>
      </c>
      <c r="Q84" s="85">
        <f>Q85+Q86</f>
        <v>2.897086</v>
      </c>
      <c r="R84" s="47">
        <f>R85+R86</f>
        <v>9.437086</v>
      </c>
      <c r="S84" s="25">
        <f>S85+S86</f>
        <v>4.5</v>
      </c>
      <c r="T84" s="25" t="s">
        <v>57</v>
      </c>
      <c r="U84" s="26">
        <f t="shared" si="21"/>
        <v>4.937086000000001</v>
      </c>
      <c r="V84" s="25">
        <v>0</v>
      </c>
      <c r="W84" s="24">
        <f>1.05*10</f>
        <v>10.5</v>
      </c>
      <c r="X84" s="5">
        <f>W84-U84-V84</f>
        <v>5.562913999999999</v>
      </c>
      <c r="Y84" s="115">
        <f>MIN(X84:X86)</f>
        <v>4.72</v>
      </c>
      <c r="Z84" s="126" t="s">
        <v>24</v>
      </c>
    </row>
    <row r="85" spans="1:26" s="1" customFormat="1" ht="21.75" customHeight="1">
      <c r="A85" s="113"/>
      <c r="B85" s="27" t="s">
        <v>56</v>
      </c>
      <c r="C85" s="63" t="s">
        <v>38</v>
      </c>
      <c r="D85" s="48">
        <v>5.78</v>
      </c>
      <c r="E85" s="25">
        <v>4.5</v>
      </c>
      <c r="F85" s="25" t="s">
        <v>57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16"/>
      <c r="L85" s="127"/>
      <c r="M85" s="16"/>
      <c r="N85" s="113"/>
      <c r="O85" s="27" t="s">
        <v>56</v>
      </c>
      <c r="P85" s="28" t="s">
        <v>38</v>
      </c>
      <c r="Q85" s="85"/>
      <c r="R85" s="47">
        <f t="shared" si="19"/>
        <v>5.78</v>
      </c>
      <c r="S85" s="25">
        <v>4.5</v>
      </c>
      <c r="T85" s="25" t="s">
        <v>57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45"/>
      <c r="Z85" s="129"/>
    </row>
    <row r="86" spans="1:26" s="1" customFormat="1" ht="21.75" customHeight="1">
      <c r="A86" s="114"/>
      <c r="B86" s="27" t="s">
        <v>44</v>
      </c>
      <c r="C86" s="63" t="s">
        <v>38</v>
      </c>
      <c r="D86" s="48">
        <v>0.76</v>
      </c>
      <c r="E86" s="25">
        <v>0</v>
      </c>
      <c r="F86" s="25">
        <v>0</v>
      </c>
      <c r="G86" s="26">
        <f t="shared" si="20"/>
        <v>0.76</v>
      </c>
      <c r="H86" s="25">
        <v>0</v>
      </c>
      <c r="I86" s="24">
        <f>1.05*10</f>
        <v>10.5</v>
      </c>
      <c r="J86" s="5">
        <f aca="true" t="shared" si="22" ref="J86:J94">I86-G86-H86</f>
        <v>9.74</v>
      </c>
      <c r="K86" s="117"/>
      <c r="L86" s="128"/>
      <c r="M86" s="16"/>
      <c r="N86" s="114"/>
      <c r="O86" s="27" t="s">
        <v>44</v>
      </c>
      <c r="P86" s="28" t="s">
        <v>38</v>
      </c>
      <c r="Q86" s="85">
        <f>0.01+0.118+0.323+0.015+0.0151-0.3322+0.5914+1.075186-0.0151+1.0752+0.0054+0.0161</f>
        <v>2.897086</v>
      </c>
      <c r="R86" s="47">
        <f t="shared" si="19"/>
        <v>3.6570859999999996</v>
      </c>
      <c r="S86" s="25">
        <v>0</v>
      </c>
      <c r="T86" s="25">
        <v>0</v>
      </c>
      <c r="U86" s="26">
        <f t="shared" si="21"/>
        <v>3.6570859999999996</v>
      </c>
      <c r="V86" s="25">
        <v>0</v>
      </c>
      <c r="W86" s="24">
        <f>1.05*10</f>
        <v>10.5</v>
      </c>
      <c r="X86" s="5">
        <f aca="true" t="shared" si="23" ref="X86:X94">W86-U86-V86</f>
        <v>6.842914</v>
      </c>
      <c r="Y86" s="146"/>
      <c r="Z86" s="130"/>
    </row>
    <row r="87" spans="1:26" s="1" customFormat="1" ht="22.5">
      <c r="A87" s="18">
        <v>54</v>
      </c>
      <c r="B87" s="25" t="s">
        <v>88</v>
      </c>
      <c r="C87" s="63" t="s">
        <v>26</v>
      </c>
      <c r="D87" s="48">
        <v>3.612</v>
      </c>
      <c r="E87" s="25">
        <v>0</v>
      </c>
      <c r="F87" s="25">
        <v>0</v>
      </c>
      <c r="G87" s="26">
        <f t="shared" si="20"/>
        <v>3.612</v>
      </c>
      <c r="H87" s="25">
        <v>0</v>
      </c>
      <c r="I87" s="24">
        <f>1.05*10</f>
        <v>10.5</v>
      </c>
      <c r="J87" s="6">
        <f t="shared" si="22"/>
        <v>6.888</v>
      </c>
      <c r="K87" s="48">
        <f aca="true" t="shared" si="24" ref="K87:K93">J87</f>
        <v>6.888</v>
      </c>
      <c r="L87" s="17" t="s">
        <v>24</v>
      </c>
      <c r="M87" s="16"/>
      <c r="N87" s="18">
        <v>54</v>
      </c>
      <c r="O87" s="25" t="s">
        <v>88</v>
      </c>
      <c r="P87" s="28" t="s">
        <v>26</v>
      </c>
      <c r="Q87" s="85">
        <f>0.493+0.107+0.005+0.016+0.005+0.022+0.045+0.125+0.039+0.028+0.147+0.33+0.032+0.0054+0.021-0.4559+0.0032+0.0161+0.0538+0.0108+0.094+0.0269+0.121+0.0376+0.0484+0.043545+0.687-0.2532+0.0108+0.1814+0.0242+0.0511+1.036+0.0372+0.0548</f>
        <v>3.249145</v>
      </c>
      <c r="R87" s="47">
        <f t="shared" si="19"/>
        <v>6.8611450000000005</v>
      </c>
      <c r="S87" s="25">
        <v>0</v>
      </c>
      <c r="T87" s="25">
        <v>0</v>
      </c>
      <c r="U87" s="26">
        <f t="shared" si="21"/>
        <v>6.8611450000000005</v>
      </c>
      <c r="V87" s="25">
        <v>0</v>
      </c>
      <c r="W87" s="24">
        <f>1.05*10</f>
        <v>10.5</v>
      </c>
      <c r="X87" s="6">
        <f t="shared" si="23"/>
        <v>3.6388549999999995</v>
      </c>
      <c r="Y87" s="48">
        <f aca="true" t="shared" si="25" ref="Y87:Y93">X87</f>
        <v>3.6388549999999995</v>
      </c>
      <c r="Z87" s="12" t="s">
        <v>24</v>
      </c>
    </row>
    <row r="88" spans="1:26" s="1" customFormat="1" ht="22.5">
      <c r="A88" s="18">
        <v>55</v>
      </c>
      <c r="B88" s="65" t="s">
        <v>89</v>
      </c>
      <c r="C88" s="63" t="s">
        <v>29</v>
      </c>
      <c r="D88" s="48">
        <f>0.368</f>
        <v>0.368</v>
      </c>
      <c r="E88" s="25">
        <v>0</v>
      </c>
      <c r="F88" s="25">
        <v>0</v>
      </c>
      <c r="G88" s="26">
        <f t="shared" si="20"/>
        <v>0.368</v>
      </c>
      <c r="H88" s="25">
        <v>0</v>
      </c>
      <c r="I88" s="24">
        <f>1.05*6.3</f>
        <v>6.615</v>
      </c>
      <c r="J88" s="6">
        <f t="shared" si="22"/>
        <v>6.247</v>
      </c>
      <c r="K88" s="48">
        <f t="shared" si="24"/>
        <v>6.247</v>
      </c>
      <c r="L88" s="17" t="s">
        <v>24</v>
      </c>
      <c r="M88" s="16"/>
      <c r="N88" s="18">
        <v>55</v>
      </c>
      <c r="O88" s="25" t="s">
        <v>89</v>
      </c>
      <c r="P88" s="28" t="s">
        <v>29</v>
      </c>
      <c r="Q88" s="85">
        <f>0.007+0.005+0.011+0.005+0.005+0.021+0.091+0.022+0.021+0.05+0.022+0.0027-0.1124+0.0373+0.0032+0.0011+0.0323+0.005+0.0253+0.1118+0.0161+0.013977+0.0108-0.0715+0.0054+0.0294+0.0175+0.0161</f>
        <v>0.404077</v>
      </c>
      <c r="R88" s="47">
        <f t="shared" si="19"/>
        <v>0.772077</v>
      </c>
      <c r="S88" s="25">
        <v>0</v>
      </c>
      <c r="T88" s="25">
        <v>0</v>
      </c>
      <c r="U88" s="26">
        <f t="shared" si="21"/>
        <v>0.772077</v>
      </c>
      <c r="V88" s="25">
        <v>0</v>
      </c>
      <c r="W88" s="24">
        <f>1.05*6.3</f>
        <v>6.615</v>
      </c>
      <c r="X88" s="6">
        <f t="shared" si="23"/>
        <v>5.842923</v>
      </c>
      <c r="Y88" s="48">
        <f t="shared" si="25"/>
        <v>5.842923</v>
      </c>
      <c r="Z88" s="12" t="s">
        <v>24</v>
      </c>
    </row>
    <row r="89" spans="1:26" s="1" customFormat="1" ht="22.5">
      <c r="A89" s="18">
        <v>56</v>
      </c>
      <c r="B89" s="25" t="s">
        <v>91</v>
      </c>
      <c r="C89" s="63" t="s">
        <v>30</v>
      </c>
      <c r="D89" s="48">
        <v>5.645</v>
      </c>
      <c r="E89" s="25">
        <v>0</v>
      </c>
      <c r="F89" s="25">
        <v>0</v>
      </c>
      <c r="G89" s="24">
        <f t="shared" si="20"/>
        <v>5.645</v>
      </c>
      <c r="H89" s="25">
        <v>0</v>
      </c>
      <c r="I89" s="24">
        <f>1.05*16</f>
        <v>16.8</v>
      </c>
      <c r="J89" s="6">
        <f t="shared" si="22"/>
        <v>11.155000000000001</v>
      </c>
      <c r="K89" s="48">
        <f t="shared" si="24"/>
        <v>11.155000000000001</v>
      </c>
      <c r="L89" s="17" t="s">
        <v>24</v>
      </c>
      <c r="M89" s="16"/>
      <c r="N89" s="18">
        <v>56</v>
      </c>
      <c r="O89" s="25" t="s">
        <v>91</v>
      </c>
      <c r="P89" s="28" t="s">
        <v>30</v>
      </c>
      <c r="Q89" s="85">
        <f>0.097+0.032-0.0323+0.2113</f>
        <v>0.308</v>
      </c>
      <c r="R89" s="47">
        <f t="shared" si="19"/>
        <v>5.952999999999999</v>
      </c>
      <c r="S89" s="25">
        <v>0</v>
      </c>
      <c r="T89" s="25">
        <v>0</v>
      </c>
      <c r="U89" s="26">
        <f t="shared" si="21"/>
        <v>5.952999999999999</v>
      </c>
      <c r="V89" s="25">
        <v>0</v>
      </c>
      <c r="W89" s="24">
        <f>1.05*16</f>
        <v>16.8</v>
      </c>
      <c r="X89" s="6">
        <f t="shared" si="23"/>
        <v>10.847000000000001</v>
      </c>
      <c r="Y89" s="48">
        <f t="shared" si="25"/>
        <v>10.847000000000001</v>
      </c>
      <c r="Z89" s="12" t="s">
        <v>24</v>
      </c>
    </row>
    <row r="90" spans="1:26" s="1" customFormat="1" ht="22.5">
      <c r="A90" s="18">
        <v>57</v>
      </c>
      <c r="B90" s="65" t="s">
        <v>93</v>
      </c>
      <c r="C90" s="63" t="s">
        <v>225</v>
      </c>
      <c r="D90" s="82">
        <v>34.56</v>
      </c>
      <c r="E90" s="65">
        <v>0</v>
      </c>
      <c r="F90" s="65">
        <v>0</v>
      </c>
      <c r="G90" s="64">
        <f t="shared" si="20"/>
        <v>34.56</v>
      </c>
      <c r="H90" s="65">
        <v>0</v>
      </c>
      <c r="I90" s="66">
        <f>1.05*65</f>
        <v>68.25</v>
      </c>
      <c r="J90" s="2">
        <f t="shared" si="22"/>
        <v>33.69</v>
      </c>
      <c r="K90" s="82">
        <f t="shared" si="24"/>
        <v>33.69</v>
      </c>
      <c r="L90" s="17" t="s">
        <v>24</v>
      </c>
      <c r="M90" s="16"/>
      <c r="N90" s="18">
        <v>57</v>
      </c>
      <c r="O90" s="25" t="s">
        <v>93</v>
      </c>
      <c r="P90" s="28" t="s">
        <v>225</v>
      </c>
      <c r="Q90" s="85">
        <f>6.452+1.193+3.232+0.955+3.396+0.523+0.492+1.623+0.715+0.019+1.0633+0.3451-1.4687+0.1032+0.1989+1.0763+1.1015+0.877+0.501+0.3933+0.0263+0.005376+1.145-0.5864-11.7824+0.4611+0.0081+7.6983+0.4408+2.3323+0.5242</f>
        <v>23.063575999999998</v>
      </c>
      <c r="R90" s="47">
        <f t="shared" si="19"/>
        <v>57.623576</v>
      </c>
      <c r="S90" s="25">
        <v>0</v>
      </c>
      <c r="T90" s="25">
        <v>0</v>
      </c>
      <c r="U90" s="26">
        <f t="shared" si="21"/>
        <v>57.623576</v>
      </c>
      <c r="V90" s="25">
        <v>0</v>
      </c>
      <c r="W90" s="24">
        <f>1.05*65</f>
        <v>68.25</v>
      </c>
      <c r="X90" s="6">
        <f t="shared" si="23"/>
        <v>10.626424</v>
      </c>
      <c r="Y90" s="48">
        <f t="shared" si="25"/>
        <v>10.626424</v>
      </c>
      <c r="Z90" s="12" t="s">
        <v>24</v>
      </c>
    </row>
    <row r="91" spans="1:26" s="1" customFormat="1" ht="27.75" customHeight="1">
      <c r="A91" s="18">
        <v>58</v>
      </c>
      <c r="B91" s="25" t="s">
        <v>94</v>
      </c>
      <c r="C91" s="63" t="s">
        <v>58</v>
      </c>
      <c r="D91" s="48">
        <v>27.791</v>
      </c>
      <c r="E91" s="25">
        <v>0</v>
      </c>
      <c r="F91" s="25">
        <v>0</v>
      </c>
      <c r="G91" s="26">
        <f t="shared" si="20"/>
        <v>27.791</v>
      </c>
      <c r="H91" s="25">
        <v>0</v>
      </c>
      <c r="I91" s="24">
        <f>1.05*71.5</f>
        <v>75.075</v>
      </c>
      <c r="J91" s="6">
        <f t="shared" si="22"/>
        <v>47.284000000000006</v>
      </c>
      <c r="K91" s="48">
        <f t="shared" si="24"/>
        <v>47.284000000000006</v>
      </c>
      <c r="L91" s="17" t="s">
        <v>24</v>
      </c>
      <c r="M91" s="16"/>
      <c r="N91" s="18">
        <v>58</v>
      </c>
      <c r="O91" s="25" t="s">
        <v>94</v>
      </c>
      <c r="P91" s="28" t="s">
        <v>58</v>
      </c>
      <c r="Q91" s="85">
        <f>0.178+0.2688+0.1484</f>
        <v>0.5952</v>
      </c>
      <c r="R91" s="47">
        <f t="shared" si="19"/>
        <v>28.3862</v>
      </c>
      <c r="S91" s="25">
        <v>0</v>
      </c>
      <c r="T91" s="25">
        <v>0</v>
      </c>
      <c r="U91" s="26">
        <f t="shared" si="21"/>
        <v>28.3862</v>
      </c>
      <c r="V91" s="25">
        <v>0</v>
      </c>
      <c r="W91" s="24">
        <f>1.05*71.5</f>
        <v>75.075</v>
      </c>
      <c r="X91" s="6">
        <f t="shared" si="23"/>
        <v>46.6888</v>
      </c>
      <c r="Y91" s="48">
        <f t="shared" si="25"/>
        <v>46.6888</v>
      </c>
      <c r="Z91" s="12" t="s">
        <v>24</v>
      </c>
    </row>
    <row r="92" spans="1:26" s="1" customFormat="1" ht="22.5">
      <c r="A92" s="18">
        <v>59</v>
      </c>
      <c r="B92" s="25" t="s">
        <v>95</v>
      </c>
      <c r="C92" s="63" t="s">
        <v>26</v>
      </c>
      <c r="D92" s="48">
        <v>4.954</v>
      </c>
      <c r="E92" s="25">
        <v>0</v>
      </c>
      <c r="F92" s="25">
        <v>0</v>
      </c>
      <c r="G92" s="26">
        <f t="shared" si="20"/>
        <v>4.954</v>
      </c>
      <c r="H92" s="25">
        <v>0</v>
      </c>
      <c r="I92" s="24">
        <f>1.05*10</f>
        <v>10.5</v>
      </c>
      <c r="J92" s="6">
        <f t="shared" si="22"/>
        <v>5.546</v>
      </c>
      <c r="K92" s="48">
        <f t="shared" si="24"/>
        <v>5.546</v>
      </c>
      <c r="L92" s="17" t="s">
        <v>24</v>
      </c>
      <c r="M92" s="16"/>
      <c r="N92" s="18">
        <v>59</v>
      </c>
      <c r="O92" s="25" t="s">
        <v>95</v>
      </c>
      <c r="P92" s="28" t="s">
        <v>26</v>
      </c>
      <c r="Q92" s="85">
        <f>0.149+0.005+0.014+0.001+0.021+0.015+0.005+0.123+0.022+0.053+0.005+0.129+0.0296+0.0183-0.0887+0.0441+0.0054+0.0591+0.0285+0.022+0.014+0.0382+0.0331+0.0161+0.021504+0.2183-0.215+0.0591+0.3616+0.0304+0.3269+0.032+0.0068+0.5806</f>
        <v>2.183904</v>
      </c>
      <c r="R92" s="47">
        <f t="shared" si="19"/>
        <v>7.137904</v>
      </c>
      <c r="S92" s="25">
        <v>0</v>
      </c>
      <c r="T92" s="25">
        <v>0</v>
      </c>
      <c r="U92" s="26">
        <f t="shared" si="21"/>
        <v>7.137904</v>
      </c>
      <c r="V92" s="25">
        <v>0</v>
      </c>
      <c r="W92" s="24">
        <f>1.05*10</f>
        <v>10.5</v>
      </c>
      <c r="X92" s="6">
        <f t="shared" si="23"/>
        <v>3.362096</v>
      </c>
      <c r="Y92" s="48">
        <f t="shared" si="25"/>
        <v>3.362096</v>
      </c>
      <c r="Z92" s="12" t="s">
        <v>24</v>
      </c>
    </row>
    <row r="93" spans="1:26" s="1" customFormat="1" ht="22.5" customHeight="1">
      <c r="A93" s="18">
        <v>60</v>
      </c>
      <c r="B93" s="25" t="s">
        <v>96</v>
      </c>
      <c r="C93" s="63" t="s">
        <v>35</v>
      </c>
      <c r="D93" s="48">
        <v>10.207</v>
      </c>
      <c r="E93" s="25">
        <v>0</v>
      </c>
      <c r="F93" s="25">
        <v>0</v>
      </c>
      <c r="G93" s="26">
        <f t="shared" si="20"/>
        <v>10.207</v>
      </c>
      <c r="H93" s="25">
        <v>0</v>
      </c>
      <c r="I93" s="24">
        <f>1.05*20</f>
        <v>21</v>
      </c>
      <c r="J93" s="6">
        <f t="shared" si="22"/>
        <v>10.793</v>
      </c>
      <c r="K93" s="48">
        <f t="shared" si="24"/>
        <v>10.793</v>
      </c>
      <c r="L93" s="17" t="s">
        <v>24</v>
      </c>
      <c r="M93" s="16"/>
      <c r="N93" s="18">
        <v>60</v>
      </c>
      <c r="O93" s="25" t="s">
        <v>96</v>
      </c>
      <c r="P93" s="28" t="s">
        <v>35</v>
      </c>
      <c r="Q93" s="85">
        <f>0.1742</f>
        <v>0.1742</v>
      </c>
      <c r="R93" s="47">
        <f t="shared" si="19"/>
        <v>10.381200000000002</v>
      </c>
      <c r="S93" s="25">
        <v>0</v>
      </c>
      <c r="T93" s="25">
        <v>0</v>
      </c>
      <c r="U93" s="26">
        <f t="shared" si="21"/>
        <v>10.381200000000002</v>
      </c>
      <c r="V93" s="25">
        <v>0</v>
      </c>
      <c r="W93" s="24">
        <f>1.05*20</f>
        <v>21</v>
      </c>
      <c r="X93" s="6">
        <f t="shared" si="23"/>
        <v>10.618799999999998</v>
      </c>
      <c r="Y93" s="48">
        <f t="shared" si="25"/>
        <v>10.618799999999998</v>
      </c>
      <c r="Z93" s="12" t="s">
        <v>24</v>
      </c>
    </row>
    <row r="94" spans="1:26" s="1" customFormat="1" ht="21.75" customHeight="1">
      <c r="A94" s="112">
        <v>61</v>
      </c>
      <c r="B94" s="25" t="s">
        <v>98</v>
      </c>
      <c r="C94" s="93" t="s">
        <v>30</v>
      </c>
      <c r="D94" s="50">
        <f>D95+D96</f>
        <v>14.498000000000001</v>
      </c>
      <c r="E94" s="25">
        <f>E95+E96</f>
        <v>4.8</v>
      </c>
      <c r="F94" s="25" t="s">
        <v>57</v>
      </c>
      <c r="G94" s="26">
        <f t="shared" si="20"/>
        <v>9.698</v>
      </c>
      <c r="H94" s="25">
        <v>0</v>
      </c>
      <c r="I94" s="24">
        <f>1.05*16</f>
        <v>16.8</v>
      </c>
      <c r="J94" s="5">
        <f t="shared" si="22"/>
        <v>7.102</v>
      </c>
      <c r="K94" s="115">
        <f>MIN(J94:J96)</f>
        <v>7.102</v>
      </c>
      <c r="L94" s="126" t="s">
        <v>24</v>
      </c>
      <c r="M94" s="16"/>
      <c r="N94" s="112">
        <v>61</v>
      </c>
      <c r="O94" s="25" t="s">
        <v>98</v>
      </c>
      <c r="P94" s="28" t="s">
        <v>30</v>
      </c>
      <c r="Q94" s="85">
        <f>Q95+Q96</f>
        <v>0.4274</v>
      </c>
      <c r="R94" s="47">
        <f>R95+R96</f>
        <v>14.9254</v>
      </c>
      <c r="S94" s="25">
        <f>S95+S96</f>
        <v>4.8</v>
      </c>
      <c r="T94" s="25" t="s">
        <v>57</v>
      </c>
      <c r="U94" s="26">
        <f t="shared" si="21"/>
        <v>10.125399999999999</v>
      </c>
      <c r="V94" s="25">
        <v>0</v>
      </c>
      <c r="W94" s="24">
        <f>1.05*16</f>
        <v>16.8</v>
      </c>
      <c r="X94" s="5">
        <f t="shared" si="23"/>
        <v>6.674600000000002</v>
      </c>
      <c r="Y94" s="115">
        <f>MIN(X94:X96)</f>
        <v>6.674600000000002</v>
      </c>
      <c r="Z94" s="126" t="s">
        <v>24</v>
      </c>
    </row>
    <row r="95" spans="1:26" s="1" customFormat="1" ht="20.25" customHeight="1">
      <c r="A95" s="113"/>
      <c r="B95" s="33" t="s">
        <v>56</v>
      </c>
      <c r="C95" s="63" t="s">
        <v>30</v>
      </c>
      <c r="D95" s="48">
        <v>6.59</v>
      </c>
      <c r="E95" s="25">
        <v>4.8</v>
      </c>
      <c r="F95" s="25" t="s">
        <v>57</v>
      </c>
      <c r="G95" s="26">
        <f t="shared" si="20"/>
        <v>1.79</v>
      </c>
      <c r="H95" s="25">
        <v>0</v>
      </c>
      <c r="I95" s="24">
        <f>1.05*16</f>
        <v>16.8</v>
      </c>
      <c r="J95" s="5">
        <f>I95-D95</f>
        <v>10.21</v>
      </c>
      <c r="K95" s="116"/>
      <c r="L95" s="129"/>
      <c r="M95" s="16"/>
      <c r="N95" s="113"/>
      <c r="O95" s="27" t="s">
        <v>56</v>
      </c>
      <c r="P95" s="28" t="s">
        <v>30</v>
      </c>
      <c r="Q95" s="85"/>
      <c r="R95" s="47">
        <f t="shared" si="19"/>
        <v>6.59</v>
      </c>
      <c r="S95" s="25">
        <v>4.8</v>
      </c>
      <c r="T95" s="25" t="s">
        <v>57</v>
      </c>
      <c r="U95" s="26">
        <f t="shared" si="21"/>
        <v>1.79</v>
      </c>
      <c r="V95" s="25">
        <v>0</v>
      </c>
      <c r="W95" s="24">
        <f>1.05*16</f>
        <v>16.8</v>
      </c>
      <c r="X95" s="5">
        <f>W95-R95</f>
        <v>10.21</v>
      </c>
      <c r="Y95" s="145"/>
      <c r="Z95" s="129"/>
    </row>
    <row r="96" spans="1:26" s="1" customFormat="1" ht="20.25" customHeight="1">
      <c r="A96" s="114"/>
      <c r="B96" s="27" t="s">
        <v>44</v>
      </c>
      <c r="C96" s="63" t="s">
        <v>30</v>
      </c>
      <c r="D96" s="48">
        <v>7.908</v>
      </c>
      <c r="E96" s="25">
        <v>0</v>
      </c>
      <c r="F96" s="25">
        <v>0</v>
      </c>
      <c r="G96" s="26">
        <f t="shared" si="20"/>
        <v>7.908</v>
      </c>
      <c r="H96" s="25">
        <v>0</v>
      </c>
      <c r="I96" s="24">
        <f>1.05*16</f>
        <v>16.8</v>
      </c>
      <c r="J96" s="5">
        <f aca="true" t="shared" si="26" ref="J96:J101">I96-G96-H96</f>
        <v>8.892</v>
      </c>
      <c r="K96" s="117"/>
      <c r="L96" s="130"/>
      <c r="M96" s="16"/>
      <c r="N96" s="114"/>
      <c r="O96" s="27" t="s">
        <v>44</v>
      </c>
      <c r="P96" s="28" t="s">
        <v>30</v>
      </c>
      <c r="Q96" s="85">
        <f>0.16+0.006+0.005+0.009+0.0223-0.0296+0.009+0.0038-0.0215+0.0215+0.2419</f>
        <v>0.4274</v>
      </c>
      <c r="R96" s="47">
        <f t="shared" si="19"/>
        <v>8.3354</v>
      </c>
      <c r="S96" s="25">
        <v>0</v>
      </c>
      <c r="T96" s="25">
        <v>0</v>
      </c>
      <c r="U96" s="26">
        <f t="shared" si="21"/>
        <v>8.3354</v>
      </c>
      <c r="V96" s="25">
        <v>0</v>
      </c>
      <c r="W96" s="24">
        <f>1.05*16</f>
        <v>16.8</v>
      </c>
      <c r="X96" s="5">
        <f aca="true" t="shared" si="27" ref="X96:X101">W96-U96-V96</f>
        <v>8.4646</v>
      </c>
      <c r="Y96" s="146"/>
      <c r="Z96" s="130"/>
    </row>
    <row r="97" spans="1:26" s="74" customFormat="1" ht="22.5">
      <c r="A97" s="18">
        <v>62</v>
      </c>
      <c r="B97" s="65" t="s">
        <v>100</v>
      </c>
      <c r="C97" s="63" t="s">
        <v>48</v>
      </c>
      <c r="D97" s="82">
        <v>15.518</v>
      </c>
      <c r="E97" s="65">
        <v>0</v>
      </c>
      <c r="F97" s="65">
        <v>0</v>
      </c>
      <c r="G97" s="64">
        <f t="shared" si="20"/>
        <v>15.518</v>
      </c>
      <c r="H97" s="65">
        <v>0</v>
      </c>
      <c r="I97" s="66">
        <f>1.05*16</f>
        <v>16.8</v>
      </c>
      <c r="J97" s="2">
        <f t="shared" si="26"/>
        <v>1.282</v>
      </c>
      <c r="K97" s="82">
        <f>J97</f>
        <v>1.282</v>
      </c>
      <c r="L97" s="97" t="s">
        <v>24</v>
      </c>
      <c r="M97" s="104"/>
      <c r="N97" s="18">
        <v>62</v>
      </c>
      <c r="O97" s="65" t="s">
        <v>100</v>
      </c>
      <c r="P97" s="63" t="s">
        <v>48</v>
      </c>
      <c r="Q97" s="81">
        <f>0.238+0.6451</f>
        <v>0.8831</v>
      </c>
      <c r="R97" s="79">
        <f t="shared" si="19"/>
        <v>16.4011</v>
      </c>
      <c r="S97" s="65">
        <v>0</v>
      </c>
      <c r="T97" s="65">
        <v>0</v>
      </c>
      <c r="U97" s="64">
        <f t="shared" si="21"/>
        <v>16.4011</v>
      </c>
      <c r="V97" s="65">
        <v>0</v>
      </c>
      <c r="W97" s="66">
        <f>1.05*16</f>
        <v>16.8</v>
      </c>
      <c r="X97" s="2">
        <f t="shared" si="27"/>
        <v>0.39890000000000114</v>
      </c>
      <c r="Y97" s="82">
        <f>X97</f>
        <v>0.39890000000000114</v>
      </c>
      <c r="Z97" s="18" t="s">
        <v>24</v>
      </c>
    </row>
    <row r="98" spans="1:26" s="1" customFormat="1" ht="22.5">
      <c r="A98" s="18">
        <v>63</v>
      </c>
      <c r="B98" s="18" t="s">
        <v>154</v>
      </c>
      <c r="C98" s="69" t="s">
        <v>49</v>
      </c>
      <c r="D98" s="47">
        <v>0.937</v>
      </c>
      <c r="E98" s="25">
        <v>0</v>
      </c>
      <c r="F98" s="25">
        <v>0</v>
      </c>
      <c r="G98" s="26">
        <f t="shared" si="20"/>
        <v>0.937</v>
      </c>
      <c r="H98" s="25">
        <v>0</v>
      </c>
      <c r="I98" s="24">
        <f>1.05*2.5</f>
        <v>2.625</v>
      </c>
      <c r="J98" s="6">
        <f t="shared" si="26"/>
        <v>1.688</v>
      </c>
      <c r="K98" s="48">
        <f>J98</f>
        <v>1.688</v>
      </c>
      <c r="L98" s="17" t="s">
        <v>24</v>
      </c>
      <c r="M98" s="16"/>
      <c r="N98" s="18">
        <v>63</v>
      </c>
      <c r="O98" s="12" t="s">
        <v>154</v>
      </c>
      <c r="P98" s="15" t="s">
        <v>49</v>
      </c>
      <c r="Q98" s="86">
        <f>0.022+0.0226+0.0054-0.0328+0.0054+0.0032+0.016-0.0311</f>
        <v>0.010700000000000005</v>
      </c>
      <c r="R98" s="47">
        <f t="shared" si="19"/>
        <v>0.9477000000000001</v>
      </c>
      <c r="S98" s="25">
        <v>0</v>
      </c>
      <c r="T98" s="25">
        <v>0</v>
      </c>
      <c r="U98" s="26">
        <f t="shared" si="21"/>
        <v>0.9477000000000001</v>
      </c>
      <c r="V98" s="25">
        <v>0</v>
      </c>
      <c r="W98" s="24">
        <f>1.05*2.5</f>
        <v>2.625</v>
      </c>
      <c r="X98" s="6">
        <f t="shared" si="27"/>
        <v>1.6772999999999998</v>
      </c>
      <c r="Y98" s="48">
        <f>X98</f>
        <v>1.6772999999999998</v>
      </c>
      <c r="Z98" s="12" t="s">
        <v>24</v>
      </c>
    </row>
    <row r="99" spans="1:26" s="1" customFormat="1" ht="22.5">
      <c r="A99" s="18">
        <v>64</v>
      </c>
      <c r="B99" s="12" t="s">
        <v>155</v>
      </c>
      <c r="C99" s="69" t="s">
        <v>48</v>
      </c>
      <c r="D99" s="47">
        <v>5.17</v>
      </c>
      <c r="E99" s="25">
        <v>0</v>
      </c>
      <c r="F99" s="25">
        <v>0</v>
      </c>
      <c r="G99" s="26">
        <f t="shared" si="20"/>
        <v>5.17</v>
      </c>
      <c r="H99" s="25">
        <v>0</v>
      </c>
      <c r="I99" s="24">
        <f>1.05*16</f>
        <v>16.8</v>
      </c>
      <c r="J99" s="6">
        <f t="shared" si="26"/>
        <v>11.63</v>
      </c>
      <c r="K99" s="48">
        <f>J99</f>
        <v>11.63</v>
      </c>
      <c r="L99" s="17" t="s">
        <v>24</v>
      </c>
      <c r="M99" s="16"/>
      <c r="N99" s="18">
        <v>64</v>
      </c>
      <c r="O99" s="12" t="s">
        <v>155</v>
      </c>
      <c r="P99" s="15" t="s">
        <v>48</v>
      </c>
      <c r="Q99" s="86">
        <v>0</v>
      </c>
      <c r="R99" s="47">
        <f t="shared" si="19"/>
        <v>5.17</v>
      </c>
      <c r="S99" s="25">
        <v>0</v>
      </c>
      <c r="T99" s="25">
        <v>0</v>
      </c>
      <c r="U99" s="26">
        <f t="shared" si="21"/>
        <v>5.17</v>
      </c>
      <c r="V99" s="25">
        <v>0</v>
      </c>
      <c r="W99" s="24">
        <f>1.05*16</f>
        <v>16.8</v>
      </c>
      <c r="X99" s="6">
        <f t="shared" si="27"/>
        <v>11.63</v>
      </c>
      <c r="Y99" s="48">
        <f>X99</f>
        <v>11.63</v>
      </c>
      <c r="Z99" s="12" t="s">
        <v>24</v>
      </c>
    </row>
    <row r="100" spans="1:26" s="1" customFormat="1" ht="22.5">
      <c r="A100" s="18">
        <v>65</v>
      </c>
      <c r="B100" s="18" t="s">
        <v>156</v>
      </c>
      <c r="C100" s="69" t="s">
        <v>41</v>
      </c>
      <c r="D100" s="47">
        <v>0.988</v>
      </c>
      <c r="E100" s="25">
        <v>0</v>
      </c>
      <c r="F100" s="25">
        <v>0</v>
      </c>
      <c r="G100" s="26">
        <f t="shared" si="20"/>
        <v>0.988</v>
      </c>
      <c r="H100" s="25">
        <v>0</v>
      </c>
      <c r="I100" s="24">
        <f>1.05*4</f>
        <v>4.2</v>
      </c>
      <c r="J100" s="6">
        <f t="shared" si="26"/>
        <v>3.212</v>
      </c>
      <c r="K100" s="48">
        <f>J100</f>
        <v>3.212</v>
      </c>
      <c r="L100" s="17" t="s">
        <v>24</v>
      </c>
      <c r="M100" s="16"/>
      <c r="N100" s="18">
        <v>65</v>
      </c>
      <c r="O100" s="12" t="s">
        <v>156</v>
      </c>
      <c r="P100" s="15" t="s">
        <v>41</v>
      </c>
      <c r="Q100" s="86">
        <f>0.092+0.015+0.018+0.002+0.004+0.0161-0.0548+0.0054+0.0032+0.0054+0.0172+0.172+0.2398+0.0097-0.2226</f>
        <v>0.3224</v>
      </c>
      <c r="R100" s="47">
        <f t="shared" si="19"/>
        <v>1.3104</v>
      </c>
      <c r="S100" s="25">
        <v>0</v>
      </c>
      <c r="T100" s="25">
        <v>0</v>
      </c>
      <c r="U100" s="26">
        <f t="shared" si="21"/>
        <v>1.3104</v>
      </c>
      <c r="V100" s="25">
        <v>0</v>
      </c>
      <c r="W100" s="24">
        <f>1.05*4</f>
        <v>4.2</v>
      </c>
      <c r="X100" s="6">
        <f t="shared" si="27"/>
        <v>2.8896</v>
      </c>
      <c r="Y100" s="48">
        <f>X100</f>
        <v>2.8896</v>
      </c>
      <c r="Z100" s="12" t="s">
        <v>24</v>
      </c>
    </row>
    <row r="101" spans="1:26" s="1" customFormat="1" ht="22.5">
      <c r="A101" s="112">
        <v>66</v>
      </c>
      <c r="B101" s="18" t="s">
        <v>157</v>
      </c>
      <c r="C101" s="69" t="s">
        <v>46</v>
      </c>
      <c r="D101" s="47">
        <f>D102+D103</f>
        <v>1.915</v>
      </c>
      <c r="E101" s="25">
        <f>E102+E103</f>
        <v>0.54</v>
      </c>
      <c r="F101" s="25" t="str">
        <f>F102</f>
        <v>3 час</v>
      </c>
      <c r="G101" s="26">
        <f t="shared" si="20"/>
        <v>1.375</v>
      </c>
      <c r="H101" s="25">
        <v>0</v>
      </c>
      <c r="I101" s="24">
        <f>1.05*6.3</f>
        <v>6.615</v>
      </c>
      <c r="J101" s="5">
        <f t="shared" si="26"/>
        <v>5.24</v>
      </c>
      <c r="K101" s="115">
        <f>MIN(J101:J103)</f>
        <v>4.747</v>
      </c>
      <c r="L101" s="126" t="s">
        <v>24</v>
      </c>
      <c r="M101" s="16"/>
      <c r="N101" s="112">
        <v>66</v>
      </c>
      <c r="O101" s="12" t="s">
        <v>157</v>
      </c>
      <c r="P101" s="15" t="s">
        <v>46</v>
      </c>
      <c r="Q101" s="86">
        <f>Q102+Q103</f>
        <v>0.6452</v>
      </c>
      <c r="R101" s="47">
        <f>R102+R103</f>
        <v>2.5602000000000005</v>
      </c>
      <c r="S101" s="25">
        <f>S102+S103</f>
        <v>0.54</v>
      </c>
      <c r="T101" s="25" t="str">
        <f>T102</f>
        <v>3 час</v>
      </c>
      <c r="U101" s="26">
        <f t="shared" si="21"/>
        <v>2.0202000000000004</v>
      </c>
      <c r="V101" s="25">
        <v>0</v>
      </c>
      <c r="W101" s="24">
        <f>1.05*6.3</f>
        <v>6.615</v>
      </c>
      <c r="X101" s="5">
        <f t="shared" si="27"/>
        <v>4.594799999999999</v>
      </c>
      <c r="Y101" s="115">
        <f>MIN(X101:X103)</f>
        <v>4.1018</v>
      </c>
      <c r="Z101" s="126" t="s">
        <v>24</v>
      </c>
    </row>
    <row r="102" spans="1:26" s="1" customFormat="1" ht="24.75" customHeight="1">
      <c r="A102" s="113"/>
      <c r="B102" s="27" t="s">
        <v>56</v>
      </c>
      <c r="C102" s="69" t="s">
        <v>46</v>
      </c>
      <c r="D102" s="48">
        <v>0.047</v>
      </c>
      <c r="E102" s="25">
        <v>0.54</v>
      </c>
      <c r="F102" s="25" t="s">
        <v>55</v>
      </c>
      <c r="G102" s="26">
        <v>0</v>
      </c>
      <c r="H102" s="25">
        <v>0</v>
      </c>
      <c r="I102" s="24">
        <f>1.05*6.3</f>
        <v>6.615</v>
      </c>
      <c r="J102" s="5">
        <f>I102-D102</f>
        <v>6.5680000000000005</v>
      </c>
      <c r="K102" s="116"/>
      <c r="L102" s="127"/>
      <c r="M102" s="16"/>
      <c r="N102" s="113"/>
      <c r="O102" s="27" t="s">
        <v>56</v>
      </c>
      <c r="P102" s="15" t="s">
        <v>46</v>
      </c>
      <c r="Q102" s="86"/>
      <c r="R102" s="47">
        <f t="shared" si="19"/>
        <v>0.047</v>
      </c>
      <c r="S102" s="25">
        <v>0.54</v>
      </c>
      <c r="T102" s="25" t="s">
        <v>55</v>
      </c>
      <c r="U102" s="26">
        <v>0</v>
      </c>
      <c r="V102" s="25">
        <v>0</v>
      </c>
      <c r="W102" s="24">
        <f>1.05*6.3</f>
        <v>6.615</v>
      </c>
      <c r="X102" s="5">
        <f>W102-R102</f>
        <v>6.5680000000000005</v>
      </c>
      <c r="Y102" s="145"/>
      <c r="Z102" s="127"/>
    </row>
    <row r="103" spans="1:26" s="1" customFormat="1" ht="25.5" customHeight="1">
      <c r="A103" s="114"/>
      <c r="B103" s="27" t="s">
        <v>44</v>
      </c>
      <c r="C103" s="69" t="s">
        <v>46</v>
      </c>
      <c r="D103" s="48">
        <v>1.868</v>
      </c>
      <c r="E103" s="25">
        <v>0</v>
      </c>
      <c r="F103" s="25">
        <v>0</v>
      </c>
      <c r="G103" s="26">
        <f t="shared" si="20"/>
        <v>1.868</v>
      </c>
      <c r="H103" s="25">
        <v>0</v>
      </c>
      <c r="I103" s="24">
        <f>1.05*6.3</f>
        <v>6.615</v>
      </c>
      <c r="J103" s="5">
        <f>I103-G103-H103</f>
        <v>4.747</v>
      </c>
      <c r="K103" s="117"/>
      <c r="L103" s="128"/>
      <c r="M103" s="16"/>
      <c r="N103" s="114"/>
      <c r="O103" s="27" t="s">
        <v>44</v>
      </c>
      <c r="P103" s="15" t="s">
        <v>46</v>
      </c>
      <c r="Q103" s="86">
        <f>0.0161-0.0161+0.6452</f>
        <v>0.6452</v>
      </c>
      <c r="R103" s="47">
        <f t="shared" si="19"/>
        <v>2.5132000000000003</v>
      </c>
      <c r="S103" s="25">
        <v>0</v>
      </c>
      <c r="T103" s="25">
        <v>0</v>
      </c>
      <c r="U103" s="26">
        <f t="shared" si="21"/>
        <v>2.5132000000000003</v>
      </c>
      <c r="V103" s="25">
        <v>0</v>
      </c>
      <c r="W103" s="24">
        <f>1.05*6.3</f>
        <v>6.615</v>
      </c>
      <c r="X103" s="5">
        <f>W103-U103-V103</f>
        <v>4.1018</v>
      </c>
      <c r="Y103" s="146"/>
      <c r="Z103" s="128"/>
    </row>
    <row r="104" spans="1:26" s="1" customFormat="1" ht="22.5">
      <c r="A104" s="18">
        <v>67</v>
      </c>
      <c r="B104" s="12" t="s">
        <v>158</v>
      </c>
      <c r="C104" s="69" t="s">
        <v>37</v>
      </c>
      <c r="D104" s="47">
        <v>25.614</v>
      </c>
      <c r="E104" s="25">
        <v>0</v>
      </c>
      <c r="F104" s="25">
        <v>0</v>
      </c>
      <c r="G104" s="26">
        <f t="shared" si="20"/>
        <v>25.614</v>
      </c>
      <c r="H104" s="25">
        <v>0</v>
      </c>
      <c r="I104" s="24">
        <f>1.05*40</f>
        <v>42</v>
      </c>
      <c r="J104" s="6">
        <f>I104-G104-H104</f>
        <v>16.386</v>
      </c>
      <c r="K104" s="48">
        <f>J104</f>
        <v>16.386</v>
      </c>
      <c r="L104" s="17" t="s">
        <v>24</v>
      </c>
      <c r="M104" s="16"/>
      <c r="N104" s="18">
        <v>67</v>
      </c>
      <c r="O104" s="12" t="s">
        <v>158</v>
      </c>
      <c r="P104" s="15" t="s">
        <v>37</v>
      </c>
      <c r="Q104" s="86">
        <f>0.029+0.003+0.004+0.055-0.0234+0.0032-0.0167+0.0048</f>
        <v>0.05889999999999999</v>
      </c>
      <c r="R104" s="47">
        <f t="shared" si="19"/>
        <v>25.672900000000002</v>
      </c>
      <c r="S104" s="25">
        <v>0</v>
      </c>
      <c r="T104" s="25">
        <v>0</v>
      </c>
      <c r="U104" s="26">
        <f t="shared" si="21"/>
        <v>25.672900000000002</v>
      </c>
      <c r="V104" s="25">
        <v>0</v>
      </c>
      <c r="W104" s="24">
        <f>1.05*40</f>
        <v>42</v>
      </c>
      <c r="X104" s="6">
        <f>W104-U104-V104</f>
        <v>16.327099999999998</v>
      </c>
      <c r="Y104" s="48">
        <f>X104</f>
        <v>16.327099999999998</v>
      </c>
      <c r="Z104" s="12" t="s">
        <v>24</v>
      </c>
    </row>
    <row r="105" spans="1:26" s="1" customFormat="1" ht="22.5">
      <c r="A105" s="18">
        <v>68</v>
      </c>
      <c r="B105" s="18" t="s">
        <v>162</v>
      </c>
      <c r="C105" s="69" t="s">
        <v>46</v>
      </c>
      <c r="D105" s="47">
        <v>3.863</v>
      </c>
      <c r="E105" s="25">
        <v>0</v>
      </c>
      <c r="F105" s="25">
        <v>0</v>
      </c>
      <c r="G105" s="26">
        <f aca="true" t="shared" si="28" ref="G105:G132">D105-E105</f>
        <v>3.863</v>
      </c>
      <c r="H105" s="25">
        <v>0</v>
      </c>
      <c r="I105" s="24">
        <f>1.05*6.3</f>
        <v>6.615</v>
      </c>
      <c r="J105" s="6">
        <f>I105-G105-H105</f>
        <v>2.7520000000000002</v>
      </c>
      <c r="K105" s="48">
        <f>J105</f>
        <v>2.7520000000000002</v>
      </c>
      <c r="L105" s="17" t="s">
        <v>24</v>
      </c>
      <c r="M105" s="16"/>
      <c r="N105" s="18">
        <v>68</v>
      </c>
      <c r="O105" s="12" t="s">
        <v>162</v>
      </c>
      <c r="P105" s="15" t="s">
        <v>46</v>
      </c>
      <c r="Q105" s="86">
        <f>0.131+0.012+0.009+0.011+0.003+0.005+0.015+0.002+0.0323+0.0661+0.0075+0.0054+0.0065+0.019+0.0151+0.0172+0.0118+0.0538+0.023654-0.1618+0.0035+0.1114+0.029+0.0105+0.0065+0.0065+0.0839</f>
        <v>0.5358540000000002</v>
      </c>
      <c r="R105" s="47">
        <f t="shared" si="19"/>
        <v>4.398854</v>
      </c>
      <c r="S105" s="25">
        <v>0</v>
      </c>
      <c r="T105" s="25">
        <v>0</v>
      </c>
      <c r="U105" s="26">
        <f aca="true" t="shared" si="29" ref="U105:U132">R105-S105</f>
        <v>4.398854</v>
      </c>
      <c r="V105" s="25">
        <v>0</v>
      </c>
      <c r="W105" s="24">
        <f>1.05*6.3</f>
        <v>6.615</v>
      </c>
      <c r="X105" s="6">
        <f>W105-U105-V105</f>
        <v>2.216146</v>
      </c>
      <c r="Y105" s="48">
        <f>X105</f>
        <v>2.216146</v>
      </c>
      <c r="Z105" s="12" t="s">
        <v>24</v>
      </c>
    </row>
    <row r="106" spans="1:26" s="100" customFormat="1" ht="22.5">
      <c r="A106" s="31">
        <v>69</v>
      </c>
      <c r="B106" s="31" t="s">
        <v>163</v>
      </c>
      <c r="C106" s="32" t="s">
        <v>26</v>
      </c>
      <c r="D106" s="49">
        <v>12.538</v>
      </c>
      <c r="E106" s="31">
        <v>0</v>
      </c>
      <c r="F106" s="31">
        <v>0</v>
      </c>
      <c r="G106" s="29">
        <f t="shared" si="28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25</v>
      </c>
      <c r="M106" s="98"/>
      <c r="N106" s="31">
        <v>69</v>
      </c>
      <c r="O106" s="31" t="s">
        <v>163</v>
      </c>
      <c r="P106" s="32" t="s">
        <v>26</v>
      </c>
      <c r="Q106" s="87">
        <f>0.016+0+0.011+0.011+0.005+0.011+0.004+0.0054-0.0048+0.0161+0.0108+0.5559+0.0065-0.0607+0.0032+0.0129+0.0054+0.0194</f>
        <v>0.6280999999999999</v>
      </c>
      <c r="R106" s="49">
        <f t="shared" si="19"/>
        <v>13.1661</v>
      </c>
      <c r="S106" s="31">
        <v>0</v>
      </c>
      <c r="T106" s="31">
        <v>0</v>
      </c>
      <c r="U106" s="29">
        <f t="shared" si="29"/>
        <v>13.1661</v>
      </c>
      <c r="V106" s="31">
        <v>0</v>
      </c>
      <c r="W106" s="30">
        <f>1.05*10</f>
        <v>10.5</v>
      </c>
      <c r="X106" s="45">
        <f>W106-U106-V106</f>
        <v>-2.6661</v>
      </c>
      <c r="Y106" s="49">
        <f>X106</f>
        <v>-2.6661</v>
      </c>
      <c r="Z106" s="31" t="s">
        <v>25</v>
      </c>
    </row>
    <row r="107" spans="1:26" s="1" customFormat="1" ht="22.5">
      <c r="A107" s="112">
        <v>70</v>
      </c>
      <c r="B107" s="12" t="s">
        <v>164</v>
      </c>
      <c r="C107" s="69" t="s">
        <v>30</v>
      </c>
      <c r="D107" s="47">
        <f>D108+D109</f>
        <v>11.388000000000002</v>
      </c>
      <c r="E107" s="25">
        <f>E108+E109</f>
        <v>1.64</v>
      </c>
      <c r="F107" s="25" t="str">
        <f>F108</f>
        <v>6 час</v>
      </c>
      <c r="G107" s="26">
        <f t="shared" si="28"/>
        <v>9.748000000000001</v>
      </c>
      <c r="H107" s="25">
        <v>0</v>
      </c>
      <c r="I107" s="24">
        <f>1.05*16</f>
        <v>16.8</v>
      </c>
      <c r="J107" s="5">
        <f>I107-G107-H107</f>
        <v>7.052</v>
      </c>
      <c r="K107" s="115">
        <f>MIN(J107:J109)</f>
        <v>7.052</v>
      </c>
      <c r="L107" s="126" t="s">
        <v>24</v>
      </c>
      <c r="M107" s="16"/>
      <c r="N107" s="112">
        <v>70</v>
      </c>
      <c r="O107" s="12" t="s">
        <v>164</v>
      </c>
      <c r="P107" s="15" t="s">
        <v>30</v>
      </c>
      <c r="Q107" s="86">
        <f>Q108+Q109</f>
        <v>0.228813</v>
      </c>
      <c r="R107" s="47">
        <f>R108+R109</f>
        <v>11.616813</v>
      </c>
      <c r="S107" s="25">
        <f>S108+S109</f>
        <v>1.64</v>
      </c>
      <c r="T107" s="25" t="str">
        <f>T108</f>
        <v>6 час</v>
      </c>
      <c r="U107" s="26">
        <f t="shared" si="29"/>
        <v>9.976813</v>
      </c>
      <c r="V107" s="25">
        <v>0</v>
      </c>
      <c r="W107" s="24">
        <f>1.05*16</f>
        <v>16.8</v>
      </c>
      <c r="X107" s="5">
        <f>W107-U107-V107</f>
        <v>6.823187000000001</v>
      </c>
      <c r="Y107" s="115">
        <f>MIN(X107:X109)</f>
        <v>6.823187000000001</v>
      </c>
      <c r="Z107" s="126" t="s">
        <v>24</v>
      </c>
    </row>
    <row r="108" spans="1:26" s="1" customFormat="1" ht="11.25" customHeight="1">
      <c r="A108" s="113"/>
      <c r="B108" s="27" t="s">
        <v>56</v>
      </c>
      <c r="C108" s="69" t="s">
        <v>30</v>
      </c>
      <c r="D108" s="48">
        <v>4.073</v>
      </c>
      <c r="E108" s="25">
        <v>1.64</v>
      </c>
      <c r="F108" s="25" t="s">
        <v>57</v>
      </c>
      <c r="G108" s="26">
        <f t="shared" si="28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16"/>
      <c r="L108" s="127"/>
      <c r="M108" s="16"/>
      <c r="N108" s="113"/>
      <c r="O108" s="27" t="s">
        <v>56</v>
      </c>
      <c r="P108" s="15" t="s">
        <v>30</v>
      </c>
      <c r="Q108" s="86"/>
      <c r="R108" s="47">
        <f t="shared" si="19"/>
        <v>4.073</v>
      </c>
      <c r="S108" s="25">
        <v>1.64</v>
      </c>
      <c r="T108" s="25" t="s">
        <v>57</v>
      </c>
      <c r="U108" s="26">
        <f t="shared" si="29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45"/>
      <c r="Z108" s="127"/>
    </row>
    <row r="109" spans="1:26" s="1" customFormat="1" ht="11.25" customHeight="1">
      <c r="A109" s="114"/>
      <c r="B109" s="27" t="s">
        <v>44</v>
      </c>
      <c r="C109" s="69" t="s">
        <v>30</v>
      </c>
      <c r="D109" s="48">
        <v>7.315</v>
      </c>
      <c r="E109" s="25">
        <v>0</v>
      </c>
      <c r="F109" s="25">
        <v>0</v>
      </c>
      <c r="G109" s="26">
        <f t="shared" si="28"/>
        <v>7.315</v>
      </c>
      <c r="H109" s="25">
        <v>0</v>
      </c>
      <c r="I109" s="24">
        <f>1.05*16</f>
        <v>16.8</v>
      </c>
      <c r="J109" s="5">
        <f>I109-G109-H109</f>
        <v>9.485</v>
      </c>
      <c r="K109" s="117"/>
      <c r="L109" s="128"/>
      <c r="M109" s="16"/>
      <c r="N109" s="114"/>
      <c r="O109" s="27" t="s">
        <v>44</v>
      </c>
      <c r="P109" s="15" t="s">
        <v>30</v>
      </c>
      <c r="Q109" s="86">
        <f>0.056+0.097+0.005+0.003+0.032+0.003+0.0022-0.0414+0.0387+0.0054+0.005+0.0108+0.0161+0.004+0.0054+0.001613+0.0108-0.0419+0.0161</f>
        <v>0.228813</v>
      </c>
      <c r="R109" s="47">
        <f t="shared" si="19"/>
        <v>7.543813</v>
      </c>
      <c r="S109" s="25">
        <v>0</v>
      </c>
      <c r="T109" s="25">
        <v>0</v>
      </c>
      <c r="U109" s="26">
        <f t="shared" si="29"/>
        <v>7.543813</v>
      </c>
      <c r="V109" s="25">
        <v>0</v>
      </c>
      <c r="W109" s="24">
        <f>1.05*16</f>
        <v>16.8</v>
      </c>
      <c r="X109" s="5">
        <f>W109-U109-V109</f>
        <v>9.256187</v>
      </c>
      <c r="Y109" s="146"/>
      <c r="Z109" s="128"/>
    </row>
    <row r="110" spans="1:26" s="1" customFormat="1" ht="22.5">
      <c r="A110" s="112">
        <v>71</v>
      </c>
      <c r="B110" s="12" t="s">
        <v>166</v>
      </c>
      <c r="C110" s="69" t="s">
        <v>26</v>
      </c>
      <c r="D110" s="47">
        <f>D111+D112</f>
        <v>3.184</v>
      </c>
      <c r="E110" s="25">
        <f>E111+E112</f>
        <v>3.12</v>
      </c>
      <c r="F110" s="25" t="str">
        <f>F111</f>
        <v>6 час</v>
      </c>
      <c r="G110" s="26">
        <f t="shared" si="28"/>
        <v>0.06400000000000006</v>
      </c>
      <c r="H110" s="25">
        <v>0</v>
      </c>
      <c r="I110" s="24">
        <f>1.05*10</f>
        <v>10.5</v>
      </c>
      <c r="J110" s="5">
        <f>I110-G110-H110</f>
        <v>10.436</v>
      </c>
      <c r="K110" s="115">
        <f>MIN(J110:J112)</f>
        <v>8.022</v>
      </c>
      <c r="L110" s="126" t="s">
        <v>24</v>
      </c>
      <c r="M110" s="16"/>
      <c r="N110" s="112">
        <v>71</v>
      </c>
      <c r="O110" s="12" t="s">
        <v>166</v>
      </c>
      <c r="P110" s="15" t="s">
        <v>26</v>
      </c>
      <c r="Q110" s="86">
        <f>Q111+Q112</f>
        <v>0.0136</v>
      </c>
      <c r="R110" s="47">
        <f>R111+R112</f>
        <v>3.1976</v>
      </c>
      <c r="S110" s="25">
        <f>S111+S112</f>
        <v>3.12</v>
      </c>
      <c r="T110" s="25" t="str">
        <f>T111</f>
        <v>6 час</v>
      </c>
      <c r="U110" s="26">
        <f t="shared" si="29"/>
        <v>0.07759999999999989</v>
      </c>
      <c r="V110" s="25">
        <v>0</v>
      </c>
      <c r="W110" s="24">
        <f>1.05*10</f>
        <v>10.5</v>
      </c>
      <c r="X110" s="5">
        <f>W110-U110-V110</f>
        <v>10.4224</v>
      </c>
      <c r="Y110" s="115">
        <f>MIN(X110:X112)</f>
        <v>8.022</v>
      </c>
      <c r="Z110" s="126" t="s">
        <v>24</v>
      </c>
    </row>
    <row r="111" spans="1:26" s="1" customFormat="1" ht="20.25" customHeight="1">
      <c r="A111" s="113"/>
      <c r="B111" s="27" t="s">
        <v>56</v>
      </c>
      <c r="C111" s="69" t="s">
        <v>26</v>
      </c>
      <c r="D111" s="48">
        <v>2.478</v>
      </c>
      <c r="E111" s="25">
        <v>3.12</v>
      </c>
      <c r="F111" s="25" t="s">
        <v>57</v>
      </c>
      <c r="G111" s="26">
        <f t="shared" si="28"/>
        <v>-0.6419999999999999</v>
      </c>
      <c r="H111" s="25">
        <v>0</v>
      </c>
      <c r="I111" s="24">
        <f>1.05*10</f>
        <v>10.5</v>
      </c>
      <c r="J111" s="5">
        <f>I111-D111</f>
        <v>8.022</v>
      </c>
      <c r="K111" s="116"/>
      <c r="L111" s="127"/>
      <c r="M111" s="16"/>
      <c r="N111" s="113"/>
      <c r="O111" s="27" t="s">
        <v>56</v>
      </c>
      <c r="P111" s="15" t="s">
        <v>26</v>
      </c>
      <c r="Q111" s="86"/>
      <c r="R111" s="47">
        <f t="shared" si="19"/>
        <v>2.478</v>
      </c>
      <c r="S111" s="25">
        <v>3.12</v>
      </c>
      <c r="T111" s="25" t="s">
        <v>57</v>
      </c>
      <c r="U111" s="26">
        <f t="shared" si="29"/>
        <v>-0.6419999999999999</v>
      </c>
      <c r="V111" s="25">
        <v>0</v>
      </c>
      <c r="W111" s="24">
        <f>1.05*10</f>
        <v>10.5</v>
      </c>
      <c r="X111" s="5">
        <f>W111-R111</f>
        <v>8.022</v>
      </c>
      <c r="Y111" s="145"/>
      <c r="Z111" s="127"/>
    </row>
    <row r="112" spans="1:26" s="1" customFormat="1" ht="22.5" customHeight="1">
      <c r="A112" s="114"/>
      <c r="B112" s="27" t="s">
        <v>44</v>
      </c>
      <c r="C112" s="69" t="s">
        <v>26</v>
      </c>
      <c r="D112" s="48">
        <v>0.706</v>
      </c>
      <c r="E112" s="25">
        <v>0</v>
      </c>
      <c r="F112" s="25">
        <v>0</v>
      </c>
      <c r="G112" s="26">
        <f t="shared" si="28"/>
        <v>0.706</v>
      </c>
      <c r="H112" s="25">
        <v>0</v>
      </c>
      <c r="I112" s="24">
        <f>1.05*10</f>
        <v>10.5</v>
      </c>
      <c r="J112" s="5">
        <f>I112-G112-H112</f>
        <v>9.794</v>
      </c>
      <c r="K112" s="117"/>
      <c r="L112" s="128"/>
      <c r="M112" s="16"/>
      <c r="N112" s="114"/>
      <c r="O112" s="27" t="s">
        <v>44</v>
      </c>
      <c r="P112" s="15" t="s">
        <v>26</v>
      </c>
      <c r="Q112" s="86">
        <f>0.009+0.004+0.0065-0.0005-0.0054</f>
        <v>0.0136</v>
      </c>
      <c r="R112" s="47">
        <f t="shared" si="19"/>
        <v>0.7195999999999999</v>
      </c>
      <c r="S112" s="25">
        <v>0</v>
      </c>
      <c r="T112" s="25">
        <v>0</v>
      </c>
      <c r="U112" s="26">
        <f t="shared" si="29"/>
        <v>0.7195999999999999</v>
      </c>
      <c r="V112" s="25">
        <v>0</v>
      </c>
      <c r="W112" s="24">
        <f>1.05*10</f>
        <v>10.5</v>
      </c>
      <c r="X112" s="5">
        <f>W112-U112-V112</f>
        <v>9.7804</v>
      </c>
      <c r="Y112" s="146"/>
      <c r="Z112" s="128"/>
    </row>
    <row r="113" spans="1:26" s="1" customFormat="1" ht="22.5">
      <c r="A113" s="18">
        <v>72</v>
      </c>
      <c r="B113" s="12" t="s">
        <v>167</v>
      </c>
      <c r="C113" s="69" t="s">
        <v>27</v>
      </c>
      <c r="D113" s="47">
        <v>1.004</v>
      </c>
      <c r="E113" s="25">
        <v>0</v>
      </c>
      <c r="F113" s="25">
        <v>0</v>
      </c>
      <c r="G113" s="26">
        <f t="shared" si="28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48">
        <f>J113</f>
        <v>1.621</v>
      </c>
      <c r="L113" s="17" t="s">
        <v>24</v>
      </c>
      <c r="M113" s="16"/>
      <c r="N113" s="18">
        <v>72</v>
      </c>
      <c r="O113" s="12" t="s">
        <v>167</v>
      </c>
      <c r="P113" s="15" t="s">
        <v>27</v>
      </c>
      <c r="Q113" s="86">
        <f>0.084+0.011+0.014+0.015+0.015+0.011+0.001+0.0108-0.0607+0.0056+0.0108+0.0538+0.0118+0.0161-0.0108+0.0054</f>
        <v>0.1938</v>
      </c>
      <c r="R113" s="47">
        <f t="shared" si="19"/>
        <v>1.1978</v>
      </c>
      <c r="S113" s="25">
        <v>0</v>
      </c>
      <c r="T113" s="25">
        <v>0</v>
      </c>
      <c r="U113" s="26">
        <f t="shared" si="29"/>
        <v>1.1978</v>
      </c>
      <c r="V113" s="25">
        <v>0</v>
      </c>
      <c r="W113" s="24">
        <f>1.05*2.5</f>
        <v>2.625</v>
      </c>
      <c r="X113" s="6">
        <f>W113-U113-V113</f>
        <v>1.4272</v>
      </c>
      <c r="Y113" s="48">
        <f>X113</f>
        <v>1.4272</v>
      </c>
      <c r="Z113" s="12" t="s">
        <v>24</v>
      </c>
    </row>
    <row r="114" spans="1:26" s="1" customFormat="1" ht="22.5">
      <c r="A114" s="112">
        <v>73</v>
      </c>
      <c r="B114" s="12" t="s">
        <v>169</v>
      </c>
      <c r="C114" s="69" t="s">
        <v>52</v>
      </c>
      <c r="D114" s="47">
        <f>D115+D116</f>
        <v>12.488</v>
      </c>
      <c r="E114" s="25">
        <f>E115+E116</f>
        <v>1.8</v>
      </c>
      <c r="F114" s="25" t="str">
        <f>F115</f>
        <v>6 час</v>
      </c>
      <c r="G114" s="26">
        <f t="shared" si="28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15">
        <f>MIN(J114:J116)</f>
        <v>22.912000000000003</v>
      </c>
      <c r="L114" s="126" t="s">
        <v>24</v>
      </c>
      <c r="M114" s="16"/>
      <c r="N114" s="112">
        <v>73</v>
      </c>
      <c r="O114" s="12" t="s">
        <v>169</v>
      </c>
      <c r="P114" s="15" t="s">
        <v>52</v>
      </c>
      <c r="Q114" s="86">
        <f>Q115+Q116</f>
        <v>1.7348780000000001</v>
      </c>
      <c r="R114" s="47">
        <f>R115+R116</f>
        <v>14.222878</v>
      </c>
      <c r="S114" s="25">
        <f>S115+S116</f>
        <v>1.8</v>
      </c>
      <c r="T114" s="25" t="str">
        <f>T115</f>
        <v>6 час</v>
      </c>
      <c r="U114" s="26">
        <f t="shared" si="29"/>
        <v>12.422877999999999</v>
      </c>
      <c r="V114" s="25">
        <v>0</v>
      </c>
      <c r="W114" s="24">
        <f>1.05*32</f>
        <v>33.6</v>
      </c>
      <c r="X114" s="5">
        <f>W114-U114-V114</f>
        <v>21.177122000000004</v>
      </c>
      <c r="Y114" s="115">
        <f>MIN(X114:X116)</f>
        <v>21.177122000000004</v>
      </c>
      <c r="Z114" s="126" t="s">
        <v>24</v>
      </c>
    </row>
    <row r="115" spans="1:26" s="1" customFormat="1" ht="11.25" customHeight="1">
      <c r="A115" s="113"/>
      <c r="B115" s="27" t="s">
        <v>56</v>
      </c>
      <c r="C115" s="63" t="s">
        <v>30</v>
      </c>
      <c r="D115" s="48">
        <v>2.853</v>
      </c>
      <c r="E115" s="25">
        <v>1.8</v>
      </c>
      <c r="F115" s="25" t="s">
        <v>57</v>
      </c>
      <c r="G115" s="26">
        <f t="shared" si="28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16"/>
      <c r="L115" s="127"/>
      <c r="M115" s="16"/>
      <c r="N115" s="113"/>
      <c r="O115" s="27" t="s">
        <v>56</v>
      </c>
      <c r="P115" s="28" t="s">
        <v>30</v>
      </c>
      <c r="Q115" s="85"/>
      <c r="R115" s="47">
        <f t="shared" si="19"/>
        <v>2.853</v>
      </c>
      <c r="S115" s="25">
        <v>1.8</v>
      </c>
      <c r="T115" s="25" t="s">
        <v>57</v>
      </c>
      <c r="U115" s="26">
        <f t="shared" si="29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45"/>
      <c r="Z115" s="127"/>
    </row>
    <row r="116" spans="1:26" s="1" customFormat="1" ht="11.25" customHeight="1">
      <c r="A116" s="114"/>
      <c r="B116" s="27" t="s">
        <v>44</v>
      </c>
      <c r="C116" s="63" t="s">
        <v>30</v>
      </c>
      <c r="D116" s="48">
        <v>9.635</v>
      </c>
      <c r="E116" s="25">
        <v>0</v>
      </c>
      <c r="F116" s="25">
        <v>0</v>
      </c>
      <c r="G116" s="26">
        <f t="shared" si="28"/>
        <v>9.635</v>
      </c>
      <c r="H116" s="25">
        <v>0</v>
      </c>
      <c r="I116" s="24">
        <f>1.05*32</f>
        <v>33.6</v>
      </c>
      <c r="J116" s="5">
        <f>I116-G116-H116</f>
        <v>23.965000000000003</v>
      </c>
      <c r="K116" s="117"/>
      <c r="L116" s="128"/>
      <c r="M116" s="16"/>
      <c r="N116" s="114"/>
      <c r="O116" s="27" t="s">
        <v>44</v>
      </c>
      <c r="P116" s="28" t="s">
        <v>30</v>
      </c>
      <c r="Q116" s="85">
        <f>0.034+0.108+0.016+0.614+0.016+0.022+0.005+0.4623+0.0237-0.0726+0.0108+0.0216+0.0161+0.0108+0.022+0.441+0.0161+0.016128-0.07635+0.0054+0.014+0.0027+0.0062</f>
        <v>1.7348780000000001</v>
      </c>
      <c r="R116" s="47">
        <f t="shared" si="19"/>
        <v>11.369878</v>
      </c>
      <c r="S116" s="25">
        <v>0</v>
      </c>
      <c r="T116" s="25">
        <v>0</v>
      </c>
      <c r="U116" s="26">
        <f t="shared" si="29"/>
        <v>11.369878</v>
      </c>
      <c r="V116" s="25">
        <v>0</v>
      </c>
      <c r="W116" s="24">
        <f>1.05*32</f>
        <v>33.6</v>
      </c>
      <c r="X116" s="5">
        <f>W116-U116-V116</f>
        <v>22.230122</v>
      </c>
      <c r="Y116" s="146"/>
      <c r="Z116" s="128"/>
    </row>
    <row r="117" spans="1:26" s="1" customFormat="1" ht="22.5">
      <c r="A117" s="112">
        <v>74</v>
      </c>
      <c r="B117" s="12" t="s">
        <v>170</v>
      </c>
      <c r="C117" s="69" t="s">
        <v>31</v>
      </c>
      <c r="D117" s="47">
        <f>D118+D119</f>
        <v>12.455</v>
      </c>
      <c r="E117" s="25">
        <f>E118+E119</f>
        <v>2.21</v>
      </c>
      <c r="F117" s="25" t="str">
        <f>F118</f>
        <v>3 час</v>
      </c>
      <c r="G117" s="26">
        <f t="shared" si="28"/>
        <v>10.245000000000001</v>
      </c>
      <c r="H117" s="25">
        <v>0</v>
      </c>
      <c r="I117" s="24">
        <f>1.05*25</f>
        <v>26.25</v>
      </c>
      <c r="J117" s="5">
        <f>I117-G117-H117</f>
        <v>16.005</v>
      </c>
      <c r="K117" s="115">
        <f>MIN(J117:J119)</f>
        <v>16.005</v>
      </c>
      <c r="L117" s="126" t="s">
        <v>24</v>
      </c>
      <c r="M117" s="16"/>
      <c r="N117" s="112">
        <v>74</v>
      </c>
      <c r="O117" s="12" t="s">
        <v>170</v>
      </c>
      <c r="P117" s="15" t="s">
        <v>31</v>
      </c>
      <c r="Q117" s="86">
        <f>Q118+Q119</f>
        <v>3.582839999999999</v>
      </c>
      <c r="R117" s="47">
        <f>R118+R119</f>
        <v>16.03784</v>
      </c>
      <c r="S117" s="25">
        <f>S118+S119</f>
        <v>2.21</v>
      </c>
      <c r="T117" s="25" t="str">
        <f>T118</f>
        <v>3 час</v>
      </c>
      <c r="U117" s="26">
        <f t="shared" si="29"/>
        <v>13.827839999999998</v>
      </c>
      <c r="V117" s="25">
        <v>0</v>
      </c>
      <c r="W117" s="24">
        <f>1.05*25</f>
        <v>26.25</v>
      </c>
      <c r="X117" s="5">
        <f>W117-U117-V117</f>
        <v>12.422160000000002</v>
      </c>
      <c r="Y117" s="115">
        <f>MIN(X117:X119)</f>
        <v>12.422160000000002</v>
      </c>
      <c r="Z117" s="126" t="s">
        <v>24</v>
      </c>
    </row>
    <row r="118" spans="1:26" s="1" customFormat="1" ht="11.25" customHeight="1">
      <c r="A118" s="113"/>
      <c r="B118" s="27" t="s">
        <v>56</v>
      </c>
      <c r="C118" s="69" t="s">
        <v>31</v>
      </c>
      <c r="D118" s="48">
        <v>2.776</v>
      </c>
      <c r="E118" s="25">
        <v>2.21</v>
      </c>
      <c r="F118" s="25" t="s">
        <v>55</v>
      </c>
      <c r="G118" s="26">
        <f t="shared" si="28"/>
        <v>0.5659999999999998</v>
      </c>
      <c r="H118" s="25">
        <v>0</v>
      </c>
      <c r="I118" s="24">
        <f>1.05*25</f>
        <v>26.25</v>
      </c>
      <c r="J118" s="5">
        <f>I118-D118</f>
        <v>23.474</v>
      </c>
      <c r="K118" s="116"/>
      <c r="L118" s="127"/>
      <c r="M118" s="16"/>
      <c r="N118" s="113"/>
      <c r="O118" s="27" t="s">
        <v>56</v>
      </c>
      <c r="P118" s="15" t="s">
        <v>31</v>
      </c>
      <c r="Q118" s="86"/>
      <c r="R118" s="47">
        <f t="shared" si="19"/>
        <v>2.776</v>
      </c>
      <c r="S118" s="25">
        <v>2.21</v>
      </c>
      <c r="T118" s="25" t="s">
        <v>55</v>
      </c>
      <c r="U118" s="26">
        <f t="shared" si="29"/>
        <v>0.5659999999999998</v>
      </c>
      <c r="V118" s="25">
        <v>0</v>
      </c>
      <c r="W118" s="24">
        <f>1.05*25</f>
        <v>26.25</v>
      </c>
      <c r="X118" s="5">
        <f>W118-R118</f>
        <v>23.474</v>
      </c>
      <c r="Y118" s="145"/>
      <c r="Z118" s="127"/>
    </row>
    <row r="119" spans="1:26" s="1" customFormat="1" ht="11.25" customHeight="1">
      <c r="A119" s="114"/>
      <c r="B119" s="27" t="s">
        <v>44</v>
      </c>
      <c r="C119" s="69" t="s">
        <v>31</v>
      </c>
      <c r="D119" s="48">
        <v>9.679</v>
      </c>
      <c r="E119" s="25">
        <v>0</v>
      </c>
      <c r="F119" s="25">
        <v>0</v>
      </c>
      <c r="G119" s="26">
        <f t="shared" si="28"/>
        <v>9.679</v>
      </c>
      <c r="H119" s="25">
        <v>0</v>
      </c>
      <c r="I119" s="24">
        <f>1.05*25</f>
        <v>26.25</v>
      </c>
      <c r="J119" s="5">
        <f>I119-G119-H119</f>
        <v>16.570999999999998</v>
      </c>
      <c r="K119" s="117"/>
      <c r="L119" s="128"/>
      <c r="M119" s="16"/>
      <c r="N119" s="114"/>
      <c r="O119" s="27" t="s">
        <v>44</v>
      </c>
      <c r="P119" s="15" t="s">
        <v>31</v>
      </c>
      <c r="Q119" s="86">
        <f>1.731+0.001+0.11+0.005+0.004+0.101+0.005+0.005+0.017+1.2044+0.0065+0.0484+0.0038+0.0212+0.0054+0.038+0.3967+0.0215+0.0753+0.0161+0.04204+0.0108-0.324+0.0215+0.0054+0.0054+0.0054</f>
        <v>3.582839999999999</v>
      </c>
      <c r="R119" s="47">
        <f t="shared" si="19"/>
        <v>13.26184</v>
      </c>
      <c r="S119" s="25">
        <v>0</v>
      </c>
      <c r="T119" s="25">
        <v>0</v>
      </c>
      <c r="U119" s="26">
        <f t="shared" si="29"/>
        <v>13.26184</v>
      </c>
      <c r="V119" s="25">
        <v>0</v>
      </c>
      <c r="W119" s="24">
        <f>1.05*25</f>
        <v>26.25</v>
      </c>
      <c r="X119" s="5">
        <f>W119-U119-V119</f>
        <v>12.98816</v>
      </c>
      <c r="Y119" s="146"/>
      <c r="Z119" s="128"/>
    </row>
    <row r="120" spans="1:26" s="1" customFormat="1" ht="22.5">
      <c r="A120" s="18">
        <v>75</v>
      </c>
      <c r="B120" s="12" t="s">
        <v>171</v>
      </c>
      <c r="C120" s="69" t="s">
        <v>27</v>
      </c>
      <c r="D120" s="47">
        <v>0.369</v>
      </c>
      <c r="E120" s="25">
        <v>0</v>
      </c>
      <c r="F120" s="25">
        <v>0</v>
      </c>
      <c r="G120" s="26">
        <f t="shared" si="28"/>
        <v>0.369</v>
      </c>
      <c r="H120" s="25">
        <v>0</v>
      </c>
      <c r="I120" s="24">
        <f>1.05*2.5</f>
        <v>2.625</v>
      </c>
      <c r="J120" s="6">
        <f>I120-G120-H120</f>
        <v>2.2560000000000002</v>
      </c>
      <c r="K120" s="48">
        <f>J120</f>
        <v>2.2560000000000002</v>
      </c>
      <c r="L120" s="17" t="s">
        <v>24</v>
      </c>
      <c r="M120" s="16"/>
      <c r="N120" s="18">
        <v>75</v>
      </c>
      <c r="O120" s="12" t="s">
        <v>171</v>
      </c>
      <c r="P120" s="15" t="s">
        <v>27</v>
      </c>
      <c r="Q120" s="86">
        <f>0.006+0.215+0.0155-0.2234+0.0155</f>
        <v>0.0286</v>
      </c>
      <c r="R120" s="47">
        <f t="shared" si="19"/>
        <v>0.3976</v>
      </c>
      <c r="S120" s="25">
        <v>0</v>
      </c>
      <c r="T120" s="25">
        <v>0</v>
      </c>
      <c r="U120" s="26">
        <f t="shared" si="29"/>
        <v>0.3976</v>
      </c>
      <c r="V120" s="25">
        <v>0</v>
      </c>
      <c r="W120" s="24">
        <f>1.05*2.5</f>
        <v>2.625</v>
      </c>
      <c r="X120" s="6">
        <f>W120-U120-V120</f>
        <v>2.2274</v>
      </c>
      <c r="Y120" s="48">
        <f>X120</f>
        <v>2.2274</v>
      </c>
      <c r="Z120" s="12" t="s">
        <v>24</v>
      </c>
    </row>
    <row r="121" spans="1:26" s="1" customFormat="1" ht="22.5">
      <c r="A121" s="112">
        <v>76</v>
      </c>
      <c r="B121" s="12" t="s">
        <v>172</v>
      </c>
      <c r="C121" s="69" t="s">
        <v>30</v>
      </c>
      <c r="D121" s="47">
        <f>D122+D123</f>
        <v>14.8</v>
      </c>
      <c r="E121" s="25">
        <f>E122+E123</f>
        <v>7.34</v>
      </c>
      <c r="F121" s="25" t="str">
        <f>F122</f>
        <v>6 час</v>
      </c>
      <c r="G121" s="26">
        <f t="shared" si="28"/>
        <v>7.460000000000001</v>
      </c>
      <c r="H121" s="25">
        <v>0</v>
      </c>
      <c r="I121" s="24">
        <f>1.05*16</f>
        <v>16.8</v>
      </c>
      <c r="J121" s="5">
        <f>I121-G121-H121</f>
        <v>9.34</v>
      </c>
      <c r="K121" s="115">
        <f>MIN(J121:J123)</f>
        <v>6.877000000000001</v>
      </c>
      <c r="L121" s="126" t="s">
        <v>24</v>
      </c>
      <c r="M121" s="16"/>
      <c r="N121" s="112">
        <v>76</v>
      </c>
      <c r="O121" s="12" t="s">
        <v>172</v>
      </c>
      <c r="P121" s="15" t="s">
        <v>30</v>
      </c>
      <c r="Q121" s="86">
        <f>Q122+Q123</f>
        <v>0.06960000000000002</v>
      </c>
      <c r="R121" s="47">
        <f>R122+R123</f>
        <v>14.8696</v>
      </c>
      <c r="S121" s="25">
        <f>S122+S123</f>
        <v>7.34</v>
      </c>
      <c r="T121" s="25" t="str">
        <f>T122</f>
        <v>6 час</v>
      </c>
      <c r="U121" s="26">
        <f t="shared" si="29"/>
        <v>7.5296</v>
      </c>
      <c r="V121" s="25">
        <v>0</v>
      </c>
      <c r="W121" s="24">
        <f>1.05*16</f>
        <v>16.8</v>
      </c>
      <c r="X121" s="5">
        <f>W121-U121-V121</f>
        <v>9.2704</v>
      </c>
      <c r="Y121" s="115">
        <f>MIN(X121:X123)</f>
        <v>6.877000000000001</v>
      </c>
      <c r="Z121" s="126" t="s">
        <v>24</v>
      </c>
    </row>
    <row r="122" spans="1:26" s="1" customFormat="1" ht="22.5">
      <c r="A122" s="113"/>
      <c r="B122" s="27" t="s">
        <v>56</v>
      </c>
      <c r="C122" s="69" t="s">
        <v>30</v>
      </c>
      <c r="D122" s="48">
        <v>9.923</v>
      </c>
      <c r="E122" s="25">
        <v>7.34</v>
      </c>
      <c r="F122" s="25" t="s">
        <v>57</v>
      </c>
      <c r="G122" s="26">
        <f t="shared" si="28"/>
        <v>2.583</v>
      </c>
      <c r="H122" s="25">
        <v>0</v>
      </c>
      <c r="I122" s="24">
        <f>1.05*16</f>
        <v>16.8</v>
      </c>
      <c r="J122" s="5">
        <f>I122-D122</f>
        <v>6.877000000000001</v>
      </c>
      <c r="K122" s="116"/>
      <c r="L122" s="127"/>
      <c r="M122" s="16"/>
      <c r="N122" s="113"/>
      <c r="O122" s="27" t="s">
        <v>56</v>
      </c>
      <c r="P122" s="15" t="s">
        <v>30</v>
      </c>
      <c r="Q122" s="86"/>
      <c r="R122" s="47">
        <f t="shared" si="19"/>
        <v>9.923</v>
      </c>
      <c r="S122" s="25">
        <v>7.34</v>
      </c>
      <c r="T122" s="25" t="s">
        <v>57</v>
      </c>
      <c r="U122" s="26">
        <f t="shared" si="29"/>
        <v>2.583</v>
      </c>
      <c r="V122" s="25">
        <v>0</v>
      </c>
      <c r="W122" s="24">
        <f>1.05*16</f>
        <v>16.8</v>
      </c>
      <c r="X122" s="5">
        <f>W122-R122</f>
        <v>6.877000000000001</v>
      </c>
      <c r="Y122" s="145"/>
      <c r="Z122" s="127"/>
    </row>
    <row r="123" spans="1:26" s="1" customFormat="1" ht="22.5">
      <c r="A123" s="114"/>
      <c r="B123" s="27" t="s">
        <v>44</v>
      </c>
      <c r="C123" s="69" t="s">
        <v>30</v>
      </c>
      <c r="D123" s="48">
        <v>4.877</v>
      </c>
      <c r="E123" s="25">
        <v>0</v>
      </c>
      <c r="F123" s="25">
        <v>0</v>
      </c>
      <c r="G123" s="26">
        <f t="shared" si="28"/>
        <v>4.877</v>
      </c>
      <c r="H123" s="25">
        <v>0</v>
      </c>
      <c r="I123" s="24">
        <f>1.05*16</f>
        <v>16.8</v>
      </c>
      <c r="J123" s="5">
        <f>I123-G123-H123</f>
        <v>11.923000000000002</v>
      </c>
      <c r="K123" s="117"/>
      <c r="L123" s="128"/>
      <c r="M123" s="16"/>
      <c r="N123" s="114"/>
      <c r="O123" s="27" t="s">
        <v>44</v>
      </c>
      <c r="P123" s="15" t="s">
        <v>30</v>
      </c>
      <c r="Q123" s="86">
        <f>0.017+0.004+0.004+0.0048-0.0091+0.0043+0.0155+0.0091+0.0108+0.0054-0.0199+0.0035+0.0108+0.0019+0.0075</f>
        <v>0.06960000000000002</v>
      </c>
      <c r="R123" s="47">
        <f t="shared" si="19"/>
        <v>4.9466</v>
      </c>
      <c r="S123" s="25">
        <v>0</v>
      </c>
      <c r="T123" s="25">
        <v>0</v>
      </c>
      <c r="U123" s="26">
        <f t="shared" si="29"/>
        <v>4.9466</v>
      </c>
      <c r="V123" s="25">
        <v>0</v>
      </c>
      <c r="W123" s="24">
        <f>1.05*16</f>
        <v>16.8</v>
      </c>
      <c r="X123" s="5">
        <f>W123-U123-V123</f>
        <v>11.8534</v>
      </c>
      <c r="Y123" s="146"/>
      <c r="Z123" s="128"/>
    </row>
    <row r="124" spans="1:26" s="1" customFormat="1" ht="22.5">
      <c r="A124" s="18">
        <v>77</v>
      </c>
      <c r="B124" s="18" t="s">
        <v>173</v>
      </c>
      <c r="C124" s="69" t="s">
        <v>29</v>
      </c>
      <c r="D124" s="47">
        <v>1.018</v>
      </c>
      <c r="E124" s="25">
        <v>0</v>
      </c>
      <c r="F124" s="25">
        <v>0</v>
      </c>
      <c r="G124" s="26">
        <f t="shared" si="28"/>
        <v>1.018</v>
      </c>
      <c r="H124" s="25">
        <v>0</v>
      </c>
      <c r="I124" s="24">
        <f>1.05*6.3</f>
        <v>6.615</v>
      </c>
      <c r="J124" s="6">
        <f>I124-G124-H124</f>
        <v>5.597</v>
      </c>
      <c r="K124" s="48">
        <f>J124</f>
        <v>5.597</v>
      </c>
      <c r="L124" s="17" t="s">
        <v>24</v>
      </c>
      <c r="M124" s="16"/>
      <c r="N124" s="18">
        <v>77</v>
      </c>
      <c r="O124" s="12" t="s">
        <v>173</v>
      </c>
      <c r="P124" s="15" t="s">
        <v>29</v>
      </c>
      <c r="Q124" s="86">
        <f>0.01+0.005+0.03+0.06+0.009+0.006-0.0656+0.0753+0.0075+0.0161+0.005914+0.0054+0.0054+0.1935</f>
        <v>0.363514</v>
      </c>
      <c r="R124" s="47">
        <f t="shared" si="19"/>
        <v>1.3815140000000001</v>
      </c>
      <c r="S124" s="25">
        <v>0</v>
      </c>
      <c r="T124" s="25">
        <v>0</v>
      </c>
      <c r="U124" s="26">
        <f t="shared" si="29"/>
        <v>1.3815140000000001</v>
      </c>
      <c r="V124" s="25">
        <v>0</v>
      </c>
      <c r="W124" s="24">
        <f>1.05*6.3</f>
        <v>6.615</v>
      </c>
      <c r="X124" s="6">
        <f>W124-U124-V124</f>
        <v>5.233486</v>
      </c>
      <c r="Y124" s="48">
        <f>X124</f>
        <v>5.233486</v>
      </c>
      <c r="Z124" s="12" t="s">
        <v>24</v>
      </c>
    </row>
    <row r="125" spans="1:26" s="37" customFormat="1" ht="22.5">
      <c r="A125" s="118">
        <v>78</v>
      </c>
      <c r="B125" s="22" t="s">
        <v>174</v>
      </c>
      <c r="C125" s="23" t="s">
        <v>30</v>
      </c>
      <c r="D125" s="51">
        <f>D126+D127</f>
        <v>18.458</v>
      </c>
      <c r="E125" s="31">
        <v>0</v>
      </c>
      <c r="F125" s="31">
        <f>F126</f>
        <v>0</v>
      </c>
      <c r="G125" s="29">
        <f t="shared" si="28"/>
        <v>18.458</v>
      </c>
      <c r="H125" s="31">
        <v>0</v>
      </c>
      <c r="I125" s="30">
        <f>1.05*16</f>
        <v>16.8</v>
      </c>
      <c r="J125" s="3">
        <f>I125-G125-H125</f>
        <v>-1.6579999999999977</v>
      </c>
      <c r="K125" s="131">
        <f>MIN(J125:J127)</f>
        <v>-1.6579999999999977</v>
      </c>
      <c r="L125" s="118" t="s">
        <v>25</v>
      </c>
      <c r="M125" s="105"/>
      <c r="N125" s="118">
        <v>78</v>
      </c>
      <c r="O125" s="22" t="s">
        <v>174</v>
      </c>
      <c r="P125" s="23" t="s">
        <v>30</v>
      </c>
      <c r="Q125" s="88">
        <f>Q126+Q127</f>
        <v>0</v>
      </c>
      <c r="R125" s="51">
        <f>R126+R127</f>
        <v>18.458</v>
      </c>
      <c r="S125" s="31">
        <f>S126+S127</f>
        <v>0</v>
      </c>
      <c r="T125" s="31">
        <f>T126</f>
        <v>0</v>
      </c>
      <c r="U125" s="29">
        <f t="shared" si="29"/>
        <v>18.458</v>
      </c>
      <c r="V125" s="31">
        <v>0</v>
      </c>
      <c r="W125" s="30">
        <f>1.05*16</f>
        <v>16.8</v>
      </c>
      <c r="X125" s="3">
        <f>W125-U125-V125</f>
        <v>-1.6579999999999977</v>
      </c>
      <c r="Y125" s="131">
        <f>MIN(X125:X127)</f>
        <v>-1.6579999999999977</v>
      </c>
      <c r="Z125" s="118" t="s">
        <v>25</v>
      </c>
    </row>
    <row r="126" spans="1:26" s="37" customFormat="1" ht="22.5">
      <c r="A126" s="119"/>
      <c r="B126" s="35" t="s">
        <v>56</v>
      </c>
      <c r="C126" s="23" t="s">
        <v>30</v>
      </c>
      <c r="D126" s="49">
        <v>3.769</v>
      </c>
      <c r="E126" s="31">
        <v>0</v>
      </c>
      <c r="F126" s="31">
        <v>0</v>
      </c>
      <c r="G126" s="29">
        <f t="shared" si="28"/>
        <v>3.769</v>
      </c>
      <c r="H126" s="31">
        <v>0</v>
      </c>
      <c r="I126" s="30">
        <f>1.05*16</f>
        <v>16.8</v>
      </c>
      <c r="J126" s="3">
        <f>I126-D126</f>
        <v>13.031</v>
      </c>
      <c r="K126" s="132"/>
      <c r="L126" s="124"/>
      <c r="M126" s="105"/>
      <c r="N126" s="119"/>
      <c r="O126" s="35" t="s">
        <v>56</v>
      </c>
      <c r="P126" s="23" t="s">
        <v>30</v>
      </c>
      <c r="Q126" s="88"/>
      <c r="R126" s="51">
        <f t="shared" si="19"/>
        <v>3.769</v>
      </c>
      <c r="S126" s="31">
        <v>0</v>
      </c>
      <c r="T126" s="31">
        <v>0</v>
      </c>
      <c r="U126" s="29">
        <f t="shared" si="29"/>
        <v>3.769</v>
      </c>
      <c r="V126" s="31">
        <v>0</v>
      </c>
      <c r="W126" s="30">
        <f>1.05*16</f>
        <v>16.8</v>
      </c>
      <c r="X126" s="3">
        <f>W126-R126</f>
        <v>13.031</v>
      </c>
      <c r="Y126" s="155"/>
      <c r="Z126" s="124"/>
    </row>
    <row r="127" spans="1:26" s="37" customFormat="1" ht="22.5">
      <c r="A127" s="120"/>
      <c r="B127" s="35" t="s">
        <v>44</v>
      </c>
      <c r="C127" s="23" t="s">
        <v>30</v>
      </c>
      <c r="D127" s="49">
        <v>14.689</v>
      </c>
      <c r="E127" s="31">
        <v>0</v>
      </c>
      <c r="F127" s="31">
        <v>0</v>
      </c>
      <c r="G127" s="29">
        <f t="shared" si="28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33"/>
      <c r="L127" s="125"/>
      <c r="M127" s="105"/>
      <c r="N127" s="120"/>
      <c r="O127" s="35" t="s">
        <v>44</v>
      </c>
      <c r="P127" s="23" t="s">
        <v>30</v>
      </c>
      <c r="Q127" s="88"/>
      <c r="R127" s="51">
        <f t="shared" si="19"/>
        <v>14.689</v>
      </c>
      <c r="S127" s="31">
        <v>0</v>
      </c>
      <c r="T127" s="31">
        <v>0</v>
      </c>
      <c r="U127" s="29">
        <f t="shared" si="29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56"/>
      <c r="Z127" s="125"/>
    </row>
    <row r="128" spans="1:26" s="1" customFormat="1" ht="22.5">
      <c r="A128" s="18">
        <v>79</v>
      </c>
      <c r="B128" s="12" t="s">
        <v>175</v>
      </c>
      <c r="C128" s="69" t="s">
        <v>40</v>
      </c>
      <c r="D128" s="47">
        <v>7.895</v>
      </c>
      <c r="E128" s="25">
        <v>0</v>
      </c>
      <c r="F128" s="25">
        <v>0</v>
      </c>
      <c r="G128" s="26">
        <f t="shared" si="28"/>
        <v>7.895</v>
      </c>
      <c r="H128" s="25">
        <v>0</v>
      </c>
      <c r="I128" s="24">
        <f>1.05*10</f>
        <v>10.5</v>
      </c>
      <c r="J128" s="6">
        <f>I128-G128-H128</f>
        <v>2.6050000000000004</v>
      </c>
      <c r="K128" s="48">
        <f>J128</f>
        <v>2.6050000000000004</v>
      </c>
      <c r="L128" s="17" t="s">
        <v>24</v>
      </c>
      <c r="M128" s="16"/>
      <c r="N128" s="18">
        <v>79</v>
      </c>
      <c r="O128" s="12" t="s">
        <v>175</v>
      </c>
      <c r="P128" s="15" t="s">
        <v>40</v>
      </c>
      <c r="Q128" s="86">
        <f>0.311+0.029+0.024+0.01+0.304+0.145+0.005+0.009+0.011+0.0108+0.0223-0.1704+0.0048+0.0048+0.2742+0.0914-0.0228+0.0376+0.0054</f>
        <v>1.1061000000000003</v>
      </c>
      <c r="R128" s="47">
        <f t="shared" si="19"/>
        <v>9.0011</v>
      </c>
      <c r="S128" s="25">
        <v>0</v>
      </c>
      <c r="T128" s="25">
        <v>0</v>
      </c>
      <c r="U128" s="26">
        <f t="shared" si="29"/>
        <v>9.0011</v>
      </c>
      <c r="V128" s="25">
        <v>0</v>
      </c>
      <c r="W128" s="24">
        <f>1.05*10</f>
        <v>10.5</v>
      </c>
      <c r="X128" s="6">
        <f>W128-U128-V128</f>
        <v>1.4989000000000008</v>
      </c>
      <c r="Y128" s="48">
        <f>X128</f>
        <v>1.4989000000000008</v>
      </c>
      <c r="Z128" s="12" t="s">
        <v>24</v>
      </c>
    </row>
    <row r="129" spans="1:26" s="1" customFormat="1" ht="22.5">
      <c r="A129" s="18">
        <v>80</v>
      </c>
      <c r="B129" s="18" t="s">
        <v>177</v>
      </c>
      <c r="C129" s="69" t="s">
        <v>29</v>
      </c>
      <c r="D129" s="47">
        <v>0.808</v>
      </c>
      <c r="E129" s="25">
        <v>0</v>
      </c>
      <c r="F129" s="25">
        <v>0</v>
      </c>
      <c r="G129" s="26">
        <f t="shared" si="28"/>
        <v>0.808</v>
      </c>
      <c r="H129" s="25">
        <v>0</v>
      </c>
      <c r="I129" s="24">
        <f>1.05*6.3</f>
        <v>6.615</v>
      </c>
      <c r="J129" s="6">
        <f>I129-G129-H129</f>
        <v>5.807</v>
      </c>
      <c r="K129" s="48">
        <f>J129</f>
        <v>5.807</v>
      </c>
      <c r="L129" s="17" t="s">
        <v>24</v>
      </c>
      <c r="M129" s="16"/>
      <c r="N129" s="18">
        <v>80</v>
      </c>
      <c r="O129" s="12" t="s">
        <v>177</v>
      </c>
      <c r="P129" s="15" t="s">
        <v>29</v>
      </c>
      <c r="Q129" s="86">
        <f>0.011+0.005+0.0086-0.0163+0.0065+0.0081+0.0007+0.0065-0.0132+0.0081+0.0068</f>
        <v>0.031799999999999995</v>
      </c>
      <c r="R129" s="47">
        <f t="shared" si="19"/>
        <v>0.8398000000000001</v>
      </c>
      <c r="S129" s="25">
        <v>0</v>
      </c>
      <c r="T129" s="25">
        <v>0</v>
      </c>
      <c r="U129" s="26">
        <f t="shared" si="29"/>
        <v>0.8398000000000001</v>
      </c>
      <c r="V129" s="25">
        <v>0</v>
      </c>
      <c r="W129" s="24">
        <f>1.05*6.3</f>
        <v>6.615</v>
      </c>
      <c r="X129" s="6">
        <f>W129-U129-V129</f>
        <v>5.7752</v>
      </c>
      <c r="Y129" s="48">
        <f>X129</f>
        <v>5.7752</v>
      </c>
      <c r="Z129" s="12" t="s">
        <v>24</v>
      </c>
    </row>
    <row r="130" spans="1:26" s="1" customFormat="1" ht="22.5">
      <c r="A130" s="112">
        <v>81</v>
      </c>
      <c r="B130" s="12" t="s">
        <v>176</v>
      </c>
      <c r="C130" s="69" t="s">
        <v>30</v>
      </c>
      <c r="D130" s="47">
        <f>D131+D132</f>
        <v>13.364</v>
      </c>
      <c r="E130" s="25">
        <f>E131+E132</f>
        <v>6.45</v>
      </c>
      <c r="F130" s="25" t="str">
        <f>F131</f>
        <v>3 час</v>
      </c>
      <c r="G130" s="26">
        <f t="shared" si="28"/>
        <v>6.914000000000001</v>
      </c>
      <c r="H130" s="25">
        <v>0</v>
      </c>
      <c r="I130" s="24">
        <f>1.05*16</f>
        <v>16.8</v>
      </c>
      <c r="J130" s="5">
        <f>I130-G130-H130</f>
        <v>9.886</v>
      </c>
      <c r="K130" s="115">
        <f>MIN(J130:J132)</f>
        <v>7.470000000000001</v>
      </c>
      <c r="L130" s="126" t="s">
        <v>24</v>
      </c>
      <c r="M130" s="16"/>
      <c r="N130" s="112">
        <v>81</v>
      </c>
      <c r="O130" s="12" t="s">
        <v>176</v>
      </c>
      <c r="P130" s="15" t="s">
        <v>30</v>
      </c>
      <c r="Q130" s="86">
        <f>Q131+Q132</f>
        <v>2.2026999999999997</v>
      </c>
      <c r="R130" s="47">
        <f>R131+R132</f>
        <v>15.5667</v>
      </c>
      <c r="S130" s="25">
        <f>S131+S132</f>
        <v>6.45</v>
      </c>
      <c r="T130" s="25" t="str">
        <f>T131</f>
        <v>3 час</v>
      </c>
      <c r="U130" s="26">
        <f t="shared" si="29"/>
        <v>9.116700000000002</v>
      </c>
      <c r="V130" s="25">
        <v>0</v>
      </c>
      <c r="W130" s="24">
        <f>1.05*16</f>
        <v>16.8</v>
      </c>
      <c r="X130" s="5">
        <f>W130-U130-V130</f>
        <v>7.683299999999999</v>
      </c>
      <c r="Y130" s="115">
        <f>MIN(X130:X132)</f>
        <v>5.2673000000000005</v>
      </c>
      <c r="Z130" s="126" t="s">
        <v>24</v>
      </c>
    </row>
    <row r="131" spans="1:26" s="1" customFormat="1" ht="22.5">
      <c r="A131" s="113"/>
      <c r="B131" s="27" t="s">
        <v>56</v>
      </c>
      <c r="C131" s="69" t="s">
        <v>30</v>
      </c>
      <c r="D131" s="48">
        <v>4.034</v>
      </c>
      <c r="E131" s="25">
        <v>6.45</v>
      </c>
      <c r="F131" s="25" t="s">
        <v>55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16"/>
      <c r="L131" s="127"/>
      <c r="M131" s="16"/>
      <c r="N131" s="113"/>
      <c r="O131" s="27" t="s">
        <v>56</v>
      </c>
      <c r="P131" s="15" t="s">
        <v>30</v>
      </c>
      <c r="Q131" s="86"/>
      <c r="R131" s="47">
        <f t="shared" si="19"/>
        <v>4.034</v>
      </c>
      <c r="S131" s="25">
        <v>6.45</v>
      </c>
      <c r="T131" s="25" t="s">
        <v>55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45"/>
      <c r="Z131" s="127"/>
    </row>
    <row r="132" spans="1:26" s="1" customFormat="1" ht="22.5">
      <c r="A132" s="114"/>
      <c r="B132" s="27" t="s">
        <v>44</v>
      </c>
      <c r="C132" s="69" t="s">
        <v>30</v>
      </c>
      <c r="D132" s="48">
        <v>9.33</v>
      </c>
      <c r="E132" s="25">
        <v>0</v>
      </c>
      <c r="F132" s="25">
        <v>0</v>
      </c>
      <c r="G132" s="26">
        <f t="shared" si="28"/>
        <v>9.33</v>
      </c>
      <c r="H132" s="25">
        <v>0</v>
      </c>
      <c r="I132" s="24">
        <f>1.05*16</f>
        <v>16.8</v>
      </c>
      <c r="J132" s="5">
        <f>I132-G132-H132</f>
        <v>7.470000000000001</v>
      </c>
      <c r="K132" s="117"/>
      <c r="L132" s="128"/>
      <c r="M132" s="16"/>
      <c r="N132" s="114"/>
      <c r="O132" s="27" t="s">
        <v>44</v>
      </c>
      <c r="P132" s="15" t="s">
        <v>30</v>
      </c>
      <c r="Q132" s="86">
        <f>0.303+0.012+2.692+0.516+0.01+0.016+0.0306-1.702+0.0048+0.0468+0.007-0.0869+0.0003+0.0048+0.0048+0.0048+0.3387</f>
        <v>2.2026999999999997</v>
      </c>
      <c r="R132" s="47">
        <f t="shared" si="19"/>
        <v>11.5327</v>
      </c>
      <c r="S132" s="25">
        <v>0</v>
      </c>
      <c r="T132" s="25">
        <v>0</v>
      </c>
      <c r="U132" s="26">
        <f t="shared" si="29"/>
        <v>11.5327</v>
      </c>
      <c r="V132" s="25">
        <v>0</v>
      </c>
      <c r="W132" s="24">
        <f>1.05*16</f>
        <v>16.8</v>
      </c>
      <c r="X132" s="5">
        <f>W132-U132-V132</f>
        <v>5.2673000000000005</v>
      </c>
      <c r="Y132" s="146"/>
      <c r="Z132" s="128"/>
    </row>
    <row r="133" spans="1:26" s="74" customFormat="1" ht="22.5">
      <c r="A133" s="18">
        <v>82</v>
      </c>
      <c r="B133" s="18" t="s">
        <v>103</v>
      </c>
      <c r="C133" s="69" t="s">
        <v>29</v>
      </c>
      <c r="D133" s="79">
        <v>2.983</v>
      </c>
      <c r="E133" s="18">
        <v>0</v>
      </c>
      <c r="F133" s="18">
        <v>0</v>
      </c>
      <c r="G133" s="71">
        <f>D133</f>
        <v>2.983</v>
      </c>
      <c r="H133" s="18">
        <v>0</v>
      </c>
      <c r="I133" s="70">
        <f>1.05*6.3</f>
        <v>6.615</v>
      </c>
      <c r="J133" s="71">
        <f aca="true" t="shared" si="30" ref="J133:J164">I133-H133-G133</f>
        <v>3.632</v>
      </c>
      <c r="K133" s="79">
        <f aca="true" t="shared" si="31" ref="K133:K164">J133</f>
        <v>3.632</v>
      </c>
      <c r="L133" s="97" t="s">
        <v>24</v>
      </c>
      <c r="M133" s="104"/>
      <c r="N133" s="18">
        <v>82</v>
      </c>
      <c r="O133" s="18" t="s">
        <v>103</v>
      </c>
      <c r="P133" s="69" t="s">
        <v>29</v>
      </c>
      <c r="Q133" s="108">
        <f>0.043</f>
        <v>0.043</v>
      </c>
      <c r="R133" s="79">
        <f t="shared" si="19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</v>
      </c>
      <c r="X133" s="71">
        <f aca="true" t="shared" si="32" ref="X133:X164">W133-V133-U133</f>
        <v>3.589</v>
      </c>
      <c r="Y133" s="79">
        <f aca="true" t="shared" si="33" ref="Y133:Y171">X133</f>
        <v>3.589</v>
      </c>
      <c r="Z133" s="18" t="s">
        <v>24</v>
      </c>
    </row>
    <row r="134" spans="1:26" s="1" customFormat="1" ht="22.5">
      <c r="A134" s="18">
        <v>83</v>
      </c>
      <c r="B134" s="12" t="s">
        <v>104</v>
      </c>
      <c r="C134" s="69" t="s">
        <v>29</v>
      </c>
      <c r="D134" s="47">
        <v>3.28</v>
      </c>
      <c r="E134" s="12">
        <v>0</v>
      </c>
      <c r="F134" s="12">
        <v>0</v>
      </c>
      <c r="G134" s="12">
        <f aca="true" t="shared" si="34" ref="G134:G165">D134-E134</f>
        <v>3.28</v>
      </c>
      <c r="H134" s="12">
        <v>0</v>
      </c>
      <c r="I134" s="14">
        <f>1.05*6.3</f>
        <v>6.615</v>
      </c>
      <c r="J134" s="13">
        <f t="shared" si="30"/>
        <v>3.3350000000000004</v>
      </c>
      <c r="K134" s="47">
        <f t="shared" si="31"/>
        <v>3.3350000000000004</v>
      </c>
      <c r="L134" s="17" t="s">
        <v>24</v>
      </c>
      <c r="M134" s="16"/>
      <c r="N134" s="18">
        <v>83</v>
      </c>
      <c r="O134" s="12" t="s">
        <v>104</v>
      </c>
      <c r="P134" s="15" t="s">
        <v>29</v>
      </c>
      <c r="Q134" s="86">
        <f>0.003+0.005+0.0161-0.0113+0.0059</f>
        <v>0.0187</v>
      </c>
      <c r="R134" s="47">
        <f t="shared" si="19"/>
        <v>3.2986999999999997</v>
      </c>
      <c r="S134" s="12">
        <v>0</v>
      </c>
      <c r="T134" s="12">
        <v>0</v>
      </c>
      <c r="U134" s="12">
        <f aca="true" t="shared" si="35" ref="U134:U165">R134-S134</f>
        <v>3.2986999999999997</v>
      </c>
      <c r="V134" s="12">
        <v>0</v>
      </c>
      <c r="W134" s="14">
        <f>1.05*6.3</f>
        <v>6.615</v>
      </c>
      <c r="X134" s="13">
        <f t="shared" si="32"/>
        <v>3.3163000000000005</v>
      </c>
      <c r="Y134" s="47">
        <f t="shared" si="33"/>
        <v>3.3163000000000005</v>
      </c>
      <c r="Z134" s="12" t="s">
        <v>24</v>
      </c>
    </row>
    <row r="135" spans="1:26" s="1" customFormat="1" ht="22.5">
      <c r="A135" s="18">
        <v>84</v>
      </c>
      <c r="B135" s="12" t="s">
        <v>105</v>
      </c>
      <c r="C135" s="69" t="s">
        <v>28</v>
      </c>
      <c r="D135" s="47">
        <v>0.549</v>
      </c>
      <c r="E135" s="12">
        <v>0</v>
      </c>
      <c r="F135" s="12">
        <v>0</v>
      </c>
      <c r="G135" s="12">
        <f t="shared" si="34"/>
        <v>0.549</v>
      </c>
      <c r="H135" s="12">
        <v>0</v>
      </c>
      <c r="I135" s="14">
        <f>1.05*1.6</f>
        <v>1.6800000000000002</v>
      </c>
      <c r="J135" s="13">
        <f t="shared" si="30"/>
        <v>1.1310000000000002</v>
      </c>
      <c r="K135" s="47">
        <f t="shared" si="31"/>
        <v>1.1310000000000002</v>
      </c>
      <c r="L135" s="17" t="s">
        <v>24</v>
      </c>
      <c r="M135" s="16"/>
      <c r="N135" s="18">
        <v>84</v>
      </c>
      <c r="O135" s="12" t="s">
        <v>105</v>
      </c>
      <c r="P135" s="15" t="s">
        <v>28</v>
      </c>
      <c r="Q135" s="86">
        <f>0.011-0.0032+0.1075+0.215-0.1075+0.0068</f>
        <v>0.2296</v>
      </c>
      <c r="R135" s="47">
        <f t="shared" si="19"/>
        <v>0.7786000000000001</v>
      </c>
      <c r="S135" s="12">
        <v>0</v>
      </c>
      <c r="T135" s="12">
        <v>0</v>
      </c>
      <c r="U135" s="12">
        <f t="shared" si="35"/>
        <v>0.7786000000000001</v>
      </c>
      <c r="V135" s="12">
        <v>0</v>
      </c>
      <c r="W135" s="14">
        <f>1.05*1.6</f>
        <v>1.6800000000000002</v>
      </c>
      <c r="X135" s="13">
        <f t="shared" si="32"/>
        <v>0.9014000000000001</v>
      </c>
      <c r="Y135" s="47">
        <f t="shared" si="33"/>
        <v>0.9014000000000001</v>
      </c>
      <c r="Z135" s="12" t="s">
        <v>24</v>
      </c>
    </row>
    <row r="136" spans="1:26" s="1" customFormat="1" ht="22.5">
      <c r="A136" s="18">
        <v>85</v>
      </c>
      <c r="B136" s="12" t="s">
        <v>106</v>
      </c>
      <c r="C136" s="69" t="s">
        <v>54</v>
      </c>
      <c r="D136" s="47">
        <v>2.632</v>
      </c>
      <c r="E136" s="12">
        <v>0</v>
      </c>
      <c r="F136" s="12">
        <v>0</v>
      </c>
      <c r="G136" s="14">
        <f t="shared" si="34"/>
        <v>2.632</v>
      </c>
      <c r="H136" s="12">
        <v>0</v>
      </c>
      <c r="I136" s="14">
        <f>1.05*3.2</f>
        <v>3.3600000000000003</v>
      </c>
      <c r="J136" s="14">
        <f t="shared" si="30"/>
        <v>0.7280000000000002</v>
      </c>
      <c r="K136" s="47">
        <f t="shared" si="31"/>
        <v>0.7280000000000002</v>
      </c>
      <c r="L136" s="17" t="s">
        <v>24</v>
      </c>
      <c r="M136" s="16"/>
      <c r="N136" s="18">
        <v>85</v>
      </c>
      <c r="O136" s="12" t="s">
        <v>106</v>
      </c>
      <c r="P136" s="15" t="s">
        <v>54</v>
      </c>
      <c r="Q136" s="86">
        <f>0.0022+0.0161+0.215</f>
        <v>0.2333</v>
      </c>
      <c r="R136" s="47">
        <f aca="true" t="shared" si="36" ref="R136:R195">Q136+D136</f>
        <v>2.8653</v>
      </c>
      <c r="S136" s="12">
        <v>0</v>
      </c>
      <c r="T136" s="12">
        <v>0</v>
      </c>
      <c r="U136" s="12">
        <f t="shared" si="35"/>
        <v>2.8653</v>
      </c>
      <c r="V136" s="12">
        <v>0</v>
      </c>
      <c r="W136" s="14">
        <f>1.05*3.2</f>
        <v>3.3600000000000003</v>
      </c>
      <c r="X136" s="13">
        <f t="shared" si="32"/>
        <v>0.49470000000000036</v>
      </c>
      <c r="Y136" s="47">
        <f t="shared" si="33"/>
        <v>0.49470000000000036</v>
      </c>
      <c r="Z136" s="12" t="s">
        <v>24</v>
      </c>
    </row>
    <row r="137" spans="1:26" s="1" customFormat="1" ht="33.75">
      <c r="A137" s="18">
        <v>86</v>
      </c>
      <c r="B137" s="12" t="s">
        <v>107</v>
      </c>
      <c r="C137" s="69" t="s">
        <v>34</v>
      </c>
      <c r="D137" s="47">
        <v>1.237</v>
      </c>
      <c r="E137" s="12">
        <v>0</v>
      </c>
      <c r="F137" s="12">
        <v>0</v>
      </c>
      <c r="G137" s="12">
        <f t="shared" si="34"/>
        <v>1.237</v>
      </c>
      <c r="H137" s="12">
        <v>0</v>
      </c>
      <c r="I137" s="14">
        <f>1.05*4</f>
        <v>4.2</v>
      </c>
      <c r="J137" s="13">
        <f t="shared" si="30"/>
        <v>2.963</v>
      </c>
      <c r="K137" s="47">
        <f t="shared" si="31"/>
        <v>2.963</v>
      </c>
      <c r="L137" s="17" t="s">
        <v>24</v>
      </c>
      <c r="M137" s="16"/>
      <c r="N137" s="18">
        <v>86</v>
      </c>
      <c r="O137" s="12" t="s">
        <v>107</v>
      </c>
      <c r="P137" s="15" t="s">
        <v>34</v>
      </c>
      <c r="Q137" s="86">
        <f>0.007+0.004+0.003+0.021+0.004+0.002+0.0151+0.0054-0.0102+0.029+0.0161+0.0161+0.086+0.0086+0.0339+0.0204-0.1348+0.0048</f>
        <v>0.13139999999999996</v>
      </c>
      <c r="R137" s="47">
        <f t="shared" si="36"/>
        <v>1.3684</v>
      </c>
      <c r="S137" s="12">
        <v>0</v>
      </c>
      <c r="T137" s="12">
        <v>0</v>
      </c>
      <c r="U137" s="12">
        <f t="shared" si="35"/>
        <v>1.3684</v>
      </c>
      <c r="V137" s="12">
        <v>0</v>
      </c>
      <c r="W137" s="14">
        <f>1.05*4</f>
        <v>4.2</v>
      </c>
      <c r="X137" s="13">
        <f t="shared" si="32"/>
        <v>2.8316</v>
      </c>
      <c r="Y137" s="47">
        <f t="shared" si="33"/>
        <v>2.8316</v>
      </c>
      <c r="Z137" s="12" t="s">
        <v>24</v>
      </c>
    </row>
    <row r="138" spans="1:26" s="1" customFormat="1" ht="22.5">
      <c r="A138" s="18">
        <v>87</v>
      </c>
      <c r="B138" s="12" t="s">
        <v>108</v>
      </c>
      <c r="C138" s="69" t="s">
        <v>27</v>
      </c>
      <c r="D138" s="47">
        <v>0.536</v>
      </c>
      <c r="E138" s="12">
        <v>0</v>
      </c>
      <c r="F138" s="12">
        <v>0</v>
      </c>
      <c r="G138" s="12">
        <f t="shared" si="34"/>
        <v>0.536</v>
      </c>
      <c r="H138" s="12">
        <v>0</v>
      </c>
      <c r="I138" s="14">
        <f>1.05*2.5</f>
        <v>2.625</v>
      </c>
      <c r="J138" s="14">
        <f t="shared" si="30"/>
        <v>2.089</v>
      </c>
      <c r="K138" s="47">
        <f t="shared" si="31"/>
        <v>2.089</v>
      </c>
      <c r="L138" s="17" t="s">
        <v>24</v>
      </c>
      <c r="M138" s="16"/>
      <c r="N138" s="18">
        <v>87</v>
      </c>
      <c r="O138" s="12" t="s">
        <v>108</v>
      </c>
      <c r="P138" s="15" t="s">
        <v>27</v>
      </c>
      <c r="Q138" s="86">
        <f>0.016+0.0155+0.0108+0.016128+0.0065+0.0065+0.0161</f>
        <v>0.08752800000000002</v>
      </c>
      <c r="R138" s="47">
        <f t="shared" si="36"/>
        <v>0.6235280000000001</v>
      </c>
      <c r="S138" s="12">
        <v>0</v>
      </c>
      <c r="T138" s="12">
        <v>0</v>
      </c>
      <c r="U138" s="12">
        <f t="shared" si="35"/>
        <v>0.6235280000000001</v>
      </c>
      <c r="V138" s="12">
        <v>0</v>
      </c>
      <c r="W138" s="14">
        <f>1.05*2.5</f>
        <v>2.625</v>
      </c>
      <c r="X138" s="13">
        <f t="shared" si="32"/>
        <v>2.0014719999999997</v>
      </c>
      <c r="Y138" s="47">
        <f t="shared" si="33"/>
        <v>2.0014719999999997</v>
      </c>
      <c r="Z138" s="12" t="s">
        <v>24</v>
      </c>
    </row>
    <row r="139" spans="1:26" s="100" customFormat="1" ht="22.5">
      <c r="A139" s="31">
        <v>88</v>
      </c>
      <c r="B139" s="31" t="s">
        <v>109</v>
      </c>
      <c r="C139" s="32" t="s">
        <v>46</v>
      </c>
      <c r="D139" s="49">
        <v>11.314</v>
      </c>
      <c r="E139" s="31">
        <v>0</v>
      </c>
      <c r="F139" s="31">
        <v>0</v>
      </c>
      <c r="G139" s="31">
        <f t="shared" si="34"/>
        <v>11.314</v>
      </c>
      <c r="H139" s="31">
        <v>0</v>
      </c>
      <c r="I139" s="30">
        <f>1.05*6.3</f>
        <v>6.615</v>
      </c>
      <c r="J139" s="29">
        <f t="shared" si="30"/>
        <v>-4.699</v>
      </c>
      <c r="K139" s="49">
        <f t="shared" si="31"/>
        <v>-4.699</v>
      </c>
      <c r="L139" s="101" t="s">
        <v>25</v>
      </c>
      <c r="M139" s="98"/>
      <c r="N139" s="31">
        <v>88</v>
      </c>
      <c r="O139" s="31" t="s">
        <v>109</v>
      </c>
      <c r="P139" s="32" t="s">
        <v>46</v>
      </c>
      <c r="Q139" s="87">
        <v>0</v>
      </c>
      <c r="R139" s="49">
        <f t="shared" si="36"/>
        <v>11.314</v>
      </c>
      <c r="S139" s="31">
        <v>0</v>
      </c>
      <c r="T139" s="31">
        <v>0</v>
      </c>
      <c r="U139" s="31">
        <f t="shared" si="35"/>
        <v>11.314</v>
      </c>
      <c r="V139" s="31">
        <v>0</v>
      </c>
      <c r="W139" s="30">
        <f>1.05*6.3</f>
        <v>6.615</v>
      </c>
      <c r="X139" s="29">
        <f t="shared" si="32"/>
        <v>-4.699</v>
      </c>
      <c r="Y139" s="49">
        <f>X139</f>
        <v>-4.699</v>
      </c>
      <c r="Z139" s="31" t="s">
        <v>25</v>
      </c>
    </row>
    <row r="140" spans="1:26" s="1" customFormat="1" ht="22.5">
      <c r="A140" s="18">
        <v>89</v>
      </c>
      <c r="B140" s="12" t="s">
        <v>110</v>
      </c>
      <c r="C140" s="69" t="s">
        <v>36</v>
      </c>
      <c r="D140" s="47">
        <v>1.174</v>
      </c>
      <c r="E140" s="12">
        <v>0</v>
      </c>
      <c r="F140" s="12">
        <v>0</v>
      </c>
      <c r="G140" s="12">
        <f t="shared" si="34"/>
        <v>1.174</v>
      </c>
      <c r="H140" s="12">
        <v>0</v>
      </c>
      <c r="I140" s="14">
        <f>1.05*2.5</f>
        <v>2.625</v>
      </c>
      <c r="J140" s="13">
        <f t="shared" si="30"/>
        <v>1.451</v>
      </c>
      <c r="K140" s="47">
        <f t="shared" si="31"/>
        <v>1.451</v>
      </c>
      <c r="L140" s="17" t="s">
        <v>24</v>
      </c>
      <c r="M140" s="16"/>
      <c r="N140" s="18">
        <v>89</v>
      </c>
      <c r="O140" s="12" t="s">
        <v>110</v>
      </c>
      <c r="P140" s="15" t="s">
        <v>36</v>
      </c>
      <c r="Q140" s="86">
        <f>0.013+0.007+0.007+0.0145+0.0161-0.0134+0.0077+0.0075-0.0269+0.0145</f>
        <v>0.04699999999999999</v>
      </c>
      <c r="R140" s="47">
        <f t="shared" si="36"/>
        <v>1.2209999999999999</v>
      </c>
      <c r="S140" s="12">
        <v>0</v>
      </c>
      <c r="T140" s="12">
        <v>0</v>
      </c>
      <c r="U140" s="12">
        <f t="shared" si="35"/>
        <v>1.2209999999999999</v>
      </c>
      <c r="V140" s="12">
        <v>0</v>
      </c>
      <c r="W140" s="14">
        <f>1.05*2.5</f>
        <v>2.625</v>
      </c>
      <c r="X140" s="13">
        <f t="shared" si="32"/>
        <v>1.4040000000000001</v>
      </c>
      <c r="Y140" s="47">
        <f t="shared" si="33"/>
        <v>1.4040000000000001</v>
      </c>
      <c r="Z140" s="12" t="s">
        <v>24</v>
      </c>
    </row>
    <row r="141" spans="1:26" s="1" customFormat="1" ht="22.5">
      <c r="A141" s="22">
        <v>90</v>
      </c>
      <c r="B141" s="22" t="s">
        <v>111</v>
      </c>
      <c r="C141" s="23" t="s">
        <v>26</v>
      </c>
      <c r="D141" s="51">
        <v>11.754</v>
      </c>
      <c r="E141" s="22">
        <v>0</v>
      </c>
      <c r="F141" s="22">
        <v>0</v>
      </c>
      <c r="G141" s="22">
        <f t="shared" si="34"/>
        <v>11.754</v>
      </c>
      <c r="H141" s="22">
        <v>0</v>
      </c>
      <c r="I141" s="21">
        <f>1.05*10</f>
        <v>10.5</v>
      </c>
      <c r="J141" s="20">
        <f t="shared" si="30"/>
        <v>-1.2539999999999996</v>
      </c>
      <c r="K141" s="51">
        <f t="shared" si="31"/>
        <v>-1.2539999999999996</v>
      </c>
      <c r="L141" s="19" t="s">
        <v>25</v>
      </c>
      <c r="M141" s="16"/>
      <c r="N141" s="22">
        <v>90</v>
      </c>
      <c r="O141" s="22" t="s">
        <v>111</v>
      </c>
      <c r="P141" s="23" t="s">
        <v>26</v>
      </c>
      <c r="Q141" s="88">
        <v>0</v>
      </c>
      <c r="R141" s="51">
        <f t="shared" si="36"/>
        <v>11.754</v>
      </c>
      <c r="S141" s="22">
        <v>0</v>
      </c>
      <c r="T141" s="22">
        <v>0</v>
      </c>
      <c r="U141" s="22">
        <f t="shared" si="35"/>
        <v>11.754</v>
      </c>
      <c r="V141" s="22">
        <v>0</v>
      </c>
      <c r="W141" s="21">
        <f>1.05*10</f>
        <v>10.5</v>
      </c>
      <c r="X141" s="20">
        <f t="shared" si="32"/>
        <v>-1.2539999999999996</v>
      </c>
      <c r="Y141" s="51">
        <f t="shared" si="33"/>
        <v>-1.2539999999999996</v>
      </c>
      <c r="Z141" s="22" t="s">
        <v>25</v>
      </c>
    </row>
    <row r="142" spans="1:26" s="1" customFormat="1" ht="33.75">
      <c r="A142" s="18">
        <v>91</v>
      </c>
      <c r="B142" s="12" t="s">
        <v>112</v>
      </c>
      <c r="C142" s="69" t="s">
        <v>34</v>
      </c>
      <c r="D142" s="47">
        <v>0.771</v>
      </c>
      <c r="E142" s="12">
        <v>0</v>
      </c>
      <c r="F142" s="12">
        <v>0</v>
      </c>
      <c r="G142" s="12">
        <f t="shared" si="34"/>
        <v>0.771</v>
      </c>
      <c r="H142" s="12">
        <v>0</v>
      </c>
      <c r="I142" s="14">
        <f>1.05*4</f>
        <v>4.2</v>
      </c>
      <c r="J142" s="13">
        <f t="shared" si="30"/>
        <v>3.4290000000000003</v>
      </c>
      <c r="K142" s="47">
        <f t="shared" si="31"/>
        <v>3.4290000000000003</v>
      </c>
      <c r="L142" s="17" t="s">
        <v>24</v>
      </c>
      <c r="M142" s="16"/>
      <c r="N142" s="18">
        <v>91</v>
      </c>
      <c r="O142" s="12" t="s">
        <v>112</v>
      </c>
      <c r="P142" s="15" t="s">
        <v>34</v>
      </c>
      <c r="Q142" s="86">
        <f>0.006+0.011+0.005+0.014+0.007+0.016-0.0108+0.0054+0.0161-0.0247+0.0043</f>
        <v>0.04930000000000001</v>
      </c>
      <c r="R142" s="47">
        <f t="shared" si="36"/>
        <v>0.8203</v>
      </c>
      <c r="S142" s="12">
        <v>0</v>
      </c>
      <c r="T142" s="12">
        <v>0</v>
      </c>
      <c r="U142" s="12">
        <f t="shared" si="35"/>
        <v>0.8203</v>
      </c>
      <c r="V142" s="12">
        <v>0</v>
      </c>
      <c r="W142" s="14">
        <f>1.05*4</f>
        <v>4.2</v>
      </c>
      <c r="X142" s="13">
        <f t="shared" si="32"/>
        <v>3.3797</v>
      </c>
      <c r="Y142" s="47">
        <f t="shared" si="33"/>
        <v>3.3797</v>
      </c>
      <c r="Z142" s="12" t="s">
        <v>24</v>
      </c>
    </row>
    <row r="143" spans="1:26" s="1" customFormat="1" ht="22.5">
      <c r="A143" s="18">
        <v>92</v>
      </c>
      <c r="B143" s="12" t="s">
        <v>113</v>
      </c>
      <c r="C143" s="69" t="s">
        <v>28</v>
      </c>
      <c r="D143" s="47">
        <v>0.33</v>
      </c>
      <c r="E143" s="12">
        <v>0</v>
      </c>
      <c r="F143" s="12">
        <v>0</v>
      </c>
      <c r="G143" s="12">
        <f t="shared" si="34"/>
        <v>0.33</v>
      </c>
      <c r="H143" s="12">
        <v>0</v>
      </c>
      <c r="I143" s="14">
        <f>1.05*1.6</f>
        <v>1.6800000000000002</v>
      </c>
      <c r="J143" s="13">
        <f t="shared" si="30"/>
        <v>1.35</v>
      </c>
      <c r="K143" s="47">
        <f t="shared" si="31"/>
        <v>1.35</v>
      </c>
      <c r="L143" s="17" t="s">
        <v>24</v>
      </c>
      <c r="M143" s="16"/>
      <c r="N143" s="18">
        <v>92</v>
      </c>
      <c r="O143" s="12" t="s">
        <v>113</v>
      </c>
      <c r="P143" s="15" t="s">
        <v>28</v>
      </c>
      <c r="Q143" s="86">
        <f>0.0065+0.0021</f>
        <v>0.0086</v>
      </c>
      <c r="R143" s="47">
        <f t="shared" si="36"/>
        <v>0.3386</v>
      </c>
      <c r="S143" s="12">
        <v>0</v>
      </c>
      <c r="T143" s="12">
        <v>0</v>
      </c>
      <c r="U143" s="12">
        <f t="shared" si="35"/>
        <v>0.3386</v>
      </c>
      <c r="V143" s="12">
        <v>0</v>
      </c>
      <c r="W143" s="14">
        <f>1.05*1.6</f>
        <v>1.6800000000000002</v>
      </c>
      <c r="X143" s="13">
        <f t="shared" si="32"/>
        <v>1.3414000000000001</v>
      </c>
      <c r="Y143" s="47">
        <f t="shared" si="33"/>
        <v>1.3414000000000001</v>
      </c>
      <c r="Z143" s="12" t="s">
        <v>24</v>
      </c>
    </row>
    <row r="144" spans="1:26" s="1" customFormat="1" ht="22.5">
      <c r="A144" s="18">
        <v>93</v>
      </c>
      <c r="B144" s="12" t="s">
        <v>116</v>
      </c>
      <c r="C144" s="69" t="s">
        <v>34</v>
      </c>
      <c r="D144" s="47">
        <v>1.911</v>
      </c>
      <c r="E144" s="12">
        <v>0</v>
      </c>
      <c r="F144" s="12">
        <v>0</v>
      </c>
      <c r="G144" s="12">
        <f t="shared" si="34"/>
        <v>1.911</v>
      </c>
      <c r="H144" s="12">
        <v>0</v>
      </c>
      <c r="I144" s="14">
        <f>1.05*4</f>
        <v>4.2</v>
      </c>
      <c r="J144" s="13">
        <f t="shared" si="30"/>
        <v>2.289</v>
      </c>
      <c r="K144" s="47">
        <f t="shared" si="31"/>
        <v>2.289</v>
      </c>
      <c r="L144" s="17" t="s">
        <v>24</v>
      </c>
      <c r="M144" s="16"/>
      <c r="N144" s="18">
        <v>93</v>
      </c>
      <c r="O144" s="12" t="s">
        <v>116</v>
      </c>
      <c r="P144" s="15" t="s">
        <v>34</v>
      </c>
      <c r="Q144" s="86">
        <f>0.029+0.008+0.012+0.005+0.008+0.015+0.0054+0.285+0.0215+0.003226-0.028+0.3226+0.011+0.0068+0.0108</f>
        <v>0.715326</v>
      </c>
      <c r="R144" s="47">
        <f t="shared" si="36"/>
        <v>2.626326</v>
      </c>
      <c r="S144" s="12">
        <v>0</v>
      </c>
      <c r="T144" s="12">
        <v>0</v>
      </c>
      <c r="U144" s="12">
        <f t="shared" si="35"/>
        <v>2.626326</v>
      </c>
      <c r="V144" s="12">
        <v>0</v>
      </c>
      <c r="W144" s="14">
        <f>1.05*4</f>
        <v>4.2</v>
      </c>
      <c r="X144" s="13">
        <f t="shared" si="32"/>
        <v>1.573674</v>
      </c>
      <c r="Y144" s="47">
        <f t="shared" si="33"/>
        <v>1.573674</v>
      </c>
      <c r="Z144" s="12" t="s">
        <v>24</v>
      </c>
    </row>
    <row r="145" spans="1:26" s="1" customFormat="1" ht="22.5">
      <c r="A145" s="18">
        <v>94</v>
      </c>
      <c r="B145" s="12" t="s">
        <v>117</v>
      </c>
      <c r="C145" s="69" t="s">
        <v>41</v>
      </c>
      <c r="D145" s="47">
        <v>1.812</v>
      </c>
      <c r="E145" s="12">
        <v>0</v>
      </c>
      <c r="F145" s="12">
        <v>0</v>
      </c>
      <c r="G145" s="12">
        <f t="shared" si="34"/>
        <v>1.812</v>
      </c>
      <c r="H145" s="12">
        <v>0</v>
      </c>
      <c r="I145" s="14">
        <f>1.05*4</f>
        <v>4.2</v>
      </c>
      <c r="J145" s="13">
        <f t="shared" si="30"/>
        <v>2.388</v>
      </c>
      <c r="K145" s="47">
        <f t="shared" si="31"/>
        <v>2.388</v>
      </c>
      <c r="L145" s="17" t="s">
        <v>24</v>
      </c>
      <c r="M145" s="16"/>
      <c r="N145" s="18">
        <v>94</v>
      </c>
      <c r="O145" s="12" t="s">
        <v>117</v>
      </c>
      <c r="P145" s="15" t="s">
        <v>41</v>
      </c>
      <c r="Q145" s="86">
        <f>0.023+0.003+0.028+0.038+0.005+0.016+0.016-0.028+0.0034+0.001344-0.0671+0.0161</f>
        <v>0.054744</v>
      </c>
      <c r="R145" s="47">
        <f t="shared" si="36"/>
        <v>1.866744</v>
      </c>
      <c r="S145" s="12">
        <v>0</v>
      </c>
      <c r="T145" s="12">
        <v>0</v>
      </c>
      <c r="U145" s="12">
        <f t="shared" si="35"/>
        <v>1.866744</v>
      </c>
      <c r="V145" s="12">
        <v>0</v>
      </c>
      <c r="W145" s="14">
        <f>1.05*4</f>
        <v>4.2</v>
      </c>
      <c r="X145" s="13">
        <f t="shared" si="32"/>
        <v>2.3332560000000004</v>
      </c>
      <c r="Y145" s="47">
        <f t="shared" si="33"/>
        <v>2.3332560000000004</v>
      </c>
      <c r="Z145" s="12" t="s">
        <v>24</v>
      </c>
    </row>
    <row r="146" spans="1:26" s="1" customFormat="1" ht="22.5">
      <c r="A146" s="18">
        <v>95</v>
      </c>
      <c r="B146" s="12" t="s">
        <v>213</v>
      </c>
      <c r="C146" s="69" t="s">
        <v>53</v>
      </c>
      <c r="D146" s="47">
        <v>0.12</v>
      </c>
      <c r="E146" s="12">
        <v>0</v>
      </c>
      <c r="F146" s="12">
        <v>0</v>
      </c>
      <c r="G146" s="12">
        <f t="shared" si="34"/>
        <v>0.12</v>
      </c>
      <c r="H146" s="12">
        <v>0</v>
      </c>
      <c r="I146" s="14">
        <f>1.05*1</f>
        <v>1.05</v>
      </c>
      <c r="J146" s="13">
        <f t="shared" si="30"/>
        <v>0.93</v>
      </c>
      <c r="K146" s="47">
        <f t="shared" si="31"/>
        <v>0.93</v>
      </c>
      <c r="L146" s="17" t="s">
        <v>24</v>
      </c>
      <c r="M146" s="16"/>
      <c r="N146" s="18">
        <v>95</v>
      </c>
      <c r="O146" s="12" t="s">
        <v>118</v>
      </c>
      <c r="P146" s="15" t="s">
        <v>53</v>
      </c>
      <c r="Q146" s="86">
        <f>0.008+0.005+0.008-0.0054+0.0032+0.0032+0.016+0.0043-0.029+0.0038</f>
        <v>0.017100000000000004</v>
      </c>
      <c r="R146" s="47">
        <f t="shared" si="36"/>
        <v>0.1371</v>
      </c>
      <c r="S146" s="12">
        <v>0</v>
      </c>
      <c r="T146" s="12">
        <v>0</v>
      </c>
      <c r="U146" s="12">
        <f t="shared" si="35"/>
        <v>0.1371</v>
      </c>
      <c r="V146" s="12">
        <v>0</v>
      </c>
      <c r="W146" s="14">
        <f>1.05*1</f>
        <v>1.05</v>
      </c>
      <c r="X146" s="13">
        <f t="shared" si="32"/>
        <v>0.9129</v>
      </c>
      <c r="Y146" s="47">
        <f t="shared" si="33"/>
        <v>0.9129</v>
      </c>
      <c r="Z146" s="12" t="s">
        <v>24</v>
      </c>
    </row>
    <row r="147" spans="1:26" s="1" customFormat="1" ht="22.5">
      <c r="A147" s="18">
        <v>96</v>
      </c>
      <c r="B147" s="12" t="s">
        <v>120</v>
      </c>
      <c r="C147" s="69" t="s">
        <v>27</v>
      </c>
      <c r="D147" s="47">
        <v>0.245</v>
      </c>
      <c r="E147" s="12">
        <v>0</v>
      </c>
      <c r="F147" s="12">
        <v>0</v>
      </c>
      <c r="G147" s="12">
        <f t="shared" si="34"/>
        <v>0.245</v>
      </c>
      <c r="H147" s="12">
        <v>0</v>
      </c>
      <c r="I147" s="14">
        <f>1.05*2.5</f>
        <v>2.625</v>
      </c>
      <c r="J147" s="13">
        <f t="shared" si="30"/>
        <v>2.38</v>
      </c>
      <c r="K147" s="47">
        <f t="shared" si="31"/>
        <v>2.38</v>
      </c>
      <c r="L147" s="17" t="s">
        <v>24</v>
      </c>
      <c r="M147" s="16"/>
      <c r="N147" s="18">
        <v>96</v>
      </c>
      <c r="O147" s="12" t="s">
        <v>120</v>
      </c>
      <c r="P147" s="15" t="s">
        <v>27</v>
      </c>
      <c r="Q147" s="86">
        <f>0.005+0.005+0.0054+0.0108-0.0097</f>
        <v>0.0165</v>
      </c>
      <c r="R147" s="47">
        <f t="shared" si="36"/>
        <v>0.2615</v>
      </c>
      <c r="S147" s="12">
        <v>0</v>
      </c>
      <c r="T147" s="12">
        <v>0</v>
      </c>
      <c r="U147" s="12">
        <f t="shared" si="35"/>
        <v>0.2615</v>
      </c>
      <c r="V147" s="12">
        <v>0</v>
      </c>
      <c r="W147" s="14">
        <f>1.05*2.5</f>
        <v>2.625</v>
      </c>
      <c r="X147" s="13">
        <f t="shared" si="32"/>
        <v>2.3635</v>
      </c>
      <c r="Y147" s="47">
        <f t="shared" si="33"/>
        <v>2.3635</v>
      </c>
      <c r="Z147" s="12" t="s">
        <v>24</v>
      </c>
    </row>
    <row r="148" spans="1:26" s="1" customFormat="1" ht="22.5">
      <c r="A148" s="18">
        <v>97</v>
      </c>
      <c r="B148" s="12" t="s">
        <v>121</v>
      </c>
      <c r="C148" s="69" t="s">
        <v>27</v>
      </c>
      <c r="D148" s="47">
        <v>0.508</v>
      </c>
      <c r="E148" s="12">
        <v>0</v>
      </c>
      <c r="F148" s="12">
        <v>0</v>
      </c>
      <c r="G148" s="12">
        <f t="shared" si="34"/>
        <v>0.508</v>
      </c>
      <c r="H148" s="12">
        <v>0</v>
      </c>
      <c r="I148" s="14">
        <f>1.05*2.5</f>
        <v>2.625</v>
      </c>
      <c r="J148" s="13">
        <f t="shared" si="30"/>
        <v>2.117</v>
      </c>
      <c r="K148" s="47">
        <f t="shared" si="31"/>
        <v>2.117</v>
      </c>
      <c r="L148" s="17" t="s">
        <v>24</v>
      </c>
      <c r="M148" s="16"/>
      <c r="N148" s="18">
        <v>97</v>
      </c>
      <c r="O148" s="12" t="s">
        <v>121</v>
      </c>
      <c r="P148" s="15" t="s">
        <v>27</v>
      </c>
      <c r="Q148" s="86">
        <f>0.004+0.011+0.177+0.01-0.0145+0.5376+0.001+0.0172+0.028+0.0129-0.0274+0.0111+0.4301</f>
        <v>1.198</v>
      </c>
      <c r="R148" s="47">
        <f t="shared" si="36"/>
        <v>1.706</v>
      </c>
      <c r="S148" s="12">
        <v>0</v>
      </c>
      <c r="T148" s="12">
        <v>0</v>
      </c>
      <c r="U148" s="12">
        <f t="shared" si="35"/>
        <v>1.706</v>
      </c>
      <c r="V148" s="12">
        <v>0</v>
      </c>
      <c r="W148" s="14">
        <f>1.05*2.5</f>
        <v>2.625</v>
      </c>
      <c r="X148" s="13">
        <f t="shared" si="32"/>
        <v>0.919</v>
      </c>
      <c r="Y148" s="47">
        <f t="shared" si="33"/>
        <v>0.919</v>
      </c>
      <c r="Z148" s="12" t="s">
        <v>24</v>
      </c>
    </row>
    <row r="149" spans="1:26" s="1" customFormat="1" ht="22.5">
      <c r="A149" s="18">
        <v>98</v>
      </c>
      <c r="B149" s="12" t="s">
        <v>122</v>
      </c>
      <c r="C149" s="69" t="s">
        <v>28</v>
      </c>
      <c r="D149" s="47">
        <v>1.131</v>
      </c>
      <c r="E149" s="12">
        <v>0</v>
      </c>
      <c r="F149" s="12">
        <v>0</v>
      </c>
      <c r="G149" s="12">
        <f t="shared" si="34"/>
        <v>1.131</v>
      </c>
      <c r="H149" s="12">
        <v>0</v>
      </c>
      <c r="I149" s="14">
        <f>1.05*1.6</f>
        <v>1.6800000000000002</v>
      </c>
      <c r="J149" s="13">
        <f t="shared" si="30"/>
        <v>0.5490000000000002</v>
      </c>
      <c r="K149" s="47">
        <f t="shared" si="31"/>
        <v>0.5490000000000002</v>
      </c>
      <c r="L149" s="17" t="s">
        <v>24</v>
      </c>
      <c r="M149" s="16"/>
      <c r="N149" s="18">
        <v>98</v>
      </c>
      <c r="O149" s="12" t="s">
        <v>122</v>
      </c>
      <c r="P149" s="15" t="s">
        <v>28</v>
      </c>
      <c r="Q149" s="86">
        <v>0</v>
      </c>
      <c r="R149" s="47">
        <f t="shared" si="36"/>
        <v>1.131</v>
      </c>
      <c r="S149" s="12">
        <v>0</v>
      </c>
      <c r="T149" s="12">
        <v>0</v>
      </c>
      <c r="U149" s="12">
        <f t="shared" si="35"/>
        <v>1.131</v>
      </c>
      <c r="V149" s="12">
        <v>0</v>
      </c>
      <c r="W149" s="14">
        <f>1.05*1.6</f>
        <v>1.6800000000000002</v>
      </c>
      <c r="X149" s="13">
        <f t="shared" si="32"/>
        <v>0.5490000000000002</v>
      </c>
      <c r="Y149" s="47">
        <f t="shared" si="33"/>
        <v>0.5490000000000002</v>
      </c>
      <c r="Z149" s="12" t="s">
        <v>24</v>
      </c>
    </row>
    <row r="150" spans="1:26" s="1" customFormat="1" ht="22.5">
      <c r="A150" s="18">
        <v>99</v>
      </c>
      <c r="B150" s="12" t="s">
        <v>123</v>
      </c>
      <c r="C150" s="69" t="s">
        <v>29</v>
      </c>
      <c r="D150" s="47">
        <v>4.202</v>
      </c>
      <c r="E150" s="12">
        <v>0</v>
      </c>
      <c r="F150" s="12">
        <v>0</v>
      </c>
      <c r="G150" s="12">
        <f t="shared" si="34"/>
        <v>4.202</v>
      </c>
      <c r="H150" s="12">
        <v>0</v>
      </c>
      <c r="I150" s="14">
        <f>1.05*6.3</f>
        <v>6.615</v>
      </c>
      <c r="J150" s="14">
        <f t="shared" si="30"/>
        <v>2.4130000000000003</v>
      </c>
      <c r="K150" s="47">
        <f t="shared" si="31"/>
        <v>2.4130000000000003</v>
      </c>
      <c r="L150" s="17" t="s">
        <v>24</v>
      </c>
      <c r="M150" s="16"/>
      <c r="N150" s="18">
        <v>99</v>
      </c>
      <c r="O150" s="12" t="s">
        <v>123</v>
      </c>
      <c r="P150" s="15" t="s">
        <v>29</v>
      </c>
      <c r="Q150" s="86">
        <f>0.01+0.002+0.016+0.0086-0.0081+0.0108-0.0054</f>
        <v>0.0339</v>
      </c>
      <c r="R150" s="47">
        <f t="shared" si="36"/>
        <v>4.2359</v>
      </c>
      <c r="S150" s="12">
        <v>0</v>
      </c>
      <c r="T150" s="12">
        <v>0</v>
      </c>
      <c r="U150" s="12">
        <f t="shared" si="35"/>
        <v>4.2359</v>
      </c>
      <c r="V150" s="12">
        <v>0</v>
      </c>
      <c r="W150" s="14">
        <f>1.05*6.3</f>
        <v>6.615</v>
      </c>
      <c r="X150" s="13">
        <f t="shared" si="32"/>
        <v>2.3791</v>
      </c>
      <c r="Y150" s="47">
        <f t="shared" si="33"/>
        <v>2.3791</v>
      </c>
      <c r="Z150" s="12" t="s">
        <v>24</v>
      </c>
    </row>
    <row r="151" spans="1:26" s="1" customFormat="1" ht="22.5">
      <c r="A151" s="18">
        <v>100</v>
      </c>
      <c r="B151" s="12" t="s">
        <v>124</v>
      </c>
      <c r="C151" s="69" t="s">
        <v>28</v>
      </c>
      <c r="D151" s="47">
        <v>0.823</v>
      </c>
      <c r="E151" s="12">
        <v>0</v>
      </c>
      <c r="F151" s="12">
        <v>0</v>
      </c>
      <c r="G151" s="12">
        <f t="shared" si="34"/>
        <v>0.823</v>
      </c>
      <c r="H151" s="12">
        <v>0</v>
      </c>
      <c r="I151" s="14">
        <f>1.05*1.6</f>
        <v>1.6800000000000002</v>
      </c>
      <c r="J151" s="13">
        <f t="shared" si="30"/>
        <v>0.8570000000000002</v>
      </c>
      <c r="K151" s="47">
        <f t="shared" si="31"/>
        <v>0.8570000000000002</v>
      </c>
      <c r="L151" s="17" t="s">
        <v>24</v>
      </c>
      <c r="M151" s="16"/>
      <c r="N151" s="18">
        <v>100</v>
      </c>
      <c r="O151" s="12" t="s">
        <v>124</v>
      </c>
      <c r="P151" s="15" t="s">
        <v>28</v>
      </c>
      <c r="Q151" s="86">
        <f>0.021+0.003+0.003+0.038+0.022+0.016+0.005-0.0306+0.0161+0.0108+0.0237+0.0161+0.0108-0.1398+0.0086+0.0054+0.0054+0.0016+0.0161</f>
        <v>0.052199999999999996</v>
      </c>
      <c r="R151" s="47">
        <f t="shared" si="36"/>
        <v>0.8752</v>
      </c>
      <c r="S151" s="12">
        <v>0</v>
      </c>
      <c r="T151" s="12">
        <v>0</v>
      </c>
      <c r="U151" s="12">
        <f t="shared" si="35"/>
        <v>0.8752</v>
      </c>
      <c r="V151" s="12">
        <v>0</v>
      </c>
      <c r="W151" s="14">
        <f>1.05*1.6</f>
        <v>1.6800000000000002</v>
      </c>
      <c r="X151" s="13">
        <f t="shared" si="32"/>
        <v>0.8048000000000002</v>
      </c>
      <c r="Y151" s="47">
        <f t="shared" si="33"/>
        <v>0.8048000000000002</v>
      </c>
      <c r="Z151" s="12" t="s">
        <v>24</v>
      </c>
    </row>
    <row r="152" spans="1:26" s="1" customFormat="1" ht="22.5">
      <c r="A152" s="18">
        <v>101</v>
      </c>
      <c r="B152" s="12" t="s">
        <v>127</v>
      </c>
      <c r="C152" s="69" t="s">
        <v>28</v>
      </c>
      <c r="D152" s="47">
        <v>0.162</v>
      </c>
      <c r="E152" s="12">
        <v>0</v>
      </c>
      <c r="F152" s="12">
        <v>0</v>
      </c>
      <c r="G152" s="12">
        <f t="shared" si="34"/>
        <v>0.162</v>
      </c>
      <c r="H152" s="12">
        <v>0</v>
      </c>
      <c r="I152" s="14">
        <f>1.05*1.6</f>
        <v>1.6800000000000002</v>
      </c>
      <c r="J152" s="13">
        <f t="shared" si="30"/>
        <v>1.5180000000000002</v>
      </c>
      <c r="K152" s="47">
        <f t="shared" si="31"/>
        <v>1.5180000000000002</v>
      </c>
      <c r="L152" s="17" t="s">
        <v>24</v>
      </c>
      <c r="M152" s="16"/>
      <c r="N152" s="18">
        <v>101</v>
      </c>
      <c r="O152" s="12" t="s">
        <v>127</v>
      </c>
      <c r="P152" s="15" t="s">
        <v>28</v>
      </c>
      <c r="Q152" s="86">
        <f>0.005+0.005-0.0048+0.007+0.0008+0.0065</f>
        <v>0.0195</v>
      </c>
      <c r="R152" s="47">
        <f t="shared" si="36"/>
        <v>0.1815</v>
      </c>
      <c r="S152" s="12">
        <v>0</v>
      </c>
      <c r="T152" s="12">
        <v>0</v>
      </c>
      <c r="U152" s="12">
        <f t="shared" si="35"/>
        <v>0.1815</v>
      </c>
      <c r="V152" s="12">
        <v>0</v>
      </c>
      <c r="W152" s="14">
        <f>1.05*1.6</f>
        <v>1.6800000000000002</v>
      </c>
      <c r="X152" s="13">
        <f t="shared" si="32"/>
        <v>1.4985000000000002</v>
      </c>
      <c r="Y152" s="47">
        <f t="shared" si="33"/>
        <v>1.4985000000000002</v>
      </c>
      <c r="Z152" s="12" t="s">
        <v>24</v>
      </c>
    </row>
    <row r="153" spans="1:26" s="1" customFormat="1" ht="22.5">
      <c r="A153" s="18">
        <v>102</v>
      </c>
      <c r="B153" s="12" t="s">
        <v>128</v>
      </c>
      <c r="C153" s="69" t="s">
        <v>34</v>
      </c>
      <c r="D153" s="47">
        <v>0.52</v>
      </c>
      <c r="E153" s="12">
        <v>0</v>
      </c>
      <c r="F153" s="12">
        <v>0</v>
      </c>
      <c r="G153" s="12">
        <f t="shared" si="34"/>
        <v>0.52</v>
      </c>
      <c r="H153" s="12">
        <v>0</v>
      </c>
      <c r="I153" s="14">
        <f>1.05*4</f>
        <v>4.2</v>
      </c>
      <c r="J153" s="13">
        <f t="shared" si="30"/>
        <v>3.68</v>
      </c>
      <c r="K153" s="47">
        <f t="shared" si="31"/>
        <v>3.68</v>
      </c>
      <c r="L153" s="17" t="s">
        <v>24</v>
      </c>
      <c r="M153" s="16"/>
      <c r="N153" s="18">
        <v>102</v>
      </c>
      <c r="O153" s="12" t="s">
        <v>128</v>
      </c>
      <c r="P153" s="15" t="s">
        <v>34</v>
      </c>
      <c r="Q153" s="86">
        <f>0.02-0.0034+0.0538+0.004+0.0022-0.0538+0.0011</f>
        <v>0.0239</v>
      </c>
      <c r="R153" s="47">
        <f t="shared" si="36"/>
        <v>0.5439</v>
      </c>
      <c r="S153" s="12">
        <v>0</v>
      </c>
      <c r="T153" s="12">
        <v>0</v>
      </c>
      <c r="U153" s="12">
        <f t="shared" si="35"/>
        <v>0.5439</v>
      </c>
      <c r="V153" s="12">
        <v>0</v>
      </c>
      <c r="W153" s="14">
        <f>1.05*4</f>
        <v>4.2</v>
      </c>
      <c r="X153" s="13">
        <f t="shared" si="32"/>
        <v>3.6561000000000003</v>
      </c>
      <c r="Y153" s="47">
        <f t="shared" si="33"/>
        <v>3.6561000000000003</v>
      </c>
      <c r="Z153" s="12" t="s">
        <v>24</v>
      </c>
    </row>
    <row r="154" spans="1:26" s="1" customFormat="1" ht="22.5">
      <c r="A154" s="18">
        <v>103</v>
      </c>
      <c r="B154" s="12" t="s">
        <v>129</v>
      </c>
      <c r="C154" s="69" t="s">
        <v>36</v>
      </c>
      <c r="D154" s="47">
        <v>0.47</v>
      </c>
      <c r="E154" s="12">
        <v>0</v>
      </c>
      <c r="F154" s="12">
        <v>0</v>
      </c>
      <c r="G154" s="12">
        <f t="shared" si="34"/>
        <v>0.47</v>
      </c>
      <c r="H154" s="12">
        <v>0</v>
      </c>
      <c r="I154" s="14">
        <f>1.05*2.5</f>
        <v>2.625</v>
      </c>
      <c r="J154" s="13">
        <f t="shared" si="30"/>
        <v>2.1550000000000002</v>
      </c>
      <c r="K154" s="47">
        <f t="shared" si="31"/>
        <v>2.1550000000000002</v>
      </c>
      <c r="L154" s="17" t="s">
        <v>24</v>
      </c>
      <c r="M154" s="16"/>
      <c r="N154" s="18">
        <v>103</v>
      </c>
      <c r="O154" s="12" t="s">
        <v>129</v>
      </c>
      <c r="P154" s="15" t="s">
        <v>36</v>
      </c>
      <c r="Q154" s="86">
        <f>0.005+0.002+0.011+0.0151-0.0183</f>
        <v>0.014799999999999997</v>
      </c>
      <c r="R154" s="47">
        <f t="shared" si="36"/>
        <v>0.48479999999999995</v>
      </c>
      <c r="S154" s="12">
        <v>0</v>
      </c>
      <c r="T154" s="12">
        <v>0</v>
      </c>
      <c r="U154" s="12">
        <f t="shared" si="35"/>
        <v>0.48479999999999995</v>
      </c>
      <c r="V154" s="12">
        <v>0</v>
      </c>
      <c r="W154" s="14">
        <f>1.05*2.5</f>
        <v>2.625</v>
      </c>
      <c r="X154" s="47">
        <f t="shared" si="32"/>
        <v>2.1402</v>
      </c>
      <c r="Y154" s="47">
        <f t="shared" si="33"/>
        <v>2.1402</v>
      </c>
      <c r="Z154" s="12" t="s">
        <v>24</v>
      </c>
    </row>
    <row r="155" spans="1:26" s="1" customFormat="1" ht="22.5">
      <c r="A155" s="18">
        <v>104</v>
      </c>
      <c r="B155" s="12" t="s">
        <v>130</v>
      </c>
      <c r="C155" s="69" t="s">
        <v>34</v>
      </c>
      <c r="D155" s="47">
        <v>2.478</v>
      </c>
      <c r="E155" s="12">
        <v>0</v>
      </c>
      <c r="F155" s="12">
        <v>0</v>
      </c>
      <c r="G155" s="12">
        <f t="shared" si="34"/>
        <v>2.478</v>
      </c>
      <c r="H155" s="12">
        <v>0</v>
      </c>
      <c r="I155" s="14">
        <f>1.05*4</f>
        <v>4.2</v>
      </c>
      <c r="J155" s="13">
        <f t="shared" si="30"/>
        <v>1.722</v>
      </c>
      <c r="K155" s="47">
        <f t="shared" si="31"/>
        <v>1.722</v>
      </c>
      <c r="L155" s="17" t="s">
        <v>24</v>
      </c>
      <c r="M155" s="16"/>
      <c r="N155" s="18">
        <v>104</v>
      </c>
      <c r="O155" s="12" t="s">
        <v>130</v>
      </c>
      <c r="P155" s="15" t="s">
        <v>34</v>
      </c>
      <c r="Q155" s="86">
        <f>0.43+0.005+0.0161-0.4355+0.0054+0.0054+0.0022+0.005-0.0183</f>
        <v>0.015300000000000005</v>
      </c>
      <c r="R155" s="47">
        <f t="shared" si="36"/>
        <v>2.4933</v>
      </c>
      <c r="S155" s="12">
        <v>0</v>
      </c>
      <c r="T155" s="12">
        <v>0</v>
      </c>
      <c r="U155" s="12">
        <f t="shared" si="35"/>
        <v>2.4933</v>
      </c>
      <c r="V155" s="12">
        <v>0</v>
      </c>
      <c r="W155" s="14">
        <f>1.05*4</f>
        <v>4.2</v>
      </c>
      <c r="X155" s="13">
        <f t="shared" si="32"/>
        <v>1.7067</v>
      </c>
      <c r="Y155" s="47">
        <f t="shared" si="33"/>
        <v>1.7067</v>
      </c>
      <c r="Z155" s="12" t="s">
        <v>24</v>
      </c>
    </row>
    <row r="156" spans="1:26" s="1" customFormat="1" ht="22.5">
      <c r="A156" s="18">
        <v>105</v>
      </c>
      <c r="B156" s="12" t="s">
        <v>131</v>
      </c>
      <c r="C156" s="69" t="s">
        <v>34</v>
      </c>
      <c r="D156" s="47">
        <v>1.068</v>
      </c>
      <c r="E156" s="12">
        <v>0</v>
      </c>
      <c r="F156" s="12">
        <v>0</v>
      </c>
      <c r="G156" s="12">
        <f t="shared" si="34"/>
        <v>1.068</v>
      </c>
      <c r="H156" s="12">
        <v>0</v>
      </c>
      <c r="I156" s="14">
        <f>1.05*4</f>
        <v>4.2</v>
      </c>
      <c r="J156" s="13">
        <f t="shared" si="30"/>
        <v>3.132</v>
      </c>
      <c r="K156" s="47">
        <f t="shared" si="31"/>
        <v>3.132</v>
      </c>
      <c r="L156" s="17" t="s">
        <v>24</v>
      </c>
      <c r="M156" s="16"/>
      <c r="N156" s="18">
        <v>105</v>
      </c>
      <c r="O156" s="12" t="s">
        <v>131</v>
      </c>
      <c r="P156" s="15" t="s">
        <v>34</v>
      </c>
      <c r="Q156" s="86">
        <f>0.01+0.047-0.0048+0.0161+0.0078+0.003+0.0396+0.0068+0.0624</f>
        <v>0.1879</v>
      </c>
      <c r="R156" s="47">
        <f t="shared" si="36"/>
        <v>1.2559</v>
      </c>
      <c r="S156" s="12">
        <v>0</v>
      </c>
      <c r="T156" s="12">
        <v>0</v>
      </c>
      <c r="U156" s="12">
        <f t="shared" si="35"/>
        <v>1.2559</v>
      </c>
      <c r="V156" s="12">
        <v>0</v>
      </c>
      <c r="W156" s="14">
        <f>1.05*4</f>
        <v>4.2</v>
      </c>
      <c r="X156" s="13">
        <f t="shared" si="32"/>
        <v>2.9441</v>
      </c>
      <c r="Y156" s="47">
        <f t="shared" si="33"/>
        <v>2.9441</v>
      </c>
      <c r="Z156" s="12" t="s">
        <v>24</v>
      </c>
    </row>
    <row r="157" spans="1:26" s="1" customFormat="1" ht="22.5">
      <c r="A157" s="18">
        <v>106</v>
      </c>
      <c r="B157" s="12" t="s">
        <v>132</v>
      </c>
      <c r="C157" s="69" t="s">
        <v>33</v>
      </c>
      <c r="D157" s="47">
        <v>1.31</v>
      </c>
      <c r="E157" s="12">
        <v>0</v>
      </c>
      <c r="F157" s="12">
        <v>0</v>
      </c>
      <c r="G157" s="12">
        <f t="shared" si="34"/>
        <v>1.31</v>
      </c>
      <c r="H157" s="12">
        <v>0</v>
      </c>
      <c r="I157" s="14">
        <f>1.05*1.6</f>
        <v>1.6800000000000002</v>
      </c>
      <c r="J157" s="13">
        <f t="shared" si="30"/>
        <v>0.3700000000000001</v>
      </c>
      <c r="K157" s="47">
        <f t="shared" si="31"/>
        <v>0.3700000000000001</v>
      </c>
      <c r="L157" s="17" t="s">
        <v>24</v>
      </c>
      <c r="M157" s="16"/>
      <c r="N157" s="18">
        <v>106</v>
      </c>
      <c r="O157" s="12" t="s">
        <v>132</v>
      </c>
      <c r="P157" s="15" t="s">
        <v>33</v>
      </c>
      <c r="Q157" s="86">
        <f>0.052+0.019+0.022+0.017+0.149+0.051+0.043+0.019+0.019+0.0108-0.122+0.028+0.039+0.0054-0.065+0.0538+0.0161+0.0068</f>
        <v>0.3639</v>
      </c>
      <c r="R157" s="47">
        <f t="shared" si="36"/>
        <v>1.6739000000000002</v>
      </c>
      <c r="S157" s="12">
        <v>0</v>
      </c>
      <c r="T157" s="12">
        <v>0</v>
      </c>
      <c r="U157" s="12">
        <f t="shared" si="35"/>
        <v>1.6739000000000002</v>
      </c>
      <c r="V157" s="12">
        <v>0</v>
      </c>
      <c r="W157" s="14">
        <f>1.05*1.6</f>
        <v>1.6800000000000002</v>
      </c>
      <c r="X157" s="13">
        <f t="shared" si="32"/>
        <v>0.006099999999999994</v>
      </c>
      <c r="Y157" s="47">
        <f t="shared" si="33"/>
        <v>0.006099999999999994</v>
      </c>
      <c r="Z157" s="12" t="s">
        <v>24</v>
      </c>
    </row>
    <row r="158" spans="1:26" s="1" customFormat="1" ht="22.5">
      <c r="A158" s="18">
        <v>107</v>
      </c>
      <c r="B158" s="12" t="s">
        <v>133</v>
      </c>
      <c r="C158" s="69" t="s">
        <v>27</v>
      </c>
      <c r="D158" s="47">
        <v>0.983</v>
      </c>
      <c r="E158" s="12">
        <v>0</v>
      </c>
      <c r="F158" s="12">
        <v>0</v>
      </c>
      <c r="G158" s="12">
        <f t="shared" si="34"/>
        <v>0.983</v>
      </c>
      <c r="H158" s="12">
        <v>0</v>
      </c>
      <c r="I158" s="14">
        <f>1.05*2.5</f>
        <v>2.625</v>
      </c>
      <c r="J158" s="13">
        <f t="shared" si="30"/>
        <v>1.642</v>
      </c>
      <c r="K158" s="47">
        <f t="shared" si="31"/>
        <v>1.642</v>
      </c>
      <c r="L158" s="17" t="s">
        <v>24</v>
      </c>
      <c r="M158" s="16"/>
      <c r="N158" s="18">
        <v>107</v>
      </c>
      <c r="O158" s="12" t="s">
        <v>133</v>
      </c>
      <c r="P158" s="15" t="s">
        <v>27</v>
      </c>
      <c r="Q158" s="86">
        <v>0</v>
      </c>
      <c r="R158" s="47">
        <f t="shared" si="36"/>
        <v>0.983</v>
      </c>
      <c r="S158" s="12">
        <v>0</v>
      </c>
      <c r="T158" s="12">
        <v>0</v>
      </c>
      <c r="U158" s="12">
        <f t="shared" si="35"/>
        <v>0.983</v>
      </c>
      <c r="V158" s="12">
        <v>0</v>
      </c>
      <c r="W158" s="14">
        <f>1.05*2.5</f>
        <v>2.625</v>
      </c>
      <c r="X158" s="13">
        <f t="shared" si="32"/>
        <v>1.642</v>
      </c>
      <c r="Y158" s="47">
        <f t="shared" si="33"/>
        <v>1.642</v>
      </c>
      <c r="Z158" s="12" t="s">
        <v>24</v>
      </c>
    </row>
    <row r="159" spans="1:26" s="1" customFormat="1" ht="22.5">
      <c r="A159" s="18">
        <v>108</v>
      </c>
      <c r="B159" s="12" t="s">
        <v>134</v>
      </c>
      <c r="C159" s="69" t="s">
        <v>41</v>
      </c>
      <c r="D159" s="47">
        <v>1.315</v>
      </c>
      <c r="E159" s="12">
        <v>0</v>
      </c>
      <c r="F159" s="12">
        <v>0</v>
      </c>
      <c r="G159" s="12">
        <f t="shared" si="34"/>
        <v>1.315</v>
      </c>
      <c r="H159" s="12">
        <v>0</v>
      </c>
      <c r="I159" s="14">
        <f>1.05*4</f>
        <v>4.2</v>
      </c>
      <c r="J159" s="13">
        <f t="shared" si="30"/>
        <v>2.8850000000000002</v>
      </c>
      <c r="K159" s="47">
        <f t="shared" si="31"/>
        <v>2.8850000000000002</v>
      </c>
      <c r="L159" s="17" t="s">
        <v>24</v>
      </c>
      <c r="M159" s="16"/>
      <c r="N159" s="18">
        <v>108</v>
      </c>
      <c r="O159" s="12" t="s">
        <v>134</v>
      </c>
      <c r="P159" s="15" t="s">
        <v>41</v>
      </c>
      <c r="Q159" s="86">
        <f>0.02+0.005-0.0151+0.0054+0.016+0.0161+0.010752+0.0108-0.0228+0.0108</f>
        <v>0.056952</v>
      </c>
      <c r="R159" s="47">
        <f t="shared" si="36"/>
        <v>1.3719519999999998</v>
      </c>
      <c r="S159" s="12">
        <v>0</v>
      </c>
      <c r="T159" s="12">
        <v>0</v>
      </c>
      <c r="U159" s="12">
        <f t="shared" si="35"/>
        <v>1.3719519999999998</v>
      </c>
      <c r="V159" s="12">
        <v>0</v>
      </c>
      <c r="W159" s="14">
        <f>1.05*4</f>
        <v>4.2</v>
      </c>
      <c r="X159" s="13">
        <f t="shared" si="32"/>
        <v>2.8280480000000003</v>
      </c>
      <c r="Y159" s="47">
        <f t="shared" si="33"/>
        <v>2.8280480000000003</v>
      </c>
      <c r="Z159" s="12" t="s">
        <v>24</v>
      </c>
    </row>
    <row r="160" spans="1:26" s="1" customFormat="1" ht="22.5">
      <c r="A160" s="18">
        <v>109</v>
      </c>
      <c r="B160" s="12" t="s">
        <v>224</v>
      </c>
      <c r="C160" s="69" t="s">
        <v>34</v>
      </c>
      <c r="D160" s="47">
        <v>0.766</v>
      </c>
      <c r="E160" s="12">
        <v>0</v>
      </c>
      <c r="F160" s="12">
        <v>0</v>
      </c>
      <c r="G160" s="12">
        <f t="shared" si="34"/>
        <v>0.766</v>
      </c>
      <c r="H160" s="12">
        <v>0</v>
      </c>
      <c r="I160" s="14">
        <f>1.05*4</f>
        <v>4.2</v>
      </c>
      <c r="J160" s="13">
        <f t="shared" si="30"/>
        <v>3.434</v>
      </c>
      <c r="K160" s="47">
        <f t="shared" si="31"/>
        <v>3.434</v>
      </c>
      <c r="L160" s="17" t="s">
        <v>24</v>
      </c>
      <c r="M160" s="16"/>
      <c r="N160" s="18">
        <v>109</v>
      </c>
      <c r="O160" s="12" t="s">
        <v>135</v>
      </c>
      <c r="P160" s="15" t="s">
        <v>34</v>
      </c>
      <c r="Q160" s="86">
        <f>0.01+0.01+0.009+0.0065+0.0054</f>
        <v>0.0409</v>
      </c>
      <c r="R160" s="47">
        <f t="shared" si="36"/>
        <v>0.8069000000000001</v>
      </c>
      <c r="S160" s="12">
        <v>0</v>
      </c>
      <c r="T160" s="12">
        <v>0</v>
      </c>
      <c r="U160" s="12">
        <f t="shared" si="35"/>
        <v>0.8069000000000001</v>
      </c>
      <c r="V160" s="12">
        <v>0</v>
      </c>
      <c r="W160" s="14">
        <f>1.05*4</f>
        <v>4.2</v>
      </c>
      <c r="X160" s="13">
        <f t="shared" si="32"/>
        <v>3.3931</v>
      </c>
      <c r="Y160" s="47">
        <f t="shared" si="33"/>
        <v>3.3931</v>
      </c>
      <c r="Z160" s="12" t="s">
        <v>24</v>
      </c>
    </row>
    <row r="161" spans="1:26" s="1" customFormat="1" ht="22.5">
      <c r="A161" s="18">
        <v>110</v>
      </c>
      <c r="B161" s="12" t="s">
        <v>136</v>
      </c>
      <c r="C161" s="69" t="s">
        <v>29</v>
      </c>
      <c r="D161" s="47">
        <v>4.521</v>
      </c>
      <c r="E161" s="12">
        <v>0</v>
      </c>
      <c r="F161" s="12">
        <v>0</v>
      </c>
      <c r="G161" s="12">
        <f t="shared" si="34"/>
        <v>4.521</v>
      </c>
      <c r="H161" s="12">
        <v>0</v>
      </c>
      <c r="I161" s="14">
        <f>1.05*6.3</f>
        <v>6.615</v>
      </c>
      <c r="J161" s="13">
        <f t="shared" si="30"/>
        <v>2.0940000000000003</v>
      </c>
      <c r="K161" s="47">
        <f t="shared" si="31"/>
        <v>2.0940000000000003</v>
      </c>
      <c r="L161" s="17" t="s">
        <v>24</v>
      </c>
      <c r="M161" s="16"/>
      <c r="N161" s="18">
        <v>110</v>
      </c>
      <c r="O161" s="12" t="s">
        <v>136</v>
      </c>
      <c r="P161" s="15" t="s">
        <v>29</v>
      </c>
      <c r="Q161" s="86">
        <f>0.215+0.016+0.013+0.029-0.0161+0.554+0.007+0.0323+0.009677-0.029+0.0054+0.0151+0.0005</f>
        <v>0.851877</v>
      </c>
      <c r="R161" s="47">
        <f t="shared" si="36"/>
        <v>5.372877</v>
      </c>
      <c r="S161" s="12">
        <v>0</v>
      </c>
      <c r="T161" s="12">
        <v>0</v>
      </c>
      <c r="U161" s="12">
        <f t="shared" si="35"/>
        <v>5.372877</v>
      </c>
      <c r="V161" s="12">
        <v>0</v>
      </c>
      <c r="W161" s="14">
        <f>1.05*6.3</f>
        <v>6.615</v>
      </c>
      <c r="X161" s="13">
        <f t="shared" si="32"/>
        <v>1.2421230000000003</v>
      </c>
      <c r="Y161" s="47">
        <f t="shared" si="33"/>
        <v>1.2421230000000003</v>
      </c>
      <c r="Z161" s="12" t="s">
        <v>24</v>
      </c>
    </row>
    <row r="162" spans="1:26" s="74" customFormat="1" ht="22.5">
      <c r="A162" s="18">
        <v>21</v>
      </c>
      <c r="B162" s="18" t="s">
        <v>143</v>
      </c>
      <c r="C162" s="69" t="s">
        <v>34</v>
      </c>
      <c r="D162" s="79">
        <v>1.989</v>
      </c>
      <c r="E162" s="18">
        <v>0</v>
      </c>
      <c r="F162" s="18">
        <v>0</v>
      </c>
      <c r="G162" s="18">
        <f t="shared" si="34"/>
        <v>1.989</v>
      </c>
      <c r="H162" s="18">
        <v>0</v>
      </c>
      <c r="I162" s="70">
        <f>1.05*4</f>
        <v>4.2</v>
      </c>
      <c r="J162" s="71">
        <f t="shared" si="30"/>
        <v>2.2110000000000003</v>
      </c>
      <c r="K162" s="79">
        <f t="shared" si="31"/>
        <v>2.2110000000000003</v>
      </c>
      <c r="L162" s="18" t="s">
        <v>24</v>
      </c>
      <c r="M162" s="109"/>
      <c r="N162" s="18">
        <v>21</v>
      </c>
      <c r="O162" s="18" t="s">
        <v>143</v>
      </c>
      <c r="P162" s="69" t="s">
        <v>34</v>
      </c>
      <c r="Q162" s="108">
        <f>0.037+0.005+0.011+0.005+0.007+0.011+0.0043-0.0443+0.0194+0.0215+0.0043+0.0161+0.419+0.0065+0.0323+0.0269-0.0253+0.0323+0.014</f>
        <v>0.603</v>
      </c>
      <c r="R162" s="79">
        <f t="shared" si="36"/>
        <v>2.592</v>
      </c>
      <c r="S162" s="18">
        <v>0</v>
      </c>
      <c r="T162" s="18">
        <v>0</v>
      </c>
      <c r="U162" s="18">
        <f t="shared" si="35"/>
        <v>2.592</v>
      </c>
      <c r="V162" s="18">
        <v>0</v>
      </c>
      <c r="W162" s="70">
        <f>1.05*4</f>
        <v>4.2</v>
      </c>
      <c r="X162" s="71">
        <f t="shared" si="32"/>
        <v>1.608</v>
      </c>
      <c r="Y162" s="79">
        <f>X162</f>
        <v>1.608</v>
      </c>
      <c r="Z162" s="18" t="s">
        <v>24</v>
      </c>
    </row>
    <row r="163" spans="1:26" s="1" customFormat="1" ht="22.5">
      <c r="A163" s="18">
        <v>111</v>
      </c>
      <c r="B163" s="12" t="s">
        <v>142</v>
      </c>
      <c r="C163" s="69" t="s">
        <v>26</v>
      </c>
      <c r="D163" s="47">
        <v>2.358</v>
      </c>
      <c r="E163" s="12">
        <v>0</v>
      </c>
      <c r="F163" s="12">
        <v>0</v>
      </c>
      <c r="G163" s="12">
        <f t="shared" si="34"/>
        <v>2.358</v>
      </c>
      <c r="H163" s="12">
        <v>0</v>
      </c>
      <c r="I163" s="14">
        <f>1.05*10</f>
        <v>10.5</v>
      </c>
      <c r="J163" s="14">
        <f t="shared" si="30"/>
        <v>8.142</v>
      </c>
      <c r="K163" s="47">
        <f t="shared" si="31"/>
        <v>8.142</v>
      </c>
      <c r="L163" s="17" t="s">
        <v>24</v>
      </c>
      <c r="M163" s="16"/>
      <c r="N163" s="18">
        <v>111</v>
      </c>
      <c r="O163" s="12" t="s">
        <v>142</v>
      </c>
      <c r="P163" s="15" t="s">
        <v>26</v>
      </c>
      <c r="Q163" s="86">
        <v>0</v>
      </c>
      <c r="R163" s="47">
        <f t="shared" si="36"/>
        <v>2.358</v>
      </c>
      <c r="S163" s="12">
        <v>0</v>
      </c>
      <c r="T163" s="12">
        <v>0</v>
      </c>
      <c r="U163" s="12">
        <f t="shared" si="35"/>
        <v>2.358</v>
      </c>
      <c r="V163" s="12">
        <v>0</v>
      </c>
      <c r="W163" s="14">
        <f>1.05*10</f>
        <v>10.5</v>
      </c>
      <c r="X163" s="13">
        <f t="shared" si="32"/>
        <v>8.142</v>
      </c>
      <c r="Y163" s="47">
        <f t="shared" si="33"/>
        <v>8.142</v>
      </c>
      <c r="Z163" s="12" t="s">
        <v>24</v>
      </c>
    </row>
    <row r="164" spans="1:26" s="1" customFormat="1" ht="22.5">
      <c r="A164" s="18">
        <v>112</v>
      </c>
      <c r="B164" s="12" t="s">
        <v>145</v>
      </c>
      <c r="C164" s="69" t="s">
        <v>27</v>
      </c>
      <c r="D164" s="47">
        <v>0.579</v>
      </c>
      <c r="E164" s="12">
        <v>0</v>
      </c>
      <c r="F164" s="12">
        <v>0</v>
      </c>
      <c r="G164" s="12">
        <f t="shared" si="34"/>
        <v>0.579</v>
      </c>
      <c r="H164" s="12">
        <v>0</v>
      </c>
      <c r="I164" s="14">
        <f>1.05*2.5</f>
        <v>2.625</v>
      </c>
      <c r="J164" s="13">
        <f t="shared" si="30"/>
        <v>2.0460000000000003</v>
      </c>
      <c r="K164" s="47">
        <f t="shared" si="31"/>
        <v>2.0460000000000003</v>
      </c>
      <c r="L164" s="17" t="s">
        <v>24</v>
      </c>
      <c r="M164" s="16"/>
      <c r="N164" s="18">
        <v>112</v>
      </c>
      <c r="O164" s="12" t="s">
        <v>145</v>
      </c>
      <c r="P164" s="15" t="s">
        <v>27</v>
      </c>
      <c r="Q164" s="86">
        <f>0.051+0.003+0.142+0.142+0.016+0.0038-0.1456+0.2419+0.0161+0.0161+0.0161+0.0161-0.064+0.0068</f>
        <v>0.46129999999999993</v>
      </c>
      <c r="R164" s="47">
        <f t="shared" si="36"/>
        <v>1.0402999999999998</v>
      </c>
      <c r="S164" s="12">
        <v>0</v>
      </c>
      <c r="T164" s="12">
        <v>0</v>
      </c>
      <c r="U164" s="12">
        <f t="shared" si="35"/>
        <v>1.0402999999999998</v>
      </c>
      <c r="V164" s="12">
        <v>0</v>
      </c>
      <c r="W164" s="14">
        <f>1.05*2.5</f>
        <v>2.625</v>
      </c>
      <c r="X164" s="13">
        <f t="shared" si="32"/>
        <v>1.5847000000000002</v>
      </c>
      <c r="Y164" s="47">
        <f t="shared" si="33"/>
        <v>1.5847000000000002</v>
      </c>
      <c r="Z164" s="12" t="s">
        <v>24</v>
      </c>
    </row>
    <row r="165" spans="1:26" s="1" customFormat="1" ht="22.5">
      <c r="A165" s="18">
        <v>113</v>
      </c>
      <c r="B165" s="12" t="s">
        <v>147</v>
      </c>
      <c r="C165" s="69" t="s">
        <v>32</v>
      </c>
      <c r="D165" s="47">
        <v>0.484</v>
      </c>
      <c r="E165" s="12">
        <v>0</v>
      </c>
      <c r="F165" s="12">
        <v>0</v>
      </c>
      <c r="G165" s="12">
        <f t="shared" si="34"/>
        <v>0.484</v>
      </c>
      <c r="H165" s="12">
        <v>0</v>
      </c>
      <c r="I165" s="14">
        <f>1.05*1.6</f>
        <v>1.6800000000000002</v>
      </c>
      <c r="J165" s="13">
        <f aca="true" t="shared" si="37" ref="J165:J195">I165-H165-G165</f>
        <v>1.1960000000000002</v>
      </c>
      <c r="K165" s="47">
        <f aca="true" t="shared" si="38" ref="K165:K195">J165</f>
        <v>1.1960000000000002</v>
      </c>
      <c r="L165" s="17" t="s">
        <v>24</v>
      </c>
      <c r="M165" s="16"/>
      <c r="N165" s="18">
        <v>113</v>
      </c>
      <c r="O165" s="12" t="s">
        <v>147</v>
      </c>
      <c r="P165" s="15" t="s">
        <v>32</v>
      </c>
      <c r="Q165" s="86">
        <f>0.02+0.019+0.016+0.005+0.015-0.0656+0.0244+0.0032+0.0097-0.0376+0.0054+0.3656</f>
        <v>0.3801</v>
      </c>
      <c r="R165" s="47">
        <f t="shared" si="36"/>
        <v>0.8641</v>
      </c>
      <c r="S165" s="12">
        <v>0</v>
      </c>
      <c r="T165" s="12">
        <v>0</v>
      </c>
      <c r="U165" s="12">
        <f t="shared" si="35"/>
        <v>0.8641</v>
      </c>
      <c r="V165" s="12">
        <v>0</v>
      </c>
      <c r="W165" s="14">
        <f>1.05*1.6</f>
        <v>1.6800000000000002</v>
      </c>
      <c r="X165" s="13">
        <f aca="true" t="shared" si="39" ref="X165:X195">W165-V165-U165</f>
        <v>0.8159000000000002</v>
      </c>
      <c r="Y165" s="47">
        <f t="shared" si="33"/>
        <v>0.8159000000000002</v>
      </c>
      <c r="Z165" s="12" t="s">
        <v>24</v>
      </c>
    </row>
    <row r="166" spans="1:26" s="1" customFormat="1" ht="22.5">
      <c r="A166" s="18">
        <v>114</v>
      </c>
      <c r="B166" s="18" t="s">
        <v>148</v>
      </c>
      <c r="C166" s="69" t="s">
        <v>52</v>
      </c>
      <c r="D166" s="79">
        <v>16.125</v>
      </c>
      <c r="E166" s="18">
        <v>0</v>
      </c>
      <c r="F166" s="18">
        <v>0</v>
      </c>
      <c r="G166" s="18">
        <f aca="true" t="shared" si="40" ref="G166:G195">D166-E166</f>
        <v>16.125</v>
      </c>
      <c r="H166" s="18">
        <v>0</v>
      </c>
      <c r="I166" s="70">
        <f>1.05*32</f>
        <v>33.6</v>
      </c>
      <c r="J166" s="71">
        <f t="shared" si="37"/>
        <v>17.475</v>
      </c>
      <c r="K166" s="79">
        <f t="shared" si="38"/>
        <v>17.475</v>
      </c>
      <c r="L166" s="17" t="s">
        <v>24</v>
      </c>
      <c r="M166" s="16"/>
      <c r="N166" s="18">
        <v>114</v>
      </c>
      <c r="O166" s="12" t="s">
        <v>148</v>
      </c>
      <c r="P166" s="15" t="s">
        <v>52</v>
      </c>
      <c r="Q166" s="86">
        <f>1.226+0.8053+0.64+1.4934+0.8064+1.1177329-2.2356</f>
        <v>3.8532329</v>
      </c>
      <c r="R166" s="47">
        <f t="shared" si="36"/>
        <v>19.978232900000002</v>
      </c>
      <c r="S166" s="12">
        <v>0</v>
      </c>
      <c r="T166" s="12">
        <v>0</v>
      </c>
      <c r="U166" s="12">
        <f aca="true" t="shared" si="41" ref="U166:U195">R166-S166</f>
        <v>19.978232900000002</v>
      </c>
      <c r="V166" s="12">
        <v>0</v>
      </c>
      <c r="W166" s="14">
        <f>1.05*32</f>
        <v>33.6</v>
      </c>
      <c r="X166" s="13">
        <f t="shared" si="39"/>
        <v>13.6217671</v>
      </c>
      <c r="Y166" s="47">
        <f t="shared" si="33"/>
        <v>13.6217671</v>
      </c>
      <c r="Z166" s="18" t="s">
        <v>24</v>
      </c>
    </row>
    <row r="167" spans="1:26" s="1" customFormat="1" ht="22.5">
      <c r="A167" s="18">
        <v>115</v>
      </c>
      <c r="B167" s="12" t="s">
        <v>149</v>
      </c>
      <c r="C167" s="69" t="s">
        <v>51</v>
      </c>
      <c r="D167" s="47">
        <v>10.76</v>
      </c>
      <c r="E167" s="12">
        <v>0</v>
      </c>
      <c r="F167" s="12">
        <v>0</v>
      </c>
      <c r="G167" s="12">
        <f t="shared" si="40"/>
        <v>10.76</v>
      </c>
      <c r="H167" s="12">
        <v>0</v>
      </c>
      <c r="I167" s="14">
        <f>1.05*11.9</f>
        <v>12.495000000000001</v>
      </c>
      <c r="J167" s="13">
        <f t="shared" si="37"/>
        <v>1.7350000000000012</v>
      </c>
      <c r="K167" s="47">
        <f t="shared" si="38"/>
        <v>1.7350000000000012</v>
      </c>
      <c r="L167" s="17" t="s">
        <v>24</v>
      </c>
      <c r="M167" s="16"/>
      <c r="N167" s="18">
        <v>115</v>
      </c>
      <c r="O167" s="12" t="s">
        <v>149</v>
      </c>
      <c r="P167" s="15" t="s">
        <v>51</v>
      </c>
      <c r="Q167" s="86">
        <f>0.0158</f>
        <v>0.0158</v>
      </c>
      <c r="R167" s="47">
        <f t="shared" si="36"/>
        <v>10.7758</v>
      </c>
      <c r="S167" s="12">
        <v>0</v>
      </c>
      <c r="T167" s="12">
        <v>0</v>
      </c>
      <c r="U167" s="12">
        <f t="shared" si="41"/>
        <v>10.7758</v>
      </c>
      <c r="V167" s="12">
        <v>0</v>
      </c>
      <c r="W167" s="14">
        <f>1.05*11.9</f>
        <v>12.495000000000001</v>
      </c>
      <c r="X167" s="13">
        <f t="shared" si="39"/>
        <v>1.7192000000000007</v>
      </c>
      <c r="Y167" s="47">
        <f t="shared" si="33"/>
        <v>1.7192000000000007</v>
      </c>
      <c r="Z167" s="12" t="s">
        <v>24</v>
      </c>
    </row>
    <row r="168" spans="1:26" s="1" customFormat="1" ht="22.5">
      <c r="A168" s="18">
        <v>116</v>
      </c>
      <c r="B168" s="12" t="s">
        <v>152</v>
      </c>
      <c r="C168" s="69" t="s">
        <v>39</v>
      </c>
      <c r="D168" s="47">
        <v>0.994</v>
      </c>
      <c r="E168" s="12">
        <v>0</v>
      </c>
      <c r="F168" s="12">
        <v>0</v>
      </c>
      <c r="G168" s="12">
        <f t="shared" si="40"/>
        <v>0.994</v>
      </c>
      <c r="H168" s="12">
        <v>0</v>
      </c>
      <c r="I168" s="14">
        <f>1.05*2.5</f>
        <v>2.625</v>
      </c>
      <c r="J168" s="13">
        <f t="shared" si="37"/>
        <v>1.631</v>
      </c>
      <c r="K168" s="47">
        <f t="shared" si="38"/>
        <v>1.631</v>
      </c>
      <c r="L168" s="17" t="s">
        <v>24</v>
      </c>
      <c r="M168" s="16"/>
      <c r="N168" s="18">
        <v>116</v>
      </c>
      <c r="O168" s="12" t="s">
        <v>152</v>
      </c>
      <c r="P168" s="15" t="s">
        <v>39</v>
      </c>
      <c r="Q168" s="86">
        <f>0.052+0.01+0.083+0.0108+0.007+0.0045+0.007+0.188158-0.0032+0.0024+0.0054+0.0382</f>
        <v>0.4052580000000001</v>
      </c>
      <c r="R168" s="47">
        <f t="shared" si="36"/>
        <v>1.3992580000000001</v>
      </c>
      <c r="S168" s="12">
        <v>0</v>
      </c>
      <c r="T168" s="12">
        <v>0</v>
      </c>
      <c r="U168" s="12">
        <f t="shared" si="41"/>
        <v>1.3992580000000001</v>
      </c>
      <c r="V168" s="12">
        <v>0</v>
      </c>
      <c r="W168" s="14">
        <f>1.05*2.5</f>
        <v>2.625</v>
      </c>
      <c r="X168" s="13">
        <f t="shared" si="39"/>
        <v>1.2257419999999999</v>
      </c>
      <c r="Y168" s="47">
        <f t="shared" si="33"/>
        <v>1.2257419999999999</v>
      </c>
      <c r="Z168" s="12" t="s">
        <v>24</v>
      </c>
    </row>
    <row r="169" spans="1:26" s="1" customFormat="1" ht="22.5">
      <c r="A169" s="18">
        <v>117</v>
      </c>
      <c r="B169" s="12" t="s">
        <v>178</v>
      </c>
      <c r="C169" s="69" t="s">
        <v>34</v>
      </c>
      <c r="D169" s="47">
        <v>0.957</v>
      </c>
      <c r="E169" s="12">
        <v>0</v>
      </c>
      <c r="F169" s="12">
        <v>0</v>
      </c>
      <c r="G169" s="12">
        <f t="shared" si="40"/>
        <v>0.957</v>
      </c>
      <c r="H169" s="12">
        <v>0</v>
      </c>
      <c r="I169" s="14">
        <f>1.05*4</f>
        <v>4.2</v>
      </c>
      <c r="J169" s="13">
        <f t="shared" si="37"/>
        <v>3.2430000000000003</v>
      </c>
      <c r="K169" s="47">
        <f t="shared" si="38"/>
        <v>3.2430000000000003</v>
      </c>
      <c r="L169" s="17" t="s">
        <v>24</v>
      </c>
      <c r="M169" s="16"/>
      <c r="N169" s="18">
        <v>117</v>
      </c>
      <c r="O169" s="12" t="s">
        <v>178</v>
      </c>
      <c r="P169" s="15" t="s">
        <v>34</v>
      </c>
      <c r="Q169" s="86">
        <f>0.09+0.005-0.0037+0.0097-0.0032+0.0075</f>
        <v>0.1053</v>
      </c>
      <c r="R169" s="47">
        <f t="shared" si="36"/>
        <v>1.0623</v>
      </c>
      <c r="S169" s="12">
        <v>0</v>
      </c>
      <c r="T169" s="12">
        <v>0</v>
      </c>
      <c r="U169" s="12">
        <f t="shared" si="41"/>
        <v>1.0623</v>
      </c>
      <c r="V169" s="12">
        <v>0</v>
      </c>
      <c r="W169" s="14">
        <f>1.05*4</f>
        <v>4.2</v>
      </c>
      <c r="X169" s="13">
        <f t="shared" si="39"/>
        <v>3.1377</v>
      </c>
      <c r="Y169" s="47">
        <f t="shared" si="33"/>
        <v>3.1377</v>
      </c>
      <c r="Z169" s="12" t="s">
        <v>24</v>
      </c>
    </row>
    <row r="170" spans="1:26" s="1" customFormat="1" ht="22.5">
      <c r="A170" s="18">
        <v>118</v>
      </c>
      <c r="B170" s="12" t="s">
        <v>181</v>
      </c>
      <c r="C170" s="69" t="s">
        <v>27</v>
      </c>
      <c r="D170" s="47">
        <v>0.828</v>
      </c>
      <c r="E170" s="12">
        <v>0</v>
      </c>
      <c r="F170" s="12">
        <v>0</v>
      </c>
      <c r="G170" s="12">
        <f t="shared" si="40"/>
        <v>0.828</v>
      </c>
      <c r="H170" s="12">
        <v>0</v>
      </c>
      <c r="I170" s="14">
        <f>1.05*2.5</f>
        <v>2.625</v>
      </c>
      <c r="J170" s="13">
        <f t="shared" si="37"/>
        <v>1.7970000000000002</v>
      </c>
      <c r="K170" s="47">
        <f t="shared" si="38"/>
        <v>1.7970000000000002</v>
      </c>
      <c r="L170" s="17" t="s">
        <v>24</v>
      </c>
      <c r="M170" s="16"/>
      <c r="N170" s="18">
        <v>118</v>
      </c>
      <c r="O170" s="12" t="s">
        <v>181</v>
      </c>
      <c r="P170" s="15" t="s">
        <v>27</v>
      </c>
      <c r="Q170" s="86">
        <f>0.006+0.002+0.0054-0.0032+0.0693+0.0077-0.0246+0.0062</f>
        <v>0.0688</v>
      </c>
      <c r="R170" s="47">
        <f t="shared" si="36"/>
        <v>0.8967999999999999</v>
      </c>
      <c r="S170" s="12">
        <v>0</v>
      </c>
      <c r="T170" s="12">
        <v>0</v>
      </c>
      <c r="U170" s="12">
        <f t="shared" si="41"/>
        <v>0.8967999999999999</v>
      </c>
      <c r="V170" s="12">
        <v>0</v>
      </c>
      <c r="W170" s="14">
        <f>1.05*2.5</f>
        <v>2.625</v>
      </c>
      <c r="X170" s="13">
        <f t="shared" si="39"/>
        <v>1.7282000000000002</v>
      </c>
      <c r="Y170" s="47">
        <f t="shared" si="33"/>
        <v>1.7282000000000002</v>
      </c>
      <c r="Z170" s="12" t="s">
        <v>24</v>
      </c>
    </row>
    <row r="171" spans="1:26" s="1" customFormat="1" ht="22.5">
      <c r="A171" s="18">
        <v>119</v>
      </c>
      <c r="B171" s="12" t="s">
        <v>180</v>
      </c>
      <c r="C171" s="69" t="s">
        <v>28</v>
      </c>
      <c r="D171" s="47">
        <v>0.932</v>
      </c>
      <c r="E171" s="12">
        <v>0</v>
      </c>
      <c r="F171" s="12">
        <v>0</v>
      </c>
      <c r="G171" s="12">
        <f t="shared" si="40"/>
        <v>0.932</v>
      </c>
      <c r="H171" s="12">
        <v>0</v>
      </c>
      <c r="I171" s="14">
        <f>1.05*1.6</f>
        <v>1.6800000000000002</v>
      </c>
      <c r="J171" s="13">
        <f t="shared" si="37"/>
        <v>0.7480000000000001</v>
      </c>
      <c r="K171" s="47">
        <f t="shared" si="38"/>
        <v>0.7480000000000001</v>
      </c>
      <c r="L171" s="17" t="s">
        <v>24</v>
      </c>
      <c r="M171" s="16"/>
      <c r="N171" s="18">
        <v>119</v>
      </c>
      <c r="O171" s="12" t="s">
        <v>180</v>
      </c>
      <c r="P171" s="15" t="s">
        <v>28</v>
      </c>
      <c r="Q171" s="86">
        <f>0.037+0.004+0.002+0.003-0.0161+0.0062</f>
        <v>0.0361</v>
      </c>
      <c r="R171" s="47">
        <f t="shared" si="36"/>
        <v>0.9681000000000001</v>
      </c>
      <c r="S171" s="12">
        <v>0</v>
      </c>
      <c r="T171" s="12">
        <v>0</v>
      </c>
      <c r="U171" s="12">
        <f t="shared" si="41"/>
        <v>0.9681000000000001</v>
      </c>
      <c r="V171" s="12">
        <v>0</v>
      </c>
      <c r="W171" s="14">
        <f>1.05*1.6</f>
        <v>1.6800000000000002</v>
      </c>
      <c r="X171" s="13">
        <f t="shared" si="39"/>
        <v>0.7119000000000001</v>
      </c>
      <c r="Y171" s="47">
        <f t="shared" si="33"/>
        <v>0.7119000000000001</v>
      </c>
      <c r="Z171" s="12" t="s">
        <v>24</v>
      </c>
    </row>
    <row r="172" spans="1:26" s="1" customFormat="1" ht="22.5">
      <c r="A172" s="18">
        <v>120</v>
      </c>
      <c r="B172" s="12" t="s">
        <v>179</v>
      </c>
      <c r="C172" s="69" t="s">
        <v>33</v>
      </c>
      <c r="D172" s="47">
        <v>0.489</v>
      </c>
      <c r="E172" s="12">
        <v>0</v>
      </c>
      <c r="F172" s="12">
        <v>0</v>
      </c>
      <c r="G172" s="12">
        <f t="shared" si="40"/>
        <v>0.489</v>
      </c>
      <c r="H172" s="12">
        <v>0</v>
      </c>
      <c r="I172" s="14">
        <f>1.05*1.6</f>
        <v>1.6800000000000002</v>
      </c>
      <c r="J172" s="13">
        <f t="shared" si="37"/>
        <v>1.1910000000000003</v>
      </c>
      <c r="K172" s="47">
        <f t="shared" si="38"/>
        <v>1.1910000000000003</v>
      </c>
      <c r="L172" s="17" t="s">
        <v>24</v>
      </c>
      <c r="M172" s="16"/>
      <c r="N172" s="18">
        <v>120</v>
      </c>
      <c r="O172" s="12" t="s">
        <v>179</v>
      </c>
      <c r="P172" s="15" t="s">
        <v>33</v>
      </c>
      <c r="Q172" s="86">
        <f>0.022+0.026-0.0177+0.004-0.0242+0.0059+0.0068</f>
        <v>0.022799999999999997</v>
      </c>
      <c r="R172" s="47">
        <f t="shared" si="36"/>
        <v>0.5118</v>
      </c>
      <c r="S172" s="12">
        <v>0</v>
      </c>
      <c r="T172" s="12">
        <v>0</v>
      </c>
      <c r="U172" s="12">
        <f t="shared" si="41"/>
        <v>0.5118</v>
      </c>
      <c r="V172" s="12">
        <v>0</v>
      </c>
      <c r="W172" s="14">
        <f>1.05*1.6</f>
        <v>1.6800000000000002</v>
      </c>
      <c r="X172" s="13">
        <f t="shared" si="39"/>
        <v>1.1682000000000001</v>
      </c>
      <c r="Y172" s="47">
        <f aca="true" t="shared" si="42" ref="Y172:Y195">X172</f>
        <v>1.1682000000000001</v>
      </c>
      <c r="Z172" s="12" t="s">
        <v>24</v>
      </c>
    </row>
    <row r="173" spans="1:26" s="1" customFormat="1" ht="22.5">
      <c r="A173" s="18">
        <v>121</v>
      </c>
      <c r="B173" s="12" t="s">
        <v>182</v>
      </c>
      <c r="C173" s="69" t="s">
        <v>27</v>
      </c>
      <c r="D173" s="47">
        <v>0.445</v>
      </c>
      <c r="E173" s="12">
        <v>0</v>
      </c>
      <c r="F173" s="12">
        <v>0</v>
      </c>
      <c r="G173" s="12">
        <f t="shared" si="40"/>
        <v>0.445</v>
      </c>
      <c r="H173" s="12">
        <v>0</v>
      </c>
      <c r="I173" s="14">
        <f>1.05*2.5</f>
        <v>2.625</v>
      </c>
      <c r="J173" s="13">
        <f t="shared" si="37"/>
        <v>2.18</v>
      </c>
      <c r="K173" s="47">
        <f t="shared" si="38"/>
        <v>2.18</v>
      </c>
      <c r="L173" s="17" t="s">
        <v>24</v>
      </c>
      <c r="M173" s="16"/>
      <c r="N173" s="18">
        <v>121</v>
      </c>
      <c r="O173" s="12" t="s">
        <v>182</v>
      </c>
      <c r="P173" s="15" t="s">
        <v>27</v>
      </c>
      <c r="Q173" s="86">
        <v>0</v>
      </c>
      <c r="R173" s="47">
        <f t="shared" si="36"/>
        <v>0.445</v>
      </c>
      <c r="S173" s="12">
        <v>0</v>
      </c>
      <c r="T173" s="12">
        <v>0</v>
      </c>
      <c r="U173" s="12">
        <f t="shared" si="41"/>
        <v>0.445</v>
      </c>
      <c r="V173" s="12">
        <v>0</v>
      </c>
      <c r="W173" s="14">
        <f>1.05*2.5</f>
        <v>2.625</v>
      </c>
      <c r="X173" s="13">
        <f t="shared" si="39"/>
        <v>2.18</v>
      </c>
      <c r="Y173" s="47">
        <f t="shared" si="42"/>
        <v>2.18</v>
      </c>
      <c r="Z173" s="12" t="s">
        <v>24</v>
      </c>
    </row>
    <row r="174" spans="1:26" s="1" customFormat="1" ht="22.5">
      <c r="A174" s="18">
        <v>122</v>
      </c>
      <c r="B174" s="12" t="s">
        <v>183</v>
      </c>
      <c r="C174" s="69" t="s">
        <v>42</v>
      </c>
      <c r="D174" s="47">
        <v>1.551</v>
      </c>
      <c r="E174" s="12">
        <v>0</v>
      </c>
      <c r="F174" s="12">
        <v>0</v>
      </c>
      <c r="G174" s="12">
        <f t="shared" si="40"/>
        <v>1.551</v>
      </c>
      <c r="H174" s="12">
        <v>0</v>
      </c>
      <c r="I174" s="14">
        <f>1.05*2.5</f>
        <v>2.625</v>
      </c>
      <c r="J174" s="13">
        <f t="shared" si="37"/>
        <v>1.074</v>
      </c>
      <c r="K174" s="47">
        <f t="shared" si="38"/>
        <v>1.074</v>
      </c>
      <c r="L174" s="17" t="s">
        <v>24</v>
      </c>
      <c r="M174" s="16"/>
      <c r="N174" s="18">
        <v>122</v>
      </c>
      <c r="O174" s="12" t="s">
        <v>183</v>
      </c>
      <c r="P174" s="15" t="s">
        <v>42</v>
      </c>
      <c r="Q174" s="86">
        <f>0.023+0.01+0.003+0.008+0.0054-0.0089+0.0032-0.0097+0.0032+0.0161</f>
        <v>0.053300000000000014</v>
      </c>
      <c r="R174" s="47">
        <f t="shared" si="36"/>
        <v>1.6042999999999998</v>
      </c>
      <c r="S174" s="12">
        <v>0</v>
      </c>
      <c r="T174" s="12">
        <v>0</v>
      </c>
      <c r="U174" s="12">
        <f t="shared" si="41"/>
        <v>1.6042999999999998</v>
      </c>
      <c r="V174" s="12">
        <v>0</v>
      </c>
      <c r="W174" s="14">
        <f>1.05*2.5</f>
        <v>2.625</v>
      </c>
      <c r="X174" s="13">
        <f t="shared" si="39"/>
        <v>1.0207000000000002</v>
      </c>
      <c r="Y174" s="47">
        <f t="shared" si="42"/>
        <v>1.0207000000000002</v>
      </c>
      <c r="Z174" s="12" t="s">
        <v>24</v>
      </c>
    </row>
    <row r="175" spans="1:26" s="1" customFormat="1" ht="22.5">
      <c r="A175" s="18">
        <v>123</v>
      </c>
      <c r="B175" s="12" t="s">
        <v>184</v>
      </c>
      <c r="C175" s="69" t="s">
        <v>34</v>
      </c>
      <c r="D175" s="47">
        <v>2.361</v>
      </c>
      <c r="E175" s="12">
        <v>0</v>
      </c>
      <c r="F175" s="12">
        <v>0</v>
      </c>
      <c r="G175" s="12">
        <f t="shared" si="40"/>
        <v>2.361</v>
      </c>
      <c r="H175" s="12">
        <v>0</v>
      </c>
      <c r="I175" s="14">
        <f>1.05*4</f>
        <v>4.2</v>
      </c>
      <c r="J175" s="13">
        <f t="shared" si="37"/>
        <v>1.839</v>
      </c>
      <c r="K175" s="47">
        <f t="shared" si="38"/>
        <v>1.839</v>
      </c>
      <c r="L175" s="17" t="s">
        <v>24</v>
      </c>
      <c r="M175" s="16"/>
      <c r="N175" s="18">
        <v>123</v>
      </c>
      <c r="O175" s="12" t="s">
        <v>184</v>
      </c>
      <c r="P175" s="15" t="s">
        <v>34</v>
      </c>
      <c r="Q175" s="86">
        <f>0.042+0.013+0.011+0.002+0.021+0.016+0.0032-0.0323+0.028+0.0161+0.0032+0.0054+0.006+0.0065+0.005376-0.0699+0.0013+0.0075</f>
        <v>0.08537599999999998</v>
      </c>
      <c r="R175" s="47">
        <f t="shared" si="36"/>
        <v>2.4463760000000003</v>
      </c>
      <c r="S175" s="12">
        <v>0</v>
      </c>
      <c r="T175" s="12">
        <v>0</v>
      </c>
      <c r="U175" s="12">
        <f t="shared" si="41"/>
        <v>2.4463760000000003</v>
      </c>
      <c r="V175" s="12">
        <v>0</v>
      </c>
      <c r="W175" s="14">
        <f>1.05*4</f>
        <v>4.2</v>
      </c>
      <c r="X175" s="13">
        <f t="shared" si="39"/>
        <v>1.7536239999999998</v>
      </c>
      <c r="Y175" s="47">
        <f t="shared" si="42"/>
        <v>1.7536239999999998</v>
      </c>
      <c r="Z175" s="12" t="s">
        <v>24</v>
      </c>
    </row>
    <row r="176" spans="1:26" s="1" customFormat="1" ht="22.5">
      <c r="A176" s="18">
        <v>124</v>
      </c>
      <c r="B176" s="12" t="s">
        <v>185</v>
      </c>
      <c r="C176" s="69" t="s">
        <v>42</v>
      </c>
      <c r="D176" s="47">
        <v>1.757</v>
      </c>
      <c r="E176" s="12">
        <v>0</v>
      </c>
      <c r="F176" s="12">
        <v>0</v>
      </c>
      <c r="G176" s="12">
        <f t="shared" si="40"/>
        <v>1.757</v>
      </c>
      <c r="H176" s="12">
        <v>0</v>
      </c>
      <c r="I176" s="14">
        <f>1.05*2.5</f>
        <v>2.625</v>
      </c>
      <c r="J176" s="13">
        <f t="shared" si="37"/>
        <v>0.8680000000000001</v>
      </c>
      <c r="K176" s="47">
        <f t="shared" si="38"/>
        <v>0.8680000000000001</v>
      </c>
      <c r="L176" s="17" t="s">
        <v>24</v>
      </c>
      <c r="M176" s="16"/>
      <c r="N176" s="18">
        <v>124</v>
      </c>
      <c r="O176" s="12" t="s">
        <v>185</v>
      </c>
      <c r="P176" s="15" t="s">
        <v>42</v>
      </c>
      <c r="Q176" s="86">
        <f>0.108+0.005+0.003+0.0032-0.0048+0.0032+0.0032+0.0054+0.008601-0.0129+0.0161</f>
        <v>0.13800099999999998</v>
      </c>
      <c r="R176" s="47">
        <f t="shared" si="36"/>
        <v>1.895001</v>
      </c>
      <c r="S176" s="12">
        <v>0</v>
      </c>
      <c r="T176" s="12">
        <v>0</v>
      </c>
      <c r="U176" s="12">
        <f t="shared" si="41"/>
        <v>1.895001</v>
      </c>
      <c r="V176" s="12">
        <v>0</v>
      </c>
      <c r="W176" s="14">
        <f>1.05*2.5</f>
        <v>2.625</v>
      </c>
      <c r="X176" s="13">
        <f t="shared" si="39"/>
        <v>0.7299990000000001</v>
      </c>
      <c r="Y176" s="47">
        <f t="shared" si="42"/>
        <v>0.7299990000000001</v>
      </c>
      <c r="Z176" s="12" t="s">
        <v>24</v>
      </c>
    </row>
    <row r="177" spans="1:26" s="1" customFormat="1" ht="22.5">
      <c r="A177" s="18">
        <v>125</v>
      </c>
      <c r="B177" s="12" t="s">
        <v>186</v>
      </c>
      <c r="C177" s="69" t="s">
        <v>36</v>
      </c>
      <c r="D177" s="47">
        <v>1.583</v>
      </c>
      <c r="E177" s="12">
        <v>0</v>
      </c>
      <c r="F177" s="12">
        <v>0</v>
      </c>
      <c r="G177" s="12">
        <f t="shared" si="40"/>
        <v>1.583</v>
      </c>
      <c r="H177" s="12">
        <v>0</v>
      </c>
      <c r="I177" s="14">
        <f>1.05*2.5</f>
        <v>2.625</v>
      </c>
      <c r="J177" s="13">
        <f t="shared" si="37"/>
        <v>1.042</v>
      </c>
      <c r="K177" s="47">
        <f t="shared" si="38"/>
        <v>1.042</v>
      </c>
      <c r="L177" s="17" t="s">
        <v>24</v>
      </c>
      <c r="M177" s="16"/>
      <c r="N177" s="18">
        <v>125</v>
      </c>
      <c r="O177" s="12" t="s">
        <v>186</v>
      </c>
      <c r="P177" s="15" t="s">
        <v>36</v>
      </c>
      <c r="Q177" s="86">
        <f>0.005+0.003-0.0032+0.0292</f>
        <v>0.034</v>
      </c>
      <c r="R177" s="47">
        <f t="shared" si="36"/>
        <v>1.617</v>
      </c>
      <c r="S177" s="12">
        <v>0</v>
      </c>
      <c r="T177" s="12">
        <v>0</v>
      </c>
      <c r="U177" s="12">
        <f t="shared" si="41"/>
        <v>1.617</v>
      </c>
      <c r="V177" s="12">
        <v>0</v>
      </c>
      <c r="W177" s="14">
        <f>1.05*2.5</f>
        <v>2.625</v>
      </c>
      <c r="X177" s="13">
        <f t="shared" si="39"/>
        <v>1.008</v>
      </c>
      <c r="Y177" s="47">
        <f t="shared" si="42"/>
        <v>1.008</v>
      </c>
      <c r="Z177" s="12" t="s">
        <v>24</v>
      </c>
    </row>
    <row r="178" spans="1:26" s="1" customFormat="1" ht="22.5">
      <c r="A178" s="18">
        <v>126</v>
      </c>
      <c r="B178" s="12" t="s">
        <v>187</v>
      </c>
      <c r="C178" s="69" t="s">
        <v>28</v>
      </c>
      <c r="D178" s="47">
        <v>0.721</v>
      </c>
      <c r="E178" s="12">
        <v>0</v>
      </c>
      <c r="F178" s="12">
        <v>0</v>
      </c>
      <c r="G178" s="12">
        <f t="shared" si="40"/>
        <v>0.721</v>
      </c>
      <c r="H178" s="12">
        <v>0</v>
      </c>
      <c r="I178" s="14">
        <f>1.05*1.6</f>
        <v>1.6800000000000002</v>
      </c>
      <c r="J178" s="13">
        <f t="shared" si="37"/>
        <v>0.9590000000000002</v>
      </c>
      <c r="K178" s="47">
        <f t="shared" si="38"/>
        <v>0.9590000000000002</v>
      </c>
      <c r="L178" s="17" t="s">
        <v>24</v>
      </c>
      <c r="M178" s="16"/>
      <c r="N178" s="18">
        <v>126</v>
      </c>
      <c r="O178" s="12" t="s">
        <v>187</v>
      </c>
      <c r="P178" s="15" t="s">
        <v>28</v>
      </c>
      <c r="Q178" s="86">
        <f>0.005+0.005+0.005+0.006-0.0161+0.0161+0.0054+0.0054+0.012902-0.0102</f>
        <v>0.034502000000000005</v>
      </c>
      <c r="R178" s="47">
        <f t="shared" si="36"/>
        <v>0.755502</v>
      </c>
      <c r="S178" s="12">
        <v>0</v>
      </c>
      <c r="T178" s="12">
        <v>0</v>
      </c>
      <c r="U178" s="12">
        <f t="shared" si="41"/>
        <v>0.755502</v>
      </c>
      <c r="V178" s="12">
        <v>0</v>
      </c>
      <c r="W178" s="14">
        <f>1.05*1.6</f>
        <v>1.6800000000000002</v>
      </c>
      <c r="X178" s="13">
        <f t="shared" si="39"/>
        <v>0.9244980000000002</v>
      </c>
      <c r="Y178" s="47">
        <f t="shared" si="42"/>
        <v>0.9244980000000002</v>
      </c>
      <c r="Z178" s="12" t="s">
        <v>24</v>
      </c>
    </row>
    <row r="179" spans="1:26" s="1" customFormat="1" ht="22.5">
      <c r="A179" s="18">
        <v>127</v>
      </c>
      <c r="B179" s="12" t="s">
        <v>188</v>
      </c>
      <c r="C179" s="69" t="s">
        <v>28</v>
      </c>
      <c r="D179" s="47">
        <v>0.47</v>
      </c>
      <c r="E179" s="12">
        <v>0</v>
      </c>
      <c r="F179" s="12">
        <v>0</v>
      </c>
      <c r="G179" s="12">
        <f t="shared" si="40"/>
        <v>0.47</v>
      </c>
      <c r="H179" s="12">
        <v>0</v>
      </c>
      <c r="I179" s="14">
        <f>1.05*1.6</f>
        <v>1.6800000000000002</v>
      </c>
      <c r="J179" s="13">
        <f t="shared" si="37"/>
        <v>1.2100000000000002</v>
      </c>
      <c r="K179" s="47">
        <f t="shared" si="38"/>
        <v>1.2100000000000002</v>
      </c>
      <c r="L179" s="17" t="s">
        <v>24</v>
      </c>
      <c r="M179" s="16"/>
      <c r="N179" s="18">
        <v>127</v>
      </c>
      <c r="O179" s="12" t="s">
        <v>188</v>
      </c>
      <c r="P179" s="15" t="s">
        <v>28</v>
      </c>
      <c r="Q179" s="86">
        <f>0.024+0.005-0.0083+0.0054-0.0102</f>
        <v>0.015900000000000004</v>
      </c>
      <c r="R179" s="47">
        <f t="shared" si="36"/>
        <v>0.4859</v>
      </c>
      <c r="S179" s="12">
        <v>0</v>
      </c>
      <c r="T179" s="12">
        <v>0</v>
      </c>
      <c r="U179" s="12">
        <f t="shared" si="41"/>
        <v>0.4859</v>
      </c>
      <c r="V179" s="12">
        <v>0</v>
      </c>
      <c r="W179" s="14">
        <f>1.05*1.6</f>
        <v>1.6800000000000002</v>
      </c>
      <c r="X179" s="13">
        <f t="shared" si="39"/>
        <v>1.1941000000000002</v>
      </c>
      <c r="Y179" s="47">
        <f t="shared" si="42"/>
        <v>1.1941000000000002</v>
      </c>
      <c r="Z179" s="12" t="s">
        <v>24</v>
      </c>
    </row>
    <row r="180" spans="1:26" s="1" customFormat="1" ht="22.5">
      <c r="A180" s="18">
        <v>128</v>
      </c>
      <c r="B180" s="12" t="s">
        <v>189</v>
      </c>
      <c r="C180" s="69" t="s">
        <v>27</v>
      </c>
      <c r="D180" s="47">
        <v>1.894</v>
      </c>
      <c r="E180" s="12">
        <v>0</v>
      </c>
      <c r="F180" s="12">
        <v>0</v>
      </c>
      <c r="G180" s="12">
        <f t="shared" si="40"/>
        <v>1.894</v>
      </c>
      <c r="H180" s="12">
        <v>0</v>
      </c>
      <c r="I180" s="14">
        <f>1.05*2.5</f>
        <v>2.625</v>
      </c>
      <c r="J180" s="13">
        <f t="shared" si="37"/>
        <v>0.7310000000000001</v>
      </c>
      <c r="K180" s="47">
        <f t="shared" si="38"/>
        <v>0.7310000000000001</v>
      </c>
      <c r="L180" s="17" t="s">
        <v>24</v>
      </c>
      <c r="M180" s="16"/>
      <c r="N180" s="18">
        <v>128</v>
      </c>
      <c r="O180" s="12" t="s">
        <v>189</v>
      </c>
      <c r="P180" s="15" t="s">
        <v>27</v>
      </c>
      <c r="Q180" s="86">
        <f>0.015+0.01+0.005+0.008+0.012+0.009+0.005+0.003+0.022+0.0118-0.0374+0.0048+0.0019+0.0047+0.006451-0.0556+0.215+0.0129</f>
        <v>0.253551</v>
      </c>
      <c r="R180" s="47">
        <f t="shared" si="36"/>
        <v>2.147551</v>
      </c>
      <c r="S180" s="12">
        <v>0</v>
      </c>
      <c r="T180" s="12">
        <v>0</v>
      </c>
      <c r="U180" s="12">
        <f t="shared" si="41"/>
        <v>2.147551</v>
      </c>
      <c r="V180" s="12">
        <v>0</v>
      </c>
      <c r="W180" s="14">
        <f>1.05*2.5</f>
        <v>2.625</v>
      </c>
      <c r="X180" s="13">
        <f t="shared" si="39"/>
        <v>0.477449</v>
      </c>
      <c r="Y180" s="47">
        <f t="shared" si="42"/>
        <v>0.477449</v>
      </c>
      <c r="Z180" s="12" t="s">
        <v>24</v>
      </c>
    </row>
    <row r="181" spans="1:26" s="1" customFormat="1" ht="22.5">
      <c r="A181" s="18">
        <v>129</v>
      </c>
      <c r="B181" s="12" t="s">
        <v>190</v>
      </c>
      <c r="C181" s="69" t="s">
        <v>33</v>
      </c>
      <c r="D181" s="47">
        <v>0.749</v>
      </c>
      <c r="E181" s="12">
        <v>0</v>
      </c>
      <c r="F181" s="12">
        <v>0</v>
      </c>
      <c r="G181" s="12">
        <f t="shared" si="40"/>
        <v>0.749</v>
      </c>
      <c r="H181" s="12">
        <v>0</v>
      </c>
      <c r="I181" s="14">
        <f>1.05*1.6</f>
        <v>1.6800000000000002</v>
      </c>
      <c r="J181" s="13">
        <f t="shared" si="37"/>
        <v>0.9310000000000002</v>
      </c>
      <c r="K181" s="47">
        <f t="shared" si="38"/>
        <v>0.9310000000000002</v>
      </c>
      <c r="L181" s="17" t="s">
        <v>24</v>
      </c>
      <c r="M181" s="16"/>
      <c r="N181" s="18">
        <v>129</v>
      </c>
      <c r="O181" s="12" t="s">
        <v>190</v>
      </c>
      <c r="P181" s="15" t="s">
        <v>33</v>
      </c>
      <c r="Q181" s="86">
        <f>0.016+0.019+0.006+0.011+0.0054-0.0535+0.0054</f>
        <v>0.009300000000000008</v>
      </c>
      <c r="R181" s="47">
        <f t="shared" si="36"/>
        <v>0.7583</v>
      </c>
      <c r="S181" s="12">
        <v>0</v>
      </c>
      <c r="T181" s="12">
        <v>0</v>
      </c>
      <c r="U181" s="12">
        <f t="shared" si="41"/>
        <v>0.7583</v>
      </c>
      <c r="V181" s="12">
        <v>0</v>
      </c>
      <c r="W181" s="14">
        <f>1.05*1.6</f>
        <v>1.6800000000000002</v>
      </c>
      <c r="X181" s="13">
        <f t="shared" si="39"/>
        <v>0.9217000000000002</v>
      </c>
      <c r="Y181" s="47">
        <f t="shared" si="42"/>
        <v>0.9217000000000002</v>
      </c>
      <c r="Z181" s="12" t="s">
        <v>24</v>
      </c>
    </row>
    <row r="182" spans="1:26" s="1" customFormat="1" ht="22.5">
      <c r="A182" s="18">
        <v>130</v>
      </c>
      <c r="B182" s="12" t="s">
        <v>191</v>
      </c>
      <c r="C182" s="69" t="s">
        <v>33</v>
      </c>
      <c r="D182" s="47">
        <v>1.022</v>
      </c>
      <c r="E182" s="12">
        <v>0</v>
      </c>
      <c r="F182" s="12">
        <v>0</v>
      </c>
      <c r="G182" s="12">
        <f t="shared" si="40"/>
        <v>1.022</v>
      </c>
      <c r="H182" s="12">
        <v>0</v>
      </c>
      <c r="I182" s="14">
        <f>1.05*1.6</f>
        <v>1.6800000000000002</v>
      </c>
      <c r="J182" s="13">
        <f t="shared" si="37"/>
        <v>0.6580000000000001</v>
      </c>
      <c r="K182" s="47">
        <f t="shared" si="38"/>
        <v>0.6580000000000001</v>
      </c>
      <c r="L182" s="17" t="s">
        <v>24</v>
      </c>
      <c r="M182" s="16"/>
      <c r="N182" s="18">
        <v>130</v>
      </c>
      <c r="O182" s="12" t="s">
        <v>191</v>
      </c>
      <c r="P182" s="15" t="s">
        <v>33</v>
      </c>
      <c r="Q182" s="86">
        <f>0.016+0.002-0.0073+0.1462+0.0043+0.001344+0.014+0.0022</f>
        <v>0.17874400000000001</v>
      </c>
      <c r="R182" s="47">
        <f t="shared" si="36"/>
        <v>1.200744</v>
      </c>
      <c r="S182" s="12">
        <v>0</v>
      </c>
      <c r="T182" s="12">
        <v>0</v>
      </c>
      <c r="U182" s="12">
        <f t="shared" si="41"/>
        <v>1.200744</v>
      </c>
      <c r="V182" s="12">
        <v>0</v>
      </c>
      <c r="W182" s="14">
        <f>1.05*1.6</f>
        <v>1.6800000000000002</v>
      </c>
      <c r="X182" s="13">
        <f t="shared" si="39"/>
        <v>0.4792560000000001</v>
      </c>
      <c r="Y182" s="47">
        <f t="shared" si="42"/>
        <v>0.4792560000000001</v>
      </c>
      <c r="Z182" s="12" t="s">
        <v>24</v>
      </c>
    </row>
    <row r="183" spans="1:26" s="1" customFormat="1" ht="22.5">
      <c r="A183" s="18">
        <v>131</v>
      </c>
      <c r="B183" s="12" t="s">
        <v>192</v>
      </c>
      <c r="C183" s="69" t="s">
        <v>27</v>
      </c>
      <c r="D183" s="47">
        <v>0.354</v>
      </c>
      <c r="E183" s="12">
        <v>0</v>
      </c>
      <c r="F183" s="12">
        <v>0</v>
      </c>
      <c r="G183" s="12">
        <f t="shared" si="40"/>
        <v>0.354</v>
      </c>
      <c r="H183" s="12">
        <v>0</v>
      </c>
      <c r="I183" s="14">
        <f>1.05*2.5</f>
        <v>2.625</v>
      </c>
      <c r="J183" s="13">
        <f t="shared" si="37"/>
        <v>2.271</v>
      </c>
      <c r="K183" s="47">
        <f t="shared" si="38"/>
        <v>2.271</v>
      </c>
      <c r="L183" s="17" t="s">
        <v>24</v>
      </c>
      <c r="M183" s="16"/>
      <c r="N183" s="18">
        <v>131</v>
      </c>
      <c r="O183" s="12" t="s">
        <v>192</v>
      </c>
      <c r="P183" s="15" t="s">
        <v>27</v>
      </c>
      <c r="Q183" s="86">
        <f>0.013+0.005+0.007+0.0032+0.215-0.2183+0.0108</f>
        <v>0.03570000000000001</v>
      </c>
      <c r="R183" s="47">
        <f t="shared" si="36"/>
        <v>0.3897</v>
      </c>
      <c r="S183" s="12">
        <v>0</v>
      </c>
      <c r="T183" s="12">
        <v>0</v>
      </c>
      <c r="U183" s="12">
        <f t="shared" si="41"/>
        <v>0.3897</v>
      </c>
      <c r="V183" s="12">
        <v>0</v>
      </c>
      <c r="W183" s="14">
        <f>1.05*2.5</f>
        <v>2.625</v>
      </c>
      <c r="X183" s="13">
        <f t="shared" si="39"/>
        <v>2.2353</v>
      </c>
      <c r="Y183" s="47">
        <f t="shared" si="42"/>
        <v>2.2353</v>
      </c>
      <c r="Z183" s="12" t="s">
        <v>24</v>
      </c>
    </row>
    <row r="184" spans="1:26" s="1" customFormat="1" ht="22.5">
      <c r="A184" s="18">
        <v>132</v>
      </c>
      <c r="B184" s="12" t="s">
        <v>193</v>
      </c>
      <c r="C184" s="69" t="s">
        <v>34</v>
      </c>
      <c r="D184" s="47">
        <v>3.387</v>
      </c>
      <c r="E184" s="12">
        <v>0</v>
      </c>
      <c r="F184" s="12">
        <v>0</v>
      </c>
      <c r="G184" s="12">
        <f t="shared" si="40"/>
        <v>3.387</v>
      </c>
      <c r="H184" s="12">
        <v>0</v>
      </c>
      <c r="I184" s="14">
        <f>1.05*4</f>
        <v>4.2</v>
      </c>
      <c r="J184" s="13">
        <f t="shared" si="37"/>
        <v>0.8130000000000002</v>
      </c>
      <c r="K184" s="47">
        <f t="shared" si="38"/>
        <v>0.8130000000000002</v>
      </c>
      <c r="L184" s="17" t="s">
        <v>24</v>
      </c>
      <c r="M184" s="16"/>
      <c r="N184" s="18">
        <v>132</v>
      </c>
      <c r="O184" s="12" t="s">
        <v>193</v>
      </c>
      <c r="P184" s="15" t="s">
        <v>34</v>
      </c>
      <c r="Q184" s="86">
        <f>0.025+0.001+0.011+0.013+0.011+0.011-0.053+0.0024+0.0105+0.215037-0.0452+0.0043</f>
        <v>0.20603700000000003</v>
      </c>
      <c r="R184" s="47">
        <f t="shared" si="36"/>
        <v>3.593037</v>
      </c>
      <c r="S184" s="12">
        <v>0</v>
      </c>
      <c r="T184" s="12">
        <v>0</v>
      </c>
      <c r="U184" s="12">
        <f t="shared" si="41"/>
        <v>3.593037</v>
      </c>
      <c r="V184" s="12">
        <v>0</v>
      </c>
      <c r="W184" s="14">
        <f>1.05*4</f>
        <v>4.2</v>
      </c>
      <c r="X184" s="13">
        <f t="shared" si="39"/>
        <v>0.6069630000000004</v>
      </c>
      <c r="Y184" s="47">
        <f t="shared" si="42"/>
        <v>0.6069630000000004</v>
      </c>
      <c r="Z184" s="12" t="s">
        <v>24</v>
      </c>
    </row>
    <row r="185" spans="1:26" s="1" customFormat="1" ht="22.5">
      <c r="A185" s="18">
        <v>133</v>
      </c>
      <c r="B185" s="12" t="s">
        <v>194</v>
      </c>
      <c r="C185" s="69" t="s">
        <v>28</v>
      </c>
      <c r="D185" s="47">
        <v>0.654</v>
      </c>
      <c r="E185" s="12">
        <v>0</v>
      </c>
      <c r="F185" s="12">
        <v>0</v>
      </c>
      <c r="G185" s="12">
        <f t="shared" si="40"/>
        <v>0.654</v>
      </c>
      <c r="H185" s="12">
        <v>0</v>
      </c>
      <c r="I185" s="14">
        <f>1.05*1.6</f>
        <v>1.6800000000000002</v>
      </c>
      <c r="J185" s="13">
        <f t="shared" si="37"/>
        <v>1.0260000000000002</v>
      </c>
      <c r="K185" s="47">
        <f t="shared" si="38"/>
        <v>1.0260000000000002</v>
      </c>
      <c r="L185" s="17" t="s">
        <v>24</v>
      </c>
      <c r="M185" s="16"/>
      <c r="N185" s="18">
        <v>133</v>
      </c>
      <c r="O185" s="12" t="s">
        <v>194</v>
      </c>
      <c r="P185" s="15" t="s">
        <v>28</v>
      </c>
      <c r="Q185" s="86">
        <f>0.021+0.005-0.0013+0.0054-0.0183</f>
        <v>0.011800000000000001</v>
      </c>
      <c r="R185" s="47">
        <f t="shared" si="36"/>
        <v>0.6658000000000001</v>
      </c>
      <c r="S185" s="12">
        <v>0</v>
      </c>
      <c r="T185" s="12">
        <v>0</v>
      </c>
      <c r="U185" s="12">
        <f t="shared" si="41"/>
        <v>0.6658000000000001</v>
      </c>
      <c r="V185" s="12">
        <v>0</v>
      </c>
      <c r="W185" s="14">
        <f>1.05*1.6</f>
        <v>1.6800000000000002</v>
      </c>
      <c r="X185" s="13">
        <f t="shared" si="39"/>
        <v>1.0142000000000002</v>
      </c>
      <c r="Y185" s="47">
        <f t="shared" si="42"/>
        <v>1.0142000000000002</v>
      </c>
      <c r="Z185" s="12" t="s">
        <v>24</v>
      </c>
    </row>
    <row r="186" spans="1:26" s="1" customFormat="1" ht="22.5">
      <c r="A186" s="18">
        <v>134</v>
      </c>
      <c r="B186" s="12" t="s">
        <v>196</v>
      </c>
      <c r="C186" s="69" t="s">
        <v>27</v>
      </c>
      <c r="D186" s="47">
        <v>0.552</v>
      </c>
      <c r="E186" s="12">
        <v>0</v>
      </c>
      <c r="F186" s="12">
        <v>0</v>
      </c>
      <c r="G186" s="12">
        <f t="shared" si="40"/>
        <v>0.552</v>
      </c>
      <c r="H186" s="12">
        <v>0</v>
      </c>
      <c r="I186" s="14">
        <f>1.05*2.5</f>
        <v>2.625</v>
      </c>
      <c r="J186" s="13">
        <f t="shared" si="37"/>
        <v>2.073</v>
      </c>
      <c r="K186" s="47">
        <f t="shared" si="38"/>
        <v>2.073</v>
      </c>
      <c r="L186" s="17" t="s">
        <v>24</v>
      </c>
      <c r="M186" s="16"/>
      <c r="N186" s="18">
        <v>134</v>
      </c>
      <c r="O186" s="12" t="s">
        <v>196</v>
      </c>
      <c r="P186" s="15" t="s">
        <v>27</v>
      </c>
      <c r="Q186" s="86">
        <f>0.001+0.016+0.005-0.014+0.215-0.021+0.0054+0.0129</f>
        <v>0.2203</v>
      </c>
      <c r="R186" s="47">
        <f t="shared" si="36"/>
        <v>0.7723</v>
      </c>
      <c r="S186" s="12">
        <v>0</v>
      </c>
      <c r="T186" s="12">
        <v>0</v>
      </c>
      <c r="U186" s="12">
        <f t="shared" si="41"/>
        <v>0.7723</v>
      </c>
      <c r="V186" s="12">
        <v>0</v>
      </c>
      <c r="W186" s="14">
        <f>1.05*2.5</f>
        <v>2.625</v>
      </c>
      <c r="X186" s="13">
        <f t="shared" si="39"/>
        <v>1.8527</v>
      </c>
      <c r="Y186" s="47">
        <f t="shared" si="42"/>
        <v>1.8527</v>
      </c>
      <c r="Z186" s="12" t="s">
        <v>24</v>
      </c>
    </row>
    <row r="187" spans="1:26" s="74" customFormat="1" ht="22.5">
      <c r="A187" s="18">
        <v>135</v>
      </c>
      <c r="B187" s="18" t="s">
        <v>198</v>
      </c>
      <c r="C187" s="69" t="s">
        <v>29</v>
      </c>
      <c r="D187" s="79">
        <v>6.452</v>
      </c>
      <c r="E187" s="18">
        <v>0</v>
      </c>
      <c r="F187" s="18">
        <v>0</v>
      </c>
      <c r="G187" s="18">
        <f t="shared" si="40"/>
        <v>6.452</v>
      </c>
      <c r="H187" s="18">
        <v>0</v>
      </c>
      <c r="I187" s="70">
        <f>1.05*6.3</f>
        <v>6.615</v>
      </c>
      <c r="J187" s="71">
        <f t="shared" si="37"/>
        <v>0.16300000000000026</v>
      </c>
      <c r="K187" s="79">
        <f t="shared" si="38"/>
        <v>0.16300000000000026</v>
      </c>
      <c r="L187" s="97" t="s">
        <v>24</v>
      </c>
      <c r="M187" s="104"/>
      <c r="N187" s="18">
        <v>135</v>
      </c>
      <c r="O187" s="18" t="s">
        <v>198</v>
      </c>
      <c r="P187" s="69" t="s">
        <v>29</v>
      </c>
      <c r="Q187" s="108">
        <f>0.044+0.016+0.005+0.015+0.0151-0.0231-0.0156+0.0011+0.0151</f>
        <v>0.0726</v>
      </c>
      <c r="R187" s="79">
        <f t="shared" si="36"/>
        <v>6.5245999999999995</v>
      </c>
      <c r="S187" s="18">
        <v>0</v>
      </c>
      <c r="T187" s="18">
        <v>0</v>
      </c>
      <c r="U187" s="18">
        <f t="shared" si="41"/>
        <v>6.5245999999999995</v>
      </c>
      <c r="V187" s="18">
        <v>0</v>
      </c>
      <c r="W187" s="70">
        <f>1.05*6.3</f>
        <v>6.615</v>
      </c>
      <c r="X187" s="71">
        <f t="shared" si="39"/>
        <v>0.0904000000000007</v>
      </c>
      <c r="Y187" s="79">
        <f t="shared" si="42"/>
        <v>0.0904000000000007</v>
      </c>
      <c r="Z187" s="18" t="s">
        <v>24</v>
      </c>
    </row>
    <row r="188" spans="1:26" s="1" customFormat="1" ht="22.5">
      <c r="A188" s="18">
        <v>136</v>
      </c>
      <c r="B188" s="12" t="s">
        <v>200</v>
      </c>
      <c r="C188" s="69" t="s">
        <v>27</v>
      </c>
      <c r="D188" s="47">
        <v>1.201</v>
      </c>
      <c r="E188" s="12">
        <v>0</v>
      </c>
      <c r="F188" s="12">
        <v>0</v>
      </c>
      <c r="G188" s="12">
        <f t="shared" si="40"/>
        <v>1.201</v>
      </c>
      <c r="H188" s="12">
        <v>0</v>
      </c>
      <c r="I188" s="14">
        <f>1.05*2.5</f>
        <v>2.625</v>
      </c>
      <c r="J188" s="13">
        <f t="shared" si="37"/>
        <v>1.424</v>
      </c>
      <c r="K188" s="47">
        <f t="shared" si="38"/>
        <v>1.424</v>
      </c>
      <c r="L188" s="17" t="s">
        <v>24</v>
      </c>
      <c r="M188" s="16"/>
      <c r="N188" s="18">
        <v>136</v>
      </c>
      <c r="O188" s="12" t="s">
        <v>200</v>
      </c>
      <c r="P188" s="15" t="s">
        <v>27</v>
      </c>
      <c r="Q188" s="86">
        <f>0.007+0.003+0.06+0.03+0.016+0.005+0.003-0.0382+0.0161+0.0086-0.0215+0.172+0.0161</f>
        <v>0.2771</v>
      </c>
      <c r="R188" s="47">
        <f t="shared" si="36"/>
        <v>1.4781</v>
      </c>
      <c r="S188" s="12">
        <v>0</v>
      </c>
      <c r="T188" s="12">
        <v>0</v>
      </c>
      <c r="U188" s="12">
        <f t="shared" si="41"/>
        <v>1.4781</v>
      </c>
      <c r="V188" s="12">
        <v>0</v>
      </c>
      <c r="W188" s="14">
        <f>1.05*2.5</f>
        <v>2.625</v>
      </c>
      <c r="X188" s="13">
        <f t="shared" si="39"/>
        <v>1.1469</v>
      </c>
      <c r="Y188" s="47">
        <f t="shared" si="42"/>
        <v>1.1469</v>
      </c>
      <c r="Z188" s="12" t="s">
        <v>24</v>
      </c>
    </row>
    <row r="189" spans="1:26" s="1" customFormat="1" ht="22.5">
      <c r="A189" s="18">
        <v>137</v>
      </c>
      <c r="B189" s="12" t="s">
        <v>201</v>
      </c>
      <c r="C189" s="69" t="s">
        <v>33</v>
      </c>
      <c r="D189" s="47">
        <v>0.919</v>
      </c>
      <c r="E189" s="12">
        <v>0</v>
      </c>
      <c r="F189" s="12">
        <v>0</v>
      </c>
      <c r="G189" s="12">
        <f t="shared" si="40"/>
        <v>0.919</v>
      </c>
      <c r="H189" s="12">
        <v>0</v>
      </c>
      <c r="I189" s="14">
        <f>1.05*1.6</f>
        <v>1.6800000000000002</v>
      </c>
      <c r="J189" s="13">
        <f t="shared" si="37"/>
        <v>0.7610000000000001</v>
      </c>
      <c r="K189" s="47">
        <f t="shared" si="38"/>
        <v>0.7610000000000001</v>
      </c>
      <c r="L189" s="17" t="s">
        <v>24</v>
      </c>
      <c r="M189" s="16"/>
      <c r="N189" s="18">
        <v>137</v>
      </c>
      <c r="O189" s="12" t="s">
        <v>201</v>
      </c>
      <c r="P189" s="15" t="s">
        <v>33</v>
      </c>
      <c r="Q189" s="86">
        <f>0.019+0.004+0.011+0.029+0.029+0.014-0.0516+0.0108+0.0065+0.0151+0.02+0.0065+0.0194-0.0583+0.0183</f>
        <v>0.09270000000000002</v>
      </c>
      <c r="R189" s="47">
        <f t="shared" si="36"/>
        <v>1.0117</v>
      </c>
      <c r="S189" s="12">
        <v>0</v>
      </c>
      <c r="T189" s="12">
        <v>0</v>
      </c>
      <c r="U189" s="12">
        <f t="shared" si="41"/>
        <v>1.0117</v>
      </c>
      <c r="V189" s="12">
        <v>0</v>
      </c>
      <c r="W189" s="14">
        <f>1.05*1.6</f>
        <v>1.6800000000000002</v>
      </c>
      <c r="X189" s="13">
        <f t="shared" si="39"/>
        <v>0.6683000000000001</v>
      </c>
      <c r="Y189" s="47">
        <f t="shared" si="42"/>
        <v>0.6683000000000001</v>
      </c>
      <c r="Z189" s="12" t="s">
        <v>24</v>
      </c>
    </row>
    <row r="190" spans="1:26" s="1" customFormat="1" ht="22.5">
      <c r="A190" s="18">
        <v>138</v>
      </c>
      <c r="B190" s="12" t="s">
        <v>202</v>
      </c>
      <c r="C190" s="69" t="s">
        <v>29</v>
      </c>
      <c r="D190" s="47">
        <v>3.665</v>
      </c>
      <c r="E190" s="12">
        <v>0</v>
      </c>
      <c r="F190" s="12">
        <v>0</v>
      </c>
      <c r="G190" s="12">
        <f t="shared" si="40"/>
        <v>3.665</v>
      </c>
      <c r="H190" s="12">
        <v>0</v>
      </c>
      <c r="I190" s="14">
        <f>1.05*6.3</f>
        <v>6.615</v>
      </c>
      <c r="J190" s="13">
        <f t="shared" si="37"/>
        <v>2.95</v>
      </c>
      <c r="K190" s="47">
        <f t="shared" si="38"/>
        <v>2.95</v>
      </c>
      <c r="L190" s="17" t="s">
        <v>24</v>
      </c>
      <c r="M190" s="16"/>
      <c r="N190" s="18">
        <v>138</v>
      </c>
      <c r="O190" s="12" t="s">
        <v>202</v>
      </c>
      <c r="P190" s="15" t="s">
        <v>29</v>
      </c>
      <c r="Q190" s="86">
        <f>0.08+0.005+0.001+0.017+0.011+0.023+0.143+0.0247+0.0054-0.078+0.0199+0.0237+0.0054+0.0032+0.0065+0.019353-0.0995+0.0065+0.0065+0.0129</f>
        <v>0.236553</v>
      </c>
      <c r="R190" s="47">
        <f t="shared" si="36"/>
        <v>3.901553</v>
      </c>
      <c r="S190" s="12">
        <v>0</v>
      </c>
      <c r="T190" s="12">
        <v>0</v>
      </c>
      <c r="U190" s="12">
        <f t="shared" si="41"/>
        <v>3.901553</v>
      </c>
      <c r="V190" s="12">
        <v>0</v>
      </c>
      <c r="W190" s="14">
        <f>1.05*6.3</f>
        <v>6.615</v>
      </c>
      <c r="X190" s="13">
        <f t="shared" si="39"/>
        <v>2.7134470000000004</v>
      </c>
      <c r="Y190" s="47">
        <f t="shared" si="42"/>
        <v>2.7134470000000004</v>
      </c>
      <c r="Z190" s="12" t="s">
        <v>24</v>
      </c>
    </row>
    <row r="191" spans="1:26" s="1" customFormat="1" ht="22.5">
      <c r="A191" s="18">
        <v>139</v>
      </c>
      <c r="B191" s="12" t="s">
        <v>203</v>
      </c>
      <c r="C191" s="69" t="s">
        <v>28</v>
      </c>
      <c r="D191" s="47">
        <v>0.403</v>
      </c>
      <c r="E191" s="12">
        <v>0</v>
      </c>
      <c r="F191" s="12">
        <v>0</v>
      </c>
      <c r="G191" s="12">
        <f t="shared" si="40"/>
        <v>0.403</v>
      </c>
      <c r="H191" s="12">
        <v>0</v>
      </c>
      <c r="I191" s="14">
        <f>1.05*1.6</f>
        <v>1.6800000000000002</v>
      </c>
      <c r="J191" s="13">
        <f t="shared" si="37"/>
        <v>1.2770000000000001</v>
      </c>
      <c r="K191" s="47">
        <f t="shared" si="38"/>
        <v>1.2770000000000001</v>
      </c>
      <c r="L191" s="17" t="s">
        <v>24</v>
      </c>
      <c r="M191" s="16"/>
      <c r="N191" s="18">
        <v>139</v>
      </c>
      <c r="O191" s="12" t="s">
        <v>203</v>
      </c>
      <c r="P191" s="15" t="s">
        <v>28</v>
      </c>
      <c r="Q191" s="86">
        <f>0.003+0.002+0.0054+0.0054-0.0129</f>
        <v>0.0029000000000000015</v>
      </c>
      <c r="R191" s="47">
        <f t="shared" si="36"/>
        <v>0.40590000000000004</v>
      </c>
      <c r="S191" s="12">
        <v>0</v>
      </c>
      <c r="T191" s="12">
        <v>0</v>
      </c>
      <c r="U191" s="12">
        <f t="shared" si="41"/>
        <v>0.40590000000000004</v>
      </c>
      <c r="V191" s="12">
        <v>0</v>
      </c>
      <c r="W191" s="14">
        <f>1.05*1.6</f>
        <v>1.6800000000000002</v>
      </c>
      <c r="X191" s="13">
        <f t="shared" si="39"/>
        <v>1.2741000000000002</v>
      </c>
      <c r="Y191" s="47">
        <f t="shared" si="42"/>
        <v>1.2741000000000002</v>
      </c>
      <c r="Z191" s="12" t="s">
        <v>24</v>
      </c>
    </row>
    <row r="192" spans="1:26" s="1" customFormat="1" ht="22.5">
      <c r="A192" s="18">
        <v>140</v>
      </c>
      <c r="B192" s="12" t="s">
        <v>204</v>
      </c>
      <c r="C192" s="69" t="s">
        <v>27</v>
      </c>
      <c r="D192" s="47">
        <v>0.785</v>
      </c>
      <c r="E192" s="12">
        <v>0</v>
      </c>
      <c r="F192" s="12">
        <v>0</v>
      </c>
      <c r="G192" s="12">
        <f t="shared" si="40"/>
        <v>0.785</v>
      </c>
      <c r="H192" s="12">
        <v>0</v>
      </c>
      <c r="I192" s="14">
        <f>1.05*2.5</f>
        <v>2.625</v>
      </c>
      <c r="J192" s="13">
        <f t="shared" si="37"/>
        <v>1.8399999999999999</v>
      </c>
      <c r="K192" s="47">
        <f t="shared" si="38"/>
        <v>1.8399999999999999</v>
      </c>
      <c r="L192" s="17" t="s">
        <v>24</v>
      </c>
      <c r="M192" s="16"/>
      <c r="N192" s="18">
        <v>140</v>
      </c>
      <c r="O192" s="12" t="s">
        <v>204</v>
      </c>
      <c r="P192" s="15" t="s">
        <v>27</v>
      </c>
      <c r="Q192" s="86">
        <f>0.015+0.008+0.376+0.0039-0.3892+0.016-0.0065</f>
        <v>0.023200000000000047</v>
      </c>
      <c r="R192" s="47">
        <f t="shared" si="36"/>
        <v>0.8082</v>
      </c>
      <c r="S192" s="12">
        <v>0</v>
      </c>
      <c r="T192" s="12">
        <v>0</v>
      </c>
      <c r="U192" s="12">
        <f t="shared" si="41"/>
        <v>0.8082</v>
      </c>
      <c r="V192" s="12">
        <v>0</v>
      </c>
      <c r="W192" s="14">
        <f>1.05*2.5</f>
        <v>2.625</v>
      </c>
      <c r="X192" s="13">
        <f t="shared" si="39"/>
        <v>1.8168</v>
      </c>
      <c r="Y192" s="47">
        <f t="shared" si="42"/>
        <v>1.8168</v>
      </c>
      <c r="Z192" s="12" t="s">
        <v>24</v>
      </c>
    </row>
    <row r="193" spans="1:26" s="1" customFormat="1" ht="22.5">
      <c r="A193" s="18">
        <v>141</v>
      </c>
      <c r="B193" s="12" t="s">
        <v>205</v>
      </c>
      <c r="C193" s="69" t="s">
        <v>50</v>
      </c>
      <c r="D193" s="47">
        <v>6.377</v>
      </c>
      <c r="E193" s="12">
        <v>0</v>
      </c>
      <c r="F193" s="12">
        <v>0</v>
      </c>
      <c r="G193" s="12">
        <f t="shared" si="40"/>
        <v>6.377</v>
      </c>
      <c r="H193" s="12">
        <v>0</v>
      </c>
      <c r="I193" s="14">
        <f>1.05*7.2</f>
        <v>7.5600000000000005</v>
      </c>
      <c r="J193" s="13">
        <f t="shared" si="37"/>
        <v>1.1830000000000007</v>
      </c>
      <c r="K193" s="47">
        <f t="shared" si="38"/>
        <v>1.1830000000000007</v>
      </c>
      <c r="L193" s="17" t="s">
        <v>24</v>
      </c>
      <c r="M193" s="16"/>
      <c r="N193" s="18">
        <v>141</v>
      </c>
      <c r="O193" s="12" t="s">
        <v>205</v>
      </c>
      <c r="P193" s="15" t="s">
        <v>50</v>
      </c>
      <c r="Q193" s="86">
        <f>0.039+0.031+0.005+0.005+0.01+0.005+0.0048+0.0048+0.0048+0.007+0.0145+0.0161-0.0194+0.0048+0.0323+0.0032</f>
        <v>0.16790000000000002</v>
      </c>
      <c r="R193" s="47">
        <f t="shared" si="36"/>
        <v>6.5449</v>
      </c>
      <c r="S193" s="12">
        <v>0</v>
      </c>
      <c r="T193" s="12">
        <v>0</v>
      </c>
      <c r="U193" s="12">
        <f t="shared" si="41"/>
        <v>6.5449</v>
      </c>
      <c r="V193" s="12">
        <v>0</v>
      </c>
      <c r="W193" s="14">
        <f>1.05*7.2</f>
        <v>7.5600000000000005</v>
      </c>
      <c r="X193" s="13">
        <f t="shared" si="39"/>
        <v>1.0151000000000003</v>
      </c>
      <c r="Y193" s="47">
        <f t="shared" si="42"/>
        <v>1.0151000000000003</v>
      </c>
      <c r="Z193" s="12" t="s">
        <v>24</v>
      </c>
    </row>
    <row r="194" spans="1:26" s="1" customFormat="1" ht="22.5">
      <c r="A194" s="18">
        <v>142</v>
      </c>
      <c r="B194" s="12" t="s">
        <v>208</v>
      </c>
      <c r="C194" s="69" t="s">
        <v>39</v>
      </c>
      <c r="D194" s="47">
        <v>0.689</v>
      </c>
      <c r="E194" s="12">
        <v>0</v>
      </c>
      <c r="F194" s="12">
        <v>0</v>
      </c>
      <c r="G194" s="12">
        <f t="shared" si="40"/>
        <v>0.689</v>
      </c>
      <c r="H194" s="12">
        <v>0</v>
      </c>
      <c r="I194" s="14">
        <f>1.05*2.5</f>
        <v>2.625</v>
      </c>
      <c r="J194" s="13">
        <f t="shared" si="37"/>
        <v>1.936</v>
      </c>
      <c r="K194" s="47">
        <f t="shared" si="38"/>
        <v>1.936</v>
      </c>
      <c r="L194" s="17" t="s">
        <v>24</v>
      </c>
      <c r="M194" s="16"/>
      <c r="N194" s="18">
        <v>142</v>
      </c>
      <c r="O194" s="12" t="s">
        <v>208</v>
      </c>
      <c r="P194" s="15" t="s">
        <v>39</v>
      </c>
      <c r="Q194" s="86">
        <f>0.026+0.01+0.002+0.003+0.019+0.0161-0.0081+0.0065+0.0077+0.0065+0.038707-0.0286</f>
        <v>0.09880700000000002</v>
      </c>
      <c r="R194" s="47">
        <f t="shared" si="36"/>
        <v>0.7878069999999999</v>
      </c>
      <c r="S194" s="12">
        <v>0</v>
      </c>
      <c r="T194" s="12">
        <v>0</v>
      </c>
      <c r="U194" s="12">
        <f t="shared" si="41"/>
        <v>0.7878069999999999</v>
      </c>
      <c r="V194" s="12">
        <v>0</v>
      </c>
      <c r="W194" s="14">
        <f>1.05*2.5</f>
        <v>2.625</v>
      </c>
      <c r="X194" s="13">
        <f t="shared" si="39"/>
        <v>1.837193</v>
      </c>
      <c r="Y194" s="47">
        <f t="shared" si="42"/>
        <v>1.837193</v>
      </c>
      <c r="Z194" s="12" t="s">
        <v>24</v>
      </c>
    </row>
    <row r="195" spans="1:26" s="1" customFormat="1" ht="22.5">
      <c r="A195" s="18">
        <v>143</v>
      </c>
      <c r="B195" s="12" t="s">
        <v>209</v>
      </c>
      <c r="C195" s="69" t="s">
        <v>27</v>
      </c>
      <c r="D195" s="47">
        <v>1.099</v>
      </c>
      <c r="E195" s="12">
        <v>0</v>
      </c>
      <c r="F195" s="12">
        <v>0</v>
      </c>
      <c r="G195" s="12">
        <f t="shared" si="40"/>
        <v>1.099</v>
      </c>
      <c r="H195" s="12">
        <v>0</v>
      </c>
      <c r="I195" s="14">
        <f>1.05*2.5</f>
        <v>2.625</v>
      </c>
      <c r="J195" s="13">
        <f t="shared" si="37"/>
        <v>1.526</v>
      </c>
      <c r="K195" s="47">
        <f t="shared" si="38"/>
        <v>1.526</v>
      </c>
      <c r="L195" s="17" t="s">
        <v>24</v>
      </c>
      <c r="M195" s="16"/>
      <c r="N195" s="18">
        <v>143</v>
      </c>
      <c r="O195" s="12" t="s">
        <v>209</v>
      </c>
      <c r="P195" s="15" t="s">
        <v>27</v>
      </c>
      <c r="Q195" s="86">
        <f>0.033+0.008+0.015+0.014+0.004+0.0054+0.0161-0.0296+0.0032+0.0054-0.0441+0.0161+0.0013</f>
        <v>0.047800000000000016</v>
      </c>
      <c r="R195" s="47">
        <f t="shared" si="36"/>
        <v>1.1468</v>
      </c>
      <c r="S195" s="12">
        <v>0</v>
      </c>
      <c r="T195" s="12">
        <v>0</v>
      </c>
      <c r="U195" s="12">
        <f t="shared" si="41"/>
        <v>1.1468</v>
      </c>
      <c r="V195" s="12">
        <v>0</v>
      </c>
      <c r="W195" s="14">
        <f>1.05*2.5</f>
        <v>2.625</v>
      </c>
      <c r="X195" s="13">
        <f t="shared" si="39"/>
        <v>1.4782</v>
      </c>
      <c r="Y195" s="47">
        <f t="shared" si="42"/>
        <v>1.4782</v>
      </c>
      <c r="Z195" s="12" t="s">
        <v>24</v>
      </c>
    </row>
    <row r="196" spans="1:26" s="1" customFormat="1" ht="11.25">
      <c r="A196" s="134"/>
      <c r="B196" s="8" t="s">
        <v>43</v>
      </c>
      <c r="C196" s="94">
        <f>SUM(C11:C16)+C7+C8+C17+C20+C23+SUM(C26:C48)+80+12.6+65+12.6+32+10.3+103+32+50+16+25+20+50+50+16+25+20+26+32+6.3+2.5+16+16+26+20+6.3+6.3+32+40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+0.3-1.6+4</f>
        <v>2312.8999999999983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</v>
      </c>
      <c r="E196" s="9"/>
      <c r="F196" s="9"/>
      <c r="G196" s="9"/>
      <c r="H196" s="9"/>
      <c r="I196" s="9"/>
      <c r="J196" s="9"/>
      <c r="K196" s="44"/>
      <c r="L196" s="11"/>
      <c r="M196" s="10"/>
      <c r="N196" s="157"/>
      <c r="O196" s="8" t="s">
        <v>43</v>
      </c>
      <c r="P196" s="9">
        <f>C196</f>
        <v>2312.8999999999983</v>
      </c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119.1960618999999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825.9900618999997</v>
      </c>
      <c r="S196" s="9"/>
      <c r="T196" s="9"/>
      <c r="U196" s="9"/>
      <c r="V196" s="9"/>
      <c r="W196" s="9"/>
      <c r="X196" s="9"/>
      <c r="Y196" s="44">
        <f>Y7+Y8+Y11+Y12+Y13+Y14+Y15+Y16+Y17+Y20+Y23+Y26+Y27+Y28+Y29+Y30+Y31+Y32+Y33+Y34+Y35+Y36+Y37+Y38+Y39+Y40+Y41+Y42+Y43+Y44+Y45+Y46+Y47+Y48+Y49+Y52+Y54+Y53+Y56+Y60+Y63+Y66+Y69+Y70+Y73+Y74+Y75+Y76+Y79+Y82+Y83+Y84+Y87+Y88+Y89+Y90+Y91+Y92+Y93+Y94+Y97+Y98+Y99+Y100+Y101+Y104+Y105+Y106+Y107+Y110+Y113+Y114+Y117+Y120+Y121+Y124+Y125+Y128+Y129+Y130+Y133+Y134+Y135+Y136+Y137+Y138+Y139+Y140+Y141+Y142+Y143+Y144+Y145+Y146+Y147+Y148+Y149+Y151+Y150+Y152+Y153+Y154+Y155+Y156+Y157+Y158+Y159+Y160+Y161+Y162+Y163+Y164+Y165+Y166+Y167+Y168+Y169+Y170+Y171+Y172+Y173+Y174+Y175+Y176+Y177+Y178+Y179+Y180+Y181+Y182+Y183+Y184+Y185+Y186+Y187+Y188+Y189+Y190+Y191+Y192+Y193+Y194+Y195+Y57+Y55</f>
        <v>466.1942241000001</v>
      </c>
      <c r="Z196" s="8"/>
    </row>
    <row r="197" spans="1:26" s="1" customFormat="1" ht="11.25">
      <c r="A197" s="135"/>
      <c r="B197" s="8" t="s">
        <v>13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K53+K55+K63+K75+K106+K139+K141+K56+K57+K13+K125</f>
        <v>-23.951</v>
      </c>
      <c r="L197" s="11"/>
      <c r="M197" s="10"/>
      <c r="N197" s="158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Y53+Y55+Y63+Y75+Y106+Y139+Y141+Y57+Y56+Y13+Y125</f>
        <v>-58.772081</v>
      </c>
      <c r="Z197" s="8"/>
    </row>
    <row r="198" spans="1:26" s="1" customFormat="1" ht="11.25">
      <c r="A198" s="136"/>
      <c r="B198" s="8" t="s">
        <v>14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+K162</f>
        <v>555.476</v>
      </c>
      <c r="L198" s="11"/>
      <c r="M198" s="10"/>
      <c r="N198" s="159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+Y162</f>
        <v>500.718114</v>
      </c>
      <c r="Z198" s="8"/>
    </row>
    <row r="199" spans="1:17" s="1" customFormat="1" ht="11.25">
      <c r="A199" s="74"/>
      <c r="C199" s="74"/>
      <c r="Q199" s="46"/>
    </row>
    <row r="200" spans="1:25" s="1" customFormat="1" ht="11.25">
      <c r="A200" s="74"/>
      <c r="C200" s="74"/>
      <c r="K200" s="103"/>
      <c r="Q200" s="46"/>
      <c r="Y200" s="103">
        <f>Y13+Y53+Y55+Y56+Y57+Y63+Y75+Y106+Y125+Y139+Y141</f>
        <v>-58.77208099999999</v>
      </c>
    </row>
    <row r="201" spans="1:25" s="1" customFormat="1" ht="15">
      <c r="A201" s="74"/>
      <c r="C201" s="74"/>
      <c r="E201" s="103"/>
      <c r="F201" s="46"/>
      <c r="K201" s="103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198"/>
  <mergeCells count="161"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80" t="s">
        <v>226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s="56" customFormat="1" ht="15" customHeight="1">
      <c r="A2" s="181" t="s">
        <v>1</v>
      </c>
      <c r="B2" s="184" t="s">
        <v>2</v>
      </c>
      <c r="C2" s="185"/>
      <c r="D2" s="55"/>
      <c r="E2" s="55"/>
      <c r="F2" s="55"/>
      <c r="G2" s="55"/>
      <c r="H2" s="55"/>
      <c r="I2" s="55"/>
      <c r="J2" s="190" t="s">
        <v>61</v>
      </c>
    </row>
    <row r="3" spans="1:10" s="56" customFormat="1" ht="15" customHeight="1">
      <c r="A3" s="182"/>
      <c r="B3" s="186"/>
      <c r="C3" s="187"/>
      <c r="D3" s="57"/>
      <c r="E3" s="57"/>
      <c r="F3" s="57"/>
      <c r="G3" s="57"/>
      <c r="H3" s="57"/>
      <c r="I3" s="57"/>
      <c r="J3" s="191"/>
    </row>
    <row r="4" spans="1:10" s="56" customFormat="1" ht="194.25" customHeight="1">
      <c r="A4" s="183"/>
      <c r="B4" s="188"/>
      <c r="C4" s="189"/>
      <c r="D4" s="58"/>
      <c r="E4" s="58"/>
      <c r="F4" s="58"/>
      <c r="G4" s="58"/>
      <c r="H4" s="58"/>
      <c r="I4" s="58"/>
      <c r="J4" s="192"/>
    </row>
    <row r="5" spans="1:10" s="59" customFormat="1" ht="15" customHeight="1">
      <c r="A5" s="193" t="s">
        <v>62</v>
      </c>
      <c r="B5" s="194"/>
      <c r="C5" s="194"/>
      <c r="D5" s="194"/>
      <c r="E5" s="194"/>
      <c r="F5" s="194"/>
      <c r="G5" s="194"/>
      <c r="H5" s="194"/>
      <c r="I5" s="194"/>
      <c r="J5" s="195"/>
    </row>
    <row r="6" spans="1:10" s="59" customFormat="1" ht="15">
      <c r="A6" s="18">
        <v>1</v>
      </c>
      <c r="B6" s="34" t="s">
        <v>214</v>
      </c>
      <c r="C6" s="63" t="s">
        <v>47</v>
      </c>
      <c r="D6" s="64">
        <v>34.57</v>
      </c>
      <c r="E6" s="65">
        <v>0</v>
      </c>
      <c r="F6" s="65">
        <v>0</v>
      </c>
      <c r="G6" s="64">
        <f aca="true" t="shared" si="0" ref="G6:G20">D6-E6</f>
        <v>34.57</v>
      </c>
      <c r="H6" s="65">
        <v>0</v>
      </c>
      <c r="I6" s="66">
        <f>1.05*25</f>
        <v>26.25</v>
      </c>
      <c r="J6" s="90">
        <f>брянск!K53</f>
        <v>-0.9329999999999998</v>
      </c>
    </row>
    <row r="7" spans="1:10" s="59" customFormat="1" ht="15">
      <c r="A7" s="18">
        <v>2</v>
      </c>
      <c r="B7" s="34" t="s">
        <v>215</v>
      </c>
      <c r="C7" s="63" t="s">
        <v>30</v>
      </c>
      <c r="D7" s="64">
        <v>25.56</v>
      </c>
      <c r="E7" s="65">
        <v>1.5</v>
      </c>
      <c r="F7" s="65" t="s">
        <v>59</v>
      </c>
      <c r="G7" s="64">
        <f t="shared" si="0"/>
        <v>24.06</v>
      </c>
      <c r="H7" s="65">
        <v>0</v>
      </c>
      <c r="I7" s="66">
        <f>1.05*16</f>
        <v>16.8</v>
      </c>
      <c r="J7" s="90">
        <f>брянск!K55</f>
        <v>-2.370000000000001</v>
      </c>
    </row>
    <row r="8" spans="1:10" s="59" customFormat="1" ht="15">
      <c r="A8" s="65">
        <v>3</v>
      </c>
      <c r="B8" s="34" t="s">
        <v>216</v>
      </c>
      <c r="C8" s="63" t="s">
        <v>45</v>
      </c>
      <c r="D8" s="82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90">
        <f>брянск!K56</f>
        <v>-0.20500000000000007</v>
      </c>
    </row>
    <row r="9" spans="1:12" s="59" customFormat="1" ht="15">
      <c r="A9" s="112">
        <v>4</v>
      </c>
      <c r="B9" s="34" t="s">
        <v>74</v>
      </c>
      <c r="C9" s="63" t="s">
        <v>60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6">
        <f>брянск!K57</f>
        <v>-2.456000000000003</v>
      </c>
      <c r="K9" s="91"/>
      <c r="L9" s="91"/>
    </row>
    <row r="10" spans="1:12" s="59" customFormat="1" ht="15">
      <c r="A10" s="113"/>
      <c r="B10" s="67" t="s">
        <v>56</v>
      </c>
      <c r="C10" s="63" t="s">
        <v>60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7"/>
      <c r="K10" s="91"/>
      <c r="L10" s="91"/>
    </row>
    <row r="11" spans="1:12" s="59" customFormat="1" ht="15">
      <c r="A11" s="114"/>
      <c r="B11" s="67" t="s">
        <v>44</v>
      </c>
      <c r="C11" s="63" t="s">
        <v>60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8"/>
      <c r="K11" s="91"/>
      <c r="L11" s="91"/>
    </row>
    <row r="12" spans="1:10" s="59" customFormat="1" ht="15">
      <c r="A12" s="112">
        <v>5</v>
      </c>
      <c r="B12" s="34" t="s">
        <v>217</v>
      </c>
      <c r="C12" s="63" t="s">
        <v>31</v>
      </c>
      <c r="D12" s="64">
        <f>D13+D14</f>
        <v>36.72</v>
      </c>
      <c r="E12" s="65">
        <f>E13+E14</f>
        <v>8.9</v>
      </c>
      <c r="F12" s="65" t="s">
        <v>59</v>
      </c>
      <c r="G12" s="64">
        <f t="shared" si="0"/>
        <v>27.82</v>
      </c>
      <c r="H12" s="65">
        <v>0</v>
      </c>
      <c r="I12" s="66">
        <f>1.05*25</f>
        <v>26.25</v>
      </c>
      <c r="J12" s="196">
        <f>брянск!K63</f>
        <v>-2.164999999999999</v>
      </c>
    </row>
    <row r="13" spans="1:10" s="59" customFormat="1" ht="15">
      <c r="A13" s="113"/>
      <c r="B13" s="67" t="s">
        <v>56</v>
      </c>
      <c r="C13" s="63" t="s">
        <v>31</v>
      </c>
      <c r="D13" s="64">
        <v>8.85</v>
      </c>
      <c r="E13" s="65">
        <v>8.9</v>
      </c>
      <c r="F13" s="65" t="s">
        <v>59</v>
      </c>
      <c r="G13" s="64">
        <f t="shared" si="0"/>
        <v>-0.05000000000000071</v>
      </c>
      <c r="H13" s="65">
        <v>0</v>
      </c>
      <c r="I13" s="66">
        <f>1.05*25</f>
        <v>26.25</v>
      </c>
      <c r="J13" s="197"/>
    </row>
    <row r="14" spans="1:10" ht="15">
      <c r="A14" s="114"/>
      <c r="B14" s="67" t="s">
        <v>44</v>
      </c>
      <c r="C14" s="63" t="s">
        <v>31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8"/>
    </row>
    <row r="15" spans="1:10" ht="15">
      <c r="A15" s="18">
        <v>6</v>
      </c>
      <c r="B15" s="34" t="s">
        <v>218</v>
      </c>
      <c r="C15" s="63" t="s">
        <v>26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брянск!K75</f>
        <v>-3.430999999999999</v>
      </c>
    </row>
    <row r="16" spans="1:10" ht="15">
      <c r="A16" s="18">
        <v>7</v>
      </c>
      <c r="B16" s="34" t="str">
        <f>брянск!B13</f>
        <v>ПС 110/6 кВ Энергоремонт</v>
      </c>
      <c r="C16" s="63">
        <f>брянск!C13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брянск!K13</f>
        <v>-2.742</v>
      </c>
    </row>
    <row r="17" spans="1:10" ht="15">
      <c r="A17" s="18">
        <v>8</v>
      </c>
      <c r="B17" s="34" t="str">
        <f>брянск!B106</f>
        <v>ПС 110/6 кВ Западная</v>
      </c>
      <c r="C17" s="63" t="str">
        <f>брянск!C106</f>
        <v>10+10</v>
      </c>
      <c r="D17" s="64">
        <v>19.43</v>
      </c>
      <c r="E17" s="65">
        <v>0</v>
      </c>
      <c r="F17" s="65">
        <v>0</v>
      </c>
      <c r="G17" s="64">
        <f>D17-E17</f>
        <v>19.43</v>
      </c>
      <c r="H17" s="65">
        <v>0</v>
      </c>
      <c r="I17" s="66">
        <f>1.05*16</f>
        <v>16.8</v>
      </c>
      <c r="J17" s="90">
        <f>брянск!K106</f>
        <v>-2.0380000000000003</v>
      </c>
    </row>
    <row r="18" spans="1:10" ht="15">
      <c r="A18" s="18">
        <v>9</v>
      </c>
      <c r="B18" s="34" t="str">
        <f>брянск!B125</f>
        <v>ПС 110/35/6 кВ Сураж</v>
      </c>
      <c r="C18" s="63" t="str">
        <f>брянск!C125</f>
        <v>16+16</v>
      </c>
      <c r="D18" s="64"/>
      <c r="E18" s="65"/>
      <c r="F18" s="65"/>
      <c r="G18" s="64"/>
      <c r="H18" s="65"/>
      <c r="I18" s="66"/>
      <c r="J18" s="90">
        <f>брянск!K125</f>
        <v>-1.6579999999999977</v>
      </c>
    </row>
    <row r="19" spans="1:10" ht="15">
      <c r="A19" s="18">
        <v>10</v>
      </c>
      <c r="B19" s="68" t="s">
        <v>219</v>
      </c>
      <c r="C19" s="69" t="s">
        <v>46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</v>
      </c>
      <c r="J19" s="79">
        <f>брянск!K139</f>
        <v>-4.699</v>
      </c>
    </row>
    <row r="20" spans="1:10" ht="15">
      <c r="A20" s="18">
        <v>11</v>
      </c>
      <c r="B20" s="68" t="s">
        <v>220</v>
      </c>
      <c r="C20" s="69" t="s">
        <v>26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брянск!K141</f>
        <v>-1.2539999999999996</v>
      </c>
    </row>
    <row r="21" spans="1:10" ht="15">
      <c r="A21" s="178" t="s">
        <v>63</v>
      </c>
      <c r="B21" s="179"/>
      <c r="C21" s="83">
        <f>65+32+10.3+103+50+20+10+20+32+16.3+20</f>
        <v>378.6</v>
      </c>
      <c r="D21" s="84"/>
      <c r="E21" s="61"/>
      <c r="F21" s="62"/>
      <c r="G21" s="62"/>
      <c r="H21" s="62"/>
      <c r="I21" s="61"/>
      <c r="J21" s="95">
        <f>J6+J7+J8+J9+J12+J15+J16+J17+J18+J19+J20</f>
        <v>-23.951</v>
      </c>
    </row>
  </sheetData>
  <sheetProtection/>
  <mergeCells count="10">
    <mergeCell ref="A21:B21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1">
      <selection activeCell="L10" sqref="L10:L12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80" t="s">
        <v>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206" t="s">
        <v>1</v>
      </c>
      <c r="B2" s="209" t="s">
        <v>2</v>
      </c>
      <c r="C2" s="210" t="s">
        <v>17</v>
      </c>
      <c r="D2" s="211"/>
      <c r="E2" s="211"/>
      <c r="F2" s="211"/>
      <c r="G2" s="211"/>
      <c r="H2" s="211"/>
      <c r="I2" s="211"/>
      <c r="J2" s="211"/>
      <c r="K2" s="211"/>
      <c r="L2" s="212"/>
      <c r="M2" s="152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207"/>
      <c r="B3" s="209"/>
      <c r="C3" s="209" t="s">
        <v>19</v>
      </c>
      <c r="D3" s="209" t="s">
        <v>20</v>
      </c>
      <c r="E3" s="209" t="s">
        <v>21</v>
      </c>
      <c r="F3" s="209" t="s">
        <v>22</v>
      </c>
      <c r="G3" s="209"/>
      <c r="H3" s="209" t="s">
        <v>23</v>
      </c>
      <c r="I3" s="209" t="s">
        <v>8</v>
      </c>
      <c r="J3" s="209" t="s">
        <v>9</v>
      </c>
      <c r="K3" s="209" t="s">
        <v>65</v>
      </c>
      <c r="L3" s="213" t="s">
        <v>66</v>
      </c>
      <c r="M3" s="168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208"/>
      <c r="B4" s="209"/>
      <c r="C4" s="209"/>
      <c r="D4" s="209"/>
      <c r="E4" s="209"/>
      <c r="F4" s="75" t="s">
        <v>10</v>
      </c>
      <c r="G4" s="75" t="s">
        <v>11</v>
      </c>
      <c r="H4" s="209"/>
      <c r="I4" s="209"/>
      <c r="J4" s="209"/>
      <c r="K4" s="209"/>
      <c r="L4" s="214"/>
      <c r="M4" s="169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199" t="s">
        <v>62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76"/>
      <c r="M6" s="76"/>
      <c r="N6" s="76"/>
    </row>
    <row r="7" spans="1:256" s="60" customFormat="1" ht="15">
      <c r="A7" s="18">
        <v>1</v>
      </c>
      <c r="B7" s="34" t="s">
        <v>214</v>
      </c>
      <c r="C7" s="63" t="s">
        <v>47</v>
      </c>
      <c r="D7" s="63">
        <v>3.182</v>
      </c>
      <c r="E7" s="79" t="e">
        <f>D7+#REF!</f>
        <v>#REF!</v>
      </c>
      <c r="F7" s="65">
        <v>0</v>
      </c>
      <c r="G7" s="65">
        <v>0</v>
      </c>
      <c r="H7" s="64" t="e">
        <f aca="true" t="shared" si="0" ref="H7:H21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10">
        <f>брянск!Y53</f>
        <v>-6.120999999999995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60" customFormat="1" ht="15.75" customHeight="1">
      <c r="A8" s="18">
        <v>2</v>
      </c>
      <c r="B8" s="34" t="s">
        <v>215</v>
      </c>
      <c r="C8" s="63" t="s">
        <v>30</v>
      </c>
      <c r="D8" s="63">
        <v>0.806</v>
      </c>
      <c r="E8" s="79" t="e">
        <f>D8+#REF!</f>
        <v>#REF!</v>
      </c>
      <c r="F8" s="65">
        <v>1.5</v>
      </c>
      <c r="G8" s="65" t="s">
        <v>59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110">
        <f>брянск!Y55</f>
        <v>-11.142100000000003</v>
      </c>
      <c r="M8" s="18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s="60" customFormat="1" ht="15">
      <c r="A9" s="65">
        <v>3</v>
      </c>
      <c r="B9" s="34" t="s">
        <v>221</v>
      </c>
      <c r="C9" s="63" t="s">
        <v>45</v>
      </c>
      <c r="D9" s="81">
        <f>0.412+0.096+0.016</f>
        <v>0.524</v>
      </c>
      <c r="E9" s="82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2" t="e">
        <f>J9-H9-I9</f>
        <v>#REF!</v>
      </c>
      <c r="L9" s="110">
        <f>брянск!Y56</f>
        <v>-2.9723829999999998</v>
      </c>
      <c r="M9" s="65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s="60" customFormat="1" ht="15">
      <c r="A10" s="112">
        <v>4</v>
      </c>
      <c r="B10" s="34" t="s">
        <v>222</v>
      </c>
      <c r="C10" s="63" t="s">
        <v>60</v>
      </c>
      <c r="D10" s="81">
        <v>3.226</v>
      </c>
      <c r="E10" s="82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200">
        <f>брянск!Y57</f>
        <v>-14.657121000000004</v>
      </c>
      <c r="M10" s="203" t="s">
        <v>25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s="60" customFormat="1" ht="15">
      <c r="A11" s="113"/>
      <c r="B11" s="67" t="s">
        <v>56</v>
      </c>
      <c r="C11" s="63" t="s">
        <v>60</v>
      </c>
      <c r="D11" s="63"/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201"/>
      <c r="M11" s="204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s="60" customFormat="1" ht="15">
      <c r="A12" s="114"/>
      <c r="B12" s="67" t="s">
        <v>44</v>
      </c>
      <c r="C12" s="63" t="s">
        <v>60</v>
      </c>
      <c r="D12" s="81">
        <v>3.226</v>
      </c>
      <c r="E12" s="82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202"/>
      <c r="M12" s="20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60" customFormat="1" ht="15">
      <c r="A13" s="112">
        <v>5</v>
      </c>
      <c r="B13" s="34" t="s">
        <v>217</v>
      </c>
      <c r="C13" s="63" t="s">
        <v>31</v>
      </c>
      <c r="D13" s="63">
        <v>0</v>
      </c>
      <c r="E13" s="79">
        <v>36.72</v>
      </c>
      <c r="F13" s="65">
        <f>F14+F15</f>
        <v>8.9</v>
      </c>
      <c r="G13" s="65" t="s">
        <v>59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200">
        <f>брянск!Y63</f>
        <v>-2.8013770000000022</v>
      </c>
      <c r="M13" s="112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60" customFormat="1" ht="15">
      <c r="A14" s="113"/>
      <c r="B14" s="67" t="s">
        <v>56</v>
      </c>
      <c r="C14" s="63" t="s">
        <v>31</v>
      </c>
      <c r="D14" s="63"/>
      <c r="E14" s="79" t="e">
        <f>D14+#REF!</f>
        <v>#REF!</v>
      </c>
      <c r="F14" s="65">
        <v>8.9</v>
      </c>
      <c r="G14" s="65" t="s">
        <v>59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201"/>
      <c r="M14" s="113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s="60" customFormat="1" ht="15">
      <c r="A15" s="114"/>
      <c r="B15" s="67" t="s">
        <v>44</v>
      </c>
      <c r="C15" s="63" t="s">
        <v>31</v>
      </c>
      <c r="D15" s="63"/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202"/>
      <c r="M15" s="114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s="60" customFormat="1" ht="15">
      <c r="A16" s="18">
        <v>6</v>
      </c>
      <c r="B16" s="34" t="s">
        <v>218</v>
      </c>
      <c r="C16" s="63" t="s">
        <v>26</v>
      </c>
      <c r="D16" s="63">
        <v>0.457</v>
      </c>
      <c r="E16" s="79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110">
        <f>брянск!Y75</f>
        <v>-6.323599999999999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s="60" customFormat="1" ht="15">
      <c r="A17" s="65">
        <v>7</v>
      </c>
      <c r="B17" s="34" t="s">
        <v>223</v>
      </c>
      <c r="C17" s="63" t="s">
        <v>26</v>
      </c>
      <c r="D17" s="63">
        <v>1.472</v>
      </c>
      <c r="E17" s="82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110">
        <f>брянск!Y106</f>
        <v>-2.6661</v>
      </c>
      <c r="M17" s="65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s="60" customFormat="1" ht="15">
      <c r="A18" s="18">
        <v>8</v>
      </c>
      <c r="B18" s="34" t="str">
        <f>брянск!O125</f>
        <v>ПС 110/35/6 кВ Сураж</v>
      </c>
      <c r="C18" s="63" t="str">
        <f>брянск!P125</f>
        <v>16+16</v>
      </c>
      <c r="D18" s="63">
        <v>0.238</v>
      </c>
      <c r="E18" s="79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110">
        <f>брянск!Y125</f>
        <v>-1.6579999999999977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s="60" customFormat="1" ht="15">
      <c r="A19" s="18">
        <v>9</v>
      </c>
      <c r="B19" s="34" t="str">
        <f>брянск!O13</f>
        <v>ПС 110/6 кВ Энергоремонт</v>
      </c>
      <c r="C19" s="63">
        <f>брянск!P13</f>
        <v>10</v>
      </c>
      <c r="D19" s="63"/>
      <c r="E19" s="79"/>
      <c r="F19" s="65"/>
      <c r="G19" s="65"/>
      <c r="H19" s="64"/>
      <c r="I19" s="65"/>
      <c r="J19" s="66"/>
      <c r="K19" s="2"/>
      <c r="L19" s="110">
        <f>брянск!Y13</f>
        <v>-4.4774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s="60" customFormat="1" ht="15">
      <c r="A20" s="18">
        <v>10</v>
      </c>
      <c r="B20" s="68" t="s">
        <v>219</v>
      </c>
      <c r="C20" s="69" t="s">
        <v>46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1.05*6.3</f>
        <v>6.615</v>
      </c>
      <c r="K20" s="71" t="e">
        <f>J20-I20-H20</f>
        <v>#REF!</v>
      </c>
      <c r="L20" s="111">
        <f>брянск!Y139</f>
        <v>-4.699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s="60" customFormat="1" ht="15">
      <c r="A21" s="18">
        <v>11</v>
      </c>
      <c r="B21" s="68" t="s">
        <v>220</v>
      </c>
      <c r="C21" s="69" t="s">
        <v>26</v>
      </c>
      <c r="D21" s="69">
        <v>0</v>
      </c>
      <c r="E21" s="79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1.05*10</f>
        <v>10.5</v>
      </c>
      <c r="K21" s="71" t="e">
        <f>J21-I21-H21</f>
        <v>#REF!</v>
      </c>
      <c r="L21" s="111">
        <f>брянск!Y141</f>
        <v>-1.2539999999999996</v>
      </c>
      <c r="M21" s="18" t="s">
        <v>25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14" ht="15">
      <c r="A22" s="52"/>
      <c r="B22" s="77" t="s">
        <v>43</v>
      </c>
      <c r="C22" s="54">
        <f>65+32+10.3+103+50+20+20+32+10+16.3+20</f>
        <v>378.6</v>
      </c>
      <c r="D22" s="77"/>
      <c r="E22" s="78"/>
      <c r="F22" s="77"/>
      <c r="G22" s="77"/>
      <c r="H22" s="77"/>
      <c r="I22" s="77"/>
      <c r="J22" s="77"/>
      <c r="K22" s="77"/>
      <c r="L22" s="96">
        <f>L7+L8+L9+L10+L13+L16+L17+L18+L19+L20+L21</f>
        <v>-58.77208100000001</v>
      </c>
      <c r="M22" s="77"/>
      <c r="N22" s="76"/>
    </row>
    <row r="23" spans="1:13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6"/>
      <c r="M23" s="76"/>
    </row>
  </sheetData>
  <sheetProtection/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10:A12"/>
    <mergeCell ref="L10:L12"/>
    <mergeCell ref="M10:M12"/>
    <mergeCell ref="A13:A15"/>
    <mergeCell ref="L13:L15"/>
    <mergeCell ref="M13:M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2012-12-20T06:56:59Z</dcterms:modified>
  <cp:category/>
  <cp:version/>
  <cp:contentType/>
  <cp:contentStatus/>
</cp:coreProperties>
</file>