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1370" windowHeight="14565"/>
  </bookViews>
  <sheets>
    <sheet name="брянск" sheetId="9" r:id="rId1"/>
    <sheet name="Свод тек.деф.зима" sheetId="10" r:id="rId2"/>
    <sheet name="Свод.ожид.тек.зима" sheetId="11" r:id="rId3"/>
  </sheets>
  <definedNames>
    <definedName name="_xlnm._FilterDatabase" localSheetId="0" hidden="1">брянск!$A$6:$Z$6</definedName>
  </definedNames>
  <calcPr calcId="125725"/>
</workbook>
</file>

<file path=xl/calcChain.xml><?xml version="1.0" encoding="utf-8"?>
<calcChain xmlns="http://schemas.openxmlformats.org/spreadsheetml/2006/main">
  <c r="Q54" i="9"/>
  <c r="Q48"/>
  <c r="Q37"/>
  <c r="Q44"/>
  <c r="Q190"/>
  <c r="Q187"/>
  <c r="Q175"/>
  <c r="Q156"/>
  <c r="Q157"/>
  <c r="Q170"/>
  <c r="Q169"/>
  <c r="Q151"/>
  <c r="Q132"/>
  <c r="Q129"/>
  <c r="Q124"/>
  <c r="Q123"/>
  <c r="Q119"/>
  <c r="Q116"/>
  <c r="Q106"/>
  <c r="Q105"/>
  <c r="Q92"/>
  <c r="Q90"/>
  <c r="Q87"/>
  <c r="Q86"/>
  <c r="Q73"/>
  <c r="Q68"/>
  <c r="Q59"/>
  <c r="Q56"/>
  <c r="Q53"/>
  <c r="Q11"/>
  <c r="Q28"/>
  <c r="Q195"/>
  <c r="Q188"/>
  <c r="Q183"/>
  <c r="Q180"/>
  <c r="Q161"/>
  <c r="Q160"/>
  <c r="Q144"/>
  <c r="Q140"/>
  <c r="Q138"/>
  <c r="Q137"/>
  <c r="Q136"/>
  <c r="Q113"/>
  <c r="Q51"/>
  <c r="Q74"/>
  <c r="Q55"/>
  <c r="Q14" l="1"/>
  <c r="Q193" l="1"/>
  <c r="Q38"/>
  <c r="Q162"/>
  <c r="Q120"/>
  <c r="Q159"/>
  <c r="Q25"/>
  <c r="Q152"/>
  <c r="Q88"/>
  <c r="Q182"/>
  <c r="Q19"/>
  <c r="Q62"/>
  <c r="Q143"/>
  <c r="Q174"/>
  <c r="Q171"/>
  <c r="D88"/>
  <c r="W154"/>
  <c r="I154"/>
  <c r="Q167"/>
  <c r="C23" i="11" l="1"/>
  <c r="C22" i="10"/>
  <c r="C196" i="9" l="1"/>
  <c r="L19" i="11" l="1"/>
  <c r="C19"/>
  <c r="B19"/>
  <c r="C18"/>
  <c r="B18"/>
  <c r="L18"/>
  <c r="L16"/>
  <c r="P196" i="9"/>
  <c r="J21" i="10"/>
  <c r="J20"/>
  <c r="J19"/>
  <c r="J16"/>
  <c r="J15"/>
  <c r="J12"/>
  <c r="J9"/>
  <c r="J8"/>
  <c r="J7"/>
  <c r="J6"/>
  <c r="K197" i="9"/>
  <c r="J18" i="10"/>
  <c r="C18"/>
  <c r="B18"/>
  <c r="C17"/>
  <c r="J17"/>
  <c r="B17"/>
  <c r="C16"/>
  <c r="B16"/>
  <c r="Q13" i="9"/>
  <c r="I17" i="10"/>
  <c r="G17"/>
  <c r="E48" i="9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7"/>
  <c r="E12"/>
  <c r="E11"/>
  <c r="E10"/>
  <c r="E9"/>
  <c r="J22" i="10" l="1"/>
  <c r="S20" i="9" l="1"/>
  <c r="U20" s="1"/>
  <c r="T25"/>
  <c r="S25"/>
  <c r="W25" s="1"/>
  <c r="R25"/>
  <c r="T24"/>
  <c r="S24"/>
  <c r="U24" s="1"/>
  <c r="R24"/>
  <c r="T23"/>
  <c r="S23"/>
  <c r="U23" s="1"/>
  <c r="T22"/>
  <c r="S22"/>
  <c r="W22" s="1"/>
  <c r="X22" s="1"/>
  <c r="R22"/>
  <c r="T21"/>
  <c r="S21"/>
  <c r="U21" s="1"/>
  <c r="R21"/>
  <c r="T20"/>
  <c r="R20"/>
  <c r="T19"/>
  <c r="S19"/>
  <c r="W19" s="1"/>
  <c r="R19"/>
  <c r="T18"/>
  <c r="S18"/>
  <c r="U18" s="1"/>
  <c r="R18"/>
  <c r="T17"/>
  <c r="S17"/>
  <c r="U17" s="1"/>
  <c r="T8"/>
  <c r="S8"/>
  <c r="W8" s="1"/>
  <c r="X8" s="1"/>
  <c r="R8"/>
  <c r="T9"/>
  <c r="S9"/>
  <c r="W9" s="1"/>
  <c r="X9" s="1"/>
  <c r="R9"/>
  <c r="T10"/>
  <c r="S10"/>
  <c r="W10" s="1"/>
  <c r="X10" s="1"/>
  <c r="R10"/>
  <c r="T12"/>
  <c r="S12"/>
  <c r="U12" s="1"/>
  <c r="R12"/>
  <c r="T11"/>
  <c r="S11"/>
  <c r="U11" s="1"/>
  <c r="R11"/>
  <c r="T7"/>
  <c r="S7"/>
  <c r="U7" s="1"/>
  <c r="R7"/>
  <c r="T16"/>
  <c r="S16"/>
  <c r="U16" s="1"/>
  <c r="R16"/>
  <c r="T15"/>
  <c r="S15"/>
  <c r="U15" s="1"/>
  <c r="R15"/>
  <c r="T14"/>
  <c r="S14"/>
  <c r="U14" s="1"/>
  <c r="R14"/>
  <c r="T48"/>
  <c r="S48"/>
  <c r="U48" s="1"/>
  <c r="R48"/>
  <c r="T47"/>
  <c r="S47"/>
  <c r="U47" s="1"/>
  <c r="R47"/>
  <c r="T46"/>
  <c r="S46"/>
  <c r="U46" s="1"/>
  <c r="R46"/>
  <c r="T45"/>
  <c r="S45"/>
  <c r="U45" s="1"/>
  <c r="R45"/>
  <c r="T44"/>
  <c r="S44"/>
  <c r="U44" s="1"/>
  <c r="R44"/>
  <c r="T43"/>
  <c r="S43"/>
  <c r="U43" s="1"/>
  <c r="R43"/>
  <c r="T42"/>
  <c r="S42"/>
  <c r="U42" s="1"/>
  <c r="R42"/>
  <c r="T41"/>
  <c r="S41"/>
  <c r="U41" s="1"/>
  <c r="R41"/>
  <c r="T40"/>
  <c r="S40"/>
  <c r="U40" s="1"/>
  <c r="R40"/>
  <c r="T39"/>
  <c r="S39"/>
  <c r="U39" s="1"/>
  <c r="R39"/>
  <c r="T38"/>
  <c r="S38"/>
  <c r="U38" s="1"/>
  <c r="R38"/>
  <c r="T37"/>
  <c r="S37"/>
  <c r="U37" s="1"/>
  <c r="R37"/>
  <c r="T36"/>
  <c r="S36"/>
  <c r="U36" s="1"/>
  <c r="R36"/>
  <c r="T35"/>
  <c r="S35"/>
  <c r="U35" s="1"/>
  <c r="R35"/>
  <c r="T34"/>
  <c r="S34"/>
  <c r="U34" s="1"/>
  <c r="R34"/>
  <c r="T33"/>
  <c r="S33"/>
  <c r="U33" s="1"/>
  <c r="R33"/>
  <c r="T32"/>
  <c r="S32"/>
  <c r="U32" s="1"/>
  <c r="R32"/>
  <c r="T31"/>
  <c r="S31"/>
  <c r="U31" s="1"/>
  <c r="R31"/>
  <c r="T30"/>
  <c r="S30"/>
  <c r="U30" s="1"/>
  <c r="R30"/>
  <c r="T29"/>
  <c r="S29"/>
  <c r="U29" s="1"/>
  <c r="R29"/>
  <c r="T28"/>
  <c r="S28"/>
  <c r="U28" s="1"/>
  <c r="R28"/>
  <c r="T27"/>
  <c r="S27"/>
  <c r="U27" s="1"/>
  <c r="R27"/>
  <c r="T26"/>
  <c r="S26"/>
  <c r="U26" s="1"/>
  <c r="R26"/>
  <c r="G48"/>
  <c r="G47"/>
  <c r="G46"/>
  <c r="G45"/>
  <c r="G44"/>
  <c r="G43"/>
  <c r="G42"/>
  <c r="G41"/>
  <c r="G40"/>
  <c r="G39"/>
  <c r="G38"/>
  <c r="G37"/>
  <c r="G36"/>
  <c r="G35"/>
  <c r="G34"/>
  <c r="G33"/>
  <c r="I33"/>
  <c r="J33" s="1"/>
  <c r="K33" s="1"/>
  <c r="G32"/>
  <c r="G31"/>
  <c r="G30"/>
  <c r="I30"/>
  <c r="J30" s="1"/>
  <c r="K30" s="1"/>
  <c r="G28"/>
  <c r="G27"/>
  <c r="G26"/>
  <c r="G29"/>
  <c r="G14"/>
  <c r="G16"/>
  <c r="G15"/>
  <c r="I25"/>
  <c r="J25" s="1"/>
  <c r="I24"/>
  <c r="J24" s="1"/>
  <c r="I23"/>
  <c r="J23" s="1"/>
  <c r="I22"/>
  <c r="J22" s="1"/>
  <c r="I21"/>
  <c r="J21" s="1"/>
  <c r="I20"/>
  <c r="J20" s="1"/>
  <c r="I19"/>
  <c r="J19" s="1"/>
  <c r="I18"/>
  <c r="J18" s="1"/>
  <c r="I17"/>
  <c r="J17" s="1"/>
  <c r="W13"/>
  <c r="I13"/>
  <c r="U13"/>
  <c r="T13"/>
  <c r="G13"/>
  <c r="I10"/>
  <c r="J10" s="1"/>
  <c r="I9"/>
  <c r="J9" s="1"/>
  <c r="I8"/>
  <c r="J8" s="1"/>
  <c r="G7"/>
  <c r="J12"/>
  <c r="K12" s="1"/>
  <c r="I12"/>
  <c r="G12"/>
  <c r="X25" l="1"/>
  <c r="X19"/>
  <c r="W24"/>
  <c r="X24" s="1"/>
  <c r="W21"/>
  <c r="X21" s="1"/>
  <c r="W18"/>
  <c r="X18" s="1"/>
  <c r="W23"/>
  <c r="U25"/>
  <c r="W20"/>
  <c r="X20" s="1"/>
  <c r="Y20" s="1"/>
  <c r="U22"/>
  <c r="W17"/>
  <c r="U19"/>
  <c r="U8"/>
  <c r="U9"/>
  <c r="U10"/>
  <c r="W12"/>
  <c r="X12" s="1"/>
  <c r="Y12" s="1"/>
  <c r="W11"/>
  <c r="X11" s="1"/>
  <c r="Y11" s="1"/>
  <c r="W7"/>
  <c r="X7" s="1"/>
  <c r="Y7" s="1"/>
  <c r="W16"/>
  <c r="X16" s="1"/>
  <c r="Y16" s="1"/>
  <c r="W15"/>
  <c r="X15" s="1"/>
  <c r="Y15" s="1"/>
  <c r="W14"/>
  <c r="X14" s="1"/>
  <c r="Y14" s="1"/>
  <c r="W48"/>
  <c r="X48" s="1"/>
  <c r="Y48" s="1"/>
  <c r="W47"/>
  <c r="X47" s="1"/>
  <c r="Y47" s="1"/>
  <c r="W46"/>
  <c r="X46" s="1"/>
  <c r="Y46" s="1"/>
  <c r="W45"/>
  <c r="X45" s="1"/>
  <c r="Y45" s="1"/>
  <c r="W44"/>
  <c r="X44" s="1"/>
  <c r="Y44" s="1"/>
  <c r="W43"/>
  <c r="X43" s="1"/>
  <c r="Y43" s="1"/>
  <c r="W42"/>
  <c r="X42" s="1"/>
  <c r="Y42" s="1"/>
  <c r="W41"/>
  <c r="X41" s="1"/>
  <c r="Y41" s="1"/>
  <c r="W40"/>
  <c r="X40" s="1"/>
  <c r="Y40" s="1"/>
  <c r="W39"/>
  <c r="X39" s="1"/>
  <c r="Y39" s="1"/>
  <c r="W38"/>
  <c r="X38" s="1"/>
  <c r="Y38" s="1"/>
  <c r="W37"/>
  <c r="X37" s="1"/>
  <c r="Y37" s="1"/>
  <c r="W36"/>
  <c r="X36" s="1"/>
  <c r="Y36" s="1"/>
  <c r="W35"/>
  <c r="X35" s="1"/>
  <c r="Y35" s="1"/>
  <c r="W34"/>
  <c r="X34" s="1"/>
  <c r="Y34" s="1"/>
  <c r="W33"/>
  <c r="X33" s="1"/>
  <c r="Y33" s="1"/>
  <c r="W32"/>
  <c r="X32" s="1"/>
  <c r="Y32" s="1"/>
  <c r="W31"/>
  <c r="X31" s="1"/>
  <c r="Y31" s="1"/>
  <c r="W30"/>
  <c r="X30" s="1"/>
  <c r="Y30" s="1"/>
  <c r="W29"/>
  <c r="X29" s="1"/>
  <c r="Y29" s="1"/>
  <c r="W28"/>
  <c r="X28" s="1"/>
  <c r="Y28" s="1"/>
  <c r="W27"/>
  <c r="X27" s="1"/>
  <c r="Y27" s="1"/>
  <c r="W26"/>
  <c r="X26" s="1"/>
  <c r="Y26" s="1"/>
  <c r="I48"/>
  <c r="J48" s="1"/>
  <c r="K48" s="1"/>
  <c r="I47"/>
  <c r="J47" s="1"/>
  <c r="K47" s="1"/>
  <c r="I46"/>
  <c r="J46" s="1"/>
  <c r="K46" s="1"/>
  <c r="I45"/>
  <c r="J45" s="1"/>
  <c r="K45" s="1"/>
  <c r="I44"/>
  <c r="J44" s="1"/>
  <c r="K44" s="1"/>
  <c r="I43"/>
  <c r="J43" s="1"/>
  <c r="K43" s="1"/>
  <c r="I42"/>
  <c r="J42" s="1"/>
  <c r="K42" s="1"/>
  <c r="I41"/>
  <c r="J41" s="1"/>
  <c r="K41" s="1"/>
  <c r="I40"/>
  <c r="J40" s="1"/>
  <c r="K40" s="1"/>
  <c r="I39"/>
  <c r="J39" s="1"/>
  <c r="K39" s="1"/>
  <c r="I38"/>
  <c r="J38" s="1"/>
  <c r="K38" s="1"/>
  <c r="I37"/>
  <c r="J37" s="1"/>
  <c r="K37" s="1"/>
  <c r="I36"/>
  <c r="J36" s="1"/>
  <c r="K36" s="1"/>
  <c r="I35"/>
  <c r="J35" s="1"/>
  <c r="K35" s="1"/>
  <c r="I34"/>
  <c r="J34" s="1"/>
  <c r="K34" s="1"/>
  <c r="I32"/>
  <c r="J32" s="1"/>
  <c r="K32" s="1"/>
  <c r="I31"/>
  <c r="J31" s="1"/>
  <c r="K31" s="1"/>
  <c r="I28"/>
  <c r="J28" s="1"/>
  <c r="K28" s="1"/>
  <c r="I27"/>
  <c r="J27" s="1"/>
  <c r="K27" s="1"/>
  <c r="I26"/>
  <c r="J26" s="1"/>
  <c r="K26" s="1"/>
  <c r="I29"/>
  <c r="J29" s="1"/>
  <c r="K29" s="1"/>
  <c r="I14"/>
  <c r="J14" s="1"/>
  <c r="K14" s="1"/>
  <c r="I16"/>
  <c r="J16" s="1"/>
  <c r="K16" s="1"/>
  <c r="I15"/>
  <c r="J15" s="1"/>
  <c r="K15" s="1"/>
  <c r="G23"/>
  <c r="G24"/>
  <c r="G25"/>
  <c r="G20"/>
  <c r="G21"/>
  <c r="G22"/>
  <c r="G17"/>
  <c r="G18"/>
  <c r="G19"/>
  <c r="J13"/>
  <c r="K13" s="1"/>
  <c r="G10"/>
  <c r="G9"/>
  <c r="G8"/>
  <c r="I7"/>
  <c r="J7" s="1"/>
  <c r="K7" s="1"/>
  <c r="I11" l="1"/>
  <c r="J11" s="1"/>
  <c r="G11"/>
  <c r="D63"/>
  <c r="Q12" l="1"/>
  <c r="Q46"/>
  <c r="Q36"/>
  <c r="Q34"/>
  <c r="Q33"/>
  <c r="Q45"/>
  <c r="Q10"/>
  <c r="Q43"/>
  <c r="Q31"/>
  <c r="Q29"/>
  <c r="Q42"/>
  <c r="Q16"/>
  <c r="Q15"/>
  <c r="Q194"/>
  <c r="Q192"/>
  <c r="Q191"/>
  <c r="Q189"/>
  <c r="Q186"/>
  <c r="Q185"/>
  <c r="Q184"/>
  <c r="Q181"/>
  <c r="Q179"/>
  <c r="Q178"/>
  <c r="Q176"/>
  <c r="Q172"/>
  <c r="Q168"/>
  <c r="Q166"/>
  <c r="Q165"/>
  <c r="Q164"/>
  <c r="Q155"/>
  <c r="Q154"/>
  <c r="Q153"/>
  <c r="Q150"/>
  <c r="Q148"/>
  <c r="Q146"/>
  <c r="Q147"/>
  <c r="Q145"/>
  <c r="Q142"/>
  <c r="Q135"/>
  <c r="Q128"/>
  <c r="Q112"/>
  <c r="Q109"/>
  <c r="Q103"/>
  <c r="Q104"/>
  <c r="Q100"/>
  <c r="Q98"/>
  <c r="Q96"/>
  <c r="Q82"/>
  <c r="Q78"/>
  <c r="Q65"/>
  <c r="Q26"/>
  <c r="Q7"/>
  <c r="Q41"/>
  <c r="W87"/>
  <c r="I87"/>
  <c r="Q91" l="1"/>
  <c r="Q75"/>
  <c r="Q52"/>
  <c r="Q35"/>
  <c r="Q39"/>
  <c r="Q22"/>
  <c r="Q81"/>
  <c r="Q17"/>
  <c r="R17" s="1"/>
  <c r="X17" s="1"/>
  <c r="Y17" s="1"/>
  <c r="Q69"/>
  <c r="Q66"/>
  <c r="Q60"/>
  <c r="Q89"/>
  <c r="Q83"/>
  <c r="Q177"/>
  <c r="Q93" l="1"/>
  <c r="Q134"/>
  <c r="Q32" l="1"/>
  <c r="Q20"/>
  <c r="W132"/>
  <c r="W131"/>
  <c r="W130"/>
  <c r="W119"/>
  <c r="W118"/>
  <c r="W117"/>
  <c r="W116"/>
  <c r="W115"/>
  <c r="W114"/>
  <c r="W112"/>
  <c r="W111"/>
  <c r="W110"/>
  <c r="W109"/>
  <c r="W108"/>
  <c r="W107"/>
  <c r="W103"/>
  <c r="W102"/>
  <c r="W101"/>
  <c r="I131"/>
  <c r="I132"/>
  <c r="I130"/>
  <c r="I119"/>
  <c r="I118"/>
  <c r="I117"/>
  <c r="I116"/>
  <c r="I115"/>
  <c r="I114"/>
  <c r="I112"/>
  <c r="I111"/>
  <c r="I110"/>
  <c r="I109"/>
  <c r="I108"/>
  <c r="I107"/>
  <c r="I103"/>
  <c r="I102"/>
  <c r="I101"/>
  <c r="W123"/>
  <c r="W122"/>
  <c r="W121"/>
  <c r="I123"/>
  <c r="I122"/>
  <c r="I121"/>
  <c r="W127"/>
  <c r="W126"/>
  <c r="I127"/>
  <c r="I126"/>
  <c r="W125"/>
  <c r="I125"/>
  <c r="W83"/>
  <c r="I83"/>
  <c r="W73"/>
  <c r="I73"/>
  <c r="Q133"/>
  <c r="Q49"/>
  <c r="Q8"/>
  <c r="Q23" l="1"/>
  <c r="R23" s="1"/>
  <c r="X23" s="1"/>
  <c r="Y23" s="1"/>
  <c r="R64"/>
  <c r="R65"/>
  <c r="J9" i="11"/>
  <c r="D9"/>
  <c r="E9" s="1"/>
  <c r="H9" s="1"/>
  <c r="I11" i="10"/>
  <c r="G11"/>
  <c r="I10"/>
  <c r="G10"/>
  <c r="I9"/>
  <c r="E9"/>
  <c r="D9"/>
  <c r="I8"/>
  <c r="G8"/>
  <c r="D101" i="9"/>
  <c r="R63" l="1"/>
  <c r="G9" i="10"/>
  <c r="K9" i="11"/>
  <c r="D8" i="9" l="1"/>
  <c r="I90"/>
  <c r="I166"/>
  <c r="Q130"/>
  <c r="Q125"/>
  <c r="Q121"/>
  <c r="Q117"/>
  <c r="Q114"/>
  <c r="Q110"/>
  <c r="Q107"/>
  <c r="Q101"/>
  <c r="Q94"/>
  <c r="Q84"/>
  <c r="Q79"/>
  <c r="Q76"/>
  <c r="Q70"/>
  <c r="Q63"/>
  <c r="Q57"/>
  <c r="R52" l="1"/>
  <c r="J22" i="11"/>
  <c r="E22"/>
  <c r="H22" s="1"/>
  <c r="J21"/>
  <c r="E21"/>
  <c r="H21" s="1"/>
  <c r="J20"/>
  <c r="E20"/>
  <c r="H20" s="1"/>
  <c r="J18"/>
  <c r="E18"/>
  <c r="H18" s="1"/>
  <c r="J17"/>
  <c r="E17"/>
  <c r="H17" s="1"/>
  <c r="J16"/>
  <c r="E16"/>
  <c r="H16" s="1"/>
  <c r="J15"/>
  <c r="E15"/>
  <c r="H15" s="1"/>
  <c r="J14"/>
  <c r="E14"/>
  <c r="H14" s="1"/>
  <c r="J13"/>
  <c r="F13"/>
  <c r="H13" s="1"/>
  <c r="J12"/>
  <c r="E12"/>
  <c r="H12" s="1"/>
  <c r="J11"/>
  <c r="E11"/>
  <c r="H11" s="1"/>
  <c r="J10"/>
  <c r="F10"/>
  <c r="H10" s="1"/>
  <c r="J8"/>
  <c r="E8"/>
  <c r="H8" s="1"/>
  <c r="J7"/>
  <c r="E7"/>
  <c r="H7" s="1"/>
  <c r="I21" i="10"/>
  <c r="G21"/>
  <c r="I20"/>
  <c r="G20"/>
  <c r="I19"/>
  <c r="G19"/>
  <c r="I16"/>
  <c r="G16"/>
  <c r="I15"/>
  <c r="G15"/>
  <c r="I14"/>
  <c r="G14"/>
  <c r="I13"/>
  <c r="G13"/>
  <c r="I12"/>
  <c r="E12"/>
  <c r="D12"/>
  <c r="I7"/>
  <c r="G7"/>
  <c r="I6"/>
  <c r="G6"/>
  <c r="Q196" i="9"/>
  <c r="R13"/>
  <c r="X13" s="1"/>
  <c r="Y13" s="1"/>
  <c r="R50"/>
  <c r="R51"/>
  <c r="R53"/>
  <c r="R54"/>
  <c r="R55"/>
  <c r="R56"/>
  <c r="R58"/>
  <c r="R59"/>
  <c r="R61"/>
  <c r="R62"/>
  <c r="R67"/>
  <c r="R68"/>
  <c r="R69"/>
  <c r="R71"/>
  <c r="R72"/>
  <c r="R73"/>
  <c r="R74"/>
  <c r="R75"/>
  <c r="R77"/>
  <c r="R78"/>
  <c r="R80"/>
  <c r="R81"/>
  <c r="R82"/>
  <c r="R83"/>
  <c r="R85"/>
  <c r="R86"/>
  <c r="R87"/>
  <c r="R88"/>
  <c r="R89"/>
  <c r="R90"/>
  <c r="R91"/>
  <c r="R92"/>
  <c r="R93"/>
  <c r="R95"/>
  <c r="R96"/>
  <c r="R97"/>
  <c r="R98"/>
  <c r="R99"/>
  <c r="R100"/>
  <c r="R102"/>
  <c r="R103"/>
  <c r="R104"/>
  <c r="R105"/>
  <c r="R106"/>
  <c r="R108"/>
  <c r="R109"/>
  <c r="R111"/>
  <c r="R112"/>
  <c r="R113"/>
  <c r="R115"/>
  <c r="R116"/>
  <c r="R118"/>
  <c r="R119"/>
  <c r="R120"/>
  <c r="R122"/>
  <c r="R123"/>
  <c r="R124"/>
  <c r="R126"/>
  <c r="R127"/>
  <c r="R128"/>
  <c r="R129"/>
  <c r="R131"/>
  <c r="R132"/>
  <c r="R133"/>
  <c r="R134"/>
  <c r="R135"/>
  <c r="R136"/>
  <c r="R137"/>
  <c r="R138"/>
  <c r="R139"/>
  <c r="R140"/>
  <c r="R141"/>
  <c r="R142"/>
  <c r="R143"/>
  <c r="R144"/>
  <c r="R145"/>
  <c r="R146"/>
  <c r="R147"/>
  <c r="R148"/>
  <c r="R149"/>
  <c r="R150"/>
  <c r="R151"/>
  <c r="R152"/>
  <c r="R153"/>
  <c r="R154"/>
  <c r="R155"/>
  <c r="R156"/>
  <c r="R157"/>
  <c r="R158"/>
  <c r="R159"/>
  <c r="R160"/>
  <c r="R161"/>
  <c r="R162"/>
  <c r="R163"/>
  <c r="R164"/>
  <c r="R165"/>
  <c r="R166"/>
  <c r="R167"/>
  <c r="R168"/>
  <c r="R169"/>
  <c r="R170"/>
  <c r="R171"/>
  <c r="R172"/>
  <c r="R173"/>
  <c r="R174"/>
  <c r="R175"/>
  <c r="R176"/>
  <c r="R177"/>
  <c r="R178"/>
  <c r="R179"/>
  <c r="R180"/>
  <c r="R181"/>
  <c r="R182"/>
  <c r="R183"/>
  <c r="R184"/>
  <c r="R185"/>
  <c r="R186"/>
  <c r="R187"/>
  <c r="R188"/>
  <c r="R189"/>
  <c r="R190"/>
  <c r="R191"/>
  <c r="R192"/>
  <c r="R193"/>
  <c r="R194"/>
  <c r="R195"/>
  <c r="E49"/>
  <c r="E57"/>
  <c r="E60"/>
  <c r="E63"/>
  <c r="E66"/>
  <c r="E70"/>
  <c r="E76"/>
  <c r="E79"/>
  <c r="E84"/>
  <c r="E94"/>
  <c r="E101"/>
  <c r="E107"/>
  <c r="E110"/>
  <c r="E114"/>
  <c r="E117"/>
  <c r="E121"/>
  <c r="E130"/>
  <c r="R130" l="1"/>
  <c r="R101"/>
  <c r="R121"/>
  <c r="R125"/>
  <c r="R117"/>
  <c r="R114"/>
  <c r="R110"/>
  <c r="R107"/>
  <c r="R94"/>
  <c r="R84"/>
  <c r="R79"/>
  <c r="R76"/>
  <c r="R70"/>
  <c r="R66"/>
  <c r="R60"/>
  <c r="R57"/>
  <c r="R49"/>
  <c r="K12" i="11"/>
  <c r="K15"/>
  <c r="K22"/>
  <c r="K21"/>
  <c r="K20"/>
  <c r="K18"/>
  <c r="K17"/>
  <c r="K16"/>
  <c r="K14"/>
  <c r="K13"/>
  <c r="K11"/>
  <c r="K10"/>
  <c r="K8"/>
  <c r="K7"/>
  <c r="G12" i="10"/>
  <c r="D17" i="9"/>
  <c r="D20"/>
  <c r="D23"/>
  <c r="D49"/>
  <c r="G49" s="1"/>
  <c r="I49"/>
  <c r="S49"/>
  <c r="W49"/>
  <c r="G50"/>
  <c r="I50"/>
  <c r="J50" s="1"/>
  <c r="U50"/>
  <c r="W50"/>
  <c r="X50" s="1"/>
  <c r="G51"/>
  <c r="I51"/>
  <c r="J51"/>
  <c r="U51"/>
  <c r="W51"/>
  <c r="G52"/>
  <c r="I52"/>
  <c r="U52"/>
  <c r="W52"/>
  <c r="G53"/>
  <c r="I53"/>
  <c r="U53"/>
  <c r="X53" s="1"/>
  <c r="Y53" s="1"/>
  <c r="L7" i="11" s="1"/>
  <c r="W53" i="9"/>
  <c r="G54"/>
  <c r="I54"/>
  <c r="J54"/>
  <c r="K54" s="1"/>
  <c r="U54"/>
  <c r="W54"/>
  <c r="G55"/>
  <c r="I55"/>
  <c r="U55"/>
  <c r="W55"/>
  <c r="G56"/>
  <c r="I56"/>
  <c r="U56"/>
  <c r="W56"/>
  <c r="D57"/>
  <c r="I57"/>
  <c r="S57"/>
  <c r="W57"/>
  <c r="G58"/>
  <c r="I58"/>
  <c r="J58" s="1"/>
  <c r="U58"/>
  <c r="W58"/>
  <c r="X58"/>
  <c r="G59"/>
  <c r="I59"/>
  <c r="W59"/>
  <c r="D60"/>
  <c r="G60" s="1"/>
  <c r="I60"/>
  <c r="S60"/>
  <c r="W60"/>
  <c r="G61"/>
  <c r="I61"/>
  <c r="J61" s="1"/>
  <c r="U61"/>
  <c r="W61"/>
  <c r="X61"/>
  <c r="G62"/>
  <c r="I62"/>
  <c r="U62"/>
  <c r="W62"/>
  <c r="G63"/>
  <c r="J63" s="1"/>
  <c r="I63"/>
  <c r="U63"/>
  <c r="X63" s="1"/>
  <c r="W63"/>
  <c r="G64"/>
  <c r="I64"/>
  <c r="J64" s="1"/>
  <c r="U64"/>
  <c r="W64"/>
  <c r="X64"/>
  <c r="G65"/>
  <c r="I65"/>
  <c r="U65"/>
  <c r="W65"/>
  <c r="X65" s="1"/>
  <c r="D66"/>
  <c r="F66"/>
  <c r="G66"/>
  <c r="I66"/>
  <c r="S66"/>
  <c r="T66"/>
  <c r="W66"/>
  <c r="G67"/>
  <c r="I67"/>
  <c r="J67" s="1"/>
  <c r="U67"/>
  <c r="W67"/>
  <c r="X67" s="1"/>
  <c r="G68"/>
  <c r="I68"/>
  <c r="J68"/>
  <c r="U68"/>
  <c r="W68"/>
  <c r="G69"/>
  <c r="I69"/>
  <c r="U69"/>
  <c r="X69" s="1"/>
  <c r="Y69" s="1"/>
  <c r="W69"/>
  <c r="D70"/>
  <c r="G70" s="1"/>
  <c r="I70"/>
  <c r="S70"/>
  <c r="W70"/>
  <c r="G71"/>
  <c r="I71"/>
  <c r="J71" s="1"/>
  <c r="U71"/>
  <c r="W71"/>
  <c r="X71"/>
  <c r="I72"/>
  <c r="J72"/>
  <c r="W72"/>
  <c r="X72"/>
  <c r="G73"/>
  <c r="J73" s="1"/>
  <c r="K73" s="1"/>
  <c r="U73"/>
  <c r="X73" s="1"/>
  <c r="Y73" s="1"/>
  <c r="G74"/>
  <c r="I74"/>
  <c r="U74"/>
  <c r="W74"/>
  <c r="G75"/>
  <c r="I75"/>
  <c r="U75"/>
  <c r="X75" s="1"/>
  <c r="Y75" s="1"/>
  <c r="W75"/>
  <c r="D76"/>
  <c r="G76" s="1"/>
  <c r="I76"/>
  <c r="S76"/>
  <c r="W76"/>
  <c r="G77"/>
  <c r="I77"/>
  <c r="J77" s="1"/>
  <c r="U77"/>
  <c r="W77"/>
  <c r="X77"/>
  <c r="G78"/>
  <c r="I78"/>
  <c r="U78"/>
  <c r="W78"/>
  <c r="D79"/>
  <c r="G79" s="1"/>
  <c r="J79" s="1"/>
  <c r="I79"/>
  <c r="S79"/>
  <c r="W79"/>
  <c r="G80"/>
  <c r="I80"/>
  <c r="J80"/>
  <c r="U80"/>
  <c r="W80"/>
  <c r="X80" s="1"/>
  <c r="G81"/>
  <c r="I81"/>
  <c r="J81" s="1"/>
  <c r="U81"/>
  <c r="W81"/>
  <c r="G82"/>
  <c r="I82"/>
  <c r="J82"/>
  <c r="K82" s="1"/>
  <c r="U82"/>
  <c r="W82"/>
  <c r="G83"/>
  <c r="J83" s="1"/>
  <c r="K83" s="1"/>
  <c r="U83"/>
  <c r="X83" s="1"/>
  <c r="Y83" s="1"/>
  <c r="D84"/>
  <c r="G84" s="1"/>
  <c r="I84"/>
  <c r="S84"/>
  <c r="U84" s="1"/>
  <c r="W84"/>
  <c r="I85"/>
  <c r="J85" s="1"/>
  <c r="W85"/>
  <c r="X85" s="1"/>
  <c r="G86"/>
  <c r="I86"/>
  <c r="U86"/>
  <c r="W86"/>
  <c r="X86"/>
  <c r="G87"/>
  <c r="U87"/>
  <c r="G88"/>
  <c r="I88"/>
  <c r="J88"/>
  <c r="K88" s="1"/>
  <c r="U88"/>
  <c r="W88"/>
  <c r="G89"/>
  <c r="I89"/>
  <c r="U89"/>
  <c r="W89"/>
  <c r="G90"/>
  <c r="J90" s="1"/>
  <c r="K90" s="1"/>
  <c r="U90"/>
  <c r="W90"/>
  <c r="G91"/>
  <c r="I91"/>
  <c r="U91"/>
  <c r="W91"/>
  <c r="G92"/>
  <c r="I92"/>
  <c r="J92"/>
  <c r="K92" s="1"/>
  <c r="U92"/>
  <c r="W92"/>
  <c r="G93"/>
  <c r="I93"/>
  <c r="U93"/>
  <c r="W93"/>
  <c r="D94"/>
  <c r="G94" s="1"/>
  <c r="I94"/>
  <c r="S94"/>
  <c r="W94"/>
  <c r="G95"/>
  <c r="I95"/>
  <c r="J95" s="1"/>
  <c r="U95"/>
  <c r="W95"/>
  <c r="X95"/>
  <c r="G96"/>
  <c r="I96"/>
  <c r="U96"/>
  <c r="W96"/>
  <c r="G97"/>
  <c r="I97"/>
  <c r="U97"/>
  <c r="W97"/>
  <c r="X97"/>
  <c r="Y97" s="1"/>
  <c r="G98"/>
  <c r="I98"/>
  <c r="U98"/>
  <c r="W98"/>
  <c r="G99"/>
  <c r="I99"/>
  <c r="U99"/>
  <c r="W99"/>
  <c r="X99"/>
  <c r="Y99" s="1"/>
  <c r="G100"/>
  <c r="I100"/>
  <c r="U100"/>
  <c r="W100"/>
  <c r="F101"/>
  <c r="G101"/>
  <c r="S101"/>
  <c r="U101" s="1"/>
  <c r="T101"/>
  <c r="J102"/>
  <c r="X102"/>
  <c r="G103"/>
  <c r="J103" s="1"/>
  <c r="U103"/>
  <c r="X103" s="1"/>
  <c r="G104"/>
  <c r="I104"/>
  <c r="J104"/>
  <c r="K104" s="1"/>
  <c r="U104"/>
  <c r="W104"/>
  <c r="G105"/>
  <c r="I105"/>
  <c r="J105"/>
  <c r="K105" s="1"/>
  <c r="U105"/>
  <c r="W105"/>
  <c r="G106"/>
  <c r="I106"/>
  <c r="U106"/>
  <c r="W106"/>
  <c r="X106"/>
  <c r="Y106" s="1"/>
  <c r="L17" i="11" s="1"/>
  <c r="D107" i="9"/>
  <c r="F107"/>
  <c r="G107"/>
  <c r="J107" s="1"/>
  <c r="S107"/>
  <c r="T107"/>
  <c r="G108"/>
  <c r="J108"/>
  <c r="U108"/>
  <c r="X108"/>
  <c r="G109"/>
  <c r="J109" s="1"/>
  <c r="D110"/>
  <c r="F110"/>
  <c r="G110"/>
  <c r="J110" s="1"/>
  <c r="S110"/>
  <c r="U110" s="1"/>
  <c r="T110"/>
  <c r="G111"/>
  <c r="J111"/>
  <c r="U111"/>
  <c r="X111"/>
  <c r="G112"/>
  <c r="J112" s="1"/>
  <c r="U112"/>
  <c r="G113"/>
  <c r="I113"/>
  <c r="J113"/>
  <c r="K113" s="1"/>
  <c r="U113"/>
  <c r="W113"/>
  <c r="D114"/>
  <c r="F114"/>
  <c r="G114"/>
  <c r="J114" s="1"/>
  <c r="S114"/>
  <c r="T114"/>
  <c r="G115"/>
  <c r="J115"/>
  <c r="U115"/>
  <c r="X115"/>
  <c r="G116"/>
  <c r="J116" s="1"/>
  <c r="U116"/>
  <c r="D117"/>
  <c r="F117"/>
  <c r="G117"/>
  <c r="J117" s="1"/>
  <c r="S117"/>
  <c r="T117"/>
  <c r="G118"/>
  <c r="J118"/>
  <c r="U118"/>
  <c r="X118"/>
  <c r="G119"/>
  <c r="J119" s="1"/>
  <c r="U119"/>
  <c r="X119" s="1"/>
  <c r="G120"/>
  <c r="I120"/>
  <c r="U120"/>
  <c r="W120"/>
  <c r="D121"/>
  <c r="F121"/>
  <c r="G121"/>
  <c r="J121" s="1"/>
  <c r="S121"/>
  <c r="T121"/>
  <c r="U121"/>
  <c r="X121" s="1"/>
  <c r="G122"/>
  <c r="J122"/>
  <c r="U122"/>
  <c r="X122"/>
  <c r="G123"/>
  <c r="J123" s="1"/>
  <c r="U123"/>
  <c r="X123" s="1"/>
  <c r="G124"/>
  <c r="I124"/>
  <c r="U124"/>
  <c r="W124"/>
  <c r="X124"/>
  <c r="Y124" s="1"/>
  <c r="D125"/>
  <c r="G125" s="1"/>
  <c r="J125" s="1"/>
  <c r="F125"/>
  <c r="S125"/>
  <c r="T125"/>
  <c r="U125"/>
  <c r="X125" s="1"/>
  <c r="G126"/>
  <c r="J126"/>
  <c r="U126"/>
  <c r="X126"/>
  <c r="G127"/>
  <c r="J127" s="1"/>
  <c r="U127"/>
  <c r="X127" s="1"/>
  <c r="G128"/>
  <c r="I128"/>
  <c r="U128"/>
  <c r="X128" s="1"/>
  <c r="Y128" s="1"/>
  <c r="W128"/>
  <c r="G129"/>
  <c r="I129"/>
  <c r="J129"/>
  <c r="K129" s="1"/>
  <c r="U129"/>
  <c r="W129"/>
  <c r="D130"/>
  <c r="F130"/>
  <c r="G130"/>
  <c r="S130"/>
  <c r="T130"/>
  <c r="J131"/>
  <c r="X131"/>
  <c r="G132"/>
  <c r="J132" s="1"/>
  <c r="U132"/>
  <c r="G133"/>
  <c r="I133"/>
  <c r="J133"/>
  <c r="K133" s="1"/>
  <c r="U133"/>
  <c r="W133"/>
  <c r="X133" s="1"/>
  <c r="Y133" s="1"/>
  <c r="G134"/>
  <c r="I134"/>
  <c r="J134"/>
  <c r="K134" s="1"/>
  <c r="U134"/>
  <c r="W134"/>
  <c r="G135"/>
  <c r="I135"/>
  <c r="U135"/>
  <c r="W135"/>
  <c r="G136"/>
  <c r="I136"/>
  <c r="J136"/>
  <c r="K136" s="1"/>
  <c r="U136"/>
  <c r="W136"/>
  <c r="G137"/>
  <c r="I137"/>
  <c r="U137"/>
  <c r="W137"/>
  <c r="G138"/>
  <c r="I138"/>
  <c r="J138"/>
  <c r="K138" s="1"/>
  <c r="U138"/>
  <c r="W138"/>
  <c r="G139"/>
  <c r="I139"/>
  <c r="U139"/>
  <c r="W139"/>
  <c r="G140"/>
  <c r="I140"/>
  <c r="J140"/>
  <c r="K140" s="1"/>
  <c r="U140"/>
  <c r="W140"/>
  <c r="G141"/>
  <c r="I141"/>
  <c r="U141"/>
  <c r="W141"/>
  <c r="G142"/>
  <c r="I142"/>
  <c r="J142"/>
  <c r="K142" s="1"/>
  <c r="U142"/>
  <c r="W142"/>
  <c r="G143"/>
  <c r="I143"/>
  <c r="U143"/>
  <c r="W143"/>
  <c r="G144"/>
  <c r="I144"/>
  <c r="J144"/>
  <c r="K144" s="1"/>
  <c r="U144"/>
  <c r="W144"/>
  <c r="G145"/>
  <c r="I145"/>
  <c r="U145"/>
  <c r="W145"/>
  <c r="G146"/>
  <c r="I146"/>
  <c r="J146"/>
  <c r="K146" s="1"/>
  <c r="U146"/>
  <c r="W146"/>
  <c r="G147"/>
  <c r="I147"/>
  <c r="U147"/>
  <c r="W147"/>
  <c r="G148"/>
  <c r="I148"/>
  <c r="J148"/>
  <c r="K148" s="1"/>
  <c r="U148"/>
  <c r="W148"/>
  <c r="G149"/>
  <c r="I149"/>
  <c r="U149"/>
  <c r="W149"/>
  <c r="G150"/>
  <c r="I150"/>
  <c r="U150"/>
  <c r="W150"/>
  <c r="G151"/>
  <c r="I151"/>
  <c r="U151"/>
  <c r="W151"/>
  <c r="X151"/>
  <c r="Y151" s="1"/>
  <c r="G152"/>
  <c r="I152"/>
  <c r="U152"/>
  <c r="W152"/>
  <c r="G153"/>
  <c r="I153"/>
  <c r="U153"/>
  <c r="W153"/>
  <c r="G154"/>
  <c r="J154"/>
  <c r="K154" s="1"/>
  <c r="U154"/>
  <c r="G155"/>
  <c r="I155"/>
  <c r="U155"/>
  <c r="W155"/>
  <c r="G156"/>
  <c r="I156"/>
  <c r="J156"/>
  <c r="K156" s="1"/>
  <c r="U156"/>
  <c r="W156"/>
  <c r="G157"/>
  <c r="I157"/>
  <c r="U157"/>
  <c r="W157"/>
  <c r="G158"/>
  <c r="I158"/>
  <c r="J158"/>
  <c r="K158" s="1"/>
  <c r="U158"/>
  <c r="W158"/>
  <c r="G159"/>
  <c r="I159"/>
  <c r="U159"/>
  <c r="W159"/>
  <c r="G160"/>
  <c r="I160"/>
  <c r="J160"/>
  <c r="K160" s="1"/>
  <c r="U160"/>
  <c r="W160"/>
  <c r="G161"/>
  <c r="I161"/>
  <c r="U161"/>
  <c r="W161"/>
  <c r="G162"/>
  <c r="J162" s="1"/>
  <c r="K162" s="1"/>
  <c r="I162"/>
  <c r="U162"/>
  <c r="W162"/>
  <c r="G163"/>
  <c r="I163"/>
  <c r="U163"/>
  <c r="W163"/>
  <c r="G164"/>
  <c r="J164" s="1"/>
  <c r="K164" s="1"/>
  <c r="I164"/>
  <c r="U164"/>
  <c r="X164" s="1"/>
  <c r="Y164" s="1"/>
  <c r="W164"/>
  <c r="G165"/>
  <c r="I165"/>
  <c r="J165"/>
  <c r="K165" s="1"/>
  <c r="U165"/>
  <c r="W165"/>
  <c r="G166"/>
  <c r="J166" s="1"/>
  <c r="K166" s="1"/>
  <c r="U166"/>
  <c r="X166" s="1"/>
  <c r="Y166" s="1"/>
  <c r="W166"/>
  <c r="G167"/>
  <c r="I167"/>
  <c r="J167"/>
  <c r="K167" s="1"/>
  <c r="U167"/>
  <c r="W167"/>
  <c r="G168"/>
  <c r="I168"/>
  <c r="U168"/>
  <c r="W168"/>
  <c r="G169"/>
  <c r="I169"/>
  <c r="U169"/>
  <c r="W169"/>
  <c r="G170"/>
  <c r="I170"/>
  <c r="U170"/>
  <c r="W170"/>
  <c r="G171"/>
  <c r="I171"/>
  <c r="U171"/>
  <c r="W171"/>
  <c r="G172"/>
  <c r="I172"/>
  <c r="U172"/>
  <c r="W172"/>
  <c r="G173"/>
  <c r="I173"/>
  <c r="U173"/>
  <c r="W173"/>
  <c r="G174"/>
  <c r="I174"/>
  <c r="U174"/>
  <c r="W174"/>
  <c r="G175"/>
  <c r="I175"/>
  <c r="U175"/>
  <c r="W175"/>
  <c r="G176"/>
  <c r="I176"/>
  <c r="U176"/>
  <c r="W176"/>
  <c r="G177"/>
  <c r="I177"/>
  <c r="U177"/>
  <c r="W177"/>
  <c r="G178"/>
  <c r="I178"/>
  <c r="U178"/>
  <c r="W178"/>
  <c r="G179"/>
  <c r="I179"/>
  <c r="U179"/>
  <c r="W179"/>
  <c r="X179"/>
  <c r="Y179" s="1"/>
  <c r="G180"/>
  <c r="I180"/>
  <c r="U180"/>
  <c r="W180"/>
  <c r="G181"/>
  <c r="I181"/>
  <c r="U181"/>
  <c r="W181"/>
  <c r="G182"/>
  <c r="I182"/>
  <c r="U182"/>
  <c r="W182"/>
  <c r="G183"/>
  <c r="J183" s="1"/>
  <c r="K183" s="1"/>
  <c r="I183"/>
  <c r="U183"/>
  <c r="X183" s="1"/>
  <c r="Y183" s="1"/>
  <c r="W183"/>
  <c r="G184"/>
  <c r="I184"/>
  <c r="U184"/>
  <c r="W184"/>
  <c r="G185"/>
  <c r="J185" s="1"/>
  <c r="K185" s="1"/>
  <c r="I185"/>
  <c r="U185"/>
  <c r="X185" s="1"/>
  <c r="Y185" s="1"/>
  <c r="W185"/>
  <c r="G186"/>
  <c r="I186"/>
  <c r="U186"/>
  <c r="W186"/>
  <c r="G187"/>
  <c r="I187"/>
  <c r="U187"/>
  <c r="W187"/>
  <c r="G188"/>
  <c r="I188"/>
  <c r="U188"/>
  <c r="W188"/>
  <c r="G189"/>
  <c r="I189"/>
  <c r="U189"/>
  <c r="W189"/>
  <c r="G190"/>
  <c r="I190"/>
  <c r="U190"/>
  <c r="W190"/>
  <c r="G191"/>
  <c r="I191"/>
  <c r="U191"/>
  <c r="W191"/>
  <c r="G192"/>
  <c r="J192" s="1"/>
  <c r="K192" s="1"/>
  <c r="I192"/>
  <c r="U192"/>
  <c r="X192" s="1"/>
  <c r="Y192" s="1"/>
  <c r="W192"/>
  <c r="G193"/>
  <c r="J193" s="1"/>
  <c r="K193" s="1"/>
  <c r="I193"/>
  <c r="U193"/>
  <c r="X193" s="1"/>
  <c r="Y193" s="1"/>
  <c r="W193"/>
  <c r="G194"/>
  <c r="J194" s="1"/>
  <c r="K194" s="1"/>
  <c r="I194"/>
  <c r="U194"/>
  <c r="X194" s="1"/>
  <c r="Y194" s="1"/>
  <c r="W194"/>
  <c r="G195"/>
  <c r="J195" s="1"/>
  <c r="K195" s="1"/>
  <c r="I195"/>
  <c r="U195"/>
  <c r="W195"/>
  <c r="X163" l="1"/>
  <c r="Y163" s="1"/>
  <c r="J150"/>
  <c r="K150" s="1"/>
  <c r="X143"/>
  <c r="Y143" s="1"/>
  <c r="X141"/>
  <c r="Y141" s="1"/>
  <c r="L21" i="11" s="1"/>
  <c r="X139" i="9"/>
  <c r="Y139" s="1"/>
  <c r="L20" i="11" s="1"/>
  <c r="J106" i="9"/>
  <c r="K106" s="1"/>
  <c r="J100"/>
  <c r="K100" s="1"/>
  <c r="J98"/>
  <c r="K98" s="1"/>
  <c r="X93"/>
  <c r="Y93" s="1"/>
  <c r="X91"/>
  <c r="Y91" s="1"/>
  <c r="X89"/>
  <c r="Y89" s="1"/>
  <c r="J74"/>
  <c r="K74" s="1"/>
  <c r="J69"/>
  <c r="K69" s="1"/>
  <c r="J56"/>
  <c r="K56" s="1"/>
  <c r="J52"/>
  <c r="K52" s="1"/>
  <c r="X155"/>
  <c r="Y155" s="1"/>
  <c r="X147"/>
  <c r="Y147" s="1"/>
  <c r="X104"/>
  <c r="Y104" s="1"/>
  <c r="X182"/>
  <c r="Y182" s="1"/>
  <c r="X157"/>
  <c r="Y157" s="1"/>
  <c r="X153"/>
  <c r="Y153" s="1"/>
  <c r="X145"/>
  <c r="Y145" s="1"/>
  <c r="X135"/>
  <c r="Y135" s="1"/>
  <c r="X96"/>
  <c r="X62"/>
  <c r="X161"/>
  <c r="Y161" s="1"/>
  <c r="X137"/>
  <c r="Y137" s="1"/>
  <c r="X191"/>
  <c r="Y191" s="1"/>
  <c r="X184"/>
  <c r="Y184" s="1"/>
  <c r="X159"/>
  <c r="Y159" s="1"/>
  <c r="X120"/>
  <c r="Y120" s="1"/>
  <c r="X87"/>
  <c r="Y87" s="1"/>
  <c r="X78"/>
  <c r="J191"/>
  <c r="K191" s="1"/>
  <c r="X190"/>
  <c r="Y190" s="1"/>
  <c r="J189"/>
  <c r="K189" s="1"/>
  <c r="X188"/>
  <c r="Y188" s="1"/>
  <c r="J186"/>
  <c r="K186" s="1"/>
  <c r="J184"/>
  <c r="K184" s="1"/>
  <c r="J182"/>
  <c r="K182" s="1"/>
  <c r="X181"/>
  <c r="Y181" s="1"/>
  <c r="J181"/>
  <c r="K181" s="1"/>
  <c r="X180"/>
  <c r="Y180" s="1"/>
  <c r="J180"/>
  <c r="K180" s="1"/>
  <c r="J152"/>
  <c r="K152" s="1"/>
  <c r="X149"/>
  <c r="Y149" s="1"/>
  <c r="X105"/>
  <c r="Y105" s="1"/>
  <c r="X84"/>
  <c r="X55"/>
  <c r="Y55" s="1"/>
  <c r="J49"/>
  <c r="U130"/>
  <c r="U114"/>
  <c r="U107"/>
  <c r="X107" s="1"/>
  <c r="U76"/>
  <c r="X76" s="1"/>
  <c r="U66"/>
  <c r="U57"/>
  <c r="X57" s="1"/>
  <c r="U94"/>
  <c r="X94" s="1"/>
  <c r="Y94" s="1"/>
  <c r="U117"/>
  <c r="X117" s="1"/>
  <c r="U49"/>
  <c r="X49" s="1"/>
  <c r="J99"/>
  <c r="K99" s="1"/>
  <c r="J97"/>
  <c r="K97" s="1"/>
  <c r="J86"/>
  <c r="U79"/>
  <c r="X79" s="1"/>
  <c r="U70"/>
  <c r="X70" s="1"/>
  <c r="Y70" s="1"/>
  <c r="J59"/>
  <c r="J55"/>
  <c r="K55" s="1"/>
  <c r="J139"/>
  <c r="K139" s="1"/>
  <c r="J75"/>
  <c r="K75" s="1"/>
  <c r="J65"/>
  <c r="X158"/>
  <c r="Y158" s="1"/>
  <c r="J78"/>
  <c r="J93"/>
  <c r="K93" s="1"/>
  <c r="J53"/>
  <c r="K53" s="1"/>
  <c r="J190"/>
  <c r="K190" s="1"/>
  <c r="J179"/>
  <c r="K179" s="1"/>
  <c r="X173"/>
  <c r="Y173" s="1"/>
  <c r="J161"/>
  <c r="K161" s="1"/>
  <c r="J159"/>
  <c r="K159" s="1"/>
  <c r="J157"/>
  <c r="K157" s="1"/>
  <c r="J155"/>
  <c r="K155" s="1"/>
  <c r="J153"/>
  <c r="K153" s="1"/>
  <c r="J151"/>
  <c r="K151" s="1"/>
  <c r="J147"/>
  <c r="K147" s="1"/>
  <c r="J141"/>
  <c r="K141" s="1"/>
  <c r="J135"/>
  <c r="K135" s="1"/>
  <c r="J124"/>
  <c r="K124" s="1"/>
  <c r="J120"/>
  <c r="K120" s="1"/>
  <c r="J96"/>
  <c r="J91"/>
  <c r="K91" s="1"/>
  <c r="R196"/>
  <c r="J66"/>
  <c r="K66" s="1"/>
  <c r="U60"/>
  <c r="X60" s="1"/>
  <c r="Y60" s="1"/>
  <c r="J60"/>
  <c r="D196"/>
  <c r="X82"/>
  <c r="Y82" s="1"/>
  <c r="X98"/>
  <c r="Y98" s="1"/>
  <c r="X177"/>
  <c r="Y177" s="1"/>
  <c r="X100"/>
  <c r="Y100" s="1"/>
  <c r="X186"/>
  <c r="Y186" s="1"/>
  <c r="X138"/>
  <c r="Y138" s="1"/>
  <c r="X156"/>
  <c r="Y156" s="1"/>
  <c r="X150"/>
  <c r="Y150" s="1"/>
  <c r="X172"/>
  <c r="Y172" s="1"/>
  <c r="X113"/>
  <c r="Y113" s="1"/>
  <c r="X144"/>
  <c r="Y144" s="1"/>
  <c r="X178"/>
  <c r="Y178" s="1"/>
  <c r="J188"/>
  <c r="K188" s="1"/>
  <c r="X169"/>
  <c r="Y169" s="1"/>
  <c r="J149"/>
  <c r="K149" s="1"/>
  <c r="X148"/>
  <c r="Y148" s="1"/>
  <c r="X146"/>
  <c r="Y146" s="1"/>
  <c r="J145"/>
  <c r="K145" s="1"/>
  <c r="J143"/>
  <c r="K143" s="1"/>
  <c r="X140"/>
  <c r="Y140" s="1"/>
  <c r="J137"/>
  <c r="K137" s="1"/>
  <c r="X134"/>
  <c r="Y134" s="1"/>
  <c r="J130"/>
  <c r="J128"/>
  <c r="K128" s="1"/>
  <c r="J101"/>
  <c r="K101" s="1"/>
  <c r="J87"/>
  <c r="K87" s="1"/>
  <c r="K198" s="1"/>
  <c r="J62"/>
  <c r="X51"/>
  <c r="K20"/>
  <c r="K11"/>
  <c r="X170"/>
  <c r="Y170" s="1"/>
  <c r="J70"/>
  <c r="K70" s="1"/>
  <c r="J163"/>
  <c r="K163" s="1"/>
  <c r="J89"/>
  <c r="K89" s="1"/>
  <c r="G57"/>
  <c r="J57" s="1"/>
  <c r="X116"/>
  <c r="X68"/>
  <c r="X142"/>
  <c r="Y142" s="1"/>
  <c r="X114"/>
  <c r="X101"/>
  <c r="X189"/>
  <c r="Y189" s="1"/>
  <c r="X187"/>
  <c r="Y187" s="1"/>
  <c r="X176"/>
  <c r="Y176" s="1"/>
  <c r="X174"/>
  <c r="Y174" s="1"/>
  <c r="X171"/>
  <c r="Y171" s="1"/>
  <c r="X167"/>
  <c r="Y167" s="1"/>
  <c r="X165"/>
  <c r="Y165" s="1"/>
  <c r="X162"/>
  <c r="Y162" s="1"/>
  <c r="L22" i="11" s="1"/>
  <c r="X160" i="9"/>
  <c r="Y160" s="1"/>
  <c r="X154"/>
  <c r="Y154" s="1"/>
  <c r="X152"/>
  <c r="Y152" s="1"/>
  <c r="X132"/>
  <c r="X130"/>
  <c r="X129"/>
  <c r="Y129" s="1"/>
  <c r="X112"/>
  <c r="X92"/>
  <c r="Y92" s="1"/>
  <c r="X88"/>
  <c r="Y88" s="1"/>
  <c r="X81"/>
  <c r="X74"/>
  <c r="Y74" s="1"/>
  <c r="X54"/>
  <c r="Y54" s="1"/>
  <c r="X195"/>
  <c r="Y195" s="1"/>
  <c r="X110"/>
  <c r="Y101"/>
  <c r="J94"/>
  <c r="J84"/>
  <c r="J76"/>
  <c r="X66"/>
  <c r="Y125"/>
  <c r="Y121"/>
  <c r="Y117"/>
  <c r="Y84"/>
  <c r="Y76"/>
  <c r="Y63"/>
  <c r="L13" i="11" s="1"/>
  <c r="Y8" i="9"/>
  <c r="J187"/>
  <c r="K187" s="1"/>
  <c r="J178"/>
  <c r="K178" s="1"/>
  <c r="J177"/>
  <c r="K177" s="1"/>
  <c r="J176"/>
  <c r="K176" s="1"/>
  <c r="X175"/>
  <c r="Y175" s="1"/>
  <c r="J175"/>
  <c r="K175" s="1"/>
  <c r="J174"/>
  <c r="K174" s="1"/>
  <c r="J173"/>
  <c r="K173" s="1"/>
  <c r="J172"/>
  <c r="K172" s="1"/>
  <c r="J171"/>
  <c r="K171" s="1"/>
  <c r="J170"/>
  <c r="K170" s="1"/>
  <c r="J169"/>
  <c r="K169" s="1"/>
  <c r="X168"/>
  <c r="Y168" s="1"/>
  <c r="J168"/>
  <c r="K168" s="1"/>
  <c r="X136"/>
  <c r="Y136" s="1"/>
  <c r="X90"/>
  <c r="Y90" s="1"/>
  <c r="X56"/>
  <c r="Y56" s="1"/>
  <c r="X52"/>
  <c r="Y52" s="1"/>
  <c r="K130"/>
  <c r="K121"/>
  <c r="K114"/>
  <c r="K94"/>
  <c r="K79"/>
  <c r="K63"/>
  <c r="K60"/>
  <c r="K49"/>
  <c r="K23"/>
  <c r="K125"/>
  <c r="K117"/>
  <c r="K110"/>
  <c r="K107"/>
  <c r="K76"/>
  <c r="U109"/>
  <c r="X109" s="1"/>
  <c r="Y107" s="1"/>
  <c r="U59"/>
  <c r="X59" s="1"/>
  <c r="Y57" s="1"/>
  <c r="L10" i="11" s="1"/>
  <c r="L9" l="1"/>
  <c r="Y197" i="9"/>
  <c r="L8" i="11"/>
  <c r="K84" i="9"/>
  <c r="Y49"/>
  <c r="Y66"/>
  <c r="K17"/>
  <c r="K57"/>
  <c r="Y79"/>
  <c r="K8"/>
  <c r="Y110"/>
  <c r="Y130"/>
  <c r="Y114"/>
  <c r="Y198" l="1"/>
  <c r="L23" i="11"/>
</calcChain>
</file>

<file path=xl/sharedStrings.xml><?xml version="1.0" encoding="utf-8"?>
<sst xmlns="http://schemas.openxmlformats.org/spreadsheetml/2006/main" count="1173" uniqueCount="229">
  <si>
    <t>таблица 1</t>
  </si>
  <si>
    <t>№п/п</t>
  </si>
  <si>
    <t>Наименование объекта центра питания, класс напряжения</t>
  </si>
  <si>
    <t xml:space="preserve">Текущий дефицит </t>
  </si>
  <si>
    <t>Установленная мощность трансформаторов Sуст. с указанием их количества, шт/ МВА</t>
  </si>
  <si>
    <t>Суммарная полная мощность ЦП по результатам замеров максимума нагрузки Sмах , МВА</t>
  </si>
  <si>
    <t>Полная мощность, перераспределяемая в соответствии с ПТЭ, МВА за время</t>
  </si>
  <si>
    <t>Полная мощность с учётом перераспределения, МВА</t>
  </si>
  <si>
    <t xml:space="preserve">Ограничивающие факторы,               МВА </t>
  </si>
  <si>
    <t>Допустимая нагрузка расчётная в режиме n-1, МВА</t>
  </si>
  <si>
    <t>МВА</t>
  </si>
  <si>
    <t>Мин.</t>
  </si>
  <si>
    <t>1 сутки</t>
  </si>
  <si>
    <t>дефицит</t>
  </si>
  <si>
    <t>профицит</t>
  </si>
  <si>
    <t>таблица 2</t>
  </si>
  <si>
    <t>Примечание</t>
  </si>
  <si>
    <t>Ожидаемый дефицит /профицит</t>
  </si>
  <si>
    <t>Дефицит/профицит  ЦП, МВА</t>
  </si>
  <si>
    <t>Установленная мощность трансформаторов Sуст. с указанием их количества в перспективе при  условии выполнения  ТУ на ТП или других мероприятий по реконструкции  ЦП          шт/ МВА</t>
  </si>
  <si>
    <t xml:space="preserve"> Дополнительная мощность по выданным ТУ на ТП, МВА</t>
  </si>
  <si>
    <t>Ожидаемая нагрузка ЦП,                 МВА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</si>
  <si>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</si>
  <si>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>Полная мощность                с учётом перераспределения, МВА</t>
  </si>
  <si>
    <t>открыт</t>
  </si>
  <si>
    <t>закрыт</t>
  </si>
  <si>
    <t>10+10</t>
  </si>
  <si>
    <t>2,5+2,5</t>
  </si>
  <si>
    <t>1,6+1,6</t>
  </si>
  <si>
    <t>6,3+6,3</t>
  </si>
  <si>
    <t>16+16</t>
  </si>
  <si>
    <t>25+25</t>
  </si>
  <si>
    <t>1,6+1,8</t>
  </si>
  <si>
    <t>2,5+1,6</t>
  </si>
  <si>
    <t>4+4</t>
  </si>
  <si>
    <t>20+20</t>
  </si>
  <si>
    <t>4+2,5</t>
  </si>
  <si>
    <t>40+40</t>
  </si>
  <si>
    <t>10+16</t>
  </si>
  <si>
    <t>2,5+4</t>
  </si>
  <si>
    <t>16+10</t>
  </si>
  <si>
    <t>4+6,3</t>
  </si>
  <si>
    <t>2,5+3,2</t>
  </si>
  <si>
    <t>Итого:</t>
  </si>
  <si>
    <t>Ном. мощность НН, МВА</t>
  </si>
  <si>
    <t>6,3+4</t>
  </si>
  <si>
    <t>10+6,3</t>
  </si>
  <si>
    <t>1,6+4</t>
  </si>
  <si>
    <t>25+40</t>
  </si>
  <si>
    <t>16+25</t>
  </si>
  <si>
    <t>6,3+2,5</t>
  </si>
  <si>
    <t>4+4+3,2</t>
  </si>
  <si>
    <t>6,3+5,6+16</t>
  </si>
  <si>
    <t>16+16+16</t>
  </si>
  <si>
    <t>2,5+1</t>
  </si>
  <si>
    <t>3,2+6,3</t>
  </si>
  <si>
    <t>3 час</t>
  </si>
  <si>
    <t xml:space="preserve">Ном. мощность СН, МВА </t>
  </si>
  <si>
    <t>6 час</t>
  </si>
  <si>
    <t>40+31,5+40</t>
  </si>
  <si>
    <t>16+16+25+40</t>
  </si>
  <si>
    <t>12 час</t>
  </si>
  <si>
    <t>40+63</t>
  </si>
  <si>
    <t>Текущий дефицит , МВА</t>
  </si>
  <si>
    <t>Брянскэнерго</t>
  </si>
  <si>
    <t>Итого текущий дефицит (зима)</t>
  </si>
  <si>
    <t>Перечень закрытых центров питания ОАО "МРСК Центра"  по ожидаемым нагрузкам  с учетом подключения новых мощностей по технологическому присоединению и др.развития э/сетевого комплекса.</t>
  </si>
  <si>
    <t xml:space="preserve"> Пропускная способность ЦП, МВА</t>
  </si>
  <si>
    <t>Текущий дефицит/ профицит,         МВА</t>
  </si>
  <si>
    <t>ПС 110/10 кВ Лопандино</t>
  </si>
  <si>
    <t>ПС 110/35/6 кВ Аксинино</t>
  </si>
  <si>
    <t>ПС 110/10 кВ Аэропорт</t>
  </si>
  <si>
    <t>ПС 110/6 кВ Бежицкая</t>
  </si>
  <si>
    <t>ПС 110/6 кВ Водозабор</t>
  </si>
  <si>
    <t>ПС 110/6 кВ Городищенская</t>
  </si>
  <si>
    <t>ПС 110/10 кВ Добруньская</t>
  </si>
  <si>
    <t>ПС 110/35/6 кВ Дормашевская</t>
  </si>
  <si>
    <t>ПС 110/35/10 кВ Дубровская</t>
  </si>
  <si>
    <t>ПС 110/35/6 кВ Дятьковская</t>
  </si>
  <si>
    <t>ПС 110/35/10 кВ Жуковская</t>
  </si>
  <si>
    <t>ПС 110/6 кВ Заречная</t>
  </si>
  <si>
    <t>ПС 110/35/6 кВ Ивотская</t>
  </si>
  <si>
    <t>ПС 110/6 кВ Камвольная</t>
  </si>
  <si>
    <t>ПС 110/6 кВ Карачевская</t>
  </si>
  <si>
    <t>ПС 110/6 кВ Карачижская</t>
  </si>
  <si>
    <t>ПС 110/35/10 кВ Клетнянская</t>
  </si>
  <si>
    <t>ПС 110/35/10 кВ Комаричи</t>
  </si>
  <si>
    <t>ПС 110/10 кВ Летошники</t>
  </si>
  <si>
    <t>ПС 110/6 кВ Мамоновская</t>
  </si>
  <si>
    <t>ПС 110/35/10 кВ Марицкая</t>
  </si>
  <si>
    <t>ПС 110/6 кВ Мичуринская</t>
  </si>
  <si>
    <t>ПС 110/10 кВ Молотинская</t>
  </si>
  <si>
    <t>ПС 110/35/10 кВ Нерусса</t>
  </si>
  <si>
    <t>ПС 110/10 кВ Полпинская</t>
  </si>
  <si>
    <t>ПС 110/6 кВ Свенская</t>
  </si>
  <si>
    <t>ПС 110/6 кВ Советская</t>
  </si>
  <si>
    <t>ПС 110/6 кВ Сталелитейная</t>
  </si>
  <si>
    <t>ПС 110/10 кВ Тепличная</t>
  </si>
  <si>
    <t>ПС 110/6 кВ Урицкая</t>
  </si>
  <si>
    <t>ПС 110/10 кВ Хмелевская</t>
  </si>
  <si>
    <t>ПС 110/35/10 кВ Центральная</t>
  </si>
  <si>
    <t>ПС 110/6 кВ Энергоремонт</t>
  </si>
  <si>
    <t>ПС 110/6 кВ Южная</t>
  </si>
  <si>
    <t>ПС 35/10 кВ Алешинская</t>
  </si>
  <si>
    <t>ПС 35/10 кВ Алтуховская</t>
  </si>
  <si>
    <t>ПС 35/6 кВ Белобережская</t>
  </si>
  <si>
    <t>ПС 35/10 кВ Брасовская</t>
  </si>
  <si>
    <t>ПС 35/10 кВ Бульшевская</t>
  </si>
  <si>
    <t>ПС 35/6 кВ Бытошь</t>
  </si>
  <si>
    <t>ПС 35/6 кВ Вельяминовская</t>
  </si>
  <si>
    <t>ПС 35/6 кВ Ветьма</t>
  </si>
  <si>
    <t>ПС 35/6 кВ Володарская</t>
  </si>
  <si>
    <t>ПС 35/10 кВ Глодневская</t>
  </si>
  <si>
    <t>ПС 35/6 кВ Городская</t>
  </si>
  <si>
    <t>ПС 35/10 кВ Гришина Слобода</t>
  </si>
  <si>
    <t>ПС 35/10 кВ Доброводье</t>
  </si>
  <si>
    <t>ПС 35/10 кВ Домашово</t>
  </si>
  <si>
    <t>ПС 35/6 кВ Дроновская</t>
  </si>
  <si>
    <t>ПС 35/10 кВ Жирятинская</t>
  </si>
  <si>
    <t>ПС 35/10 кВ Игрицкая</t>
  </si>
  <si>
    <t>ПС 35/10 кВ Касиловская</t>
  </si>
  <si>
    <t>ПС 35/10 кВ Кокоревская</t>
  </si>
  <si>
    <t>ПС 35/10 кВ Косицкая</t>
  </si>
  <si>
    <t>ПС 35/10 кВ Крупец</t>
  </si>
  <si>
    <t>ПС 35/10 кВ Луна</t>
  </si>
  <si>
    <t>ПС 35/6 кВ Любохна</t>
  </si>
  <si>
    <t>ПС 35/10 кВ Мареевская</t>
  </si>
  <si>
    <t>ПС 35/6 кВ Малополпинская</t>
  </si>
  <si>
    <t>ПС 35/10 кВ Морачевская</t>
  </si>
  <si>
    <t>ПС 35/10 кВ Невдольск</t>
  </si>
  <si>
    <t>ПС 35/10 кВ Норинская</t>
  </si>
  <si>
    <t>ПС 35/6 кВ Пальцо</t>
  </si>
  <si>
    <t>ПС 35/6 кВ Победа</t>
  </si>
  <si>
    <t>ПС 35/10 кВ Погребы</t>
  </si>
  <si>
    <t>ПС 35/10 кВ Привольская</t>
  </si>
  <si>
    <t>ПС 35/10 кВ Ржаницкая</t>
  </si>
  <si>
    <t>ПС 35/10 кВ Рогнединская</t>
  </si>
  <si>
    <t>ПС 35/10,5 кВ Ружненская</t>
  </si>
  <si>
    <t>ПС 35/10 кВ Севская</t>
  </si>
  <si>
    <t>ПС 35/10 кВ Салтановская</t>
  </si>
  <si>
    <t>ПС 35/10 кВ Светово</t>
  </si>
  <si>
    <t xml:space="preserve">ПС 35/10 кВ Сеща </t>
  </si>
  <si>
    <t>ПС 35/10 кВ Совхозная</t>
  </si>
  <si>
    <t>ПС 35/10 кВ Страчевская</t>
  </si>
  <si>
    <t>ПС 35/6 кВ Старь</t>
  </si>
  <si>
    <t>ПС 35/6 кВ Сеща</t>
  </si>
  <si>
    <t>ПС 35/10 кВ Страшевичи</t>
  </si>
  <si>
    <t>ПС 35/10 кВ Тепловская</t>
  </si>
  <si>
    <t>ПС 35/10 кВ Усожская</t>
  </si>
  <si>
    <t>ПС 35/10 кВ Федоровская</t>
  </si>
  <si>
    <t>ПС 35/6 кВ Фокинская</t>
  </si>
  <si>
    <t>ПС 35/6 кВ Фосфоритная</t>
  </si>
  <si>
    <t>ПС 35/10 кВ Хариновская</t>
  </si>
  <si>
    <t>ПС 35/10 кВ Харитоновская</t>
  </si>
  <si>
    <t>ПС 35/10 кВ Хвощевская</t>
  </si>
  <si>
    <t>ПС 110/35/10 кВ Плюсково</t>
  </si>
  <si>
    <t>ПС 110/10 кВ Бобовичи</t>
  </si>
  <si>
    <t>ПС 110/6 кВ Белая Березка</t>
  </si>
  <si>
    <t>ПС 110/10 кВ Валуец</t>
  </si>
  <si>
    <t>ПС 110/35/6 кВ Водоочистная</t>
  </si>
  <si>
    <t>ПС 110/6 кВ Высокое</t>
  </si>
  <si>
    <t>ПС 110/6 кВ Найтоповичи 8НА</t>
  </si>
  <si>
    <t>ПС 110/10 кВ Глыбочка</t>
  </si>
  <si>
    <t>ПС 110/10 кВ Десятуха</t>
  </si>
  <si>
    <t>ПС 110/10 кВ Залинейная</t>
  </si>
  <si>
    <t>ПС 110/6 кВ Западная</t>
  </si>
  <si>
    <t>ПС 110/35/10 кВ Климово</t>
  </si>
  <si>
    <t>ПС 110/35/10 кВ Ивайтенки</t>
  </si>
  <si>
    <t>ПС 110/35/6 кВ Кожаны</t>
  </si>
  <si>
    <t>ПС 110/10 кВ Красный рог</t>
  </si>
  <si>
    <t>ПС 110/35/10 кВ Луговая</t>
  </si>
  <si>
    <t>ПС 110/35/10 кВ Погар</t>
  </si>
  <si>
    <t>ПС 110/35/10 кВ Почепская</t>
  </si>
  <si>
    <t>ПС 110/10 кВ Семячки</t>
  </si>
  <si>
    <t>ПС 110/35/10 кВ Стародуб</t>
  </si>
  <si>
    <t xml:space="preserve">ПС 110/10 кВ Староселье </t>
  </si>
  <si>
    <t>ПС 110/35/6 кВ Сураж</t>
  </si>
  <si>
    <t>ПС 110/10 кВ Трубчевск</t>
  </si>
  <si>
    <t>ПС 110/35/6 кВ Юбилейная</t>
  </si>
  <si>
    <t>ПС 110/10 кВ Шеломы</t>
  </si>
  <si>
    <t>ПС 35/10 кВ Абаринская</t>
  </si>
  <si>
    <t>ПС 35/10 кВ Влазовичи</t>
  </si>
  <si>
    <t>ПС 35/10 кВ Борщево</t>
  </si>
  <si>
    <t>ПС 35/10 кВ Андрейковичи</t>
  </si>
  <si>
    <t>ПС 35/6 кВ Водозабор</t>
  </si>
  <si>
    <t>ПС 35/10 кВ Воронок</t>
  </si>
  <si>
    <t>ПС 35/10 кВ Гордеевка</t>
  </si>
  <si>
    <t>ПС 35/10 кВ Гриденки</t>
  </si>
  <si>
    <t>ПС 35/10 кВ Заводская</t>
  </si>
  <si>
    <t>ПС 35/10 кВ Истопки</t>
  </si>
  <si>
    <t>ПС 35/10 кВ Каташин</t>
  </si>
  <si>
    <t>ПС 35/10 кВ Кивай</t>
  </si>
  <si>
    <t>ПС 35/10 кВ Крутояр</t>
  </si>
  <si>
    <t>ПС 35/10 кВ Логоватое</t>
  </si>
  <si>
    <t>ПС 35/10 кВ Лопазна</t>
  </si>
  <si>
    <t>ПС 35/10 кВ Мглинская</t>
  </si>
  <si>
    <t>ПС 35/10 кВ Мишковка</t>
  </si>
  <si>
    <t>ПС 35/10 кВ Молодьково</t>
  </si>
  <si>
    <t>ПС 35/10 кВ Ново-Дроков</t>
  </si>
  <si>
    <t>ПС 35/10 кВ Папсуевская</t>
  </si>
  <si>
    <t>ПС 35/10 кВ Путевая</t>
  </si>
  <si>
    <t>ПС 35/10 кВ Радутинская</t>
  </si>
  <si>
    <t>ПС 35/10 кВ Селищанская</t>
  </si>
  <si>
    <t>ПС 35/10 кВ Слава</t>
  </si>
  <si>
    <t>ПС 35/10 кВ Смолевичи</t>
  </si>
  <si>
    <t>ПС 35/10 кВ Соловьевка</t>
  </si>
  <si>
    <t>ПС 35/10 кВ Сытая Буда</t>
  </si>
  <si>
    <t>ПС 35/6 кВ Тембр</t>
  </si>
  <si>
    <t>ПС 35/6 кВ Ущепье</t>
  </si>
  <si>
    <t>ПС 35/10 кВ Ущепье</t>
  </si>
  <si>
    <t>ПС 35/10 кВ Чуровичи</t>
  </si>
  <si>
    <t>ПС 35/10 кВ Щербиничи</t>
  </si>
  <si>
    <t>ПС 35/10 кВ Яковская</t>
  </si>
  <si>
    <t>ПС 35/10 кВ Дивовка</t>
  </si>
  <si>
    <t>ПС 35/10кВ Кокоревская</t>
  </si>
  <si>
    <t>ПС 35/10кВ Касиловская</t>
  </si>
  <si>
    <t>ПС 110/6кВ Бежицкая</t>
  </si>
  <si>
    <t>ПС 110/6кВ Городищенская</t>
  </si>
  <si>
    <t>ПС 110/10кВ  Добруньская</t>
  </si>
  <si>
    <t>ПС 110/35/6кВ Дятьковская</t>
  </si>
  <si>
    <t>ПС 110/6кВ Карачижская</t>
  </si>
  <si>
    <t>ПС 35/6кВ Володарская</t>
  </si>
  <si>
    <t>ПС 35/6кВ Городская</t>
  </si>
  <si>
    <t>ПС 35/6кВ Сеща</t>
  </si>
  <si>
    <t xml:space="preserve"> ПС 110/10кВ Добруньская</t>
  </si>
  <si>
    <t>ПС 110/35/6кВ Дормашевская</t>
  </si>
  <si>
    <t>ПС 110/6кВ Западная</t>
  </si>
  <si>
    <t>Перечень закрытых центров питания ОАО "МРСК Центра"  по зимним нагрузкам 2010 года (текущий дефицит мощности).</t>
  </si>
  <si>
    <t>ПС 35/10кВ Ружненская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</si>
</sst>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2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8"/>
      <color theme="1"/>
      <name val="Calibri"/>
      <family val="2"/>
      <charset val="204"/>
      <scheme val="minor"/>
    </font>
    <font>
      <i/>
      <sz val="8"/>
      <name val="Calibri"/>
      <family val="2"/>
      <charset val="204"/>
    </font>
    <font>
      <i/>
      <sz val="8"/>
      <name val="Times New Roman"/>
      <family val="1"/>
      <charset val="204"/>
    </font>
    <font>
      <i/>
      <sz val="8"/>
      <name val="Arial"/>
      <family val="2"/>
      <charset val="204"/>
    </font>
    <font>
      <i/>
      <sz val="8"/>
      <name val="Calibri"/>
      <family val="2"/>
      <charset val="204"/>
      <scheme val="minor"/>
    </font>
    <font>
      <i/>
      <sz val="8"/>
      <color theme="1"/>
      <name val="Times New Roman"/>
      <family val="1"/>
      <charset val="204"/>
    </font>
    <font>
      <b/>
      <i/>
      <sz val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i/>
      <sz val="8"/>
      <color theme="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i/>
      <sz val="10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i/>
      <sz val="10"/>
      <name val="Calibri"/>
      <family val="2"/>
      <charset val="204"/>
    </font>
    <font>
      <b/>
      <i/>
      <sz val="10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0" fillId="0" borderId="0"/>
  </cellStyleXfs>
  <cellXfs count="209">
    <xf numFmtId="0" fontId="0" fillId="0" borderId="0" xfId="0"/>
    <xf numFmtId="0" fontId="2" fillId="0" borderId="0" xfId="0" applyFont="1"/>
    <xf numFmtId="2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65" fontId="0" fillId="0" borderId="0" xfId="0" applyNumberFormat="1"/>
    <xf numFmtId="0" fontId="8" fillId="3" borderId="1" xfId="0" applyFont="1" applyFill="1" applyBorder="1"/>
    <xf numFmtId="0" fontId="8" fillId="3" borderId="1" xfId="0" applyFont="1" applyFill="1" applyBorder="1" applyAlignment="1">
      <alignment horizontal="center" vertical="center"/>
    </xf>
    <xf numFmtId="0" fontId="6" fillId="4" borderId="5" xfId="0" applyFont="1" applyFill="1" applyBorder="1"/>
    <xf numFmtId="0" fontId="8" fillId="3" borderId="10" xfId="0" applyFont="1" applyFill="1" applyBorder="1"/>
    <xf numFmtId="0" fontId="11" fillId="0" borderId="1" xfId="0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1" fillId="0" borderId="6" xfId="0" applyFont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4" borderId="5" xfId="0" applyFont="1" applyFill="1" applyBorder="1" applyAlignment="1">
      <alignment horizontal="center" vertical="center" wrapText="1"/>
    </xf>
    <xf numFmtId="0" fontId="2" fillId="0" borderId="0" xfId="0" applyFont="1" applyBorder="1"/>
    <xf numFmtId="2" fontId="8" fillId="3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/>
    <xf numFmtId="164" fontId="11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vertical="center" wrapText="1"/>
    </xf>
    <xf numFmtId="0" fontId="0" fillId="0" borderId="0" xfId="0" applyBorder="1"/>
    <xf numFmtId="0" fontId="14" fillId="0" borderId="0" xfId="0" applyFont="1" applyFill="1" applyBorder="1" applyAlignment="1">
      <alignment vertical="center" wrapText="1"/>
    </xf>
    <xf numFmtId="0" fontId="14" fillId="0" borderId="9" xfId="0" applyFont="1" applyFill="1" applyBorder="1" applyAlignment="1">
      <alignment vertical="center" wrapText="1"/>
    </xf>
    <xf numFmtId="0" fontId="16" fillId="0" borderId="0" xfId="0" applyFont="1" applyBorder="1"/>
    <xf numFmtId="0" fontId="0" fillId="0" borderId="0" xfId="0" applyFill="1"/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2" fillId="0" borderId="0" xfId="0" applyFont="1" applyFill="1" applyBorder="1"/>
    <xf numFmtId="0" fontId="2" fillId="0" borderId="0" xfId="0" applyFont="1" applyFill="1"/>
    <xf numFmtId="0" fontId="19" fillId="0" borderId="1" xfId="0" applyFont="1" applyBorder="1" applyAlignment="1">
      <alignment horizontal="center" vertical="center" wrapText="1"/>
    </xf>
    <xf numFmtId="0" fontId="0" fillId="0" borderId="0" xfId="0" applyFill="1" applyBorder="1"/>
    <xf numFmtId="0" fontId="3" fillId="0" borderId="1" xfId="0" applyFont="1" applyFill="1" applyBorder="1"/>
    <xf numFmtId="164" fontId="3" fillId="0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/>
    <xf numFmtId="0" fontId="11" fillId="0" borderId="10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5" fillId="2" borderId="10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/>
    <xf numFmtId="0" fontId="11" fillId="0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8" fillId="3" borderId="8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3" xfId="0" applyBorder="1"/>
    <xf numFmtId="0" fontId="0" fillId="0" borderId="13" xfId="0" applyBorder="1"/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64" fontId="0" fillId="0" borderId="5" xfId="0" applyNumberFormat="1" applyBorder="1"/>
    <xf numFmtId="164" fontId="0" fillId="0" borderId="6" xfId="0" applyNumberFormat="1" applyBorder="1"/>
    <xf numFmtId="164" fontId="20" fillId="2" borderId="5" xfId="0" applyNumberFormat="1" applyFont="1" applyFill="1" applyBorder="1"/>
    <xf numFmtId="164" fontId="20" fillId="2" borderId="6" xfId="0" applyNumberFormat="1" applyFont="1" applyFill="1" applyBorder="1"/>
    <xf numFmtId="0" fontId="2" fillId="0" borderId="8" xfId="0" applyFont="1" applyFill="1" applyBorder="1" applyAlignment="1">
      <alignment horizontal="center" vertical="center"/>
    </xf>
    <xf numFmtId="0" fontId="0" fillId="0" borderId="5" xfId="0" applyFill="1" applyBorder="1"/>
    <xf numFmtId="0" fontId="0" fillId="0" borderId="6" xfId="0" applyFill="1" applyBorder="1"/>
    <xf numFmtId="0" fontId="7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4" xfId="0" applyBorder="1"/>
    <xf numFmtId="0" fontId="0" fillId="0" borderId="11" xfId="0" applyBorder="1"/>
    <xf numFmtId="0" fontId="7" fillId="0" borderId="8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0" fillId="2" borderId="5" xfId="0" applyFill="1" applyBorder="1"/>
    <xf numFmtId="0" fontId="0" fillId="2" borderId="6" xfId="0" applyFill="1" applyBorder="1"/>
    <xf numFmtId="0" fontId="2" fillId="0" borderId="1" xfId="0" applyFont="1" applyBorder="1" applyAlignment="1">
      <alignment horizontal="center" vertical="center" wrapText="1"/>
    </xf>
    <xf numFmtId="0" fontId="20" fillId="2" borderId="5" xfId="0" applyFont="1" applyFill="1" applyBorder="1"/>
    <xf numFmtId="0" fontId="20" fillId="2" borderId="6" xfId="0" applyFont="1" applyFill="1" applyBorder="1"/>
    <xf numFmtId="0" fontId="8" fillId="5" borderId="8" xfId="0" applyFont="1" applyFill="1" applyBorder="1" applyAlignment="1">
      <alignment horizontal="center" vertical="center" wrapText="1"/>
    </xf>
    <xf numFmtId="0" fontId="9" fillId="5" borderId="5" xfId="0" applyFont="1" applyFill="1" applyBorder="1"/>
    <xf numFmtId="0" fontId="9" fillId="5" borderId="6" xfId="0" applyFont="1" applyFill="1" applyBorder="1"/>
    <xf numFmtId="164" fontId="0" fillId="2" borderId="5" xfId="0" applyNumberFormat="1" applyFill="1" applyBorder="1"/>
    <xf numFmtId="164" fontId="0" fillId="2" borderId="6" xfId="0" applyNumberFormat="1" applyFill="1" applyBorder="1"/>
    <xf numFmtId="0" fontId="17" fillId="0" borderId="10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</cellXfs>
  <cellStyles count="9">
    <cellStyle name="Обычный" xfId="0" builtinId="0"/>
    <cellStyle name="Обычный 10" xfId="7"/>
    <cellStyle name="Обычный 2" xfId="8"/>
    <cellStyle name="Обычный 3" xfId="1"/>
    <cellStyle name="Обычный 4" xfId="2"/>
    <cellStyle name="Обычный 5" xfId="4"/>
    <cellStyle name="Обычный 7" xfId="5"/>
    <cellStyle name="Обычный 8" xfId="6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5"/>
  <sheetViews>
    <sheetView tabSelected="1" zoomScale="90" zoomScaleNormal="90" workbookViewId="0">
      <pane ySplit="5" topLeftCell="A6" activePane="bottomLeft" state="frozen"/>
      <selection pane="bottomLeft" activeCell="Y63" sqref="Y63:Y65"/>
    </sheetView>
  </sheetViews>
  <sheetFormatPr defaultRowHeight="15"/>
  <cols>
    <col min="1" max="1" width="6" style="60" customWidth="1"/>
    <col min="2" max="2" width="15" customWidth="1"/>
    <col min="3" max="3" width="9.140625" style="60"/>
    <col min="13" max="13" width="2.7109375" customWidth="1"/>
    <col min="14" max="14" width="5.140625" customWidth="1"/>
    <col min="15" max="15" width="12.7109375" customWidth="1"/>
    <col min="17" max="17" width="7.28515625" customWidth="1"/>
  </cols>
  <sheetData>
    <row r="1" spans="1:26" s="1" customFormat="1" ht="11.25">
      <c r="A1" s="74"/>
      <c r="C1" s="74"/>
      <c r="J1" s="109"/>
      <c r="K1" s="109"/>
      <c r="L1" s="43"/>
      <c r="M1" s="43"/>
      <c r="N1" s="43"/>
      <c r="X1" s="109"/>
      <c r="Y1" s="109"/>
    </row>
    <row r="2" spans="1:26" s="1" customFormat="1" ht="11.25">
      <c r="A2" s="74"/>
      <c r="C2" s="74"/>
      <c r="J2" s="110" t="s">
        <v>0</v>
      </c>
      <c r="K2" s="110"/>
      <c r="L2" s="43"/>
      <c r="M2" s="43"/>
      <c r="N2" s="43"/>
      <c r="X2" s="110" t="s">
        <v>15</v>
      </c>
      <c r="Y2" s="110"/>
    </row>
    <row r="3" spans="1:26" s="1" customFormat="1">
      <c r="A3" s="155" t="s">
        <v>1</v>
      </c>
      <c r="B3" s="158" t="s">
        <v>2</v>
      </c>
      <c r="C3" s="118" t="s">
        <v>3</v>
      </c>
      <c r="D3" s="161"/>
      <c r="E3" s="161"/>
      <c r="F3" s="161"/>
      <c r="G3" s="161"/>
      <c r="H3" s="161"/>
      <c r="I3" s="161"/>
      <c r="J3" s="161"/>
      <c r="K3" s="162"/>
      <c r="L3" s="111" t="s">
        <v>16</v>
      </c>
      <c r="M3" s="42"/>
      <c r="N3" s="114" t="s">
        <v>1</v>
      </c>
      <c r="O3" s="117" t="s">
        <v>2</v>
      </c>
      <c r="P3" s="118" t="s">
        <v>17</v>
      </c>
      <c r="Q3" s="119"/>
      <c r="R3" s="119"/>
      <c r="S3" s="119"/>
      <c r="T3" s="119"/>
      <c r="U3" s="119"/>
      <c r="V3" s="119"/>
      <c r="W3" s="119"/>
      <c r="X3" s="119"/>
      <c r="Y3" s="120"/>
      <c r="Z3" s="111" t="s">
        <v>16</v>
      </c>
    </row>
    <row r="4" spans="1:26" s="1" customFormat="1" ht="15" customHeight="1">
      <c r="A4" s="156"/>
      <c r="B4" s="159"/>
      <c r="C4" s="163" t="s">
        <v>4</v>
      </c>
      <c r="D4" s="158" t="s">
        <v>5</v>
      </c>
      <c r="E4" s="118" t="s">
        <v>6</v>
      </c>
      <c r="F4" s="162"/>
      <c r="G4" s="158" t="s">
        <v>7</v>
      </c>
      <c r="H4" s="158" t="s">
        <v>8</v>
      </c>
      <c r="I4" s="158" t="s">
        <v>9</v>
      </c>
      <c r="J4" s="121" t="s">
        <v>18</v>
      </c>
      <c r="K4" s="134"/>
      <c r="L4" s="129"/>
      <c r="M4" s="42"/>
      <c r="N4" s="115"/>
      <c r="O4" s="117"/>
      <c r="P4" s="117" t="s">
        <v>19</v>
      </c>
      <c r="Q4" s="117" t="s">
        <v>20</v>
      </c>
      <c r="R4" s="117" t="s">
        <v>21</v>
      </c>
      <c r="S4" s="117" t="s">
        <v>22</v>
      </c>
      <c r="T4" s="167"/>
      <c r="U4" s="117" t="s">
        <v>7</v>
      </c>
      <c r="V4" s="117" t="s">
        <v>8</v>
      </c>
      <c r="W4" s="117" t="s">
        <v>9</v>
      </c>
      <c r="X4" s="121" t="s">
        <v>18</v>
      </c>
      <c r="Y4" s="122"/>
      <c r="Z4" s="112"/>
    </row>
    <row r="5" spans="1:26" s="1" customFormat="1" ht="64.5" customHeight="1">
      <c r="A5" s="157"/>
      <c r="B5" s="160"/>
      <c r="C5" s="164"/>
      <c r="D5" s="160"/>
      <c r="E5" s="39" t="s">
        <v>10</v>
      </c>
      <c r="F5" s="39" t="s">
        <v>11</v>
      </c>
      <c r="G5" s="160"/>
      <c r="H5" s="160"/>
      <c r="I5" s="160"/>
      <c r="J5" s="135"/>
      <c r="K5" s="136"/>
      <c r="L5" s="130"/>
      <c r="M5" s="42"/>
      <c r="N5" s="116"/>
      <c r="O5" s="117"/>
      <c r="P5" s="117"/>
      <c r="Q5" s="117"/>
      <c r="R5" s="117"/>
      <c r="S5" s="39" t="s">
        <v>10</v>
      </c>
      <c r="T5" s="39" t="s">
        <v>11</v>
      </c>
      <c r="U5" s="117"/>
      <c r="V5" s="117"/>
      <c r="W5" s="117"/>
      <c r="X5" s="123"/>
      <c r="Y5" s="124"/>
      <c r="Z5" s="113"/>
    </row>
    <row r="6" spans="1:26" s="1" customFormat="1" ht="11.25">
      <c r="A6" s="92">
        <v>1</v>
      </c>
      <c r="B6" s="39">
        <v>2</v>
      </c>
      <c r="C6" s="92">
        <v>3</v>
      </c>
      <c r="D6" s="39">
        <v>4</v>
      </c>
      <c r="E6" s="39">
        <v>5</v>
      </c>
      <c r="F6" s="39">
        <v>6</v>
      </c>
      <c r="G6" s="39">
        <v>7</v>
      </c>
      <c r="H6" s="39">
        <v>8</v>
      </c>
      <c r="I6" s="39">
        <v>9</v>
      </c>
      <c r="J6" s="39">
        <v>10</v>
      </c>
      <c r="K6" s="39">
        <v>11</v>
      </c>
      <c r="L6" s="41">
        <v>12</v>
      </c>
      <c r="M6" s="40"/>
      <c r="N6" s="39">
        <v>1</v>
      </c>
      <c r="O6" s="39">
        <v>2</v>
      </c>
      <c r="P6" s="39">
        <v>3</v>
      </c>
      <c r="Q6" s="39">
        <v>4</v>
      </c>
      <c r="R6" s="39">
        <v>5</v>
      </c>
      <c r="S6" s="39">
        <v>6</v>
      </c>
      <c r="T6" s="39">
        <v>7</v>
      </c>
      <c r="U6" s="39">
        <v>8</v>
      </c>
      <c r="V6" s="39">
        <v>9</v>
      </c>
      <c r="W6" s="39">
        <v>10</v>
      </c>
      <c r="X6" s="39">
        <v>11</v>
      </c>
      <c r="Y6" s="39">
        <v>12</v>
      </c>
      <c r="Z6" s="38">
        <v>13</v>
      </c>
    </row>
    <row r="7" spans="1:26" s="1" customFormat="1" ht="22.5">
      <c r="A7" s="18">
        <v>1</v>
      </c>
      <c r="B7" s="18" t="s">
        <v>69</v>
      </c>
      <c r="C7" s="18">
        <v>6.3</v>
      </c>
      <c r="D7" s="47">
        <v>0.71499999999999997</v>
      </c>
      <c r="E7" s="12">
        <f>C7</f>
        <v>6.3</v>
      </c>
      <c r="F7" s="12" t="s">
        <v>12</v>
      </c>
      <c r="G7" s="48">
        <f t="shared" ref="G7:G48" si="0">E7</f>
        <v>6.3</v>
      </c>
      <c r="H7" s="12">
        <v>0</v>
      </c>
      <c r="I7" s="48">
        <f t="shared" ref="I7:I48" si="1">E7</f>
        <v>6.3</v>
      </c>
      <c r="J7" s="106">
        <f t="shared" ref="J7:J48" si="2">I7-D7</f>
        <v>5.585</v>
      </c>
      <c r="K7" s="106">
        <f t="shared" ref="K7" si="3">J7</f>
        <v>5.585</v>
      </c>
      <c r="L7" s="17" t="s">
        <v>24</v>
      </c>
      <c r="M7" s="16"/>
      <c r="N7" s="18">
        <v>1</v>
      </c>
      <c r="O7" s="12" t="s">
        <v>69</v>
      </c>
      <c r="P7" s="12">
        <v>6.3</v>
      </c>
      <c r="Q7" s="47">
        <f>0.0075</f>
        <v>7.4999999999999997E-3</v>
      </c>
      <c r="R7" s="79">
        <f t="shared" ref="R7:R8" si="4">Q7+D7</f>
        <v>0.72249999999999992</v>
      </c>
      <c r="S7" s="18">
        <f t="shared" ref="S7:T12" si="5">E7</f>
        <v>6.3</v>
      </c>
      <c r="T7" s="18" t="str">
        <f t="shared" si="5"/>
        <v>1 сутки</v>
      </c>
      <c r="U7" s="64">
        <f t="shared" ref="U7:U48" si="6">S7</f>
        <v>6.3</v>
      </c>
      <c r="V7" s="18">
        <v>0</v>
      </c>
      <c r="W7" s="66">
        <f t="shared" ref="W7:W48" si="7">S7</f>
        <v>6.3</v>
      </c>
      <c r="X7" s="90">
        <f t="shared" ref="X7:X48" si="8">W7-R7</f>
        <v>5.5774999999999997</v>
      </c>
      <c r="Y7" s="90">
        <f t="shared" ref="Y7" si="9">X7</f>
        <v>5.5774999999999997</v>
      </c>
      <c r="Z7" s="12" t="s">
        <v>24</v>
      </c>
    </row>
    <row r="8" spans="1:26" s="1" customFormat="1" ht="22.5">
      <c r="A8" s="139">
        <v>2</v>
      </c>
      <c r="B8" s="12" t="s">
        <v>92</v>
      </c>
      <c r="C8" s="69">
        <v>16</v>
      </c>
      <c r="D8" s="47">
        <f>D9+D10</f>
        <v>4.21</v>
      </c>
      <c r="E8" s="12">
        <v>16</v>
      </c>
      <c r="F8" s="12" t="s">
        <v>12</v>
      </c>
      <c r="G8" s="48">
        <f t="shared" si="0"/>
        <v>16</v>
      </c>
      <c r="H8" s="12">
        <v>0</v>
      </c>
      <c r="I8" s="48">
        <f t="shared" si="1"/>
        <v>16</v>
      </c>
      <c r="J8" s="106">
        <f t="shared" si="2"/>
        <v>11.79</v>
      </c>
      <c r="K8" s="125">
        <f>MIN(J8:J10)</f>
        <v>11.79</v>
      </c>
      <c r="L8" s="128" t="s">
        <v>24</v>
      </c>
      <c r="M8" s="16"/>
      <c r="N8" s="139">
        <v>2</v>
      </c>
      <c r="O8" s="12" t="s">
        <v>92</v>
      </c>
      <c r="P8" s="15">
        <v>16</v>
      </c>
      <c r="Q8" s="86">
        <f>Q10</f>
        <v>5.0799999999999998E-2</v>
      </c>
      <c r="R8" s="79">
        <f t="shared" si="4"/>
        <v>4.2607999999999997</v>
      </c>
      <c r="S8" s="18">
        <f t="shared" si="5"/>
        <v>16</v>
      </c>
      <c r="T8" s="18" t="str">
        <f t="shared" si="5"/>
        <v>1 сутки</v>
      </c>
      <c r="U8" s="64">
        <f t="shared" si="6"/>
        <v>16</v>
      </c>
      <c r="V8" s="18">
        <v>0</v>
      </c>
      <c r="W8" s="66">
        <f t="shared" si="7"/>
        <v>16</v>
      </c>
      <c r="X8" s="90">
        <f t="shared" si="8"/>
        <v>11.7392</v>
      </c>
      <c r="Y8" s="125">
        <f>MIN(X8:X10)</f>
        <v>11.7392</v>
      </c>
      <c r="Z8" s="128" t="s">
        <v>24</v>
      </c>
    </row>
    <row r="9" spans="1:26" s="1" customFormat="1" ht="22.5" customHeight="1">
      <c r="A9" s="140"/>
      <c r="B9" s="27" t="s">
        <v>57</v>
      </c>
      <c r="C9" s="63">
        <v>16</v>
      </c>
      <c r="D9" s="48">
        <v>2.6070000000000002</v>
      </c>
      <c r="E9" s="12">
        <f>C9</f>
        <v>16</v>
      </c>
      <c r="F9" s="12" t="s">
        <v>12</v>
      </c>
      <c r="G9" s="48">
        <f t="shared" si="0"/>
        <v>16</v>
      </c>
      <c r="H9" s="12">
        <v>0</v>
      </c>
      <c r="I9" s="48">
        <f t="shared" si="1"/>
        <v>16</v>
      </c>
      <c r="J9" s="106">
        <f t="shared" si="2"/>
        <v>13.393000000000001</v>
      </c>
      <c r="K9" s="151"/>
      <c r="L9" s="137"/>
      <c r="M9" s="16"/>
      <c r="N9" s="140"/>
      <c r="O9" s="27" t="s">
        <v>57</v>
      </c>
      <c r="P9" s="28">
        <v>16</v>
      </c>
      <c r="Q9" s="85"/>
      <c r="R9" s="79">
        <f t="shared" ref="R9" si="10">Q9+D9</f>
        <v>2.6070000000000002</v>
      </c>
      <c r="S9" s="18">
        <f t="shared" si="5"/>
        <v>16</v>
      </c>
      <c r="T9" s="18" t="str">
        <f t="shared" si="5"/>
        <v>1 сутки</v>
      </c>
      <c r="U9" s="64">
        <f t="shared" si="6"/>
        <v>16</v>
      </c>
      <c r="V9" s="18">
        <v>0</v>
      </c>
      <c r="W9" s="66">
        <f t="shared" si="7"/>
        <v>16</v>
      </c>
      <c r="X9" s="90">
        <f t="shared" si="8"/>
        <v>13.393000000000001</v>
      </c>
      <c r="Y9" s="126"/>
      <c r="Z9" s="137"/>
    </row>
    <row r="10" spans="1:26" s="1" customFormat="1" ht="21.75" customHeight="1">
      <c r="A10" s="141"/>
      <c r="B10" s="27" t="s">
        <v>44</v>
      </c>
      <c r="C10" s="63">
        <v>16</v>
      </c>
      <c r="D10" s="48">
        <v>1.603</v>
      </c>
      <c r="E10" s="12">
        <f>C10</f>
        <v>16</v>
      </c>
      <c r="F10" s="12" t="s">
        <v>12</v>
      </c>
      <c r="G10" s="48">
        <f t="shared" si="0"/>
        <v>16</v>
      </c>
      <c r="H10" s="12">
        <v>0</v>
      </c>
      <c r="I10" s="48">
        <f t="shared" si="1"/>
        <v>16</v>
      </c>
      <c r="J10" s="106">
        <f t="shared" si="2"/>
        <v>14.397</v>
      </c>
      <c r="K10" s="152"/>
      <c r="L10" s="138"/>
      <c r="M10" s="16"/>
      <c r="N10" s="141"/>
      <c r="O10" s="27" t="s">
        <v>44</v>
      </c>
      <c r="P10" s="28">
        <v>16</v>
      </c>
      <c r="Q10" s="85">
        <f>0.051+0.003-0.0032</f>
        <v>5.0799999999999998E-2</v>
      </c>
      <c r="R10" s="79">
        <f t="shared" ref="R10:R71" si="11">Q10+D10</f>
        <v>1.6537999999999999</v>
      </c>
      <c r="S10" s="18">
        <f t="shared" si="5"/>
        <v>16</v>
      </c>
      <c r="T10" s="18" t="str">
        <f t="shared" si="5"/>
        <v>1 сутки</v>
      </c>
      <c r="U10" s="64">
        <f t="shared" si="6"/>
        <v>16</v>
      </c>
      <c r="V10" s="18">
        <v>0</v>
      </c>
      <c r="W10" s="66">
        <f t="shared" si="7"/>
        <v>16</v>
      </c>
      <c r="X10" s="90">
        <f t="shared" si="8"/>
        <v>14.3462</v>
      </c>
      <c r="Y10" s="127"/>
      <c r="Z10" s="138"/>
    </row>
    <row r="11" spans="1:26" s="1" customFormat="1" ht="22.5">
      <c r="A11" s="18">
        <v>3</v>
      </c>
      <c r="B11" s="18" t="s">
        <v>94</v>
      </c>
      <c r="C11" s="69">
        <v>6.3</v>
      </c>
      <c r="D11" s="47">
        <v>1.2170000000000001</v>
      </c>
      <c r="E11" s="12">
        <f>C11</f>
        <v>6.3</v>
      </c>
      <c r="F11" s="12" t="s">
        <v>12</v>
      </c>
      <c r="G11" s="48">
        <f t="shared" si="0"/>
        <v>6.3</v>
      </c>
      <c r="H11" s="12">
        <v>0</v>
      </c>
      <c r="I11" s="48">
        <f t="shared" si="1"/>
        <v>6.3</v>
      </c>
      <c r="J11" s="106">
        <f t="shared" si="2"/>
        <v>5.0830000000000002</v>
      </c>
      <c r="K11" s="106">
        <f t="shared" ref="K11" si="12">J11</f>
        <v>5.0830000000000002</v>
      </c>
      <c r="L11" s="17" t="s">
        <v>24</v>
      </c>
      <c r="M11" s="16"/>
      <c r="N11" s="18">
        <v>3</v>
      </c>
      <c r="O11" s="12" t="s">
        <v>94</v>
      </c>
      <c r="P11" s="15">
        <v>6.3</v>
      </c>
      <c r="Q11" s="86">
        <f>0.047+0.005+0.001+0.011+0.065+0.048+0.016+0.01+0.0484-0.064+0.0161+0.016+0.0161+0.005376-0.0366+0.021</f>
        <v>0.22537600000000002</v>
      </c>
      <c r="R11" s="79">
        <f t="shared" ref="R11:R12" si="13">Q11+D11</f>
        <v>1.4423760000000001</v>
      </c>
      <c r="S11" s="18">
        <f t="shared" si="5"/>
        <v>6.3</v>
      </c>
      <c r="T11" s="18" t="str">
        <f t="shared" si="5"/>
        <v>1 сутки</v>
      </c>
      <c r="U11" s="64">
        <f t="shared" si="6"/>
        <v>6.3</v>
      </c>
      <c r="V11" s="18">
        <v>0</v>
      </c>
      <c r="W11" s="66">
        <f t="shared" si="7"/>
        <v>6.3</v>
      </c>
      <c r="X11" s="90">
        <f t="shared" si="8"/>
        <v>4.8576239999999995</v>
      </c>
      <c r="Y11" s="90">
        <f t="shared" ref="Y11:Y12" si="14">X11</f>
        <v>4.8576239999999995</v>
      </c>
      <c r="Z11" s="12" t="s">
        <v>24</v>
      </c>
    </row>
    <row r="12" spans="1:26" s="1" customFormat="1" ht="22.5">
      <c r="A12" s="18">
        <v>4</v>
      </c>
      <c r="B12" s="18" t="s">
        <v>99</v>
      </c>
      <c r="C12" s="69">
        <v>6.3</v>
      </c>
      <c r="D12" s="47">
        <v>0.34499999999999997</v>
      </c>
      <c r="E12" s="12">
        <f>C12</f>
        <v>6.3</v>
      </c>
      <c r="F12" s="12" t="s">
        <v>12</v>
      </c>
      <c r="G12" s="48">
        <f t="shared" si="0"/>
        <v>6.3</v>
      </c>
      <c r="H12" s="12">
        <v>0</v>
      </c>
      <c r="I12" s="48">
        <f t="shared" si="1"/>
        <v>6.3</v>
      </c>
      <c r="J12" s="106">
        <f t="shared" si="2"/>
        <v>5.9550000000000001</v>
      </c>
      <c r="K12" s="106">
        <f t="shared" ref="K12" si="15">J12</f>
        <v>5.9550000000000001</v>
      </c>
      <c r="L12" s="17" t="s">
        <v>24</v>
      </c>
      <c r="M12" s="16"/>
      <c r="N12" s="18">
        <v>4</v>
      </c>
      <c r="O12" s="12" t="s">
        <v>99</v>
      </c>
      <c r="P12" s="15">
        <v>6.3</v>
      </c>
      <c r="Q12" s="86">
        <f>0.016+0.005+0.0613-0.0161+1.1827+1.1827+0.5914-0.1661</f>
        <v>2.8569000000000004</v>
      </c>
      <c r="R12" s="79">
        <f t="shared" si="13"/>
        <v>3.2019000000000002</v>
      </c>
      <c r="S12" s="18">
        <f t="shared" si="5"/>
        <v>6.3</v>
      </c>
      <c r="T12" s="18" t="str">
        <f t="shared" si="5"/>
        <v>1 сутки</v>
      </c>
      <c r="U12" s="64">
        <f t="shared" si="6"/>
        <v>6.3</v>
      </c>
      <c r="V12" s="18">
        <v>0</v>
      </c>
      <c r="W12" s="66">
        <f t="shared" si="7"/>
        <v>6.3</v>
      </c>
      <c r="X12" s="90">
        <f t="shared" si="8"/>
        <v>3.0980999999999996</v>
      </c>
      <c r="Y12" s="90">
        <f t="shared" si="14"/>
        <v>3.0980999999999996</v>
      </c>
      <c r="Z12" s="12" t="s">
        <v>24</v>
      </c>
    </row>
    <row r="13" spans="1:26" s="1" customFormat="1" ht="21.75" customHeight="1">
      <c r="A13" s="22">
        <v>5</v>
      </c>
      <c r="B13" s="22" t="s">
        <v>101</v>
      </c>
      <c r="C13" s="23">
        <v>10</v>
      </c>
      <c r="D13" s="51">
        <v>7.0419999999999998</v>
      </c>
      <c r="E13" s="22">
        <v>4.3</v>
      </c>
      <c r="F13" s="22" t="s">
        <v>12</v>
      </c>
      <c r="G13" s="49">
        <f t="shared" si="0"/>
        <v>4.3</v>
      </c>
      <c r="H13" s="22">
        <v>0</v>
      </c>
      <c r="I13" s="49">
        <f t="shared" si="1"/>
        <v>4.3</v>
      </c>
      <c r="J13" s="107">
        <f t="shared" si="2"/>
        <v>-2.742</v>
      </c>
      <c r="K13" s="107">
        <f t="shared" ref="K13:K16" si="16">J13</f>
        <v>-2.742</v>
      </c>
      <c r="L13" s="19" t="s">
        <v>25</v>
      </c>
      <c r="M13" s="16"/>
      <c r="N13" s="22">
        <v>5</v>
      </c>
      <c r="O13" s="22" t="s">
        <v>101</v>
      </c>
      <c r="P13" s="23">
        <v>10</v>
      </c>
      <c r="Q13" s="88">
        <f>0.129+0.8064+0.8</f>
        <v>1.7354000000000001</v>
      </c>
      <c r="R13" s="51">
        <f t="shared" si="11"/>
        <v>8.7774000000000001</v>
      </c>
      <c r="S13" s="22">
        <v>4.3</v>
      </c>
      <c r="T13" s="22" t="str">
        <f t="shared" ref="T13:T48" si="17">F13</f>
        <v>1 сутки</v>
      </c>
      <c r="U13" s="29">
        <f t="shared" si="6"/>
        <v>4.3</v>
      </c>
      <c r="V13" s="22">
        <v>0</v>
      </c>
      <c r="W13" s="30">
        <f t="shared" si="7"/>
        <v>4.3</v>
      </c>
      <c r="X13" s="107">
        <f t="shared" si="8"/>
        <v>-4.4774000000000003</v>
      </c>
      <c r="Y13" s="107">
        <f t="shared" ref="Y13" si="18">X13</f>
        <v>-4.4774000000000003</v>
      </c>
      <c r="Z13" s="22" t="s">
        <v>25</v>
      </c>
    </row>
    <row r="14" spans="1:26" s="1" customFormat="1" ht="33.75">
      <c r="A14" s="18">
        <v>6</v>
      </c>
      <c r="B14" s="12" t="s">
        <v>161</v>
      </c>
      <c r="C14" s="69">
        <v>10</v>
      </c>
      <c r="D14" s="47">
        <v>0.52900000000000003</v>
      </c>
      <c r="E14" s="12">
        <f t="shared" ref="E14:E26" si="19">C14</f>
        <v>10</v>
      </c>
      <c r="F14" s="12" t="s">
        <v>12</v>
      </c>
      <c r="G14" s="48">
        <f t="shared" si="0"/>
        <v>10</v>
      </c>
      <c r="H14" s="12">
        <v>0</v>
      </c>
      <c r="I14" s="48">
        <f t="shared" si="1"/>
        <v>10</v>
      </c>
      <c r="J14" s="106">
        <f t="shared" si="2"/>
        <v>9.4710000000000001</v>
      </c>
      <c r="K14" s="106">
        <f t="shared" si="16"/>
        <v>9.4710000000000001</v>
      </c>
      <c r="L14" s="17" t="s">
        <v>24</v>
      </c>
      <c r="M14" s="16"/>
      <c r="N14" s="18">
        <v>6</v>
      </c>
      <c r="O14" s="12" t="s">
        <v>161</v>
      </c>
      <c r="P14" s="15">
        <v>10</v>
      </c>
      <c r="Q14" s="86">
        <f>0.018+0.002+0.025+0.0108-0.0282+0.0161+0.6451+0.012633-0.0409+0.0226</f>
        <v>0.68313299999999988</v>
      </c>
      <c r="R14" s="79">
        <f t="shared" ref="R14:R25" si="20">Q14+D14</f>
        <v>1.2121329999999999</v>
      </c>
      <c r="S14" s="18">
        <f t="shared" ref="S14:S48" si="21">E14</f>
        <v>10</v>
      </c>
      <c r="T14" s="18" t="str">
        <f t="shared" si="17"/>
        <v>1 сутки</v>
      </c>
      <c r="U14" s="64">
        <f t="shared" si="6"/>
        <v>10</v>
      </c>
      <c r="V14" s="18">
        <v>0</v>
      </c>
      <c r="W14" s="66">
        <f t="shared" si="7"/>
        <v>10</v>
      </c>
      <c r="X14" s="90">
        <f t="shared" si="8"/>
        <v>8.7878670000000003</v>
      </c>
      <c r="Y14" s="90">
        <f t="shared" ref="Y14:Y16" si="22">X14</f>
        <v>8.7878670000000003</v>
      </c>
      <c r="Z14" s="12" t="s">
        <v>24</v>
      </c>
    </row>
    <row r="15" spans="1:26" s="1" customFormat="1" ht="22.5">
      <c r="A15" s="18">
        <v>7</v>
      </c>
      <c r="B15" s="12" t="s">
        <v>162</v>
      </c>
      <c r="C15" s="69">
        <v>2.5</v>
      </c>
      <c r="D15" s="47">
        <v>0.23300000000000001</v>
      </c>
      <c r="E15" s="12">
        <f t="shared" si="19"/>
        <v>2.5</v>
      </c>
      <c r="F15" s="12" t="s">
        <v>12</v>
      </c>
      <c r="G15" s="48">
        <f t="shared" si="0"/>
        <v>2.5</v>
      </c>
      <c r="H15" s="12">
        <v>0</v>
      </c>
      <c r="I15" s="48">
        <f t="shared" si="1"/>
        <v>2.5</v>
      </c>
      <c r="J15" s="106">
        <f t="shared" si="2"/>
        <v>2.2669999999999999</v>
      </c>
      <c r="K15" s="106">
        <f t="shared" si="16"/>
        <v>2.2669999999999999</v>
      </c>
      <c r="L15" s="17" t="s">
        <v>24</v>
      </c>
      <c r="M15" s="16"/>
      <c r="N15" s="18">
        <v>7</v>
      </c>
      <c r="O15" s="12" t="s">
        <v>162</v>
      </c>
      <c r="P15" s="15">
        <v>2.5</v>
      </c>
      <c r="Q15" s="86">
        <f>0.016+0.011+0.112+0.015+0.1813+0.1806+0.0032+0.023-0.1906</f>
        <v>0.35150000000000003</v>
      </c>
      <c r="R15" s="79">
        <f t="shared" si="20"/>
        <v>0.58450000000000002</v>
      </c>
      <c r="S15" s="18">
        <f t="shared" si="21"/>
        <v>2.5</v>
      </c>
      <c r="T15" s="18" t="str">
        <f t="shared" si="17"/>
        <v>1 сутки</v>
      </c>
      <c r="U15" s="64">
        <f t="shared" si="6"/>
        <v>2.5</v>
      </c>
      <c r="V15" s="18">
        <v>0</v>
      </c>
      <c r="W15" s="66">
        <f t="shared" si="7"/>
        <v>2.5</v>
      </c>
      <c r="X15" s="90">
        <f t="shared" si="8"/>
        <v>1.9155</v>
      </c>
      <c r="Y15" s="90">
        <f t="shared" si="22"/>
        <v>1.9155</v>
      </c>
      <c r="Z15" s="12" t="s">
        <v>24</v>
      </c>
    </row>
    <row r="16" spans="1:26" s="1" customFormat="1" ht="22.5">
      <c r="A16" s="18">
        <v>8</v>
      </c>
      <c r="B16" s="18" t="s">
        <v>163</v>
      </c>
      <c r="C16" s="69">
        <v>6.3</v>
      </c>
      <c r="D16" s="47">
        <v>1.0009999999999999</v>
      </c>
      <c r="E16" s="12">
        <f t="shared" si="19"/>
        <v>6.3</v>
      </c>
      <c r="F16" s="12" t="s">
        <v>12</v>
      </c>
      <c r="G16" s="48">
        <f t="shared" si="0"/>
        <v>6.3</v>
      </c>
      <c r="H16" s="12">
        <v>0</v>
      </c>
      <c r="I16" s="48">
        <f t="shared" si="1"/>
        <v>6.3</v>
      </c>
      <c r="J16" s="106">
        <f t="shared" si="2"/>
        <v>5.2989999999999995</v>
      </c>
      <c r="K16" s="106">
        <f t="shared" si="16"/>
        <v>5.2989999999999995</v>
      </c>
      <c r="L16" s="17" t="s">
        <v>24</v>
      </c>
      <c r="M16" s="16"/>
      <c r="N16" s="18">
        <v>8</v>
      </c>
      <c r="O16" s="12" t="s">
        <v>163</v>
      </c>
      <c r="P16" s="15">
        <v>6.3</v>
      </c>
      <c r="Q16" s="86">
        <f>0.021+0.004+0.001+0.003+0.004+0.017+0.0043-0.0285+0.0097+0.007258-0.0145</f>
        <v>2.8258000000000005E-2</v>
      </c>
      <c r="R16" s="79">
        <f t="shared" si="20"/>
        <v>1.029258</v>
      </c>
      <c r="S16" s="18">
        <f t="shared" si="21"/>
        <v>6.3</v>
      </c>
      <c r="T16" s="18" t="str">
        <f t="shared" si="17"/>
        <v>1 сутки</v>
      </c>
      <c r="U16" s="64">
        <f t="shared" si="6"/>
        <v>6.3</v>
      </c>
      <c r="V16" s="18">
        <v>0</v>
      </c>
      <c r="W16" s="66">
        <f t="shared" si="7"/>
        <v>6.3</v>
      </c>
      <c r="X16" s="90">
        <f t="shared" si="8"/>
        <v>5.2707420000000003</v>
      </c>
      <c r="Y16" s="90">
        <f t="shared" si="22"/>
        <v>5.2707420000000003</v>
      </c>
      <c r="Z16" s="12" t="s">
        <v>24</v>
      </c>
    </row>
    <row r="17" spans="1:26" s="1" customFormat="1" ht="22.5">
      <c r="A17" s="139">
        <v>9</v>
      </c>
      <c r="B17" s="18" t="s">
        <v>167</v>
      </c>
      <c r="C17" s="69">
        <v>6.3</v>
      </c>
      <c r="D17" s="47">
        <f>D18+D19</f>
        <v>0.999</v>
      </c>
      <c r="E17" s="12">
        <f t="shared" si="19"/>
        <v>6.3</v>
      </c>
      <c r="F17" s="12" t="s">
        <v>12</v>
      </c>
      <c r="G17" s="48">
        <f t="shared" si="0"/>
        <v>6.3</v>
      </c>
      <c r="H17" s="12">
        <v>0</v>
      </c>
      <c r="I17" s="48">
        <f t="shared" si="1"/>
        <v>6.3</v>
      </c>
      <c r="J17" s="106">
        <f t="shared" si="2"/>
        <v>5.3010000000000002</v>
      </c>
      <c r="K17" s="125">
        <f>MIN(J17:J19)</f>
        <v>5.3010000000000002</v>
      </c>
      <c r="L17" s="128" t="s">
        <v>24</v>
      </c>
      <c r="M17" s="16"/>
      <c r="N17" s="139">
        <v>9</v>
      </c>
      <c r="O17" s="12" t="s">
        <v>167</v>
      </c>
      <c r="P17" s="15">
        <v>6.3</v>
      </c>
      <c r="Q17" s="86">
        <f>Q19</f>
        <v>0.28373700000000002</v>
      </c>
      <c r="R17" s="79">
        <f t="shared" si="20"/>
        <v>1.282737</v>
      </c>
      <c r="S17" s="18">
        <f t="shared" si="21"/>
        <v>6.3</v>
      </c>
      <c r="T17" s="18" t="str">
        <f t="shared" si="17"/>
        <v>1 сутки</v>
      </c>
      <c r="U17" s="64">
        <f t="shared" si="6"/>
        <v>6.3</v>
      </c>
      <c r="V17" s="18">
        <v>0</v>
      </c>
      <c r="W17" s="66">
        <f t="shared" si="7"/>
        <v>6.3</v>
      </c>
      <c r="X17" s="90">
        <f t="shared" si="8"/>
        <v>5.0172629999999998</v>
      </c>
      <c r="Y17" s="125">
        <f>MIN(X17:X19)</f>
        <v>5.0172629999999998</v>
      </c>
      <c r="Z17" s="128" t="s">
        <v>24</v>
      </c>
    </row>
    <row r="18" spans="1:26" s="1" customFormat="1" ht="21" customHeight="1">
      <c r="A18" s="140"/>
      <c r="B18" s="80" t="s">
        <v>57</v>
      </c>
      <c r="C18" s="63">
        <v>6.3</v>
      </c>
      <c r="D18" s="48">
        <v>0.21199999999999999</v>
      </c>
      <c r="E18" s="12">
        <f t="shared" si="19"/>
        <v>6.3</v>
      </c>
      <c r="F18" s="12" t="s">
        <v>12</v>
      </c>
      <c r="G18" s="48">
        <f t="shared" si="0"/>
        <v>6.3</v>
      </c>
      <c r="H18" s="12">
        <v>0</v>
      </c>
      <c r="I18" s="48">
        <f t="shared" si="1"/>
        <v>6.3</v>
      </c>
      <c r="J18" s="106">
        <f t="shared" si="2"/>
        <v>6.0880000000000001</v>
      </c>
      <c r="K18" s="151"/>
      <c r="L18" s="137"/>
      <c r="M18" s="16"/>
      <c r="N18" s="140"/>
      <c r="O18" s="27" t="s">
        <v>57</v>
      </c>
      <c r="P18" s="28">
        <v>6.3</v>
      </c>
      <c r="Q18" s="85"/>
      <c r="R18" s="79">
        <f t="shared" si="20"/>
        <v>0.21199999999999999</v>
      </c>
      <c r="S18" s="18">
        <f t="shared" si="21"/>
        <v>6.3</v>
      </c>
      <c r="T18" s="18" t="str">
        <f t="shared" si="17"/>
        <v>1 сутки</v>
      </c>
      <c r="U18" s="64">
        <f t="shared" si="6"/>
        <v>6.3</v>
      </c>
      <c r="V18" s="18">
        <v>0</v>
      </c>
      <c r="W18" s="66">
        <f t="shared" si="7"/>
        <v>6.3</v>
      </c>
      <c r="X18" s="90">
        <f t="shared" si="8"/>
        <v>6.0880000000000001</v>
      </c>
      <c r="Y18" s="126"/>
      <c r="Z18" s="137"/>
    </row>
    <row r="19" spans="1:26" s="1" customFormat="1" ht="21" customHeight="1">
      <c r="A19" s="141"/>
      <c r="B19" s="80" t="s">
        <v>44</v>
      </c>
      <c r="C19" s="63">
        <v>6.3</v>
      </c>
      <c r="D19" s="48">
        <v>0.78700000000000003</v>
      </c>
      <c r="E19" s="12">
        <f t="shared" si="19"/>
        <v>6.3</v>
      </c>
      <c r="F19" s="12" t="s">
        <v>12</v>
      </c>
      <c r="G19" s="48">
        <f t="shared" si="0"/>
        <v>6.3</v>
      </c>
      <c r="H19" s="12">
        <v>0</v>
      </c>
      <c r="I19" s="48">
        <f t="shared" si="1"/>
        <v>6.3</v>
      </c>
      <c r="J19" s="106">
        <f t="shared" si="2"/>
        <v>5.5129999999999999</v>
      </c>
      <c r="K19" s="152"/>
      <c r="L19" s="138"/>
      <c r="M19" s="16"/>
      <c r="N19" s="141"/>
      <c r="O19" s="27" t="s">
        <v>44</v>
      </c>
      <c r="P19" s="28">
        <v>6.3</v>
      </c>
      <c r="Q19" s="85">
        <f>0.021+0.009+0.016+0.0269-0.0177+0.001+0.016+0.0054+0.215037+0.0019-0.0269+0.0161</f>
        <v>0.28373700000000002</v>
      </c>
      <c r="R19" s="79">
        <f t="shared" si="20"/>
        <v>1.070737</v>
      </c>
      <c r="S19" s="18">
        <f t="shared" si="21"/>
        <v>6.3</v>
      </c>
      <c r="T19" s="18" t="str">
        <f t="shared" si="17"/>
        <v>1 сутки</v>
      </c>
      <c r="U19" s="64">
        <f t="shared" si="6"/>
        <v>6.3</v>
      </c>
      <c r="V19" s="18">
        <v>0</v>
      </c>
      <c r="W19" s="66">
        <f t="shared" si="7"/>
        <v>6.3</v>
      </c>
      <c r="X19" s="90">
        <f t="shared" si="8"/>
        <v>5.2292629999999996</v>
      </c>
      <c r="Y19" s="127"/>
      <c r="Z19" s="138"/>
    </row>
    <row r="20" spans="1:26" s="1" customFormat="1" ht="23.25" customHeight="1">
      <c r="A20" s="139">
        <v>10</v>
      </c>
      <c r="B20" s="12" t="s">
        <v>170</v>
      </c>
      <c r="C20" s="69">
        <v>16</v>
      </c>
      <c r="D20" s="47">
        <f>D21+D22</f>
        <v>6.056</v>
      </c>
      <c r="E20" s="12">
        <f t="shared" si="19"/>
        <v>16</v>
      </c>
      <c r="F20" s="12" t="s">
        <v>12</v>
      </c>
      <c r="G20" s="48">
        <f t="shared" si="0"/>
        <v>16</v>
      </c>
      <c r="H20" s="12">
        <v>0</v>
      </c>
      <c r="I20" s="48">
        <f t="shared" si="1"/>
        <v>16</v>
      </c>
      <c r="J20" s="106">
        <f t="shared" si="2"/>
        <v>9.9439999999999991</v>
      </c>
      <c r="K20" s="125">
        <f>MIN(J20:J22)</f>
        <v>9.9439999999999991</v>
      </c>
      <c r="L20" s="128" t="s">
        <v>24</v>
      </c>
      <c r="M20" s="16"/>
      <c r="N20" s="139">
        <v>10</v>
      </c>
      <c r="O20" s="12" t="s">
        <v>170</v>
      </c>
      <c r="P20" s="15">
        <v>16</v>
      </c>
      <c r="Q20" s="86">
        <f>-Q21+Q22</f>
        <v>7.1800000000000003E-2</v>
      </c>
      <c r="R20" s="79">
        <f t="shared" si="20"/>
        <v>6.1277999999999997</v>
      </c>
      <c r="S20" s="18">
        <f t="shared" si="21"/>
        <v>16</v>
      </c>
      <c r="T20" s="18" t="str">
        <f t="shared" si="17"/>
        <v>1 сутки</v>
      </c>
      <c r="U20" s="64">
        <f t="shared" si="6"/>
        <v>16</v>
      </c>
      <c r="V20" s="18">
        <v>0</v>
      </c>
      <c r="W20" s="66">
        <f t="shared" si="7"/>
        <v>16</v>
      </c>
      <c r="X20" s="90">
        <f t="shared" si="8"/>
        <v>9.8721999999999994</v>
      </c>
      <c r="Y20" s="125">
        <f>MIN(X20:X22)</f>
        <v>9.8721999999999994</v>
      </c>
      <c r="Z20" s="128" t="s">
        <v>24</v>
      </c>
    </row>
    <row r="21" spans="1:26" s="1" customFormat="1" ht="22.5" customHeight="1">
      <c r="A21" s="140"/>
      <c r="B21" s="80" t="s">
        <v>57</v>
      </c>
      <c r="C21" s="63">
        <v>16</v>
      </c>
      <c r="D21" s="48">
        <v>5.2270000000000003</v>
      </c>
      <c r="E21" s="12">
        <f t="shared" si="19"/>
        <v>16</v>
      </c>
      <c r="F21" s="12" t="s">
        <v>12</v>
      </c>
      <c r="G21" s="48">
        <f t="shared" si="0"/>
        <v>16</v>
      </c>
      <c r="H21" s="12">
        <v>0</v>
      </c>
      <c r="I21" s="48">
        <f t="shared" si="1"/>
        <v>16</v>
      </c>
      <c r="J21" s="106">
        <f t="shared" si="2"/>
        <v>10.773</v>
      </c>
      <c r="K21" s="151"/>
      <c r="L21" s="137"/>
      <c r="M21" s="16"/>
      <c r="N21" s="140"/>
      <c r="O21" s="27" t="s">
        <v>57</v>
      </c>
      <c r="P21" s="28">
        <v>16</v>
      </c>
      <c r="Q21" s="85"/>
      <c r="R21" s="79">
        <f t="shared" si="20"/>
        <v>5.2270000000000003</v>
      </c>
      <c r="S21" s="18">
        <f t="shared" si="21"/>
        <v>16</v>
      </c>
      <c r="T21" s="18" t="str">
        <f t="shared" si="17"/>
        <v>1 сутки</v>
      </c>
      <c r="U21" s="64">
        <f t="shared" si="6"/>
        <v>16</v>
      </c>
      <c r="V21" s="18">
        <v>0</v>
      </c>
      <c r="W21" s="66">
        <f t="shared" si="7"/>
        <v>16</v>
      </c>
      <c r="X21" s="90">
        <f t="shared" si="8"/>
        <v>10.773</v>
      </c>
      <c r="Y21" s="126"/>
      <c r="Z21" s="137"/>
    </row>
    <row r="22" spans="1:26" s="1" customFormat="1" ht="21.75" customHeight="1">
      <c r="A22" s="141"/>
      <c r="B22" s="80" t="s">
        <v>44</v>
      </c>
      <c r="C22" s="63">
        <v>16</v>
      </c>
      <c r="D22" s="48">
        <v>0.82899999999999996</v>
      </c>
      <c r="E22" s="12">
        <f t="shared" si="19"/>
        <v>16</v>
      </c>
      <c r="F22" s="12" t="s">
        <v>12</v>
      </c>
      <c r="G22" s="48">
        <f t="shared" si="0"/>
        <v>16</v>
      </c>
      <c r="H22" s="12">
        <v>0</v>
      </c>
      <c r="I22" s="48">
        <f t="shared" si="1"/>
        <v>16</v>
      </c>
      <c r="J22" s="106">
        <f t="shared" si="2"/>
        <v>15.170999999999999</v>
      </c>
      <c r="K22" s="152"/>
      <c r="L22" s="138"/>
      <c r="M22" s="16"/>
      <c r="N22" s="141"/>
      <c r="O22" s="27" t="s">
        <v>44</v>
      </c>
      <c r="P22" s="28">
        <v>16</v>
      </c>
      <c r="Q22" s="85">
        <f>0.043+0.017+0.012+0.005-0.0102+0.005</f>
        <v>7.1800000000000003E-2</v>
      </c>
      <c r="R22" s="79">
        <f t="shared" si="20"/>
        <v>0.90079999999999993</v>
      </c>
      <c r="S22" s="18">
        <f t="shared" si="21"/>
        <v>16</v>
      </c>
      <c r="T22" s="18" t="str">
        <f t="shared" si="17"/>
        <v>1 сутки</v>
      </c>
      <c r="U22" s="64">
        <f t="shared" si="6"/>
        <v>16</v>
      </c>
      <c r="V22" s="18">
        <v>0</v>
      </c>
      <c r="W22" s="66">
        <f t="shared" si="7"/>
        <v>16</v>
      </c>
      <c r="X22" s="90">
        <f t="shared" si="8"/>
        <v>15.0992</v>
      </c>
      <c r="Y22" s="127"/>
      <c r="Z22" s="138"/>
    </row>
    <row r="23" spans="1:26" s="1" customFormat="1" ht="22.5">
      <c r="A23" s="139">
        <v>11</v>
      </c>
      <c r="B23" s="12" t="s">
        <v>155</v>
      </c>
      <c r="C23" s="69">
        <v>6.3</v>
      </c>
      <c r="D23" s="47">
        <f>D24+D25</f>
        <v>1.7290000000000001</v>
      </c>
      <c r="E23" s="12">
        <f t="shared" si="19"/>
        <v>6.3</v>
      </c>
      <c r="F23" s="12" t="s">
        <v>12</v>
      </c>
      <c r="G23" s="48">
        <f t="shared" si="0"/>
        <v>6.3</v>
      </c>
      <c r="H23" s="12">
        <v>0</v>
      </c>
      <c r="I23" s="48">
        <f t="shared" si="1"/>
        <v>6.3</v>
      </c>
      <c r="J23" s="106">
        <f t="shared" si="2"/>
        <v>4.5709999999999997</v>
      </c>
      <c r="K23" s="125">
        <f>MIN(J23:J25)</f>
        <v>4.5709999999999997</v>
      </c>
      <c r="L23" s="128" t="s">
        <v>24</v>
      </c>
      <c r="M23" s="16"/>
      <c r="N23" s="139">
        <v>11</v>
      </c>
      <c r="O23" s="12" t="s">
        <v>155</v>
      </c>
      <c r="P23" s="15">
        <v>6.3</v>
      </c>
      <c r="Q23" s="86">
        <f>Q25</f>
        <v>1.4137999999999997</v>
      </c>
      <c r="R23" s="79">
        <f t="shared" si="20"/>
        <v>3.1427999999999998</v>
      </c>
      <c r="S23" s="18">
        <f t="shared" si="21"/>
        <v>6.3</v>
      </c>
      <c r="T23" s="18" t="str">
        <f t="shared" si="17"/>
        <v>1 сутки</v>
      </c>
      <c r="U23" s="64">
        <f t="shared" si="6"/>
        <v>6.3</v>
      </c>
      <c r="V23" s="18">
        <v>0</v>
      </c>
      <c r="W23" s="66">
        <f t="shared" si="7"/>
        <v>6.3</v>
      </c>
      <c r="X23" s="90">
        <f t="shared" si="8"/>
        <v>3.1572</v>
      </c>
      <c r="Y23" s="125">
        <f>MIN(X23:X25)</f>
        <v>3.1572</v>
      </c>
      <c r="Z23" s="128" t="s">
        <v>24</v>
      </c>
    </row>
    <row r="24" spans="1:26" s="1" customFormat="1" ht="21" customHeight="1">
      <c r="A24" s="140"/>
      <c r="B24" s="80" t="s">
        <v>57</v>
      </c>
      <c r="C24" s="63">
        <v>6.3</v>
      </c>
      <c r="D24" s="48">
        <v>0.82199999999999995</v>
      </c>
      <c r="E24" s="12">
        <f t="shared" si="19"/>
        <v>6.3</v>
      </c>
      <c r="F24" s="12" t="s">
        <v>12</v>
      </c>
      <c r="G24" s="48">
        <f t="shared" si="0"/>
        <v>6.3</v>
      </c>
      <c r="H24" s="12">
        <v>0</v>
      </c>
      <c r="I24" s="48">
        <f t="shared" si="1"/>
        <v>6.3</v>
      </c>
      <c r="J24" s="106">
        <f t="shared" si="2"/>
        <v>5.4779999999999998</v>
      </c>
      <c r="K24" s="151"/>
      <c r="L24" s="137"/>
      <c r="M24" s="16"/>
      <c r="N24" s="140"/>
      <c r="O24" s="27" t="s">
        <v>57</v>
      </c>
      <c r="P24" s="28">
        <v>6.3</v>
      </c>
      <c r="Q24" s="85"/>
      <c r="R24" s="79">
        <f t="shared" si="20"/>
        <v>0.82199999999999995</v>
      </c>
      <c r="S24" s="18">
        <f t="shared" si="21"/>
        <v>6.3</v>
      </c>
      <c r="T24" s="18" t="str">
        <f t="shared" si="17"/>
        <v>1 сутки</v>
      </c>
      <c r="U24" s="64">
        <f t="shared" si="6"/>
        <v>6.3</v>
      </c>
      <c r="V24" s="18">
        <v>0</v>
      </c>
      <c r="W24" s="66">
        <f t="shared" si="7"/>
        <v>6.3</v>
      </c>
      <c r="X24" s="90">
        <f t="shared" si="8"/>
        <v>5.4779999999999998</v>
      </c>
      <c r="Y24" s="126"/>
      <c r="Z24" s="137"/>
    </row>
    <row r="25" spans="1:26" s="1" customFormat="1" ht="20.25" customHeight="1">
      <c r="A25" s="141"/>
      <c r="B25" s="80" t="s">
        <v>44</v>
      </c>
      <c r="C25" s="63">
        <v>6.3</v>
      </c>
      <c r="D25" s="48">
        <v>0.90700000000000003</v>
      </c>
      <c r="E25" s="12">
        <f t="shared" si="19"/>
        <v>6.3</v>
      </c>
      <c r="F25" s="12" t="s">
        <v>12</v>
      </c>
      <c r="G25" s="48">
        <f t="shared" si="0"/>
        <v>6.3</v>
      </c>
      <c r="H25" s="12">
        <v>0</v>
      </c>
      <c r="I25" s="48">
        <f t="shared" si="1"/>
        <v>6.3</v>
      </c>
      <c r="J25" s="106">
        <f t="shared" si="2"/>
        <v>5.3929999999999998</v>
      </c>
      <c r="K25" s="152"/>
      <c r="L25" s="138"/>
      <c r="M25" s="16"/>
      <c r="N25" s="141"/>
      <c r="O25" s="27" t="s">
        <v>44</v>
      </c>
      <c r="P25" s="28">
        <v>6.3</v>
      </c>
      <c r="Q25" s="85">
        <f>0.082+0.016+0.005+0.005+0.181+0.0161+0.1806+0.0161+0.4564+0.0161+0.0151+0.5639-0.7034+0.5639</f>
        <v>1.4137999999999997</v>
      </c>
      <c r="R25" s="79">
        <f t="shared" si="20"/>
        <v>2.3207999999999998</v>
      </c>
      <c r="S25" s="18">
        <f t="shared" si="21"/>
        <v>6.3</v>
      </c>
      <c r="T25" s="18" t="str">
        <f t="shared" si="17"/>
        <v>1 сутки</v>
      </c>
      <c r="U25" s="64">
        <f t="shared" si="6"/>
        <v>6.3</v>
      </c>
      <c r="V25" s="18">
        <v>0</v>
      </c>
      <c r="W25" s="66">
        <f t="shared" si="7"/>
        <v>6.3</v>
      </c>
      <c r="X25" s="90">
        <f t="shared" si="8"/>
        <v>3.9792000000000001</v>
      </c>
      <c r="Y25" s="127"/>
      <c r="Z25" s="138"/>
    </row>
    <row r="26" spans="1:26" s="74" customFormat="1" ht="22.5">
      <c r="A26" s="18">
        <v>12</v>
      </c>
      <c r="B26" s="18" t="s">
        <v>103</v>
      </c>
      <c r="C26" s="69">
        <v>2.5</v>
      </c>
      <c r="D26" s="79">
        <v>0.40200000000000002</v>
      </c>
      <c r="E26" s="18">
        <f t="shared" si="19"/>
        <v>2.5</v>
      </c>
      <c r="F26" s="18" t="s">
        <v>12</v>
      </c>
      <c r="G26" s="82">
        <f t="shared" si="0"/>
        <v>2.5</v>
      </c>
      <c r="H26" s="18">
        <v>0</v>
      </c>
      <c r="I26" s="82">
        <f t="shared" si="1"/>
        <v>2.5</v>
      </c>
      <c r="J26" s="90">
        <f t="shared" si="2"/>
        <v>2.0979999999999999</v>
      </c>
      <c r="K26" s="90">
        <f t="shared" ref="K26:K28" si="23">J26</f>
        <v>2.0979999999999999</v>
      </c>
      <c r="L26" s="97" t="s">
        <v>24</v>
      </c>
      <c r="M26" s="104"/>
      <c r="N26" s="18">
        <v>12</v>
      </c>
      <c r="O26" s="18" t="s">
        <v>103</v>
      </c>
      <c r="P26" s="69">
        <v>2.5</v>
      </c>
      <c r="Q26" s="108">
        <f>0.019+0.016+0.024+0.0129-0.007+0.0108-0.0183</f>
        <v>5.7400000000000007E-2</v>
      </c>
      <c r="R26" s="79">
        <f t="shared" ref="R26:R48" si="24">Q26+D26</f>
        <v>0.45940000000000003</v>
      </c>
      <c r="S26" s="18">
        <f t="shared" si="21"/>
        <v>2.5</v>
      </c>
      <c r="T26" s="18" t="str">
        <f t="shared" si="17"/>
        <v>1 сутки</v>
      </c>
      <c r="U26" s="64">
        <f t="shared" si="6"/>
        <v>2.5</v>
      </c>
      <c r="V26" s="18">
        <v>0</v>
      </c>
      <c r="W26" s="66">
        <f t="shared" si="7"/>
        <v>2.5</v>
      </c>
      <c r="X26" s="90">
        <f t="shared" si="8"/>
        <v>2.0406</v>
      </c>
      <c r="Y26" s="90">
        <f t="shared" ref="Y26:Y48" si="25">X26</f>
        <v>2.0406</v>
      </c>
      <c r="Z26" s="18" t="s">
        <v>24</v>
      </c>
    </row>
    <row r="27" spans="1:26" s="1" customFormat="1" ht="22.5">
      <c r="A27" s="18">
        <v>13</v>
      </c>
      <c r="B27" s="12" t="s">
        <v>104</v>
      </c>
      <c r="C27" s="69">
        <v>1.6</v>
      </c>
      <c r="D27" s="47">
        <v>0.4</v>
      </c>
      <c r="E27" s="12">
        <f t="shared" ref="E27:E48" si="26">C27</f>
        <v>1.6</v>
      </c>
      <c r="F27" s="12" t="s">
        <v>12</v>
      </c>
      <c r="G27" s="48">
        <f t="shared" si="0"/>
        <v>1.6</v>
      </c>
      <c r="H27" s="12">
        <v>0</v>
      </c>
      <c r="I27" s="48">
        <f t="shared" si="1"/>
        <v>1.6</v>
      </c>
      <c r="J27" s="106">
        <f t="shared" si="2"/>
        <v>1.2000000000000002</v>
      </c>
      <c r="K27" s="106">
        <f t="shared" si="23"/>
        <v>1.2000000000000002</v>
      </c>
      <c r="L27" s="17" t="s">
        <v>24</v>
      </c>
      <c r="M27" s="16"/>
      <c r="N27" s="18">
        <v>13</v>
      </c>
      <c r="O27" s="12" t="s">
        <v>104</v>
      </c>
      <c r="P27" s="15">
        <v>1.6</v>
      </c>
      <c r="Q27" s="86">
        <v>0</v>
      </c>
      <c r="R27" s="79">
        <f t="shared" si="24"/>
        <v>0.4</v>
      </c>
      <c r="S27" s="18">
        <f t="shared" si="21"/>
        <v>1.6</v>
      </c>
      <c r="T27" s="18" t="str">
        <f t="shared" si="17"/>
        <v>1 сутки</v>
      </c>
      <c r="U27" s="64">
        <f t="shared" si="6"/>
        <v>1.6</v>
      </c>
      <c r="V27" s="18">
        <v>0</v>
      </c>
      <c r="W27" s="66">
        <f t="shared" si="7"/>
        <v>1.6</v>
      </c>
      <c r="X27" s="90">
        <f t="shared" si="8"/>
        <v>1.2000000000000002</v>
      </c>
      <c r="Y27" s="90">
        <f t="shared" si="25"/>
        <v>1.2000000000000002</v>
      </c>
      <c r="Z27" s="12" t="s">
        <v>24</v>
      </c>
    </row>
    <row r="28" spans="1:26" s="1" customFormat="1" ht="22.5">
      <c r="A28" s="18">
        <v>14</v>
      </c>
      <c r="B28" s="12" t="s">
        <v>116</v>
      </c>
      <c r="C28" s="69">
        <v>2.5</v>
      </c>
      <c r="D28" s="47">
        <v>0.51400000000000001</v>
      </c>
      <c r="E28" s="12">
        <f t="shared" si="26"/>
        <v>2.5</v>
      </c>
      <c r="F28" s="12" t="s">
        <v>12</v>
      </c>
      <c r="G28" s="48">
        <f t="shared" si="0"/>
        <v>2.5</v>
      </c>
      <c r="H28" s="12">
        <v>0</v>
      </c>
      <c r="I28" s="48">
        <f t="shared" si="1"/>
        <v>2.5</v>
      </c>
      <c r="J28" s="106">
        <f t="shared" si="2"/>
        <v>1.986</v>
      </c>
      <c r="K28" s="106">
        <f t="shared" si="23"/>
        <v>1.986</v>
      </c>
      <c r="L28" s="17" t="s">
        <v>24</v>
      </c>
      <c r="M28" s="16"/>
      <c r="N28" s="18">
        <v>14</v>
      </c>
      <c r="O28" s="12" t="s">
        <v>116</v>
      </c>
      <c r="P28" s="15">
        <v>2.5</v>
      </c>
      <c r="Q28" s="86">
        <f>0.091+0.016+0.009+0.288+0.487+0.005+0.0054-0.2091+0.0011+0.0054+0.0048+0.172-0.0183+0.0387</f>
        <v>0.89599999999999991</v>
      </c>
      <c r="R28" s="79">
        <f t="shared" si="24"/>
        <v>1.41</v>
      </c>
      <c r="S28" s="18">
        <f t="shared" si="21"/>
        <v>2.5</v>
      </c>
      <c r="T28" s="18" t="str">
        <f t="shared" si="17"/>
        <v>1 сутки</v>
      </c>
      <c r="U28" s="64">
        <f t="shared" si="6"/>
        <v>2.5</v>
      </c>
      <c r="V28" s="18">
        <v>0</v>
      </c>
      <c r="W28" s="66">
        <f t="shared" si="7"/>
        <v>2.5</v>
      </c>
      <c r="X28" s="90">
        <f t="shared" si="8"/>
        <v>1.0900000000000001</v>
      </c>
      <c r="Y28" s="90">
        <f t="shared" si="25"/>
        <v>1.0900000000000001</v>
      </c>
      <c r="Z28" s="12" t="s">
        <v>24</v>
      </c>
    </row>
    <row r="29" spans="1:26" s="1" customFormat="1" ht="22.5">
      <c r="A29" s="18">
        <v>15</v>
      </c>
      <c r="B29" s="12" t="s">
        <v>117</v>
      </c>
      <c r="C29" s="69">
        <v>2.5</v>
      </c>
      <c r="D29" s="47">
        <v>0.58599999999999997</v>
      </c>
      <c r="E29" s="12">
        <f t="shared" si="26"/>
        <v>2.5</v>
      </c>
      <c r="F29" s="12" t="s">
        <v>12</v>
      </c>
      <c r="G29" s="48">
        <f t="shared" si="0"/>
        <v>2.5</v>
      </c>
      <c r="H29" s="12">
        <v>0</v>
      </c>
      <c r="I29" s="48">
        <f t="shared" si="1"/>
        <v>2.5</v>
      </c>
      <c r="J29" s="106">
        <f t="shared" si="2"/>
        <v>1.9140000000000001</v>
      </c>
      <c r="K29" s="106">
        <f t="shared" ref="K29:K48" si="27">J29</f>
        <v>1.9140000000000001</v>
      </c>
      <c r="L29" s="17" t="s">
        <v>24</v>
      </c>
      <c r="M29" s="16"/>
      <c r="N29" s="18">
        <v>15</v>
      </c>
      <c r="O29" s="12" t="s">
        <v>117</v>
      </c>
      <c r="P29" s="15">
        <v>2.5</v>
      </c>
      <c r="Q29" s="86">
        <f>0.001+0.01+0.0161+0.0161+0.0032+0.0161+0.0011+0.0065-0.0161</f>
        <v>5.4000000000000006E-2</v>
      </c>
      <c r="R29" s="79">
        <f t="shared" si="24"/>
        <v>0.64</v>
      </c>
      <c r="S29" s="18">
        <f t="shared" si="21"/>
        <v>2.5</v>
      </c>
      <c r="T29" s="18" t="str">
        <f t="shared" si="17"/>
        <v>1 сутки</v>
      </c>
      <c r="U29" s="64">
        <f t="shared" si="6"/>
        <v>2.5</v>
      </c>
      <c r="V29" s="18">
        <v>0</v>
      </c>
      <c r="W29" s="66">
        <f t="shared" si="7"/>
        <v>2.5</v>
      </c>
      <c r="X29" s="90">
        <f t="shared" si="8"/>
        <v>1.8599999999999999</v>
      </c>
      <c r="Y29" s="90">
        <f t="shared" si="25"/>
        <v>1.8599999999999999</v>
      </c>
      <c r="Z29" s="12" t="s">
        <v>24</v>
      </c>
    </row>
    <row r="30" spans="1:26" s="1" customFormat="1" ht="22.5">
      <c r="A30" s="18">
        <v>16</v>
      </c>
      <c r="B30" s="12" t="s">
        <v>214</v>
      </c>
      <c r="C30" s="69">
        <v>4</v>
      </c>
      <c r="D30" s="47">
        <v>0.85</v>
      </c>
      <c r="E30" s="12">
        <f t="shared" si="26"/>
        <v>4</v>
      </c>
      <c r="F30" s="12" t="s">
        <v>12</v>
      </c>
      <c r="G30" s="48">
        <f t="shared" si="0"/>
        <v>4</v>
      </c>
      <c r="H30" s="12">
        <v>0</v>
      </c>
      <c r="I30" s="48">
        <f t="shared" si="1"/>
        <v>4</v>
      </c>
      <c r="J30" s="106">
        <f t="shared" si="2"/>
        <v>3.15</v>
      </c>
      <c r="K30" s="106">
        <f t="shared" si="27"/>
        <v>3.15</v>
      </c>
      <c r="L30" s="17" t="s">
        <v>24</v>
      </c>
      <c r="M30" s="16"/>
      <c r="N30" s="18">
        <v>16</v>
      </c>
      <c r="O30" s="12" t="s">
        <v>121</v>
      </c>
      <c r="P30" s="15">
        <v>4</v>
      </c>
      <c r="Q30" s="86">
        <v>3.0000000000000001E-3</v>
      </c>
      <c r="R30" s="79">
        <f t="shared" si="24"/>
        <v>0.85299999999999998</v>
      </c>
      <c r="S30" s="18">
        <f t="shared" si="21"/>
        <v>4</v>
      </c>
      <c r="T30" s="18" t="str">
        <f t="shared" si="17"/>
        <v>1 сутки</v>
      </c>
      <c r="U30" s="64">
        <f t="shared" si="6"/>
        <v>4</v>
      </c>
      <c r="V30" s="18">
        <v>0</v>
      </c>
      <c r="W30" s="66">
        <f t="shared" si="7"/>
        <v>4</v>
      </c>
      <c r="X30" s="90">
        <f t="shared" si="8"/>
        <v>3.1470000000000002</v>
      </c>
      <c r="Y30" s="90">
        <f t="shared" si="25"/>
        <v>3.1470000000000002</v>
      </c>
      <c r="Z30" s="12" t="s">
        <v>24</v>
      </c>
    </row>
    <row r="31" spans="1:26" s="1" customFormat="1" ht="27" customHeight="1">
      <c r="A31" s="18">
        <v>17</v>
      </c>
      <c r="B31" s="12" t="s">
        <v>127</v>
      </c>
      <c r="C31" s="69">
        <v>4</v>
      </c>
      <c r="D31" s="47">
        <v>0.72</v>
      </c>
      <c r="E31" s="12">
        <f t="shared" si="26"/>
        <v>4</v>
      </c>
      <c r="F31" s="12" t="s">
        <v>12</v>
      </c>
      <c r="G31" s="48">
        <f t="shared" si="0"/>
        <v>4</v>
      </c>
      <c r="H31" s="12">
        <v>0</v>
      </c>
      <c r="I31" s="48">
        <f t="shared" si="1"/>
        <v>4</v>
      </c>
      <c r="J31" s="106">
        <f t="shared" si="2"/>
        <v>3.2800000000000002</v>
      </c>
      <c r="K31" s="106">
        <f t="shared" si="27"/>
        <v>3.2800000000000002</v>
      </c>
      <c r="L31" s="17" t="s">
        <v>24</v>
      </c>
      <c r="M31" s="16"/>
      <c r="N31" s="18">
        <v>17</v>
      </c>
      <c r="O31" s="12" t="s">
        <v>127</v>
      </c>
      <c r="P31" s="15">
        <v>4</v>
      </c>
      <c r="Q31" s="86">
        <f>0.031+0.018+0.005+0.005+0.011+0.016+0.005+0.007+0.0011+0.0215+0.005376+0.0129-0.0124</f>
        <v>0.12647600000000001</v>
      </c>
      <c r="R31" s="79">
        <f t="shared" si="24"/>
        <v>0.84647600000000001</v>
      </c>
      <c r="S31" s="18">
        <f t="shared" si="21"/>
        <v>4</v>
      </c>
      <c r="T31" s="18" t="str">
        <f t="shared" si="17"/>
        <v>1 сутки</v>
      </c>
      <c r="U31" s="64">
        <f t="shared" si="6"/>
        <v>4</v>
      </c>
      <c r="V31" s="18">
        <v>0</v>
      </c>
      <c r="W31" s="66">
        <f t="shared" si="7"/>
        <v>4</v>
      </c>
      <c r="X31" s="90">
        <f t="shared" si="8"/>
        <v>3.153524</v>
      </c>
      <c r="Y31" s="90">
        <f t="shared" si="25"/>
        <v>3.153524</v>
      </c>
      <c r="Z31" s="12" t="s">
        <v>24</v>
      </c>
    </row>
    <row r="32" spans="1:26" s="1" customFormat="1" ht="22.5">
      <c r="A32" s="18">
        <v>18</v>
      </c>
      <c r="B32" s="12" t="s">
        <v>128</v>
      </c>
      <c r="C32" s="69">
        <v>1.6</v>
      </c>
      <c r="D32" s="47">
        <v>0.52700000000000002</v>
      </c>
      <c r="E32" s="12">
        <f t="shared" si="26"/>
        <v>1.6</v>
      </c>
      <c r="F32" s="12" t="s">
        <v>12</v>
      </c>
      <c r="G32" s="48">
        <f t="shared" si="0"/>
        <v>1.6</v>
      </c>
      <c r="H32" s="12">
        <v>0</v>
      </c>
      <c r="I32" s="48">
        <f t="shared" si="1"/>
        <v>1.6</v>
      </c>
      <c r="J32" s="106">
        <f t="shared" si="2"/>
        <v>1.073</v>
      </c>
      <c r="K32" s="106">
        <f t="shared" si="27"/>
        <v>1.073</v>
      </c>
      <c r="L32" s="17" t="s">
        <v>24</v>
      </c>
      <c r="M32" s="16"/>
      <c r="N32" s="18">
        <v>18</v>
      </c>
      <c r="O32" s="12" t="s">
        <v>128</v>
      </c>
      <c r="P32" s="15">
        <v>1.6</v>
      </c>
      <c r="Q32" s="86">
        <f>0.016+0.725-0.109</f>
        <v>0.63200000000000001</v>
      </c>
      <c r="R32" s="79">
        <f t="shared" si="24"/>
        <v>1.159</v>
      </c>
      <c r="S32" s="18">
        <f t="shared" si="21"/>
        <v>1.6</v>
      </c>
      <c r="T32" s="18" t="str">
        <f t="shared" si="17"/>
        <v>1 сутки</v>
      </c>
      <c r="U32" s="64">
        <f t="shared" si="6"/>
        <v>1.6</v>
      </c>
      <c r="V32" s="18">
        <v>0</v>
      </c>
      <c r="W32" s="66">
        <f t="shared" si="7"/>
        <v>1.6</v>
      </c>
      <c r="X32" s="90">
        <f t="shared" si="8"/>
        <v>0.44100000000000006</v>
      </c>
      <c r="Y32" s="90">
        <f t="shared" si="25"/>
        <v>0.44100000000000006</v>
      </c>
      <c r="Z32" s="12" t="s">
        <v>24</v>
      </c>
    </row>
    <row r="33" spans="1:26" s="1" customFormat="1" ht="22.5">
      <c r="A33" s="18">
        <v>19</v>
      </c>
      <c r="B33" s="12" t="s">
        <v>139</v>
      </c>
      <c r="C33" s="69">
        <v>2.5</v>
      </c>
      <c r="D33" s="47">
        <v>0.45200000000000001</v>
      </c>
      <c r="E33" s="12">
        <f t="shared" si="26"/>
        <v>2.5</v>
      </c>
      <c r="F33" s="12" t="s">
        <v>12</v>
      </c>
      <c r="G33" s="48">
        <f t="shared" si="0"/>
        <v>2.5</v>
      </c>
      <c r="H33" s="12">
        <v>0</v>
      </c>
      <c r="I33" s="48">
        <f t="shared" si="1"/>
        <v>2.5</v>
      </c>
      <c r="J33" s="106">
        <f t="shared" si="2"/>
        <v>2.048</v>
      </c>
      <c r="K33" s="106">
        <f t="shared" si="27"/>
        <v>2.048</v>
      </c>
      <c r="L33" s="17" t="s">
        <v>24</v>
      </c>
      <c r="M33" s="16"/>
      <c r="N33" s="18">
        <v>19</v>
      </c>
      <c r="O33" s="12" t="s">
        <v>139</v>
      </c>
      <c r="P33" s="15">
        <v>2.5</v>
      </c>
      <c r="Q33" s="86">
        <f>0.002+0.003+0.0161+0.0376-0.0202</f>
        <v>3.8500000000000006E-2</v>
      </c>
      <c r="R33" s="79">
        <f t="shared" si="24"/>
        <v>0.49050000000000005</v>
      </c>
      <c r="S33" s="18">
        <f t="shared" si="21"/>
        <v>2.5</v>
      </c>
      <c r="T33" s="18" t="str">
        <f t="shared" si="17"/>
        <v>1 сутки</v>
      </c>
      <c r="U33" s="64">
        <f t="shared" si="6"/>
        <v>2.5</v>
      </c>
      <c r="V33" s="18">
        <v>0</v>
      </c>
      <c r="W33" s="66">
        <f t="shared" si="7"/>
        <v>2.5</v>
      </c>
      <c r="X33" s="90">
        <f t="shared" si="8"/>
        <v>2.0095000000000001</v>
      </c>
      <c r="Y33" s="90">
        <f t="shared" si="25"/>
        <v>2.0095000000000001</v>
      </c>
      <c r="Z33" s="12" t="s">
        <v>24</v>
      </c>
    </row>
    <row r="34" spans="1:26" s="1" customFormat="1" ht="22.5">
      <c r="A34" s="18">
        <v>20</v>
      </c>
      <c r="B34" s="12" t="s">
        <v>140</v>
      </c>
      <c r="C34" s="69">
        <v>2.5</v>
      </c>
      <c r="D34" s="47">
        <v>0.34300000000000003</v>
      </c>
      <c r="E34" s="12">
        <f t="shared" si="26"/>
        <v>2.5</v>
      </c>
      <c r="F34" s="12" t="s">
        <v>12</v>
      </c>
      <c r="G34" s="48">
        <f t="shared" si="0"/>
        <v>2.5</v>
      </c>
      <c r="H34" s="12">
        <v>0</v>
      </c>
      <c r="I34" s="48">
        <f t="shared" si="1"/>
        <v>2.5</v>
      </c>
      <c r="J34" s="106">
        <f t="shared" si="2"/>
        <v>2.157</v>
      </c>
      <c r="K34" s="106">
        <f t="shared" si="27"/>
        <v>2.157</v>
      </c>
      <c r="L34" s="17" t="s">
        <v>24</v>
      </c>
      <c r="M34" s="16"/>
      <c r="N34" s="18">
        <v>20</v>
      </c>
      <c r="O34" s="12" t="s">
        <v>140</v>
      </c>
      <c r="P34" s="15">
        <v>2.5</v>
      </c>
      <c r="Q34" s="86">
        <f>0.005+0.0161-0.0048</f>
        <v>1.6300000000000002E-2</v>
      </c>
      <c r="R34" s="79">
        <f t="shared" si="24"/>
        <v>0.35930000000000001</v>
      </c>
      <c r="S34" s="18">
        <f t="shared" si="21"/>
        <v>2.5</v>
      </c>
      <c r="T34" s="18" t="str">
        <f t="shared" si="17"/>
        <v>1 сутки</v>
      </c>
      <c r="U34" s="64">
        <f t="shared" si="6"/>
        <v>2.5</v>
      </c>
      <c r="V34" s="18">
        <v>0</v>
      </c>
      <c r="W34" s="66">
        <f t="shared" si="7"/>
        <v>2.5</v>
      </c>
      <c r="X34" s="90">
        <f t="shared" si="8"/>
        <v>2.1406999999999998</v>
      </c>
      <c r="Y34" s="90">
        <f t="shared" si="25"/>
        <v>2.1406999999999998</v>
      </c>
      <c r="Z34" s="12" t="s">
        <v>24</v>
      </c>
    </row>
    <row r="35" spans="1:26" s="1" customFormat="1" ht="22.5">
      <c r="A35" s="18">
        <v>21</v>
      </c>
      <c r="B35" s="12" t="s">
        <v>141</v>
      </c>
      <c r="C35" s="69">
        <v>2.5</v>
      </c>
      <c r="D35" s="47">
        <v>0.753</v>
      </c>
      <c r="E35" s="12">
        <f t="shared" si="26"/>
        <v>2.5</v>
      </c>
      <c r="F35" s="12" t="s">
        <v>12</v>
      </c>
      <c r="G35" s="48">
        <f t="shared" si="0"/>
        <v>2.5</v>
      </c>
      <c r="H35" s="12">
        <v>0</v>
      </c>
      <c r="I35" s="48">
        <f t="shared" si="1"/>
        <v>2.5</v>
      </c>
      <c r="J35" s="106">
        <f t="shared" si="2"/>
        <v>1.7469999999999999</v>
      </c>
      <c r="K35" s="106">
        <f t="shared" si="27"/>
        <v>1.7469999999999999</v>
      </c>
      <c r="L35" s="17" t="s">
        <v>24</v>
      </c>
      <c r="M35" s="16"/>
      <c r="N35" s="18">
        <v>21</v>
      </c>
      <c r="O35" s="12" t="s">
        <v>141</v>
      </c>
      <c r="P35" s="15">
        <v>2.5</v>
      </c>
      <c r="Q35" s="86">
        <f>0.01</f>
        <v>0.01</v>
      </c>
      <c r="R35" s="79">
        <f t="shared" si="24"/>
        <v>0.76300000000000001</v>
      </c>
      <c r="S35" s="18">
        <f t="shared" si="21"/>
        <v>2.5</v>
      </c>
      <c r="T35" s="18" t="str">
        <f t="shared" si="17"/>
        <v>1 сутки</v>
      </c>
      <c r="U35" s="64">
        <f t="shared" si="6"/>
        <v>2.5</v>
      </c>
      <c r="V35" s="18">
        <v>0</v>
      </c>
      <c r="W35" s="66">
        <f t="shared" si="7"/>
        <v>2.5</v>
      </c>
      <c r="X35" s="90">
        <f t="shared" si="8"/>
        <v>1.7370000000000001</v>
      </c>
      <c r="Y35" s="90">
        <f t="shared" si="25"/>
        <v>1.7370000000000001</v>
      </c>
      <c r="Z35" s="12" t="s">
        <v>24</v>
      </c>
    </row>
    <row r="36" spans="1:26" s="1" customFormat="1" ht="22.5">
      <c r="A36" s="18">
        <v>22</v>
      </c>
      <c r="B36" s="12" t="s">
        <v>142</v>
      </c>
      <c r="C36" s="69">
        <v>4</v>
      </c>
      <c r="D36" s="47">
        <v>0.379</v>
      </c>
      <c r="E36" s="12">
        <f t="shared" si="26"/>
        <v>4</v>
      </c>
      <c r="F36" s="12" t="s">
        <v>12</v>
      </c>
      <c r="G36" s="48">
        <f t="shared" si="0"/>
        <v>4</v>
      </c>
      <c r="H36" s="12">
        <v>0</v>
      </c>
      <c r="I36" s="48">
        <f t="shared" si="1"/>
        <v>4</v>
      </c>
      <c r="J36" s="106">
        <f t="shared" si="2"/>
        <v>3.621</v>
      </c>
      <c r="K36" s="106">
        <f t="shared" si="27"/>
        <v>3.621</v>
      </c>
      <c r="L36" s="17" t="s">
        <v>24</v>
      </c>
      <c r="M36" s="16"/>
      <c r="N36" s="18">
        <v>22</v>
      </c>
      <c r="O36" s="12" t="s">
        <v>142</v>
      </c>
      <c r="P36" s="15">
        <v>4</v>
      </c>
      <c r="Q36" s="86">
        <f>0.005+0.0043-0.0054+0.0032-0.0032</f>
        <v>3.8999999999999985E-3</v>
      </c>
      <c r="R36" s="79">
        <f t="shared" si="24"/>
        <v>0.38290000000000002</v>
      </c>
      <c r="S36" s="18">
        <f t="shared" si="21"/>
        <v>4</v>
      </c>
      <c r="T36" s="18" t="str">
        <f t="shared" si="17"/>
        <v>1 сутки</v>
      </c>
      <c r="U36" s="64">
        <f t="shared" si="6"/>
        <v>4</v>
      </c>
      <c r="V36" s="18">
        <v>0</v>
      </c>
      <c r="W36" s="66">
        <f t="shared" si="7"/>
        <v>4</v>
      </c>
      <c r="X36" s="90">
        <f t="shared" si="8"/>
        <v>3.6170999999999998</v>
      </c>
      <c r="Y36" s="90">
        <f t="shared" si="25"/>
        <v>3.6170999999999998</v>
      </c>
      <c r="Z36" s="12" t="s">
        <v>24</v>
      </c>
    </row>
    <row r="37" spans="1:26" s="1" customFormat="1" ht="22.5">
      <c r="A37" s="18">
        <v>23</v>
      </c>
      <c r="B37" s="12" t="s">
        <v>143</v>
      </c>
      <c r="C37" s="69">
        <v>2.5</v>
      </c>
      <c r="D37" s="47">
        <v>0.496</v>
      </c>
      <c r="E37" s="12">
        <f t="shared" si="26"/>
        <v>2.5</v>
      </c>
      <c r="F37" s="12" t="s">
        <v>12</v>
      </c>
      <c r="G37" s="48">
        <f t="shared" si="0"/>
        <v>2.5</v>
      </c>
      <c r="H37" s="12">
        <v>0</v>
      </c>
      <c r="I37" s="48">
        <f t="shared" si="1"/>
        <v>2.5</v>
      </c>
      <c r="J37" s="106">
        <f t="shared" si="2"/>
        <v>2.004</v>
      </c>
      <c r="K37" s="106">
        <f t="shared" si="27"/>
        <v>2.004</v>
      </c>
      <c r="L37" s="17" t="s">
        <v>24</v>
      </c>
      <c r="M37" s="16"/>
      <c r="N37" s="18">
        <v>23</v>
      </c>
      <c r="O37" s="12" t="s">
        <v>143</v>
      </c>
      <c r="P37" s="15">
        <v>2.5</v>
      </c>
      <c r="Q37" s="86">
        <f>0.02+0.005+0.002+0.011+0.016+0.0161-0.0129+0.0462+0.028+0.0065+0.0199+0.0161-0.0484+0.0043+0.0161</f>
        <v>0.14590000000000003</v>
      </c>
      <c r="R37" s="79">
        <f t="shared" si="24"/>
        <v>0.64190000000000003</v>
      </c>
      <c r="S37" s="18">
        <f t="shared" si="21"/>
        <v>2.5</v>
      </c>
      <c r="T37" s="18" t="str">
        <f t="shared" si="17"/>
        <v>1 сутки</v>
      </c>
      <c r="U37" s="64">
        <f t="shared" si="6"/>
        <v>2.5</v>
      </c>
      <c r="V37" s="18">
        <v>0</v>
      </c>
      <c r="W37" s="66">
        <f t="shared" si="7"/>
        <v>2.5</v>
      </c>
      <c r="X37" s="90">
        <f t="shared" si="8"/>
        <v>1.8580999999999999</v>
      </c>
      <c r="Y37" s="90">
        <f t="shared" si="25"/>
        <v>1.8580999999999999</v>
      </c>
      <c r="Z37" s="12" t="s">
        <v>24</v>
      </c>
    </row>
    <row r="38" spans="1:26" s="1" customFormat="1" ht="22.5">
      <c r="A38" s="18">
        <v>24</v>
      </c>
      <c r="B38" s="12" t="s">
        <v>146</v>
      </c>
      <c r="C38" s="69">
        <v>4</v>
      </c>
      <c r="D38" s="47">
        <v>1.36</v>
      </c>
      <c r="E38" s="12">
        <f t="shared" si="26"/>
        <v>4</v>
      </c>
      <c r="F38" s="12" t="s">
        <v>12</v>
      </c>
      <c r="G38" s="48">
        <f t="shared" si="0"/>
        <v>4</v>
      </c>
      <c r="H38" s="12">
        <v>0</v>
      </c>
      <c r="I38" s="48">
        <f t="shared" si="1"/>
        <v>4</v>
      </c>
      <c r="J38" s="106">
        <f t="shared" si="2"/>
        <v>2.6399999999999997</v>
      </c>
      <c r="K38" s="106">
        <f t="shared" si="27"/>
        <v>2.6399999999999997</v>
      </c>
      <c r="L38" s="17" t="s">
        <v>24</v>
      </c>
      <c r="M38" s="16"/>
      <c r="N38" s="18">
        <v>24</v>
      </c>
      <c r="O38" s="12" t="s">
        <v>146</v>
      </c>
      <c r="P38" s="15">
        <v>4</v>
      </c>
      <c r="Q38" s="86">
        <f>0.009+1.129+0.0161+0.0462-0.5209+0.1613+0.1613+0.269+0.5914-0.3129+0.5914</f>
        <v>2.1409000000000002</v>
      </c>
      <c r="R38" s="79">
        <f t="shared" si="24"/>
        <v>3.5009000000000006</v>
      </c>
      <c r="S38" s="18">
        <f t="shared" si="21"/>
        <v>4</v>
      </c>
      <c r="T38" s="18" t="str">
        <f t="shared" si="17"/>
        <v>1 сутки</v>
      </c>
      <c r="U38" s="64">
        <f t="shared" si="6"/>
        <v>4</v>
      </c>
      <c r="V38" s="18">
        <v>0</v>
      </c>
      <c r="W38" s="66">
        <f t="shared" si="7"/>
        <v>4</v>
      </c>
      <c r="X38" s="90">
        <f t="shared" si="8"/>
        <v>0.49909999999999943</v>
      </c>
      <c r="Y38" s="90">
        <f t="shared" si="25"/>
        <v>0.49909999999999943</v>
      </c>
      <c r="Z38" s="12" t="s">
        <v>24</v>
      </c>
    </row>
    <row r="39" spans="1:26" s="1" customFormat="1" ht="22.5">
      <c r="A39" s="18">
        <v>25</v>
      </c>
      <c r="B39" s="12" t="s">
        <v>148</v>
      </c>
      <c r="C39" s="69">
        <v>2.5</v>
      </c>
      <c r="D39" s="47">
        <v>0.61299999999999999</v>
      </c>
      <c r="E39" s="12">
        <f t="shared" si="26"/>
        <v>2.5</v>
      </c>
      <c r="F39" s="12" t="s">
        <v>12</v>
      </c>
      <c r="G39" s="48">
        <f t="shared" si="0"/>
        <v>2.5</v>
      </c>
      <c r="H39" s="12">
        <v>0</v>
      </c>
      <c r="I39" s="48">
        <f t="shared" si="1"/>
        <v>2.5</v>
      </c>
      <c r="J39" s="106">
        <f t="shared" si="2"/>
        <v>1.887</v>
      </c>
      <c r="K39" s="106">
        <f t="shared" si="27"/>
        <v>1.887</v>
      </c>
      <c r="L39" s="17" t="s">
        <v>24</v>
      </c>
      <c r="M39" s="16"/>
      <c r="N39" s="18">
        <v>25</v>
      </c>
      <c r="O39" s="12" t="s">
        <v>148</v>
      </c>
      <c r="P39" s="15">
        <v>2.5</v>
      </c>
      <c r="Q39" s="86">
        <f>0.03+0.016+0.008</f>
        <v>5.3999999999999999E-2</v>
      </c>
      <c r="R39" s="79">
        <f t="shared" si="24"/>
        <v>0.66700000000000004</v>
      </c>
      <c r="S39" s="18">
        <f t="shared" si="21"/>
        <v>2.5</v>
      </c>
      <c r="T39" s="18" t="str">
        <f t="shared" si="17"/>
        <v>1 сутки</v>
      </c>
      <c r="U39" s="64">
        <f t="shared" si="6"/>
        <v>2.5</v>
      </c>
      <c r="V39" s="18">
        <v>0</v>
      </c>
      <c r="W39" s="66">
        <f t="shared" si="7"/>
        <v>2.5</v>
      </c>
      <c r="X39" s="90">
        <f t="shared" si="8"/>
        <v>1.833</v>
      </c>
      <c r="Y39" s="90">
        <f t="shared" si="25"/>
        <v>1.833</v>
      </c>
      <c r="Z39" s="12" t="s">
        <v>24</v>
      </c>
    </row>
    <row r="40" spans="1:26" s="1" customFormat="1" ht="22.5">
      <c r="A40" s="18">
        <v>26</v>
      </c>
      <c r="B40" s="12" t="s">
        <v>152</v>
      </c>
      <c r="C40" s="69">
        <v>1</v>
      </c>
      <c r="D40" s="47">
        <v>0.08</v>
      </c>
      <c r="E40" s="12">
        <f t="shared" si="26"/>
        <v>1</v>
      </c>
      <c r="F40" s="12" t="s">
        <v>12</v>
      </c>
      <c r="G40" s="48">
        <f t="shared" si="0"/>
        <v>1</v>
      </c>
      <c r="H40" s="12">
        <v>0</v>
      </c>
      <c r="I40" s="48">
        <f t="shared" si="1"/>
        <v>1</v>
      </c>
      <c r="J40" s="106">
        <f t="shared" si="2"/>
        <v>0.92</v>
      </c>
      <c r="K40" s="106">
        <f t="shared" si="27"/>
        <v>0.92</v>
      </c>
      <c r="L40" s="17" t="s">
        <v>24</v>
      </c>
      <c r="M40" s="16"/>
      <c r="N40" s="18">
        <v>26</v>
      </c>
      <c r="O40" s="12" t="s">
        <v>152</v>
      </c>
      <c r="P40" s="15">
        <v>1</v>
      </c>
      <c r="Q40" s="86">
        <v>0</v>
      </c>
      <c r="R40" s="79">
        <f t="shared" si="24"/>
        <v>0.08</v>
      </c>
      <c r="S40" s="18">
        <f t="shared" si="21"/>
        <v>1</v>
      </c>
      <c r="T40" s="18" t="str">
        <f t="shared" si="17"/>
        <v>1 сутки</v>
      </c>
      <c r="U40" s="64">
        <f t="shared" si="6"/>
        <v>1</v>
      </c>
      <c r="V40" s="18">
        <v>0</v>
      </c>
      <c r="W40" s="66">
        <f t="shared" si="7"/>
        <v>1</v>
      </c>
      <c r="X40" s="90">
        <f t="shared" si="8"/>
        <v>0.92</v>
      </c>
      <c r="Y40" s="90">
        <f t="shared" si="25"/>
        <v>0.92</v>
      </c>
      <c r="Z40" s="12" t="s">
        <v>24</v>
      </c>
    </row>
    <row r="41" spans="1:26" s="1" customFormat="1" ht="24.75" customHeight="1">
      <c r="A41" s="18">
        <v>27</v>
      </c>
      <c r="B41" s="12" t="s">
        <v>153</v>
      </c>
      <c r="C41" s="69">
        <v>4</v>
      </c>
      <c r="D41" s="47">
        <v>0.748</v>
      </c>
      <c r="E41" s="12">
        <f t="shared" si="26"/>
        <v>4</v>
      </c>
      <c r="F41" s="12" t="s">
        <v>12</v>
      </c>
      <c r="G41" s="48">
        <f t="shared" si="0"/>
        <v>4</v>
      </c>
      <c r="H41" s="12">
        <v>0</v>
      </c>
      <c r="I41" s="48">
        <f t="shared" si="1"/>
        <v>4</v>
      </c>
      <c r="J41" s="106">
        <f t="shared" si="2"/>
        <v>3.2519999999999998</v>
      </c>
      <c r="K41" s="106">
        <f t="shared" si="27"/>
        <v>3.2519999999999998</v>
      </c>
      <c r="L41" s="17" t="s">
        <v>24</v>
      </c>
      <c r="M41" s="16"/>
      <c r="N41" s="18">
        <v>27</v>
      </c>
      <c r="O41" s="12" t="s">
        <v>153</v>
      </c>
      <c r="P41" s="15">
        <v>4</v>
      </c>
      <c r="Q41" s="86">
        <f>0.1+0.01+0.007-0.0032+0.006+0.0097</f>
        <v>0.1295</v>
      </c>
      <c r="R41" s="79">
        <f t="shared" si="24"/>
        <v>0.87749999999999995</v>
      </c>
      <c r="S41" s="18">
        <f t="shared" si="21"/>
        <v>4</v>
      </c>
      <c r="T41" s="18" t="str">
        <f t="shared" si="17"/>
        <v>1 сутки</v>
      </c>
      <c r="U41" s="64">
        <f t="shared" si="6"/>
        <v>4</v>
      </c>
      <c r="V41" s="18">
        <v>0</v>
      </c>
      <c r="W41" s="66">
        <f t="shared" si="7"/>
        <v>4</v>
      </c>
      <c r="X41" s="90">
        <f t="shared" si="8"/>
        <v>3.1225000000000001</v>
      </c>
      <c r="Y41" s="90">
        <f t="shared" si="25"/>
        <v>3.1225000000000001</v>
      </c>
      <c r="Z41" s="12" t="s">
        <v>24</v>
      </c>
    </row>
    <row r="42" spans="1:26" s="1" customFormat="1" ht="22.5">
      <c r="A42" s="18">
        <v>28</v>
      </c>
      <c r="B42" s="12" t="s">
        <v>213</v>
      </c>
      <c r="C42" s="69">
        <v>2.5</v>
      </c>
      <c r="D42" s="47">
        <v>0.63</v>
      </c>
      <c r="E42" s="12">
        <f t="shared" si="26"/>
        <v>2.5</v>
      </c>
      <c r="F42" s="12" t="s">
        <v>12</v>
      </c>
      <c r="G42" s="48">
        <f t="shared" si="0"/>
        <v>2.5</v>
      </c>
      <c r="H42" s="12">
        <v>0</v>
      </c>
      <c r="I42" s="48">
        <f t="shared" si="1"/>
        <v>2.5</v>
      </c>
      <c r="J42" s="106">
        <f t="shared" si="2"/>
        <v>1.87</v>
      </c>
      <c r="K42" s="106">
        <f t="shared" si="27"/>
        <v>1.87</v>
      </c>
      <c r="L42" s="17" t="s">
        <v>24</v>
      </c>
      <c r="M42" s="16"/>
      <c r="N42" s="18">
        <v>28</v>
      </c>
      <c r="O42" s="12" t="s">
        <v>213</v>
      </c>
      <c r="P42" s="15">
        <v>2.5</v>
      </c>
      <c r="Q42" s="86">
        <f>0.005+0.003+0.005+0.0156+0.215</f>
        <v>0.24359999999999998</v>
      </c>
      <c r="R42" s="79">
        <f t="shared" si="24"/>
        <v>0.87359999999999993</v>
      </c>
      <c r="S42" s="18">
        <f t="shared" si="21"/>
        <v>2.5</v>
      </c>
      <c r="T42" s="18" t="str">
        <f t="shared" si="17"/>
        <v>1 сутки</v>
      </c>
      <c r="U42" s="64">
        <f t="shared" si="6"/>
        <v>2.5</v>
      </c>
      <c r="V42" s="18">
        <v>0</v>
      </c>
      <c r="W42" s="66">
        <f t="shared" si="7"/>
        <v>2.5</v>
      </c>
      <c r="X42" s="90">
        <f t="shared" si="8"/>
        <v>1.6264000000000001</v>
      </c>
      <c r="Y42" s="90">
        <f t="shared" si="25"/>
        <v>1.6264000000000001</v>
      </c>
      <c r="Z42" s="12" t="s">
        <v>24</v>
      </c>
    </row>
    <row r="43" spans="1:26" s="1" customFormat="1" ht="22.5">
      <c r="A43" s="18">
        <v>29</v>
      </c>
      <c r="B43" s="12" t="s">
        <v>197</v>
      </c>
      <c r="C43" s="69">
        <v>1.6</v>
      </c>
      <c r="D43" s="47">
        <v>0.22500000000000001</v>
      </c>
      <c r="E43" s="12">
        <f t="shared" si="26"/>
        <v>1.6</v>
      </c>
      <c r="F43" s="12" t="s">
        <v>12</v>
      </c>
      <c r="G43" s="48">
        <f t="shared" si="0"/>
        <v>1.6</v>
      </c>
      <c r="H43" s="12">
        <v>0</v>
      </c>
      <c r="I43" s="48">
        <f t="shared" si="1"/>
        <v>1.6</v>
      </c>
      <c r="J43" s="106">
        <f t="shared" si="2"/>
        <v>1.375</v>
      </c>
      <c r="K43" s="106">
        <f t="shared" si="27"/>
        <v>1.375</v>
      </c>
      <c r="L43" s="17" t="s">
        <v>24</v>
      </c>
      <c r="M43" s="16"/>
      <c r="N43" s="18">
        <v>29</v>
      </c>
      <c r="O43" s="12" t="s">
        <v>197</v>
      </c>
      <c r="P43" s="15">
        <v>1.6</v>
      </c>
      <c r="Q43" s="86">
        <f>0.0108-0.0097</f>
        <v>1.1000000000000003E-3</v>
      </c>
      <c r="R43" s="79">
        <f t="shared" si="24"/>
        <v>0.2261</v>
      </c>
      <c r="S43" s="18">
        <f t="shared" si="21"/>
        <v>1.6</v>
      </c>
      <c r="T43" s="18" t="str">
        <f t="shared" si="17"/>
        <v>1 сутки</v>
      </c>
      <c r="U43" s="64">
        <f t="shared" si="6"/>
        <v>1.6</v>
      </c>
      <c r="V43" s="18">
        <v>0</v>
      </c>
      <c r="W43" s="66">
        <f t="shared" si="7"/>
        <v>1.6</v>
      </c>
      <c r="X43" s="90">
        <f t="shared" si="8"/>
        <v>1.3739000000000001</v>
      </c>
      <c r="Y43" s="90">
        <f t="shared" si="25"/>
        <v>1.3739000000000001</v>
      </c>
      <c r="Z43" s="12" t="s">
        <v>24</v>
      </c>
    </row>
    <row r="44" spans="1:26" s="1" customFormat="1" ht="22.5">
      <c r="A44" s="18">
        <v>30</v>
      </c>
      <c r="B44" s="12" t="s">
        <v>199</v>
      </c>
      <c r="C44" s="69">
        <v>2.5</v>
      </c>
      <c r="D44" s="47">
        <v>0.32200000000000001</v>
      </c>
      <c r="E44" s="12">
        <f t="shared" si="26"/>
        <v>2.5</v>
      </c>
      <c r="F44" s="12" t="s">
        <v>12</v>
      </c>
      <c r="G44" s="48">
        <f t="shared" si="0"/>
        <v>2.5</v>
      </c>
      <c r="H44" s="12">
        <v>0</v>
      </c>
      <c r="I44" s="48">
        <f t="shared" si="1"/>
        <v>2.5</v>
      </c>
      <c r="J44" s="106">
        <f t="shared" si="2"/>
        <v>2.1779999999999999</v>
      </c>
      <c r="K44" s="106">
        <f t="shared" si="27"/>
        <v>2.1779999999999999</v>
      </c>
      <c r="L44" s="17" t="s">
        <v>24</v>
      </c>
      <c r="M44" s="16"/>
      <c r="N44" s="18">
        <v>30</v>
      </c>
      <c r="O44" s="12" t="s">
        <v>199</v>
      </c>
      <c r="P44" s="15">
        <v>2.5</v>
      </c>
      <c r="Q44" s="86">
        <f>0.003+0.005+0.003+0.003-0.0086-0.003+0.0108</f>
        <v>1.32E-2</v>
      </c>
      <c r="R44" s="79">
        <f t="shared" si="24"/>
        <v>0.3352</v>
      </c>
      <c r="S44" s="18">
        <f t="shared" si="21"/>
        <v>2.5</v>
      </c>
      <c r="T44" s="18" t="str">
        <f t="shared" si="17"/>
        <v>1 сутки</v>
      </c>
      <c r="U44" s="64">
        <f t="shared" si="6"/>
        <v>2.5</v>
      </c>
      <c r="V44" s="18">
        <v>0</v>
      </c>
      <c r="W44" s="66">
        <f t="shared" si="7"/>
        <v>2.5</v>
      </c>
      <c r="X44" s="90">
        <f t="shared" si="8"/>
        <v>2.1648000000000001</v>
      </c>
      <c r="Y44" s="90">
        <f t="shared" si="25"/>
        <v>2.1648000000000001</v>
      </c>
      <c r="Z44" s="12" t="s">
        <v>24</v>
      </c>
    </row>
    <row r="45" spans="1:26" s="1" customFormat="1" ht="22.5">
      <c r="A45" s="18">
        <v>31</v>
      </c>
      <c r="B45" s="12" t="s">
        <v>201</v>
      </c>
      <c r="C45" s="69">
        <v>1.6</v>
      </c>
      <c r="D45" s="47">
        <v>0.53700000000000003</v>
      </c>
      <c r="E45" s="12">
        <f t="shared" si="26"/>
        <v>1.6</v>
      </c>
      <c r="F45" s="12" t="s">
        <v>12</v>
      </c>
      <c r="G45" s="48">
        <f t="shared" si="0"/>
        <v>1.6</v>
      </c>
      <c r="H45" s="12">
        <v>0</v>
      </c>
      <c r="I45" s="48">
        <f t="shared" si="1"/>
        <v>1.6</v>
      </c>
      <c r="J45" s="106">
        <f t="shared" si="2"/>
        <v>1.0630000000000002</v>
      </c>
      <c r="K45" s="106">
        <f t="shared" si="27"/>
        <v>1.0630000000000002</v>
      </c>
      <c r="L45" s="17" t="s">
        <v>24</v>
      </c>
      <c r="M45" s="16"/>
      <c r="N45" s="18">
        <v>31</v>
      </c>
      <c r="O45" s="12" t="s">
        <v>201</v>
      </c>
      <c r="P45" s="15">
        <v>1.6</v>
      </c>
      <c r="Q45" s="86">
        <f>0.022+0.01+0.024+0.016+0.0054+0.0183+0.0086-0.0371</f>
        <v>6.720000000000001E-2</v>
      </c>
      <c r="R45" s="79">
        <f t="shared" si="24"/>
        <v>0.60420000000000007</v>
      </c>
      <c r="S45" s="18">
        <f t="shared" si="21"/>
        <v>1.6</v>
      </c>
      <c r="T45" s="18" t="str">
        <f t="shared" si="17"/>
        <v>1 сутки</v>
      </c>
      <c r="U45" s="64">
        <f t="shared" si="6"/>
        <v>1.6</v>
      </c>
      <c r="V45" s="18">
        <v>0</v>
      </c>
      <c r="W45" s="66">
        <f t="shared" si="7"/>
        <v>1.6</v>
      </c>
      <c r="X45" s="90">
        <f t="shared" si="8"/>
        <v>0.99580000000000002</v>
      </c>
      <c r="Y45" s="90">
        <f t="shared" si="25"/>
        <v>0.99580000000000002</v>
      </c>
      <c r="Z45" s="12" t="s">
        <v>24</v>
      </c>
    </row>
    <row r="46" spans="1:26" s="1" customFormat="1" ht="22.5">
      <c r="A46" s="18">
        <v>32</v>
      </c>
      <c r="B46" s="12" t="s">
        <v>208</v>
      </c>
      <c r="C46" s="69">
        <v>1.6</v>
      </c>
      <c r="D46" s="47">
        <v>0.29399999999999998</v>
      </c>
      <c r="E46" s="12">
        <f t="shared" si="26"/>
        <v>1.6</v>
      </c>
      <c r="F46" s="12" t="s">
        <v>12</v>
      </c>
      <c r="G46" s="48">
        <f t="shared" si="0"/>
        <v>1.6</v>
      </c>
      <c r="H46" s="12">
        <v>0</v>
      </c>
      <c r="I46" s="48">
        <f t="shared" si="1"/>
        <v>1.6</v>
      </c>
      <c r="J46" s="106">
        <f t="shared" si="2"/>
        <v>1.306</v>
      </c>
      <c r="K46" s="106">
        <f t="shared" si="27"/>
        <v>1.306</v>
      </c>
      <c r="L46" s="17" t="s">
        <v>24</v>
      </c>
      <c r="M46" s="16"/>
      <c r="N46" s="18">
        <v>32</v>
      </c>
      <c r="O46" s="12" t="s">
        <v>208</v>
      </c>
      <c r="P46" s="15">
        <v>1.6</v>
      </c>
      <c r="Q46" s="86">
        <f>0.005+0.005+0.007+0.005+0.0054+0.0048+0.0032+0.0065-0.0301</f>
        <v>1.1800000000000001E-2</v>
      </c>
      <c r="R46" s="79">
        <f t="shared" si="24"/>
        <v>0.30579999999999996</v>
      </c>
      <c r="S46" s="18">
        <f t="shared" si="21"/>
        <v>1.6</v>
      </c>
      <c r="T46" s="18" t="str">
        <f t="shared" si="17"/>
        <v>1 сутки</v>
      </c>
      <c r="U46" s="64">
        <f t="shared" si="6"/>
        <v>1.6</v>
      </c>
      <c r="V46" s="18">
        <v>0</v>
      </c>
      <c r="W46" s="66">
        <f t="shared" si="7"/>
        <v>1.6</v>
      </c>
      <c r="X46" s="90">
        <f t="shared" si="8"/>
        <v>1.2942</v>
      </c>
      <c r="Y46" s="90">
        <f t="shared" si="25"/>
        <v>1.2942</v>
      </c>
      <c r="Z46" s="12" t="s">
        <v>24</v>
      </c>
    </row>
    <row r="47" spans="1:26" s="1" customFormat="1" ht="22.5">
      <c r="A47" s="18">
        <v>32</v>
      </c>
      <c r="B47" s="12" t="s">
        <v>209</v>
      </c>
      <c r="C47" s="69">
        <v>1.6</v>
      </c>
      <c r="D47" s="47">
        <v>4.9000000000000002E-2</v>
      </c>
      <c r="E47" s="12">
        <f t="shared" si="26"/>
        <v>1.6</v>
      </c>
      <c r="F47" s="12" t="s">
        <v>12</v>
      </c>
      <c r="G47" s="48">
        <f t="shared" si="0"/>
        <v>1.6</v>
      </c>
      <c r="H47" s="12">
        <v>0</v>
      </c>
      <c r="I47" s="48">
        <f t="shared" si="1"/>
        <v>1.6</v>
      </c>
      <c r="J47" s="106">
        <f t="shared" si="2"/>
        <v>1.5510000000000002</v>
      </c>
      <c r="K47" s="106">
        <f t="shared" si="27"/>
        <v>1.5510000000000002</v>
      </c>
      <c r="L47" s="17" t="s">
        <v>24</v>
      </c>
      <c r="M47" s="16"/>
      <c r="N47" s="18">
        <v>32</v>
      </c>
      <c r="O47" s="12" t="s">
        <v>209</v>
      </c>
      <c r="P47" s="15">
        <v>1.6</v>
      </c>
      <c r="Q47" s="86">
        <v>0</v>
      </c>
      <c r="R47" s="79">
        <f t="shared" si="24"/>
        <v>4.9000000000000002E-2</v>
      </c>
      <c r="S47" s="18">
        <f t="shared" si="21"/>
        <v>1.6</v>
      </c>
      <c r="T47" s="18" t="str">
        <f t="shared" si="17"/>
        <v>1 сутки</v>
      </c>
      <c r="U47" s="64">
        <f t="shared" si="6"/>
        <v>1.6</v>
      </c>
      <c r="V47" s="18">
        <v>0</v>
      </c>
      <c r="W47" s="66">
        <f t="shared" si="7"/>
        <v>1.6</v>
      </c>
      <c r="X47" s="90">
        <f t="shared" si="8"/>
        <v>1.5510000000000002</v>
      </c>
      <c r="Y47" s="90">
        <f t="shared" si="25"/>
        <v>1.5510000000000002</v>
      </c>
      <c r="Z47" s="12" t="s">
        <v>24</v>
      </c>
    </row>
    <row r="48" spans="1:26" s="1" customFormat="1" ht="22.5">
      <c r="A48" s="18">
        <v>33</v>
      </c>
      <c r="B48" s="12" t="s">
        <v>212</v>
      </c>
      <c r="C48" s="69">
        <v>2.5</v>
      </c>
      <c r="D48" s="47">
        <v>0.54700000000000004</v>
      </c>
      <c r="E48" s="12">
        <f t="shared" si="26"/>
        <v>2.5</v>
      </c>
      <c r="F48" s="12" t="s">
        <v>12</v>
      </c>
      <c r="G48" s="48">
        <f t="shared" si="0"/>
        <v>2.5</v>
      </c>
      <c r="H48" s="12">
        <v>0</v>
      </c>
      <c r="I48" s="48">
        <f t="shared" si="1"/>
        <v>2.5</v>
      </c>
      <c r="J48" s="106">
        <f t="shared" si="2"/>
        <v>1.9529999999999998</v>
      </c>
      <c r="K48" s="106">
        <f t="shared" si="27"/>
        <v>1.9529999999999998</v>
      </c>
      <c r="L48" s="17" t="s">
        <v>24</v>
      </c>
      <c r="M48" s="16"/>
      <c r="N48" s="18">
        <v>33</v>
      </c>
      <c r="O48" s="12" t="s">
        <v>212</v>
      </c>
      <c r="P48" s="15">
        <v>2.5</v>
      </c>
      <c r="Q48" s="86">
        <f>0.025+0.009+0.016+0.065+0.0043-0.1011+0.0155+0.0054+0.080639+0.0075</f>
        <v>0.12723900000000002</v>
      </c>
      <c r="R48" s="79">
        <f t="shared" si="24"/>
        <v>0.67423900000000003</v>
      </c>
      <c r="S48" s="18">
        <f t="shared" si="21"/>
        <v>2.5</v>
      </c>
      <c r="T48" s="18" t="str">
        <f t="shared" si="17"/>
        <v>1 сутки</v>
      </c>
      <c r="U48" s="64">
        <f t="shared" si="6"/>
        <v>2.5</v>
      </c>
      <c r="V48" s="18">
        <v>0</v>
      </c>
      <c r="W48" s="66">
        <f t="shared" si="7"/>
        <v>2.5</v>
      </c>
      <c r="X48" s="90">
        <f t="shared" si="8"/>
        <v>1.825761</v>
      </c>
      <c r="Y48" s="90">
        <f t="shared" si="25"/>
        <v>1.825761</v>
      </c>
      <c r="Z48" s="12" t="s">
        <v>24</v>
      </c>
    </row>
    <row r="49" spans="1:26" s="1" customFormat="1" ht="22.5">
      <c r="A49" s="139">
        <v>34</v>
      </c>
      <c r="B49" s="25" t="s">
        <v>70</v>
      </c>
      <c r="C49" s="63" t="s">
        <v>37</v>
      </c>
      <c r="D49" s="48">
        <f>D50+D51</f>
        <v>18.677</v>
      </c>
      <c r="E49" s="25">
        <f>E50+E51</f>
        <v>0</v>
      </c>
      <c r="F49" s="25">
        <v>0</v>
      </c>
      <c r="G49" s="26">
        <f t="shared" ref="G49:G71" si="28">D49-E49</f>
        <v>18.677</v>
      </c>
      <c r="H49" s="25">
        <v>0</v>
      </c>
      <c r="I49" s="24">
        <f>1.05*40</f>
        <v>42</v>
      </c>
      <c r="J49" s="5">
        <f>I49-G49-H49</f>
        <v>23.323</v>
      </c>
      <c r="K49" s="125">
        <f>MIN(J49:J51)</f>
        <v>23.323</v>
      </c>
      <c r="L49" s="128" t="s">
        <v>24</v>
      </c>
      <c r="M49" s="16"/>
      <c r="N49" s="139">
        <v>34</v>
      </c>
      <c r="O49" s="25" t="s">
        <v>70</v>
      </c>
      <c r="P49" s="28" t="s">
        <v>37</v>
      </c>
      <c r="Q49" s="85">
        <f>Q51</f>
        <v>1.7399999999999999E-2</v>
      </c>
      <c r="R49" s="47">
        <f>R50+R51</f>
        <v>18.694399999999998</v>
      </c>
      <c r="S49" s="25">
        <f>S50+S51</f>
        <v>0</v>
      </c>
      <c r="T49" s="25">
        <v>0</v>
      </c>
      <c r="U49" s="26">
        <f t="shared" ref="U49:U71" si="29">R49-S49</f>
        <v>18.694399999999998</v>
      </c>
      <c r="V49" s="25">
        <v>0</v>
      </c>
      <c r="W49" s="24">
        <f>1.05*40</f>
        <v>42</v>
      </c>
      <c r="X49" s="5">
        <f>W49-U49-V49</f>
        <v>23.305600000000002</v>
      </c>
      <c r="Y49" s="125">
        <f>MIN(X49:X51)</f>
        <v>23.305600000000002</v>
      </c>
      <c r="Z49" s="128" t="s">
        <v>24</v>
      </c>
    </row>
    <row r="50" spans="1:26" s="1" customFormat="1" ht="24" customHeight="1">
      <c r="A50" s="156"/>
      <c r="B50" s="27" t="s">
        <v>57</v>
      </c>
      <c r="C50" s="63" t="s">
        <v>37</v>
      </c>
      <c r="D50" s="48">
        <v>2.57</v>
      </c>
      <c r="E50" s="25">
        <v>0</v>
      </c>
      <c r="F50" s="25">
        <v>0</v>
      </c>
      <c r="G50" s="26">
        <f t="shared" si="28"/>
        <v>2.57</v>
      </c>
      <c r="H50" s="25">
        <v>0</v>
      </c>
      <c r="I50" s="24">
        <f>1.05*40</f>
        <v>42</v>
      </c>
      <c r="J50" s="5">
        <f>I50-D50</f>
        <v>39.43</v>
      </c>
      <c r="K50" s="151"/>
      <c r="L50" s="129"/>
      <c r="M50" s="16"/>
      <c r="N50" s="156"/>
      <c r="O50" s="27" t="s">
        <v>57</v>
      </c>
      <c r="P50" s="28" t="s">
        <v>37</v>
      </c>
      <c r="Q50" s="85"/>
      <c r="R50" s="47">
        <f t="shared" si="11"/>
        <v>2.57</v>
      </c>
      <c r="S50" s="25">
        <v>0</v>
      </c>
      <c r="T50" s="25">
        <v>0</v>
      </c>
      <c r="U50" s="26">
        <f t="shared" si="29"/>
        <v>2.57</v>
      </c>
      <c r="V50" s="25">
        <v>0</v>
      </c>
      <c r="W50" s="24">
        <f>1.05*40</f>
        <v>42</v>
      </c>
      <c r="X50" s="5">
        <f>W50-R50</f>
        <v>39.43</v>
      </c>
      <c r="Y50" s="126"/>
      <c r="Z50" s="137"/>
    </row>
    <row r="51" spans="1:26" s="1" customFormat="1" ht="21.75" customHeight="1">
      <c r="A51" s="157"/>
      <c r="B51" s="27" t="s">
        <v>44</v>
      </c>
      <c r="C51" s="63" t="s">
        <v>37</v>
      </c>
      <c r="D51" s="48">
        <v>16.106999999999999</v>
      </c>
      <c r="E51" s="25">
        <v>0</v>
      </c>
      <c r="F51" s="25">
        <v>0</v>
      </c>
      <c r="G51" s="26">
        <f t="shared" si="28"/>
        <v>16.106999999999999</v>
      </c>
      <c r="H51" s="25">
        <v>0</v>
      </c>
      <c r="I51" s="24">
        <f>1.05*40</f>
        <v>42</v>
      </c>
      <c r="J51" s="5">
        <f t="shared" ref="J51:J57" si="30">I51-G51-H51</f>
        <v>25.893000000000001</v>
      </c>
      <c r="K51" s="152"/>
      <c r="L51" s="130"/>
      <c r="M51" s="16"/>
      <c r="N51" s="157"/>
      <c r="O51" s="27" t="s">
        <v>44</v>
      </c>
      <c r="P51" s="28" t="s">
        <v>37</v>
      </c>
      <c r="Q51" s="85">
        <f>0.005+0.009+0.005+0.0048-0.0048+0.0024-0.0048+0.0008</f>
        <v>1.7399999999999999E-2</v>
      </c>
      <c r="R51" s="47">
        <f t="shared" si="11"/>
        <v>16.124399999999998</v>
      </c>
      <c r="S51" s="25">
        <v>0</v>
      </c>
      <c r="T51" s="25">
        <v>0</v>
      </c>
      <c r="U51" s="26">
        <f t="shared" si="29"/>
        <v>16.124399999999998</v>
      </c>
      <c r="V51" s="25">
        <v>0</v>
      </c>
      <c r="W51" s="24">
        <f>1.05*40</f>
        <v>42</v>
      </c>
      <c r="X51" s="5">
        <f t="shared" ref="X51:X57" si="31">W51-U51-V51</f>
        <v>25.875600000000002</v>
      </c>
      <c r="Y51" s="127"/>
      <c r="Z51" s="138"/>
    </row>
    <row r="52" spans="1:26" s="1" customFormat="1" ht="22.5">
      <c r="A52" s="18">
        <v>35</v>
      </c>
      <c r="B52" s="65" t="s">
        <v>71</v>
      </c>
      <c r="C52" s="63" t="s">
        <v>29</v>
      </c>
      <c r="D52" s="48">
        <v>0.71499999999999997</v>
      </c>
      <c r="E52" s="25">
        <v>0</v>
      </c>
      <c r="F52" s="25">
        <v>0</v>
      </c>
      <c r="G52" s="26">
        <f t="shared" si="28"/>
        <v>0.71499999999999997</v>
      </c>
      <c r="H52" s="25">
        <v>0</v>
      </c>
      <c r="I52" s="24">
        <f>1.05*6.3</f>
        <v>6.6150000000000002</v>
      </c>
      <c r="J52" s="6">
        <f t="shared" si="30"/>
        <v>5.9</v>
      </c>
      <c r="K52" s="48">
        <f>J52</f>
        <v>5.9</v>
      </c>
      <c r="L52" s="17" t="s">
        <v>24</v>
      </c>
      <c r="M52" s="16"/>
      <c r="N52" s="18">
        <v>35</v>
      </c>
      <c r="O52" s="25" t="s">
        <v>71</v>
      </c>
      <c r="P52" s="28" t="s">
        <v>29</v>
      </c>
      <c r="Q52" s="85">
        <f>0.003+0.005+0.005+0.0376+0.0097+0.0032+0.0215+0.0194</f>
        <v>0.10439999999999999</v>
      </c>
      <c r="R52" s="47">
        <f>Q52+D52</f>
        <v>0.81939999999999991</v>
      </c>
      <c r="S52" s="25">
        <v>0</v>
      </c>
      <c r="T52" s="25">
        <v>0</v>
      </c>
      <c r="U52" s="26">
        <f t="shared" si="29"/>
        <v>0.81939999999999991</v>
      </c>
      <c r="V52" s="25">
        <v>0</v>
      </c>
      <c r="W52" s="24">
        <f>1.05*6.3</f>
        <v>6.6150000000000002</v>
      </c>
      <c r="X52" s="6">
        <f t="shared" si="31"/>
        <v>5.7956000000000003</v>
      </c>
      <c r="Y52" s="48">
        <f>X52</f>
        <v>5.7956000000000003</v>
      </c>
      <c r="Z52" s="12" t="s">
        <v>24</v>
      </c>
    </row>
    <row r="53" spans="1:26" s="37" customFormat="1" ht="22.5">
      <c r="A53" s="22">
        <v>36</v>
      </c>
      <c r="B53" s="31" t="s">
        <v>72</v>
      </c>
      <c r="C53" s="32" t="s">
        <v>48</v>
      </c>
      <c r="D53" s="49">
        <v>27.183</v>
      </c>
      <c r="E53" s="31">
        <v>0</v>
      </c>
      <c r="F53" s="31">
        <v>0</v>
      </c>
      <c r="G53" s="29">
        <f t="shared" si="28"/>
        <v>27.183</v>
      </c>
      <c r="H53" s="31">
        <v>0</v>
      </c>
      <c r="I53" s="30">
        <f>1.05*25</f>
        <v>26.25</v>
      </c>
      <c r="J53" s="4">
        <f t="shared" si="30"/>
        <v>-0.93299999999999983</v>
      </c>
      <c r="K53" s="49">
        <f>J53</f>
        <v>-0.93299999999999983</v>
      </c>
      <c r="L53" s="19" t="s">
        <v>25</v>
      </c>
      <c r="M53" s="36"/>
      <c r="N53" s="22">
        <v>36</v>
      </c>
      <c r="O53" s="31" t="s">
        <v>72</v>
      </c>
      <c r="P53" s="32" t="s">
        <v>48</v>
      </c>
      <c r="Q53" s="87">
        <f>3.182+0.629+0.2021+0.5215+0.204+0.2451</f>
        <v>4.9836999999999989</v>
      </c>
      <c r="R53" s="51">
        <f t="shared" si="11"/>
        <v>32.166699999999999</v>
      </c>
      <c r="S53" s="31">
        <v>0</v>
      </c>
      <c r="T53" s="31">
        <v>0</v>
      </c>
      <c r="U53" s="29">
        <f t="shared" si="29"/>
        <v>32.166699999999999</v>
      </c>
      <c r="V53" s="31">
        <v>0</v>
      </c>
      <c r="W53" s="30">
        <f>1.05*25</f>
        <v>26.25</v>
      </c>
      <c r="X53" s="4">
        <f>W53-U53-V53</f>
        <v>-5.9166999999999987</v>
      </c>
      <c r="Y53" s="49">
        <f>X53</f>
        <v>-5.9166999999999987</v>
      </c>
      <c r="Z53" s="22" t="s">
        <v>25</v>
      </c>
    </row>
    <row r="54" spans="1:26" s="1" customFormat="1" ht="22.5">
      <c r="A54" s="18">
        <v>37</v>
      </c>
      <c r="B54" s="65" t="s">
        <v>73</v>
      </c>
      <c r="C54" s="63" t="s">
        <v>29</v>
      </c>
      <c r="D54" s="48">
        <v>3.6</v>
      </c>
      <c r="E54" s="25">
        <v>0</v>
      </c>
      <c r="F54" s="25">
        <v>0</v>
      </c>
      <c r="G54" s="26">
        <f t="shared" si="28"/>
        <v>3.6</v>
      </c>
      <c r="H54" s="25">
        <v>0</v>
      </c>
      <c r="I54" s="24">
        <f>1.05*6.3</f>
        <v>6.6150000000000002</v>
      </c>
      <c r="J54" s="6">
        <f t="shared" si="30"/>
        <v>3.0150000000000001</v>
      </c>
      <c r="K54" s="48">
        <f>J54</f>
        <v>3.0150000000000001</v>
      </c>
      <c r="L54" s="17" t="s">
        <v>24</v>
      </c>
      <c r="M54" s="16"/>
      <c r="N54" s="18">
        <v>37</v>
      </c>
      <c r="O54" s="25" t="s">
        <v>73</v>
      </c>
      <c r="P54" s="28" t="s">
        <v>29</v>
      </c>
      <c r="Q54" s="85">
        <f>0.811+0.005+0.026+0.016+0.005-0.0349+0.0161+0.0161+0.0054+1.0827+0.0215+0.0054+0.010752-0.1925+0.0075+0.0054</f>
        <v>1.8064520000000002</v>
      </c>
      <c r="R54" s="47">
        <f t="shared" si="11"/>
        <v>5.4064519999999998</v>
      </c>
      <c r="S54" s="25">
        <v>0</v>
      </c>
      <c r="T54" s="25">
        <v>0</v>
      </c>
      <c r="U54" s="26">
        <f t="shared" si="29"/>
        <v>5.4064519999999998</v>
      </c>
      <c r="V54" s="25">
        <v>0</v>
      </c>
      <c r="W54" s="24">
        <f>1.05*6.3</f>
        <v>6.6150000000000002</v>
      </c>
      <c r="X54" s="6">
        <f t="shared" si="31"/>
        <v>1.2085480000000004</v>
      </c>
      <c r="Y54" s="48">
        <f>X54</f>
        <v>1.2085480000000004</v>
      </c>
      <c r="Z54" s="12" t="s">
        <v>24</v>
      </c>
    </row>
    <row r="55" spans="1:26" s="1" customFormat="1" ht="22.5">
      <c r="A55" s="22">
        <v>38</v>
      </c>
      <c r="B55" s="31" t="s">
        <v>74</v>
      </c>
      <c r="C55" s="32" t="s">
        <v>30</v>
      </c>
      <c r="D55" s="49">
        <v>20.67</v>
      </c>
      <c r="E55" s="31">
        <v>1.5</v>
      </c>
      <c r="F55" s="31" t="s">
        <v>61</v>
      </c>
      <c r="G55" s="29">
        <f t="shared" si="28"/>
        <v>19.170000000000002</v>
      </c>
      <c r="H55" s="31">
        <v>0</v>
      </c>
      <c r="I55" s="30">
        <f>1.05*16</f>
        <v>16.8</v>
      </c>
      <c r="J55" s="4">
        <f t="shared" si="30"/>
        <v>-2.370000000000001</v>
      </c>
      <c r="K55" s="49">
        <f>J55</f>
        <v>-2.370000000000001</v>
      </c>
      <c r="L55" s="19" t="s">
        <v>25</v>
      </c>
      <c r="M55" s="36"/>
      <c r="N55" s="22">
        <v>38</v>
      </c>
      <c r="O55" s="31" t="s">
        <v>74</v>
      </c>
      <c r="P55" s="32" t="s">
        <v>30</v>
      </c>
      <c r="Q55" s="87">
        <f>0.806+0.2421+0.3387+1.29+1.43+0.285+3.7847+0.5956</f>
        <v>8.7721</v>
      </c>
      <c r="R55" s="51">
        <f t="shared" si="11"/>
        <v>29.442100000000003</v>
      </c>
      <c r="S55" s="31">
        <v>1.5</v>
      </c>
      <c r="T55" s="31" t="s">
        <v>61</v>
      </c>
      <c r="U55" s="29">
        <f t="shared" si="29"/>
        <v>27.942100000000003</v>
      </c>
      <c r="V55" s="31">
        <v>0</v>
      </c>
      <c r="W55" s="30">
        <f>1.05*16</f>
        <v>16.8</v>
      </c>
      <c r="X55" s="4">
        <f t="shared" si="31"/>
        <v>-11.142100000000003</v>
      </c>
      <c r="Y55" s="49">
        <f>X55</f>
        <v>-11.142100000000003</v>
      </c>
      <c r="Z55" s="22" t="s">
        <v>25</v>
      </c>
    </row>
    <row r="56" spans="1:26" s="100" customFormat="1" ht="22.5">
      <c r="A56" s="31">
        <v>39</v>
      </c>
      <c r="B56" s="31" t="s">
        <v>75</v>
      </c>
      <c r="C56" s="32" t="s">
        <v>45</v>
      </c>
      <c r="D56" s="49">
        <v>4.4050000000000002</v>
      </c>
      <c r="E56" s="31">
        <v>0</v>
      </c>
      <c r="F56" s="31">
        <v>0</v>
      </c>
      <c r="G56" s="29">
        <f t="shared" si="28"/>
        <v>4.4050000000000002</v>
      </c>
      <c r="H56" s="31">
        <v>0</v>
      </c>
      <c r="I56" s="30">
        <f>1.05*4</f>
        <v>4.2</v>
      </c>
      <c r="J56" s="45">
        <f t="shared" si="30"/>
        <v>-0.20500000000000007</v>
      </c>
      <c r="K56" s="49">
        <f>J56</f>
        <v>-0.20500000000000007</v>
      </c>
      <c r="L56" s="31" t="s">
        <v>25</v>
      </c>
      <c r="M56" s="98"/>
      <c r="N56" s="31">
        <v>39</v>
      </c>
      <c r="O56" s="31" t="s">
        <v>75</v>
      </c>
      <c r="P56" s="32" t="s">
        <v>45</v>
      </c>
      <c r="Q56" s="87">
        <f>0.412+0.096+0.016+0.03+0.022+0.037+0.046+0.06+0.069+0.062+0.017+0.027+0.4785+0.0581+0.3871-0.4422+0.0097+0.4833+0.0855+0.0564+0.3473+0.166+0.0667+0.0441+0.1456+0.0489+0.048383+0.0296-0.7682+0.1667+0.0446+0.0376</f>
        <v>2.387683</v>
      </c>
      <c r="R56" s="49">
        <f t="shared" si="11"/>
        <v>6.7926830000000002</v>
      </c>
      <c r="S56" s="31">
        <v>0</v>
      </c>
      <c r="T56" s="31">
        <v>0</v>
      </c>
      <c r="U56" s="29">
        <f t="shared" si="29"/>
        <v>6.7926830000000002</v>
      </c>
      <c r="V56" s="31">
        <v>0</v>
      </c>
      <c r="W56" s="30">
        <f>1.05*4</f>
        <v>4.2</v>
      </c>
      <c r="X56" s="99">
        <f t="shared" si="31"/>
        <v>-2.5926830000000001</v>
      </c>
      <c r="Y56" s="49">
        <f>X56</f>
        <v>-2.5926830000000001</v>
      </c>
      <c r="Z56" s="31" t="s">
        <v>25</v>
      </c>
    </row>
    <row r="57" spans="1:26" s="100" customFormat="1" ht="26.25" customHeight="1">
      <c r="A57" s="148">
        <v>40</v>
      </c>
      <c r="B57" s="31" t="s">
        <v>76</v>
      </c>
      <c r="C57" s="32" t="s">
        <v>62</v>
      </c>
      <c r="D57" s="49">
        <f>D58+D59</f>
        <v>44.456000000000003</v>
      </c>
      <c r="E57" s="31">
        <f>E58+E59</f>
        <v>0</v>
      </c>
      <c r="F57" s="31">
        <v>0</v>
      </c>
      <c r="G57" s="30">
        <f t="shared" si="28"/>
        <v>44.456000000000003</v>
      </c>
      <c r="H57" s="31">
        <v>0</v>
      </c>
      <c r="I57" s="30">
        <f>1.05*40</f>
        <v>42</v>
      </c>
      <c r="J57" s="3">
        <f t="shared" si="30"/>
        <v>-2.4560000000000031</v>
      </c>
      <c r="K57" s="142">
        <f>MIN(J57:J59)</f>
        <v>-2.4560000000000031</v>
      </c>
      <c r="L57" s="148" t="s">
        <v>25</v>
      </c>
      <c r="M57" s="98"/>
      <c r="N57" s="148">
        <v>40</v>
      </c>
      <c r="O57" s="31" t="s">
        <v>76</v>
      </c>
      <c r="P57" s="32" t="s">
        <v>62</v>
      </c>
      <c r="Q57" s="87">
        <f>Q58+Q59</f>
        <v>9.9583210000000015</v>
      </c>
      <c r="R57" s="49">
        <f>R58+R59</f>
        <v>54.414321000000001</v>
      </c>
      <c r="S57" s="31">
        <f>S58+S59</f>
        <v>0</v>
      </c>
      <c r="T57" s="31">
        <v>0</v>
      </c>
      <c r="U57" s="29">
        <f t="shared" si="29"/>
        <v>54.414321000000001</v>
      </c>
      <c r="V57" s="31">
        <v>0</v>
      </c>
      <c r="W57" s="30">
        <f>1.05*40</f>
        <v>42</v>
      </c>
      <c r="X57" s="3">
        <f t="shared" si="31"/>
        <v>-12.414321000000001</v>
      </c>
      <c r="Y57" s="142">
        <f>MIN(X57:X59)</f>
        <v>-12.414321000000001</v>
      </c>
      <c r="Z57" s="148" t="s">
        <v>25</v>
      </c>
    </row>
    <row r="58" spans="1:26" s="100" customFormat="1" ht="21.75" customHeight="1">
      <c r="A58" s="149"/>
      <c r="B58" s="35" t="s">
        <v>57</v>
      </c>
      <c r="C58" s="32" t="s">
        <v>62</v>
      </c>
      <c r="D58" s="49">
        <v>24.363</v>
      </c>
      <c r="E58" s="31">
        <v>0</v>
      </c>
      <c r="F58" s="31">
        <v>0</v>
      </c>
      <c r="G58" s="30">
        <f t="shared" si="28"/>
        <v>24.363</v>
      </c>
      <c r="H58" s="31">
        <v>0</v>
      </c>
      <c r="I58" s="30">
        <f>1.05*40</f>
        <v>42</v>
      </c>
      <c r="J58" s="3">
        <f>I58-D58</f>
        <v>17.637</v>
      </c>
      <c r="K58" s="153"/>
      <c r="L58" s="168"/>
      <c r="M58" s="98"/>
      <c r="N58" s="149"/>
      <c r="O58" s="35" t="s">
        <v>57</v>
      </c>
      <c r="P58" s="32" t="s">
        <v>62</v>
      </c>
      <c r="Q58" s="87"/>
      <c r="R58" s="49">
        <f t="shared" si="11"/>
        <v>24.363</v>
      </c>
      <c r="S58" s="31">
        <v>0</v>
      </c>
      <c r="T58" s="31">
        <v>0</v>
      </c>
      <c r="U58" s="29">
        <f t="shared" si="29"/>
        <v>24.363</v>
      </c>
      <c r="V58" s="31">
        <v>0</v>
      </c>
      <c r="W58" s="30">
        <f>1.05*40</f>
        <v>42</v>
      </c>
      <c r="X58" s="3">
        <f>W58-R58</f>
        <v>17.637</v>
      </c>
      <c r="Y58" s="143"/>
      <c r="Z58" s="149"/>
    </row>
    <row r="59" spans="1:26" s="100" customFormat="1" ht="24.75" customHeight="1">
      <c r="A59" s="150"/>
      <c r="B59" s="35" t="s">
        <v>44</v>
      </c>
      <c r="C59" s="32" t="s">
        <v>62</v>
      </c>
      <c r="D59" s="49">
        <v>20.093</v>
      </c>
      <c r="E59" s="31">
        <v>0</v>
      </c>
      <c r="F59" s="31">
        <v>0</v>
      </c>
      <c r="G59" s="30">
        <f t="shared" si="28"/>
        <v>20.093</v>
      </c>
      <c r="H59" s="31">
        <v>0</v>
      </c>
      <c r="I59" s="30">
        <f>1.05*40</f>
        <v>42</v>
      </c>
      <c r="J59" s="3">
        <f>I59-G59-H59</f>
        <v>21.907</v>
      </c>
      <c r="K59" s="154"/>
      <c r="L59" s="169"/>
      <c r="M59" s="98"/>
      <c r="N59" s="150"/>
      <c r="O59" s="35" t="s">
        <v>44</v>
      </c>
      <c r="P59" s="32" t="s">
        <v>62</v>
      </c>
      <c r="Q59" s="87">
        <f>3.226+0.267+0.161+0.188-0.7956+0.4301+1.6061+0.5376+0.1236+3.2757+0.698871-0.00215+0.2421</f>
        <v>9.9583210000000015</v>
      </c>
      <c r="R59" s="49">
        <f t="shared" si="11"/>
        <v>30.051321000000002</v>
      </c>
      <c r="S59" s="31">
        <v>0</v>
      </c>
      <c r="T59" s="31">
        <v>0</v>
      </c>
      <c r="U59" s="29">
        <f t="shared" si="29"/>
        <v>30.051321000000002</v>
      </c>
      <c r="V59" s="31">
        <v>0</v>
      </c>
      <c r="W59" s="30">
        <f>1.05*40</f>
        <v>42</v>
      </c>
      <c r="X59" s="3">
        <f>W59-U59-V59</f>
        <v>11.948678999999998</v>
      </c>
      <c r="Y59" s="144"/>
      <c r="Z59" s="150"/>
    </row>
    <row r="60" spans="1:26" s="1" customFormat="1" ht="22.5">
      <c r="A60" s="139">
        <v>41</v>
      </c>
      <c r="B60" s="25" t="s">
        <v>77</v>
      </c>
      <c r="C60" s="63" t="s">
        <v>30</v>
      </c>
      <c r="D60" s="48">
        <f>D61+D62</f>
        <v>9.8919999999999995</v>
      </c>
      <c r="E60" s="25">
        <f>E61+E62</f>
        <v>0</v>
      </c>
      <c r="F60" s="25">
        <v>0</v>
      </c>
      <c r="G60" s="26">
        <f t="shared" si="28"/>
        <v>9.8919999999999995</v>
      </c>
      <c r="H60" s="25">
        <v>0</v>
      </c>
      <c r="I60" s="24">
        <f>1.05*16</f>
        <v>16.8</v>
      </c>
      <c r="J60" s="5">
        <f>I60-G60-H60</f>
        <v>6.9080000000000013</v>
      </c>
      <c r="K60" s="125">
        <f>MIN(J60:J62)</f>
        <v>6.9080000000000013</v>
      </c>
      <c r="L60" s="128" t="s">
        <v>24</v>
      </c>
      <c r="M60" s="16"/>
      <c r="N60" s="139">
        <v>41</v>
      </c>
      <c r="O60" s="25" t="s">
        <v>77</v>
      </c>
      <c r="P60" s="28" t="s">
        <v>30</v>
      </c>
      <c r="Q60" s="85">
        <f>Q61+Q62</f>
        <v>8.77E-2</v>
      </c>
      <c r="R60" s="47">
        <f>R61+R62</f>
        <v>9.9796999999999993</v>
      </c>
      <c r="S60" s="25">
        <f>S61+S62</f>
        <v>0</v>
      </c>
      <c r="T60" s="25">
        <v>0</v>
      </c>
      <c r="U60" s="26">
        <f t="shared" si="29"/>
        <v>9.9796999999999993</v>
      </c>
      <c r="V60" s="25">
        <v>0</v>
      </c>
      <c r="W60" s="24">
        <f>1.05*16</f>
        <v>16.8</v>
      </c>
      <c r="X60" s="5">
        <f>W60-U60-V60</f>
        <v>6.8203000000000014</v>
      </c>
      <c r="Y60" s="125">
        <f>MIN(X60:X62)</f>
        <v>6.8203000000000014</v>
      </c>
      <c r="Z60" s="128" t="s">
        <v>24</v>
      </c>
    </row>
    <row r="61" spans="1:26" s="1" customFormat="1" ht="24.75" customHeight="1">
      <c r="A61" s="140"/>
      <c r="B61" s="27" t="s">
        <v>57</v>
      </c>
      <c r="C61" s="63" t="s">
        <v>30</v>
      </c>
      <c r="D61" s="48">
        <v>6.1609999999999996</v>
      </c>
      <c r="E61" s="25">
        <v>0</v>
      </c>
      <c r="F61" s="25">
        <v>0</v>
      </c>
      <c r="G61" s="26">
        <f t="shared" si="28"/>
        <v>6.1609999999999996</v>
      </c>
      <c r="H61" s="25">
        <v>0</v>
      </c>
      <c r="I61" s="24">
        <f>1.05*16</f>
        <v>16.8</v>
      </c>
      <c r="J61" s="5">
        <f>I61-D61</f>
        <v>10.639000000000001</v>
      </c>
      <c r="K61" s="151"/>
      <c r="L61" s="129"/>
      <c r="M61" s="16"/>
      <c r="N61" s="140"/>
      <c r="O61" s="27" t="s">
        <v>57</v>
      </c>
      <c r="P61" s="28" t="s">
        <v>30</v>
      </c>
      <c r="Q61" s="85"/>
      <c r="R61" s="47">
        <f t="shared" si="11"/>
        <v>6.1609999999999996</v>
      </c>
      <c r="S61" s="25">
        <v>0</v>
      </c>
      <c r="T61" s="25">
        <v>0</v>
      </c>
      <c r="U61" s="26">
        <f t="shared" si="29"/>
        <v>6.1609999999999996</v>
      </c>
      <c r="V61" s="25">
        <v>0</v>
      </c>
      <c r="W61" s="24">
        <f>1.05*16</f>
        <v>16.8</v>
      </c>
      <c r="X61" s="5">
        <f>W61-R61</f>
        <v>10.639000000000001</v>
      </c>
      <c r="Y61" s="126"/>
      <c r="Z61" s="137"/>
    </row>
    <row r="62" spans="1:26" s="1" customFormat="1" ht="22.5" customHeight="1">
      <c r="A62" s="141"/>
      <c r="B62" s="27" t="s">
        <v>44</v>
      </c>
      <c r="C62" s="63" t="s">
        <v>30</v>
      </c>
      <c r="D62" s="48">
        <v>3.7309999999999999</v>
      </c>
      <c r="E62" s="25">
        <v>0</v>
      </c>
      <c r="F62" s="25">
        <v>0</v>
      </c>
      <c r="G62" s="26">
        <f t="shared" si="28"/>
        <v>3.7309999999999999</v>
      </c>
      <c r="H62" s="25">
        <v>0</v>
      </c>
      <c r="I62" s="24">
        <f>1.05*16</f>
        <v>16.8</v>
      </c>
      <c r="J62" s="5">
        <f>I62-G62-H62</f>
        <v>13.069000000000001</v>
      </c>
      <c r="K62" s="152"/>
      <c r="L62" s="130"/>
      <c r="M62" s="16"/>
      <c r="N62" s="141"/>
      <c r="O62" s="27" t="s">
        <v>44</v>
      </c>
      <c r="P62" s="28" t="s">
        <v>30</v>
      </c>
      <c r="Q62" s="85">
        <f>0.04+0.01+0.005+0.003+0.004+0.0199+0.0102+0.0075-0.0446+0.0102+0.0349+0.0054+0.005+0.0046-0.0403+0.0129</f>
        <v>8.77E-2</v>
      </c>
      <c r="R62" s="47">
        <f t="shared" si="11"/>
        <v>3.8186999999999998</v>
      </c>
      <c r="S62" s="25">
        <v>0</v>
      </c>
      <c r="T62" s="25">
        <v>0</v>
      </c>
      <c r="U62" s="26">
        <f t="shared" si="29"/>
        <v>3.8186999999999998</v>
      </c>
      <c r="V62" s="25">
        <v>0</v>
      </c>
      <c r="W62" s="24">
        <f>1.05*16</f>
        <v>16.8</v>
      </c>
      <c r="X62" s="5">
        <f>W62-U62-V62</f>
        <v>12.981300000000001</v>
      </c>
      <c r="Y62" s="127"/>
      <c r="Z62" s="138"/>
    </row>
    <row r="63" spans="1:26" s="1" customFormat="1" ht="22.5">
      <c r="A63" s="145">
        <v>42</v>
      </c>
      <c r="B63" s="31" t="s">
        <v>78</v>
      </c>
      <c r="C63" s="32" t="s">
        <v>31</v>
      </c>
      <c r="D63" s="49">
        <f>D64+D65</f>
        <v>28.414999999999999</v>
      </c>
      <c r="E63" s="31">
        <f>E64+E65</f>
        <v>0</v>
      </c>
      <c r="F63" s="31">
        <v>0</v>
      </c>
      <c r="G63" s="29">
        <f t="shared" si="28"/>
        <v>28.414999999999999</v>
      </c>
      <c r="H63" s="31">
        <v>0</v>
      </c>
      <c r="I63" s="30">
        <f>1.05*25</f>
        <v>26.25</v>
      </c>
      <c r="J63" s="45">
        <f>I63-G63-H63</f>
        <v>-2.1649999999999991</v>
      </c>
      <c r="K63" s="142">
        <f>MIN(J63:J65)</f>
        <v>-2.1649999999999991</v>
      </c>
      <c r="L63" s="145" t="s">
        <v>25</v>
      </c>
      <c r="M63" s="16"/>
      <c r="N63" s="145">
        <v>42</v>
      </c>
      <c r="O63" s="31" t="s">
        <v>78</v>
      </c>
      <c r="P63" s="32" t="s">
        <v>31</v>
      </c>
      <c r="Q63" s="87">
        <f>Q64+Q65</f>
        <v>0.62957700000000005</v>
      </c>
      <c r="R63" s="51">
        <f>R64+R65</f>
        <v>29.044577000000004</v>
      </c>
      <c r="S63" s="31">
        <v>0</v>
      </c>
      <c r="T63" s="31">
        <v>0</v>
      </c>
      <c r="U63" s="29">
        <f t="shared" si="29"/>
        <v>29.044577000000004</v>
      </c>
      <c r="V63" s="31">
        <v>0</v>
      </c>
      <c r="W63" s="30">
        <f>1.05*25</f>
        <v>26.25</v>
      </c>
      <c r="X63" s="3">
        <f>W63-U63-V63</f>
        <v>-2.7945770000000039</v>
      </c>
      <c r="Y63" s="142">
        <f>MIN(X63:X65)</f>
        <v>-2.7945770000000039</v>
      </c>
      <c r="Z63" s="145" t="s">
        <v>25</v>
      </c>
    </row>
    <row r="64" spans="1:26" s="1" customFormat="1" ht="21.75" customHeight="1">
      <c r="A64" s="146"/>
      <c r="B64" s="35" t="s">
        <v>57</v>
      </c>
      <c r="C64" s="32" t="s">
        <v>31</v>
      </c>
      <c r="D64" s="49">
        <v>7.92</v>
      </c>
      <c r="E64" s="49">
        <v>0</v>
      </c>
      <c r="F64" s="31">
        <v>0</v>
      </c>
      <c r="G64" s="30">
        <f t="shared" si="28"/>
        <v>7.92</v>
      </c>
      <c r="H64" s="31">
        <v>0</v>
      </c>
      <c r="I64" s="30">
        <f>1.05*25</f>
        <v>26.25</v>
      </c>
      <c r="J64" s="3">
        <f>I64-D64</f>
        <v>18.329999999999998</v>
      </c>
      <c r="K64" s="173"/>
      <c r="L64" s="165"/>
      <c r="M64" s="16"/>
      <c r="N64" s="146"/>
      <c r="O64" s="35" t="s">
        <v>57</v>
      </c>
      <c r="P64" s="32" t="s">
        <v>31</v>
      </c>
      <c r="Q64" s="87"/>
      <c r="R64" s="51">
        <f>D64+Q64</f>
        <v>7.92</v>
      </c>
      <c r="S64" s="31">
        <v>0</v>
      </c>
      <c r="T64" s="31">
        <v>0</v>
      </c>
      <c r="U64" s="29">
        <f t="shared" si="29"/>
        <v>7.92</v>
      </c>
      <c r="V64" s="31">
        <v>0</v>
      </c>
      <c r="W64" s="30">
        <f>1.05*25</f>
        <v>26.25</v>
      </c>
      <c r="X64" s="3">
        <f>W64-R64</f>
        <v>18.329999999999998</v>
      </c>
      <c r="Y64" s="143"/>
      <c r="Z64" s="146"/>
    </row>
    <row r="65" spans="1:26" s="1" customFormat="1" ht="25.5" customHeight="1">
      <c r="A65" s="147"/>
      <c r="B65" s="35" t="s">
        <v>44</v>
      </c>
      <c r="C65" s="32" t="s">
        <v>31</v>
      </c>
      <c r="D65" s="49">
        <v>20.495000000000001</v>
      </c>
      <c r="E65" s="31">
        <v>0</v>
      </c>
      <c r="F65" s="31">
        <v>0</v>
      </c>
      <c r="G65" s="30">
        <f t="shared" si="28"/>
        <v>20.495000000000001</v>
      </c>
      <c r="H65" s="31">
        <v>0</v>
      </c>
      <c r="I65" s="30">
        <f>1.05*25</f>
        <v>26.25</v>
      </c>
      <c r="J65" s="3">
        <f>I65-G65-H65</f>
        <v>5.754999999999999</v>
      </c>
      <c r="K65" s="174"/>
      <c r="L65" s="166"/>
      <c r="M65" s="16"/>
      <c r="N65" s="147"/>
      <c r="O65" s="35" t="s">
        <v>44</v>
      </c>
      <c r="P65" s="32" t="s">
        <v>31</v>
      </c>
      <c r="Q65" s="87">
        <f>0.012+0.017+0.0054-0.0215+0.607+0.0161+0.013977-0.0204</f>
        <v>0.62957700000000005</v>
      </c>
      <c r="R65" s="51">
        <f>D65+Q65</f>
        <v>21.124577000000002</v>
      </c>
      <c r="S65" s="31">
        <v>0</v>
      </c>
      <c r="T65" s="31">
        <v>0</v>
      </c>
      <c r="U65" s="29">
        <f t="shared" si="29"/>
        <v>21.124577000000002</v>
      </c>
      <c r="V65" s="31">
        <v>0</v>
      </c>
      <c r="W65" s="30">
        <f>1.05*25</f>
        <v>26.25</v>
      </c>
      <c r="X65" s="3">
        <f>W65-U65-V65</f>
        <v>5.1254229999999978</v>
      </c>
      <c r="Y65" s="144"/>
      <c r="Z65" s="147"/>
    </row>
    <row r="66" spans="1:26" s="1" customFormat="1" ht="22.5">
      <c r="A66" s="139">
        <v>43</v>
      </c>
      <c r="B66" s="25" t="s">
        <v>79</v>
      </c>
      <c r="C66" s="63" t="s">
        <v>49</v>
      </c>
      <c r="D66" s="48">
        <f>D67+D68</f>
        <v>14.693</v>
      </c>
      <c r="E66" s="25">
        <f>E67+E68</f>
        <v>5.2</v>
      </c>
      <c r="F66" s="25" t="str">
        <f>F67</f>
        <v>6 час</v>
      </c>
      <c r="G66" s="26">
        <f t="shared" si="28"/>
        <v>9.4929999999999986</v>
      </c>
      <c r="H66" s="25">
        <v>0</v>
      </c>
      <c r="I66" s="24">
        <f>1.05*16</f>
        <v>16.8</v>
      </c>
      <c r="J66" s="5">
        <f>I66-G66-H66</f>
        <v>7.3070000000000022</v>
      </c>
      <c r="K66" s="125">
        <f>MIN(J66:J68)</f>
        <v>7.3070000000000022</v>
      </c>
      <c r="L66" s="128" t="s">
        <v>24</v>
      </c>
      <c r="M66" s="16"/>
      <c r="N66" s="139">
        <v>43</v>
      </c>
      <c r="O66" s="25" t="s">
        <v>79</v>
      </c>
      <c r="P66" s="28" t="s">
        <v>49</v>
      </c>
      <c r="Q66" s="85">
        <f>Q67+Q68+0</f>
        <v>0.29462800000000006</v>
      </c>
      <c r="R66" s="47">
        <f>R67+R68</f>
        <v>14.987627999999999</v>
      </c>
      <c r="S66" s="25">
        <f>S67+S68</f>
        <v>5.2</v>
      </c>
      <c r="T66" s="25" t="str">
        <f>T67</f>
        <v>6 час</v>
      </c>
      <c r="U66" s="26">
        <f t="shared" si="29"/>
        <v>9.787627999999998</v>
      </c>
      <c r="V66" s="25">
        <v>0</v>
      </c>
      <c r="W66" s="24">
        <f>1.05*16</f>
        <v>16.8</v>
      </c>
      <c r="X66" s="5">
        <f>W66-U66-V66</f>
        <v>7.0123720000000027</v>
      </c>
      <c r="Y66" s="125">
        <f>MIN(X66:X68)</f>
        <v>7.0123720000000027</v>
      </c>
      <c r="Z66" s="128" t="s">
        <v>24</v>
      </c>
    </row>
    <row r="67" spans="1:26" s="1" customFormat="1" ht="22.5" customHeight="1">
      <c r="A67" s="140"/>
      <c r="B67" s="27" t="s">
        <v>57</v>
      </c>
      <c r="C67" s="63" t="s">
        <v>49</v>
      </c>
      <c r="D67" s="48">
        <v>6.7889999999999997</v>
      </c>
      <c r="E67" s="25">
        <v>5.2</v>
      </c>
      <c r="F67" s="25" t="s">
        <v>58</v>
      </c>
      <c r="G67" s="26">
        <f t="shared" si="28"/>
        <v>1.5889999999999995</v>
      </c>
      <c r="H67" s="25">
        <v>0</v>
      </c>
      <c r="I67" s="24">
        <f>1.05*16</f>
        <v>16.8</v>
      </c>
      <c r="J67" s="5">
        <f>I67-D67</f>
        <v>10.011000000000001</v>
      </c>
      <c r="K67" s="151"/>
      <c r="L67" s="129"/>
      <c r="M67" s="16"/>
      <c r="N67" s="140"/>
      <c r="O67" s="27" t="s">
        <v>57</v>
      </c>
      <c r="P67" s="28" t="s">
        <v>49</v>
      </c>
      <c r="Q67" s="85"/>
      <c r="R67" s="47">
        <f t="shared" si="11"/>
        <v>6.7889999999999997</v>
      </c>
      <c r="S67" s="25">
        <v>5.2</v>
      </c>
      <c r="T67" s="25" t="s">
        <v>58</v>
      </c>
      <c r="U67" s="26">
        <f t="shared" si="29"/>
        <v>1.5889999999999995</v>
      </c>
      <c r="V67" s="25">
        <v>0</v>
      </c>
      <c r="W67" s="24">
        <f>1.05*16</f>
        <v>16.8</v>
      </c>
      <c r="X67" s="5">
        <f>W67-R67</f>
        <v>10.011000000000001</v>
      </c>
      <c r="Y67" s="126"/>
      <c r="Z67" s="137"/>
    </row>
    <row r="68" spans="1:26" s="1" customFormat="1" ht="22.5" customHeight="1">
      <c r="A68" s="141"/>
      <c r="B68" s="27" t="s">
        <v>44</v>
      </c>
      <c r="C68" s="63" t="s">
        <v>49</v>
      </c>
      <c r="D68" s="48">
        <v>7.9039999999999999</v>
      </c>
      <c r="E68" s="25">
        <v>0</v>
      </c>
      <c r="F68" s="25">
        <v>0</v>
      </c>
      <c r="G68" s="26">
        <f t="shared" si="28"/>
        <v>7.9039999999999999</v>
      </c>
      <c r="H68" s="25">
        <v>0</v>
      </c>
      <c r="I68" s="24">
        <f>1.05*16</f>
        <v>16.8</v>
      </c>
      <c r="J68" s="5">
        <f>I68-G68-H68</f>
        <v>8.8960000000000008</v>
      </c>
      <c r="K68" s="152"/>
      <c r="L68" s="130"/>
      <c r="M68" s="16"/>
      <c r="N68" s="141"/>
      <c r="O68" s="27" t="s">
        <v>44</v>
      </c>
      <c r="P68" s="28" t="s">
        <v>49</v>
      </c>
      <c r="Q68" s="85">
        <f>0.102+0.031+0.005+0.032+0.018+0.006+0.011+0.016+0.007-0.0973+0.0215+0.0269+0.0183+0.0312+0.008+0.0054+0.0161+0.0161+0.0645+0.016128-0.0882+0.0065+0.0215</f>
        <v>0.29462800000000006</v>
      </c>
      <c r="R68" s="47">
        <f t="shared" si="11"/>
        <v>8.1986279999999994</v>
      </c>
      <c r="S68" s="25">
        <v>0</v>
      </c>
      <c r="T68" s="25">
        <v>0</v>
      </c>
      <c r="U68" s="26">
        <f t="shared" si="29"/>
        <v>8.1986279999999994</v>
      </c>
      <c r="V68" s="25">
        <v>0</v>
      </c>
      <c r="W68" s="24">
        <f>1.05*16</f>
        <v>16.8</v>
      </c>
      <c r="X68" s="5">
        <f>W68-U68-V68</f>
        <v>8.6013720000000013</v>
      </c>
      <c r="Y68" s="127"/>
      <c r="Z68" s="138"/>
    </row>
    <row r="69" spans="1:26" s="1" customFormat="1" ht="22.5">
      <c r="A69" s="18">
        <v>44</v>
      </c>
      <c r="B69" s="65" t="s">
        <v>80</v>
      </c>
      <c r="C69" s="63" t="s">
        <v>26</v>
      </c>
      <c r="D69" s="48">
        <v>7.923</v>
      </c>
      <c r="E69" s="25">
        <v>0</v>
      </c>
      <c r="F69" s="25">
        <v>0</v>
      </c>
      <c r="G69" s="24">
        <f t="shared" si="28"/>
        <v>7.923</v>
      </c>
      <c r="H69" s="25">
        <v>0</v>
      </c>
      <c r="I69" s="24">
        <f>1.05*10</f>
        <v>10.5</v>
      </c>
      <c r="J69" s="6">
        <f>I69-G69-H69</f>
        <v>2.577</v>
      </c>
      <c r="K69" s="48">
        <f>J69</f>
        <v>2.577</v>
      </c>
      <c r="L69" s="17" t="s">
        <v>24</v>
      </c>
      <c r="M69" s="16"/>
      <c r="N69" s="18">
        <v>44</v>
      </c>
      <c r="O69" s="65" t="s">
        <v>80</v>
      </c>
      <c r="P69" s="28" t="s">
        <v>26</v>
      </c>
      <c r="Q69" s="85">
        <f>1.183+0.215+0.323</f>
        <v>1.7210000000000001</v>
      </c>
      <c r="R69" s="47">
        <f t="shared" si="11"/>
        <v>9.6440000000000001</v>
      </c>
      <c r="S69" s="25">
        <v>0</v>
      </c>
      <c r="T69" s="25">
        <v>0</v>
      </c>
      <c r="U69" s="26">
        <f t="shared" si="29"/>
        <v>9.6440000000000001</v>
      </c>
      <c r="V69" s="25">
        <v>0</v>
      </c>
      <c r="W69" s="24">
        <f>1.05*10</f>
        <v>10.5</v>
      </c>
      <c r="X69" s="6">
        <f>W69-U69-V69</f>
        <v>0.85599999999999987</v>
      </c>
      <c r="Y69" s="48">
        <f>X69</f>
        <v>0.85599999999999987</v>
      </c>
      <c r="Z69" s="12" t="s">
        <v>24</v>
      </c>
    </row>
    <row r="70" spans="1:26" s="1" customFormat="1" ht="22.5">
      <c r="A70" s="139">
        <v>45</v>
      </c>
      <c r="B70" s="25" t="s">
        <v>81</v>
      </c>
      <c r="C70" s="63" t="s">
        <v>31</v>
      </c>
      <c r="D70" s="48">
        <f>D71+D72</f>
        <v>8.4340000000000011</v>
      </c>
      <c r="E70" s="25">
        <f>E71+E72</f>
        <v>2.68</v>
      </c>
      <c r="F70" s="25" t="s">
        <v>58</v>
      </c>
      <c r="G70" s="26">
        <f t="shared" si="28"/>
        <v>5.7540000000000013</v>
      </c>
      <c r="H70" s="25">
        <v>0</v>
      </c>
      <c r="I70" s="24">
        <f>1.05*25</f>
        <v>26.25</v>
      </c>
      <c r="J70" s="5">
        <f>I70-G70-H70</f>
        <v>20.495999999999999</v>
      </c>
      <c r="K70" s="125">
        <f>MIN(J70:J72)</f>
        <v>20.495999999999999</v>
      </c>
      <c r="L70" s="128" t="s">
        <v>24</v>
      </c>
      <c r="M70" s="16"/>
      <c r="N70" s="139">
        <v>45</v>
      </c>
      <c r="O70" s="25" t="s">
        <v>81</v>
      </c>
      <c r="P70" s="28" t="s">
        <v>31</v>
      </c>
      <c r="Q70" s="85">
        <f>Q71+Q72</f>
        <v>0</v>
      </c>
      <c r="R70" s="47">
        <f>R71+R72</f>
        <v>8.4340000000000011</v>
      </c>
      <c r="S70" s="25">
        <f>S71+S72</f>
        <v>2.4</v>
      </c>
      <c r="T70" s="25" t="s">
        <v>58</v>
      </c>
      <c r="U70" s="26">
        <f t="shared" si="29"/>
        <v>6.0340000000000007</v>
      </c>
      <c r="V70" s="25">
        <v>0</v>
      </c>
      <c r="W70" s="24">
        <f>1.05*25</f>
        <v>26.25</v>
      </c>
      <c r="X70" s="5">
        <f>W70-U70-V70</f>
        <v>20.216000000000001</v>
      </c>
      <c r="Y70" s="125">
        <f>MIN(X70:X72)</f>
        <v>20.216000000000001</v>
      </c>
      <c r="Z70" s="128" t="s">
        <v>24</v>
      </c>
    </row>
    <row r="71" spans="1:26" s="1" customFormat="1" ht="22.5" customHeight="1">
      <c r="A71" s="140"/>
      <c r="B71" s="27" t="s">
        <v>57</v>
      </c>
      <c r="C71" s="63" t="s">
        <v>31</v>
      </c>
      <c r="D71" s="48">
        <v>5.2290000000000001</v>
      </c>
      <c r="E71" s="25">
        <v>2.68</v>
      </c>
      <c r="F71" s="25" t="s">
        <v>58</v>
      </c>
      <c r="G71" s="26">
        <f t="shared" si="28"/>
        <v>2.5489999999999999</v>
      </c>
      <c r="H71" s="25">
        <v>0</v>
      </c>
      <c r="I71" s="24">
        <f>1.05*25</f>
        <v>26.25</v>
      </c>
      <c r="J71" s="5">
        <f>I71-D71</f>
        <v>21.021000000000001</v>
      </c>
      <c r="K71" s="151"/>
      <c r="L71" s="129"/>
      <c r="M71" s="16"/>
      <c r="N71" s="140"/>
      <c r="O71" s="27" t="s">
        <v>57</v>
      </c>
      <c r="P71" s="28" t="s">
        <v>31</v>
      </c>
      <c r="Q71" s="85"/>
      <c r="R71" s="47">
        <f t="shared" si="11"/>
        <v>5.2290000000000001</v>
      </c>
      <c r="S71" s="25">
        <v>2.4</v>
      </c>
      <c r="T71" s="25" t="s">
        <v>58</v>
      </c>
      <c r="U71" s="26">
        <f t="shared" si="29"/>
        <v>2.8290000000000002</v>
      </c>
      <c r="V71" s="25">
        <v>0</v>
      </c>
      <c r="W71" s="24">
        <f>1.05*25</f>
        <v>26.25</v>
      </c>
      <c r="X71" s="5">
        <f>W71-R71</f>
        <v>21.021000000000001</v>
      </c>
      <c r="Y71" s="126"/>
      <c r="Z71" s="137"/>
    </row>
    <row r="72" spans="1:26" s="1" customFormat="1" ht="24.75" customHeight="1">
      <c r="A72" s="141"/>
      <c r="B72" s="27" t="s">
        <v>44</v>
      </c>
      <c r="C72" s="63" t="s">
        <v>31</v>
      </c>
      <c r="D72" s="48">
        <v>3.2050000000000001</v>
      </c>
      <c r="E72" s="25">
        <v>0</v>
      </c>
      <c r="F72" s="25">
        <v>0</v>
      </c>
      <c r="G72" s="26">
        <v>0</v>
      </c>
      <c r="H72" s="25">
        <v>0</v>
      </c>
      <c r="I72" s="24">
        <f>1.05*25</f>
        <v>26.25</v>
      </c>
      <c r="J72" s="5">
        <f>I72-G72-H72</f>
        <v>26.25</v>
      </c>
      <c r="K72" s="152"/>
      <c r="L72" s="130"/>
      <c r="M72" s="16"/>
      <c r="N72" s="141"/>
      <c r="O72" s="27" t="s">
        <v>44</v>
      </c>
      <c r="P72" s="28" t="s">
        <v>31</v>
      </c>
      <c r="Q72" s="85">
        <v>0</v>
      </c>
      <c r="R72" s="47">
        <f t="shared" ref="R72:R135" si="32">Q72+D72</f>
        <v>3.2050000000000001</v>
      </c>
      <c r="S72" s="25">
        <v>0</v>
      </c>
      <c r="T72" s="25">
        <v>0</v>
      </c>
      <c r="U72" s="26">
        <v>0</v>
      </c>
      <c r="V72" s="25">
        <v>0</v>
      </c>
      <c r="W72" s="24">
        <f>1.05*25</f>
        <v>26.25</v>
      </c>
      <c r="X72" s="5">
        <f>W72-U72-V72</f>
        <v>26.25</v>
      </c>
      <c r="Y72" s="127"/>
      <c r="Z72" s="138"/>
    </row>
    <row r="73" spans="1:26" s="1" customFormat="1" ht="22.5">
      <c r="A73" s="18">
        <v>46</v>
      </c>
      <c r="B73" s="65" t="s">
        <v>82</v>
      </c>
      <c r="C73" s="63" t="s">
        <v>31</v>
      </c>
      <c r="D73" s="82">
        <v>16.253</v>
      </c>
      <c r="E73" s="65">
        <v>0</v>
      </c>
      <c r="F73" s="65">
        <v>0</v>
      </c>
      <c r="G73" s="66">
        <f t="shared" ref="G73:G104" si="33">D73-E73</f>
        <v>16.253</v>
      </c>
      <c r="H73" s="65">
        <v>0</v>
      </c>
      <c r="I73" s="66">
        <f>1.05*25</f>
        <v>26.25</v>
      </c>
      <c r="J73" s="2">
        <f>I73-G73-H73</f>
        <v>9.9969999999999999</v>
      </c>
      <c r="K73" s="82">
        <f>J73</f>
        <v>9.9969999999999999</v>
      </c>
      <c r="L73" s="97" t="s">
        <v>24</v>
      </c>
      <c r="M73" s="16"/>
      <c r="N73" s="18">
        <v>46</v>
      </c>
      <c r="O73" s="65" t="s">
        <v>82</v>
      </c>
      <c r="P73" s="63" t="s">
        <v>31</v>
      </c>
      <c r="Q73" s="81">
        <f>0.965+0.005+0.011+0.12+0.011+0.054+0.8505+0.0054-0.2408+1.0214+0.0237+0.7956+1.355+0.043+0.0215+0.0323+0.801014-0.0876+0.0054+0.0054</f>
        <v>5.7978139999999989</v>
      </c>
      <c r="R73" s="79">
        <f t="shared" si="32"/>
        <v>22.050813999999999</v>
      </c>
      <c r="S73" s="65">
        <v>0</v>
      </c>
      <c r="T73" s="65">
        <v>0</v>
      </c>
      <c r="U73" s="64">
        <f t="shared" ref="U73:U104" si="34">R73-S73</f>
        <v>22.050813999999999</v>
      </c>
      <c r="V73" s="65">
        <v>0</v>
      </c>
      <c r="W73" s="66">
        <f>1.05*25</f>
        <v>26.25</v>
      </c>
      <c r="X73" s="2">
        <f>W73-U73-V73</f>
        <v>4.199186000000001</v>
      </c>
      <c r="Y73" s="82">
        <f>X73</f>
        <v>4.199186000000001</v>
      </c>
      <c r="Z73" s="18" t="s">
        <v>24</v>
      </c>
    </row>
    <row r="74" spans="1:26" s="1" customFormat="1" ht="22.5">
      <c r="A74" s="18">
        <v>47</v>
      </c>
      <c r="B74" s="25" t="s">
        <v>83</v>
      </c>
      <c r="C74" s="63" t="s">
        <v>49</v>
      </c>
      <c r="D74" s="48">
        <v>11.914</v>
      </c>
      <c r="E74" s="25">
        <v>0</v>
      </c>
      <c r="F74" s="25">
        <v>0</v>
      </c>
      <c r="G74" s="26">
        <f t="shared" si="33"/>
        <v>11.914</v>
      </c>
      <c r="H74" s="25">
        <v>0</v>
      </c>
      <c r="I74" s="24">
        <f>1.05*16</f>
        <v>16.8</v>
      </c>
      <c r="J74" s="6">
        <f>I74-G74-H74</f>
        <v>4.886000000000001</v>
      </c>
      <c r="K74" s="48">
        <f>J74</f>
        <v>4.886000000000001</v>
      </c>
      <c r="L74" s="17" t="s">
        <v>24</v>
      </c>
      <c r="M74" s="16"/>
      <c r="N74" s="18">
        <v>47</v>
      </c>
      <c r="O74" s="25" t="s">
        <v>83</v>
      </c>
      <c r="P74" s="28" t="s">
        <v>49</v>
      </c>
      <c r="Q74" s="85">
        <f>0.143+0.054+0.005+0.015+0.075+0.016+0.005+0.053+0.215+0.012+0.038+0.0048+0.0161-0.3316+0.029+0.0048+0.0581+0.0048+0.0538+0.5221+0.0086+0.018816+0.0317-0.0831+0.0156+0.0382</f>
        <v>1.022716</v>
      </c>
      <c r="R74" s="47">
        <f t="shared" si="32"/>
        <v>12.936716000000001</v>
      </c>
      <c r="S74" s="25">
        <v>0</v>
      </c>
      <c r="T74" s="25">
        <v>0</v>
      </c>
      <c r="U74" s="26">
        <f t="shared" si="34"/>
        <v>12.936716000000001</v>
      </c>
      <c r="V74" s="25">
        <v>0</v>
      </c>
      <c r="W74" s="24">
        <f>1.05*16</f>
        <v>16.8</v>
      </c>
      <c r="X74" s="6">
        <f>W74-U74-V74</f>
        <v>3.8632840000000002</v>
      </c>
      <c r="Y74" s="48">
        <f>X74</f>
        <v>3.8632840000000002</v>
      </c>
      <c r="Z74" s="12" t="s">
        <v>24</v>
      </c>
    </row>
    <row r="75" spans="1:26" s="1" customFormat="1" ht="22.5">
      <c r="A75" s="22">
        <v>48</v>
      </c>
      <c r="B75" s="31" t="s">
        <v>84</v>
      </c>
      <c r="C75" s="32" t="s">
        <v>26</v>
      </c>
      <c r="D75" s="49">
        <v>13.930999999999999</v>
      </c>
      <c r="E75" s="31">
        <v>0</v>
      </c>
      <c r="F75" s="31">
        <v>0</v>
      </c>
      <c r="G75" s="30">
        <f t="shared" si="33"/>
        <v>13.930999999999999</v>
      </c>
      <c r="H75" s="31">
        <v>0</v>
      </c>
      <c r="I75" s="30">
        <f>1.05*10</f>
        <v>10.5</v>
      </c>
      <c r="J75" s="4">
        <f>I75-G75-H75</f>
        <v>-3.4309999999999992</v>
      </c>
      <c r="K75" s="49">
        <f>J75</f>
        <v>-3.4309999999999992</v>
      </c>
      <c r="L75" s="19" t="s">
        <v>25</v>
      </c>
      <c r="M75" s="16"/>
      <c r="N75" s="22">
        <v>48</v>
      </c>
      <c r="O75" s="31" t="s">
        <v>84</v>
      </c>
      <c r="P75" s="32" t="s">
        <v>26</v>
      </c>
      <c r="Q75" s="87">
        <f>0.457+1.078+1.078+0.1398+0.1398</f>
        <v>2.8926000000000007</v>
      </c>
      <c r="R75" s="51">
        <f t="shared" si="32"/>
        <v>16.823599999999999</v>
      </c>
      <c r="S75" s="31">
        <v>0</v>
      </c>
      <c r="T75" s="31">
        <v>0</v>
      </c>
      <c r="U75" s="29">
        <f t="shared" si="34"/>
        <v>16.823599999999999</v>
      </c>
      <c r="V75" s="31">
        <v>0</v>
      </c>
      <c r="W75" s="30">
        <f>1.05*10</f>
        <v>10.5</v>
      </c>
      <c r="X75" s="4">
        <f>W75-U75-V75</f>
        <v>-6.323599999999999</v>
      </c>
      <c r="Y75" s="49">
        <f>X75</f>
        <v>-6.323599999999999</v>
      </c>
      <c r="Z75" s="22" t="s">
        <v>25</v>
      </c>
    </row>
    <row r="76" spans="1:26" s="1" customFormat="1" ht="33.75">
      <c r="A76" s="139">
        <v>49</v>
      </c>
      <c r="B76" s="25" t="s">
        <v>85</v>
      </c>
      <c r="C76" s="63" t="s">
        <v>38</v>
      </c>
      <c r="D76" s="48">
        <f>D77+D78</f>
        <v>6.5449999999999999</v>
      </c>
      <c r="E76" s="25">
        <f>E77+E78</f>
        <v>1.4</v>
      </c>
      <c r="F76" s="25" t="s">
        <v>58</v>
      </c>
      <c r="G76" s="26">
        <f t="shared" si="33"/>
        <v>5.1449999999999996</v>
      </c>
      <c r="H76" s="25">
        <v>0</v>
      </c>
      <c r="I76" s="24">
        <f>1.05*10</f>
        <v>10.5</v>
      </c>
      <c r="J76" s="5">
        <f>I76-G76-H76</f>
        <v>5.3550000000000004</v>
      </c>
      <c r="K76" s="125">
        <f>MIN(J76:J78)</f>
        <v>5.3550000000000004</v>
      </c>
      <c r="L76" s="128" t="s">
        <v>24</v>
      </c>
      <c r="M76" s="16"/>
      <c r="N76" s="139">
        <v>49</v>
      </c>
      <c r="O76" s="25" t="s">
        <v>85</v>
      </c>
      <c r="P76" s="28" t="s">
        <v>38</v>
      </c>
      <c r="Q76" s="85">
        <f>Q77+Q78</f>
        <v>0.7367760000000001</v>
      </c>
      <c r="R76" s="47">
        <f>R77+R78</f>
        <v>7.2817759999999998</v>
      </c>
      <c r="S76" s="25">
        <f>S77+S78</f>
        <v>1.4</v>
      </c>
      <c r="T76" s="25" t="s">
        <v>58</v>
      </c>
      <c r="U76" s="26">
        <f t="shared" si="34"/>
        <v>5.8817760000000003</v>
      </c>
      <c r="V76" s="25">
        <v>0</v>
      </c>
      <c r="W76" s="24">
        <f>1.05*10</f>
        <v>10.5</v>
      </c>
      <c r="X76" s="5">
        <f>W76-U76-V76</f>
        <v>4.6182239999999997</v>
      </c>
      <c r="Y76" s="125">
        <f>MIN(X76:X78)</f>
        <v>4.6182239999999997</v>
      </c>
      <c r="Z76" s="128" t="s">
        <v>24</v>
      </c>
    </row>
    <row r="77" spans="1:26" s="1" customFormat="1" ht="24" customHeight="1">
      <c r="A77" s="140"/>
      <c r="B77" s="27" t="s">
        <v>57</v>
      </c>
      <c r="C77" s="63" t="s">
        <v>38</v>
      </c>
      <c r="D77" s="48">
        <v>2.149</v>
      </c>
      <c r="E77" s="25">
        <v>1.4</v>
      </c>
      <c r="F77" s="25" t="s">
        <v>58</v>
      </c>
      <c r="G77" s="26">
        <f t="shared" si="33"/>
        <v>0.74900000000000011</v>
      </c>
      <c r="H77" s="25">
        <v>0</v>
      </c>
      <c r="I77" s="24">
        <f>1.05*10</f>
        <v>10.5</v>
      </c>
      <c r="J77" s="5">
        <f>I77-D77</f>
        <v>8.3509999999999991</v>
      </c>
      <c r="K77" s="151"/>
      <c r="L77" s="129"/>
      <c r="M77" s="16"/>
      <c r="N77" s="140"/>
      <c r="O77" s="27" t="s">
        <v>57</v>
      </c>
      <c r="P77" s="28" t="s">
        <v>38</v>
      </c>
      <c r="Q77" s="85"/>
      <c r="R77" s="47">
        <f t="shared" si="32"/>
        <v>2.149</v>
      </c>
      <c r="S77" s="25">
        <v>1.4</v>
      </c>
      <c r="T77" s="25" t="s">
        <v>58</v>
      </c>
      <c r="U77" s="26">
        <f t="shared" si="34"/>
        <v>0.74900000000000011</v>
      </c>
      <c r="V77" s="25">
        <v>0</v>
      </c>
      <c r="W77" s="24">
        <f>1.05*10</f>
        <v>10.5</v>
      </c>
      <c r="X77" s="5">
        <f>W77-R77</f>
        <v>8.3509999999999991</v>
      </c>
      <c r="Y77" s="126"/>
      <c r="Z77" s="137"/>
    </row>
    <row r="78" spans="1:26" s="1" customFormat="1" ht="24" customHeight="1">
      <c r="A78" s="141"/>
      <c r="B78" s="27" t="s">
        <v>44</v>
      </c>
      <c r="C78" s="63" t="s">
        <v>38</v>
      </c>
      <c r="D78" s="48">
        <v>4.3959999999999999</v>
      </c>
      <c r="E78" s="25">
        <v>0</v>
      </c>
      <c r="F78" s="25">
        <v>0</v>
      </c>
      <c r="G78" s="26">
        <f t="shared" si="33"/>
        <v>4.3959999999999999</v>
      </c>
      <c r="H78" s="25">
        <v>0</v>
      </c>
      <c r="I78" s="24">
        <f>1.05*10</f>
        <v>10.5</v>
      </c>
      <c r="J78" s="5">
        <f>I78-G78-H78</f>
        <v>6.1040000000000001</v>
      </c>
      <c r="K78" s="152"/>
      <c r="L78" s="130"/>
      <c r="M78" s="16"/>
      <c r="N78" s="141"/>
      <c r="O78" s="27" t="s">
        <v>44</v>
      </c>
      <c r="P78" s="28" t="s">
        <v>38</v>
      </c>
      <c r="Q78" s="85">
        <f>0.059+0.048+0.005+0.017+0.005+0.031+0.023+0.348+0.014+0.01+0.0172+0.0263-0.0914+0.0108+0.0426+0.0183+0.1545+0.006+0.0581+0.0113+0.0484+0.0419+0.005376-0.1726</f>
        <v>0.7367760000000001</v>
      </c>
      <c r="R78" s="47">
        <f t="shared" si="32"/>
        <v>5.1327759999999998</v>
      </c>
      <c r="S78" s="25">
        <v>0</v>
      </c>
      <c r="T78" s="25">
        <v>0</v>
      </c>
      <c r="U78" s="26">
        <f t="shared" si="34"/>
        <v>5.1327759999999998</v>
      </c>
      <c r="V78" s="25">
        <v>0</v>
      </c>
      <c r="W78" s="24">
        <f>1.05*10</f>
        <v>10.5</v>
      </c>
      <c r="X78" s="5">
        <f>W78-U78-V78</f>
        <v>5.3672240000000002</v>
      </c>
      <c r="Y78" s="127"/>
      <c r="Z78" s="138"/>
    </row>
    <row r="79" spans="1:26" s="1" customFormat="1" ht="22.5">
      <c r="A79" s="139">
        <v>50</v>
      </c>
      <c r="B79" s="25" t="s">
        <v>86</v>
      </c>
      <c r="C79" s="63" t="s">
        <v>30</v>
      </c>
      <c r="D79" s="48">
        <f>D80+D81</f>
        <v>9.2080000000000002</v>
      </c>
      <c r="E79" s="25">
        <f>E80+E81</f>
        <v>3.7</v>
      </c>
      <c r="F79" s="25" t="s">
        <v>58</v>
      </c>
      <c r="G79" s="26">
        <f t="shared" si="33"/>
        <v>5.508</v>
      </c>
      <c r="H79" s="25">
        <v>0</v>
      </c>
      <c r="I79" s="24">
        <f>1.05*16</f>
        <v>16.8</v>
      </c>
      <c r="J79" s="5">
        <f>I79-G79-H79</f>
        <v>11.292000000000002</v>
      </c>
      <c r="K79" s="125">
        <f>MIN(J79:J81)</f>
        <v>11.292000000000002</v>
      </c>
      <c r="L79" s="128" t="s">
        <v>24</v>
      </c>
      <c r="M79" s="16"/>
      <c r="N79" s="139">
        <v>50</v>
      </c>
      <c r="O79" s="25" t="s">
        <v>86</v>
      </c>
      <c r="P79" s="28" t="s">
        <v>30</v>
      </c>
      <c r="Q79" s="85">
        <f>Q80+Q81</f>
        <v>0.22450000000000003</v>
      </c>
      <c r="R79" s="47">
        <f>R80+R81</f>
        <v>9.432500000000001</v>
      </c>
      <c r="S79" s="25">
        <f>S80+S81</f>
        <v>3.7</v>
      </c>
      <c r="T79" s="25" t="s">
        <v>58</v>
      </c>
      <c r="U79" s="26">
        <f t="shared" si="34"/>
        <v>5.7325000000000008</v>
      </c>
      <c r="V79" s="25">
        <v>0</v>
      </c>
      <c r="W79" s="24">
        <f>1.05*16</f>
        <v>16.8</v>
      </c>
      <c r="X79" s="5">
        <f>W79-U79-V79</f>
        <v>11.067499999999999</v>
      </c>
      <c r="Y79" s="125">
        <f>MIN(X79:X81)</f>
        <v>11.067499999999999</v>
      </c>
      <c r="Z79" s="128" t="s">
        <v>24</v>
      </c>
    </row>
    <row r="80" spans="1:26" s="1" customFormat="1" ht="21" customHeight="1">
      <c r="A80" s="140"/>
      <c r="B80" s="27" t="s">
        <v>57</v>
      </c>
      <c r="C80" s="63" t="s">
        <v>30</v>
      </c>
      <c r="D80" s="48">
        <v>4.72</v>
      </c>
      <c r="E80" s="25">
        <v>3.7</v>
      </c>
      <c r="F80" s="25" t="s">
        <v>58</v>
      </c>
      <c r="G80" s="26">
        <f t="shared" si="33"/>
        <v>1.0199999999999996</v>
      </c>
      <c r="H80" s="25">
        <v>0</v>
      </c>
      <c r="I80" s="24">
        <f>1.05*16</f>
        <v>16.8</v>
      </c>
      <c r="J80" s="5">
        <f>I80-D80</f>
        <v>12.080000000000002</v>
      </c>
      <c r="K80" s="151"/>
      <c r="L80" s="129"/>
      <c r="M80" s="16"/>
      <c r="N80" s="140"/>
      <c r="O80" s="27" t="s">
        <v>57</v>
      </c>
      <c r="P80" s="28" t="s">
        <v>30</v>
      </c>
      <c r="Q80" s="85"/>
      <c r="R80" s="47">
        <f t="shared" si="32"/>
        <v>4.72</v>
      </c>
      <c r="S80" s="25">
        <v>3.7</v>
      </c>
      <c r="T80" s="25" t="s">
        <v>58</v>
      </c>
      <c r="U80" s="26">
        <f t="shared" si="34"/>
        <v>1.0199999999999996</v>
      </c>
      <c r="V80" s="25">
        <v>0</v>
      </c>
      <c r="W80" s="24">
        <f>1.05*16</f>
        <v>16.8</v>
      </c>
      <c r="X80" s="5">
        <f>W80-R80</f>
        <v>12.080000000000002</v>
      </c>
      <c r="Y80" s="126"/>
      <c r="Z80" s="137"/>
    </row>
    <row r="81" spans="1:26" s="1" customFormat="1" ht="18.75" customHeight="1">
      <c r="A81" s="141"/>
      <c r="B81" s="27" t="s">
        <v>44</v>
      </c>
      <c r="C81" s="63" t="s">
        <v>30</v>
      </c>
      <c r="D81" s="48">
        <v>4.4880000000000004</v>
      </c>
      <c r="E81" s="25">
        <v>0</v>
      </c>
      <c r="F81" s="25">
        <v>0</v>
      </c>
      <c r="G81" s="26">
        <f t="shared" si="33"/>
        <v>4.4880000000000004</v>
      </c>
      <c r="H81" s="25">
        <v>0</v>
      </c>
      <c r="I81" s="24">
        <f>1.05*16</f>
        <v>16.8</v>
      </c>
      <c r="J81" s="5">
        <f>I81-G81-H81</f>
        <v>12.312000000000001</v>
      </c>
      <c r="K81" s="152"/>
      <c r="L81" s="130"/>
      <c r="M81" s="16"/>
      <c r="N81" s="141"/>
      <c r="O81" s="27" t="s">
        <v>44</v>
      </c>
      <c r="P81" s="28" t="s">
        <v>30</v>
      </c>
      <c r="Q81" s="85">
        <f>0.02+0.016+0.003+0.003-0.0086+0.0269+0.1562+0.008</f>
        <v>0.22450000000000003</v>
      </c>
      <c r="R81" s="47">
        <f t="shared" si="32"/>
        <v>4.7125000000000004</v>
      </c>
      <c r="S81" s="25">
        <v>0</v>
      </c>
      <c r="T81" s="25">
        <v>0</v>
      </c>
      <c r="U81" s="26">
        <f t="shared" si="34"/>
        <v>4.7125000000000004</v>
      </c>
      <c r="V81" s="25">
        <v>0</v>
      </c>
      <c r="W81" s="24">
        <f>1.05*16</f>
        <v>16.8</v>
      </c>
      <c r="X81" s="5">
        <f>W81-U81-V81</f>
        <v>12.0875</v>
      </c>
      <c r="Y81" s="127"/>
      <c r="Z81" s="138"/>
    </row>
    <row r="82" spans="1:26" s="1" customFormat="1" ht="22.5">
      <c r="A82" s="18">
        <v>51</v>
      </c>
      <c r="B82" s="65" t="s">
        <v>87</v>
      </c>
      <c r="C82" s="63" t="s">
        <v>50</v>
      </c>
      <c r="D82" s="48">
        <v>0.81499999999999995</v>
      </c>
      <c r="E82" s="25">
        <v>0</v>
      </c>
      <c r="F82" s="25">
        <v>0</v>
      </c>
      <c r="G82" s="26">
        <f t="shared" si="33"/>
        <v>0.81499999999999995</v>
      </c>
      <c r="H82" s="25">
        <v>0</v>
      </c>
      <c r="I82" s="24">
        <f>1.05*2.5</f>
        <v>2.625</v>
      </c>
      <c r="J82" s="6">
        <f>I82-G82-H82</f>
        <v>1.81</v>
      </c>
      <c r="K82" s="48">
        <f>J82</f>
        <v>1.81</v>
      </c>
      <c r="L82" s="17" t="s">
        <v>24</v>
      </c>
      <c r="M82" s="16"/>
      <c r="N82" s="18">
        <v>51</v>
      </c>
      <c r="O82" s="25" t="s">
        <v>87</v>
      </c>
      <c r="P82" s="28" t="s">
        <v>50</v>
      </c>
      <c r="Q82" s="85">
        <f>0.008+0.002+0.005+0.005+0.008+0.0054+0.0108+0.0161+0.1851+0.0075+0.008+0.0102+0.0054+0.0323+0.0108-0.0306</f>
        <v>0.28899999999999998</v>
      </c>
      <c r="R82" s="47">
        <f t="shared" si="32"/>
        <v>1.1039999999999999</v>
      </c>
      <c r="S82" s="25">
        <v>0</v>
      </c>
      <c r="T82" s="25">
        <v>0</v>
      </c>
      <c r="U82" s="26">
        <f t="shared" si="34"/>
        <v>1.1039999999999999</v>
      </c>
      <c r="V82" s="25">
        <v>0</v>
      </c>
      <c r="W82" s="24">
        <f>1.05*2.5</f>
        <v>2.625</v>
      </c>
      <c r="X82" s="6">
        <f>W82-U82-V82</f>
        <v>1.5210000000000001</v>
      </c>
      <c r="Y82" s="48">
        <f>X82</f>
        <v>1.5210000000000001</v>
      </c>
      <c r="Z82" s="12" t="s">
        <v>24</v>
      </c>
    </row>
    <row r="83" spans="1:26" s="74" customFormat="1" ht="22.5">
      <c r="A83" s="18">
        <v>52</v>
      </c>
      <c r="B83" s="65" t="s">
        <v>88</v>
      </c>
      <c r="C83" s="63" t="s">
        <v>30</v>
      </c>
      <c r="D83" s="82">
        <v>14.723000000000001</v>
      </c>
      <c r="E83" s="65">
        <v>0</v>
      </c>
      <c r="F83" s="65">
        <v>0</v>
      </c>
      <c r="G83" s="66">
        <f t="shared" si="33"/>
        <v>14.723000000000001</v>
      </c>
      <c r="H83" s="65">
        <v>0</v>
      </c>
      <c r="I83" s="66">
        <f>1.05*16</f>
        <v>16.8</v>
      </c>
      <c r="J83" s="2">
        <f>I83-G83-H83</f>
        <v>2.077</v>
      </c>
      <c r="K83" s="82">
        <f>J83</f>
        <v>2.077</v>
      </c>
      <c r="L83" s="97" t="s">
        <v>24</v>
      </c>
      <c r="M83" s="16"/>
      <c r="N83" s="18">
        <v>52</v>
      </c>
      <c r="O83" s="65" t="s">
        <v>88</v>
      </c>
      <c r="P83" s="63" t="s">
        <v>30</v>
      </c>
      <c r="Q83" s="81">
        <f>1.472-0.8354+0.3226</f>
        <v>0.95919999999999994</v>
      </c>
      <c r="R83" s="79">
        <f t="shared" si="32"/>
        <v>15.6822</v>
      </c>
      <c r="S83" s="65">
        <v>0</v>
      </c>
      <c r="T83" s="65">
        <v>0</v>
      </c>
      <c r="U83" s="64">
        <f t="shared" si="34"/>
        <v>15.6822</v>
      </c>
      <c r="V83" s="65">
        <v>0</v>
      </c>
      <c r="W83" s="66">
        <f>1.05*16</f>
        <v>16.8</v>
      </c>
      <c r="X83" s="2">
        <f>W83-U83-V83</f>
        <v>1.1178000000000008</v>
      </c>
      <c r="Y83" s="82">
        <f>X83</f>
        <v>1.1178000000000008</v>
      </c>
      <c r="Z83" s="18" t="s">
        <v>24</v>
      </c>
    </row>
    <row r="84" spans="1:26" s="1" customFormat="1" ht="22.5">
      <c r="A84" s="139">
        <v>53</v>
      </c>
      <c r="B84" s="25" t="s">
        <v>89</v>
      </c>
      <c r="C84" s="63" t="s">
        <v>38</v>
      </c>
      <c r="D84" s="48">
        <f>D85+D86</f>
        <v>6.54</v>
      </c>
      <c r="E84" s="25">
        <f>E85+E86</f>
        <v>4.5</v>
      </c>
      <c r="F84" s="25" t="s">
        <v>58</v>
      </c>
      <c r="G84" s="26">
        <f t="shared" si="33"/>
        <v>2.04</v>
      </c>
      <c r="H84" s="25">
        <v>0</v>
      </c>
      <c r="I84" s="24">
        <f>1.05*10</f>
        <v>10.5</v>
      </c>
      <c r="J84" s="5">
        <f>I84-G84-H84</f>
        <v>8.4600000000000009</v>
      </c>
      <c r="K84" s="125">
        <f>MIN(J84:J86)</f>
        <v>4.72</v>
      </c>
      <c r="L84" s="128" t="s">
        <v>24</v>
      </c>
      <c r="M84" s="16"/>
      <c r="N84" s="139">
        <v>53</v>
      </c>
      <c r="O84" s="25" t="s">
        <v>89</v>
      </c>
      <c r="P84" s="28" t="s">
        <v>38</v>
      </c>
      <c r="Q84" s="85">
        <f>Q85+Q86</f>
        <v>2.8755860000000002</v>
      </c>
      <c r="R84" s="47">
        <f>R85+R86</f>
        <v>9.4155860000000011</v>
      </c>
      <c r="S84" s="25">
        <f>S85+S86</f>
        <v>4.5</v>
      </c>
      <c r="T84" s="25" t="s">
        <v>58</v>
      </c>
      <c r="U84" s="26">
        <f t="shared" si="34"/>
        <v>4.9155860000000011</v>
      </c>
      <c r="V84" s="25">
        <v>0</v>
      </c>
      <c r="W84" s="24">
        <f>1.05*10</f>
        <v>10.5</v>
      </c>
      <c r="X84" s="5">
        <f>W84-U84-V84</f>
        <v>5.5844139999999989</v>
      </c>
      <c r="Y84" s="125">
        <f>MIN(X84:X86)</f>
        <v>4.72</v>
      </c>
      <c r="Z84" s="128" t="s">
        <v>24</v>
      </c>
    </row>
    <row r="85" spans="1:26" s="1" customFormat="1" ht="21.75" customHeight="1">
      <c r="A85" s="140"/>
      <c r="B85" s="27" t="s">
        <v>57</v>
      </c>
      <c r="C85" s="63" t="s">
        <v>38</v>
      </c>
      <c r="D85" s="48">
        <v>5.78</v>
      </c>
      <c r="E85" s="25">
        <v>4.5</v>
      </c>
      <c r="F85" s="25" t="s">
        <v>58</v>
      </c>
      <c r="G85" s="26">
        <v>0</v>
      </c>
      <c r="H85" s="25">
        <v>0</v>
      </c>
      <c r="I85" s="24">
        <f>1.05*10</f>
        <v>10.5</v>
      </c>
      <c r="J85" s="5">
        <f>I85-D85</f>
        <v>4.72</v>
      </c>
      <c r="K85" s="151"/>
      <c r="L85" s="129"/>
      <c r="M85" s="16"/>
      <c r="N85" s="140"/>
      <c r="O85" s="27" t="s">
        <v>57</v>
      </c>
      <c r="P85" s="28" t="s">
        <v>38</v>
      </c>
      <c r="Q85" s="85"/>
      <c r="R85" s="47">
        <f t="shared" si="32"/>
        <v>5.78</v>
      </c>
      <c r="S85" s="25">
        <v>4.5</v>
      </c>
      <c r="T85" s="25" t="s">
        <v>58</v>
      </c>
      <c r="U85" s="26">
        <v>0</v>
      </c>
      <c r="V85" s="25">
        <v>0</v>
      </c>
      <c r="W85" s="24">
        <f>1.05*10</f>
        <v>10.5</v>
      </c>
      <c r="X85" s="5">
        <f>W85-R85</f>
        <v>4.72</v>
      </c>
      <c r="Y85" s="126"/>
      <c r="Z85" s="137"/>
    </row>
    <row r="86" spans="1:26" s="1" customFormat="1" ht="21.75" customHeight="1">
      <c r="A86" s="141"/>
      <c r="B86" s="27" t="s">
        <v>44</v>
      </c>
      <c r="C86" s="63" t="s">
        <v>38</v>
      </c>
      <c r="D86" s="48">
        <v>0.76</v>
      </c>
      <c r="E86" s="25">
        <v>0</v>
      </c>
      <c r="F86" s="25">
        <v>0</v>
      </c>
      <c r="G86" s="26">
        <f t="shared" si="33"/>
        <v>0.76</v>
      </c>
      <c r="H86" s="25">
        <v>0</v>
      </c>
      <c r="I86" s="24">
        <f>1.05*10</f>
        <v>10.5</v>
      </c>
      <c r="J86" s="5">
        <f t="shared" ref="J86:J94" si="35">I86-G86-H86</f>
        <v>9.74</v>
      </c>
      <c r="K86" s="152"/>
      <c r="L86" s="130"/>
      <c r="M86" s="16"/>
      <c r="N86" s="141"/>
      <c r="O86" s="27" t="s">
        <v>44</v>
      </c>
      <c r="P86" s="28" t="s">
        <v>38</v>
      </c>
      <c r="Q86" s="85">
        <f>0.01+0.118+0.323+0.015+0.0151-0.3322+0.5914+1.075186-0.0151+1.0752</f>
        <v>2.8755860000000002</v>
      </c>
      <c r="R86" s="47">
        <f t="shared" si="32"/>
        <v>3.635586</v>
      </c>
      <c r="S86" s="25">
        <v>0</v>
      </c>
      <c r="T86" s="25">
        <v>0</v>
      </c>
      <c r="U86" s="26">
        <f t="shared" si="34"/>
        <v>3.635586</v>
      </c>
      <c r="V86" s="25">
        <v>0</v>
      </c>
      <c r="W86" s="24">
        <f>1.05*10</f>
        <v>10.5</v>
      </c>
      <c r="X86" s="5">
        <f t="shared" ref="X86:X94" si="36">W86-U86-V86</f>
        <v>6.864414</v>
      </c>
      <c r="Y86" s="127"/>
      <c r="Z86" s="138"/>
    </row>
    <row r="87" spans="1:26" s="1" customFormat="1" ht="22.5">
      <c r="A87" s="18">
        <v>54</v>
      </c>
      <c r="B87" s="25" t="s">
        <v>90</v>
      </c>
      <c r="C87" s="63" t="s">
        <v>26</v>
      </c>
      <c r="D87" s="48">
        <v>3.6120000000000001</v>
      </c>
      <c r="E87" s="25">
        <v>0</v>
      </c>
      <c r="F87" s="25">
        <v>0</v>
      </c>
      <c r="G87" s="26">
        <f t="shared" si="33"/>
        <v>3.6120000000000001</v>
      </c>
      <c r="H87" s="25">
        <v>0</v>
      </c>
      <c r="I87" s="24">
        <f>1.05*10</f>
        <v>10.5</v>
      </c>
      <c r="J87" s="6">
        <f t="shared" si="35"/>
        <v>6.8879999999999999</v>
      </c>
      <c r="K87" s="48">
        <f t="shared" ref="K87:K93" si="37">J87</f>
        <v>6.8879999999999999</v>
      </c>
      <c r="L87" s="17" t="s">
        <v>24</v>
      </c>
      <c r="M87" s="16"/>
      <c r="N87" s="18">
        <v>54</v>
      </c>
      <c r="O87" s="25" t="s">
        <v>90</v>
      </c>
      <c r="P87" s="28" t="s">
        <v>26</v>
      </c>
      <c r="Q87" s="85">
        <f>0.493+0.107+0.005+0.016+0.005+0.022+0.045+0.125+0.039+0.028+0.147+0.33+0.032+0.0054+0.021-0.4559+0.0032+0.0161+0.0538+0.0108+0.094+0.0269+0.121+0.0376+0.0484+0.043545+0.687-0.2532+0.0108+0.1814+0.0242</f>
        <v>2.0700449999999999</v>
      </c>
      <c r="R87" s="47">
        <f t="shared" si="32"/>
        <v>5.6820450000000005</v>
      </c>
      <c r="S87" s="25">
        <v>0</v>
      </c>
      <c r="T87" s="25">
        <v>0</v>
      </c>
      <c r="U87" s="26">
        <f t="shared" si="34"/>
        <v>5.6820450000000005</v>
      </c>
      <c r="V87" s="25">
        <v>0</v>
      </c>
      <c r="W87" s="24">
        <f>1.05*10</f>
        <v>10.5</v>
      </c>
      <c r="X87" s="6">
        <f t="shared" si="36"/>
        <v>4.8179549999999995</v>
      </c>
      <c r="Y87" s="48">
        <f t="shared" ref="Y87:Y93" si="38">X87</f>
        <v>4.8179549999999995</v>
      </c>
      <c r="Z87" s="12" t="s">
        <v>24</v>
      </c>
    </row>
    <row r="88" spans="1:26" s="1" customFormat="1" ht="22.5">
      <c r="A88" s="18">
        <v>55</v>
      </c>
      <c r="B88" s="65" t="s">
        <v>91</v>
      </c>
      <c r="C88" s="63" t="s">
        <v>29</v>
      </c>
      <c r="D88" s="48">
        <f>0.368</f>
        <v>0.36799999999999999</v>
      </c>
      <c r="E88" s="25">
        <v>0</v>
      </c>
      <c r="F88" s="25">
        <v>0</v>
      </c>
      <c r="G88" s="26">
        <f t="shared" si="33"/>
        <v>0.36799999999999999</v>
      </c>
      <c r="H88" s="25">
        <v>0</v>
      </c>
      <c r="I88" s="24">
        <f>1.05*6.3</f>
        <v>6.6150000000000002</v>
      </c>
      <c r="J88" s="6">
        <f t="shared" si="35"/>
        <v>6.2469999999999999</v>
      </c>
      <c r="K88" s="48">
        <f t="shared" si="37"/>
        <v>6.2469999999999999</v>
      </c>
      <c r="L88" s="17" t="s">
        <v>24</v>
      </c>
      <c r="M88" s="16"/>
      <c r="N88" s="18">
        <v>55</v>
      </c>
      <c r="O88" s="25" t="s">
        <v>91</v>
      </c>
      <c r="P88" s="28" t="s">
        <v>29</v>
      </c>
      <c r="Q88" s="85">
        <f>0.007+0.005+0.011+0.005+0.005+0.021+0.091+0.022+0.021+0.05+0.022+0.0027-0.1124+0.0373+0.0032+0.0011+0.0323+0.005+0.0253+0.1118+0.0161+0.013977+0.0108-0.0715+0.0054</f>
        <v>0.34107700000000002</v>
      </c>
      <c r="R88" s="47">
        <f t="shared" si="32"/>
        <v>0.70907699999999996</v>
      </c>
      <c r="S88" s="25">
        <v>0</v>
      </c>
      <c r="T88" s="25">
        <v>0</v>
      </c>
      <c r="U88" s="26">
        <f t="shared" si="34"/>
        <v>0.70907699999999996</v>
      </c>
      <c r="V88" s="25">
        <v>0</v>
      </c>
      <c r="W88" s="24">
        <f>1.05*6.3</f>
        <v>6.6150000000000002</v>
      </c>
      <c r="X88" s="6">
        <f t="shared" si="36"/>
        <v>5.9059230000000005</v>
      </c>
      <c r="Y88" s="48">
        <f t="shared" si="38"/>
        <v>5.9059230000000005</v>
      </c>
      <c r="Z88" s="12" t="s">
        <v>24</v>
      </c>
    </row>
    <row r="89" spans="1:26" s="1" customFormat="1" ht="22.5">
      <c r="A89" s="18">
        <v>56</v>
      </c>
      <c r="B89" s="25" t="s">
        <v>93</v>
      </c>
      <c r="C89" s="63" t="s">
        <v>30</v>
      </c>
      <c r="D89" s="48">
        <v>5.6449999999999996</v>
      </c>
      <c r="E89" s="25">
        <v>0</v>
      </c>
      <c r="F89" s="25">
        <v>0</v>
      </c>
      <c r="G89" s="24">
        <f t="shared" si="33"/>
        <v>5.6449999999999996</v>
      </c>
      <c r="H89" s="25">
        <v>0</v>
      </c>
      <c r="I89" s="24">
        <f>1.05*16</f>
        <v>16.8</v>
      </c>
      <c r="J89" s="6">
        <f t="shared" si="35"/>
        <v>11.155000000000001</v>
      </c>
      <c r="K89" s="48">
        <f t="shared" si="37"/>
        <v>11.155000000000001</v>
      </c>
      <c r="L89" s="17" t="s">
        <v>24</v>
      </c>
      <c r="M89" s="16"/>
      <c r="N89" s="18">
        <v>56</v>
      </c>
      <c r="O89" s="25" t="s">
        <v>93</v>
      </c>
      <c r="P89" s="28" t="s">
        <v>30</v>
      </c>
      <c r="Q89" s="85">
        <f>0.097+0.032-0.0323+0.2113</f>
        <v>0.308</v>
      </c>
      <c r="R89" s="47">
        <f t="shared" si="32"/>
        <v>5.9529999999999994</v>
      </c>
      <c r="S89" s="25">
        <v>0</v>
      </c>
      <c r="T89" s="25">
        <v>0</v>
      </c>
      <c r="U89" s="26">
        <f t="shared" si="34"/>
        <v>5.9529999999999994</v>
      </c>
      <c r="V89" s="25">
        <v>0</v>
      </c>
      <c r="W89" s="24">
        <f>1.05*16</f>
        <v>16.8</v>
      </c>
      <c r="X89" s="6">
        <f t="shared" si="36"/>
        <v>10.847000000000001</v>
      </c>
      <c r="Y89" s="48">
        <f t="shared" si="38"/>
        <v>10.847000000000001</v>
      </c>
      <c r="Z89" s="12" t="s">
        <v>24</v>
      </c>
    </row>
    <row r="90" spans="1:26" s="1" customFormat="1" ht="22.5">
      <c r="A90" s="18">
        <v>57</v>
      </c>
      <c r="B90" s="65" t="s">
        <v>95</v>
      </c>
      <c r="C90" s="63" t="s">
        <v>60</v>
      </c>
      <c r="D90" s="82">
        <v>34.56</v>
      </c>
      <c r="E90" s="65">
        <v>0</v>
      </c>
      <c r="F90" s="65">
        <v>0</v>
      </c>
      <c r="G90" s="64">
        <f t="shared" si="33"/>
        <v>34.56</v>
      </c>
      <c r="H90" s="65">
        <v>0</v>
      </c>
      <c r="I90" s="66">
        <f>1.05*57</f>
        <v>59.85</v>
      </c>
      <c r="J90" s="2">
        <f t="shared" si="35"/>
        <v>25.29</v>
      </c>
      <c r="K90" s="82">
        <f t="shared" si="37"/>
        <v>25.29</v>
      </c>
      <c r="L90" s="17" t="s">
        <v>24</v>
      </c>
      <c r="M90" s="16"/>
      <c r="N90" s="18">
        <v>57</v>
      </c>
      <c r="O90" s="25" t="s">
        <v>95</v>
      </c>
      <c r="P90" s="28" t="s">
        <v>60</v>
      </c>
      <c r="Q90" s="85">
        <f>6.452+1.193+3.232+0.955+3.396+0.523+0.492+1.623+0.715+0.019+1.0633+0.3451-1.4687+0.1032+0.1989+1.0763+1.1015+0.877+0.501+0.3933+0.0263+0.005376+1.145-0.5864-11.7824+0.4611+0.0081</f>
        <v>12.067975999999996</v>
      </c>
      <c r="R90" s="47">
        <f t="shared" si="32"/>
        <v>46.627975999999997</v>
      </c>
      <c r="S90" s="25">
        <v>0</v>
      </c>
      <c r="T90" s="25">
        <v>0</v>
      </c>
      <c r="U90" s="26">
        <f t="shared" si="34"/>
        <v>46.627975999999997</v>
      </c>
      <c r="V90" s="25">
        <v>0</v>
      </c>
      <c r="W90" s="24">
        <f>1.05*57</f>
        <v>59.85</v>
      </c>
      <c r="X90" s="6">
        <f t="shared" si="36"/>
        <v>13.222024000000005</v>
      </c>
      <c r="Y90" s="48">
        <f t="shared" si="38"/>
        <v>13.222024000000005</v>
      </c>
      <c r="Z90" s="12" t="s">
        <v>24</v>
      </c>
    </row>
    <row r="91" spans="1:26" s="1" customFormat="1" ht="27.75" customHeight="1">
      <c r="A91" s="18">
        <v>58</v>
      </c>
      <c r="B91" s="25" t="s">
        <v>96</v>
      </c>
      <c r="C91" s="63" t="s">
        <v>59</v>
      </c>
      <c r="D91" s="48">
        <v>27.791</v>
      </c>
      <c r="E91" s="25">
        <v>0</v>
      </c>
      <c r="F91" s="25">
        <v>0</v>
      </c>
      <c r="G91" s="26">
        <f t="shared" si="33"/>
        <v>27.791</v>
      </c>
      <c r="H91" s="25">
        <v>0</v>
      </c>
      <c r="I91" s="24">
        <f>1.05*71.5</f>
        <v>75.075000000000003</v>
      </c>
      <c r="J91" s="6">
        <f t="shared" si="35"/>
        <v>47.284000000000006</v>
      </c>
      <c r="K91" s="48">
        <f t="shared" si="37"/>
        <v>47.284000000000006</v>
      </c>
      <c r="L91" s="17" t="s">
        <v>24</v>
      </c>
      <c r="M91" s="16"/>
      <c r="N91" s="18">
        <v>58</v>
      </c>
      <c r="O91" s="25" t="s">
        <v>96</v>
      </c>
      <c r="P91" s="28" t="s">
        <v>59</v>
      </c>
      <c r="Q91" s="85">
        <f>0.178+0.2688+0.1484</f>
        <v>0.59519999999999995</v>
      </c>
      <c r="R91" s="47">
        <f t="shared" si="32"/>
        <v>28.386199999999999</v>
      </c>
      <c r="S91" s="25">
        <v>0</v>
      </c>
      <c r="T91" s="25">
        <v>0</v>
      </c>
      <c r="U91" s="26">
        <f t="shared" si="34"/>
        <v>28.386199999999999</v>
      </c>
      <c r="V91" s="25">
        <v>0</v>
      </c>
      <c r="W91" s="24">
        <f>1.05*71.5</f>
        <v>75.075000000000003</v>
      </c>
      <c r="X91" s="6">
        <f t="shared" si="36"/>
        <v>46.688800000000001</v>
      </c>
      <c r="Y91" s="48">
        <f t="shared" si="38"/>
        <v>46.688800000000001</v>
      </c>
      <c r="Z91" s="12" t="s">
        <v>24</v>
      </c>
    </row>
    <row r="92" spans="1:26" s="1" customFormat="1" ht="22.5">
      <c r="A92" s="18">
        <v>59</v>
      </c>
      <c r="B92" s="25" t="s">
        <v>97</v>
      </c>
      <c r="C92" s="63" t="s">
        <v>26</v>
      </c>
      <c r="D92" s="48">
        <v>4.9539999999999997</v>
      </c>
      <c r="E92" s="25">
        <v>0</v>
      </c>
      <c r="F92" s="25">
        <v>0</v>
      </c>
      <c r="G92" s="26">
        <f t="shared" si="33"/>
        <v>4.9539999999999997</v>
      </c>
      <c r="H92" s="25">
        <v>0</v>
      </c>
      <c r="I92" s="24">
        <f>1.05*10</f>
        <v>10.5</v>
      </c>
      <c r="J92" s="6">
        <f t="shared" si="35"/>
        <v>5.5460000000000003</v>
      </c>
      <c r="K92" s="48">
        <f t="shared" si="37"/>
        <v>5.5460000000000003</v>
      </c>
      <c r="L92" s="17" t="s">
        <v>24</v>
      </c>
      <c r="M92" s="16"/>
      <c r="N92" s="18">
        <v>59</v>
      </c>
      <c r="O92" s="25" t="s">
        <v>97</v>
      </c>
      <c r="P92" s="28" t="s">
        <v>26</v>
      </c>
      <c r="Q92" s="85">
        <f>0.149+0.005+0.014+0.001+0.021+0.015+0.005+0.123+0.022+0.053+0.005+0.129+0.0296+0.0183-0.0887+0.0441+0.0054+0.0591+0.0285+0.022+0.014+0.0382+0.0331+0.0161+0.021504+0.2183-0.215+0.0591+0.3616</f>
        <v>1.2072039999999999</v>
      </c>
      <c r="R92" s="47">
        <f t="shared" si="32"/>
        <v>6.1612039999999997</v>
      </c>
      <c r="S92" s="25">
        <v>0</v>
      </c>
      <c r="T92" s="25">
        <v>0</v>
      </c>
      <c r="U92" s="26">
        <f t="shared" si="34"/>
        <v>6.1612039999999997</v>
      </c>
      <c r="V92" s="25">
        <v>0</v>
      </c>
      <c r="W92" s="24">
        <f>1.05*10</f>
        <v>10.5</v>
      </c>
      <c r="X92" s="6">
        <f t="shared" si="36"/>
        <v>4.3387960000000003</v>
      </c>
      <c r="Y92" s="48">
        <f t="shared" si="38"/>
        <v>4.3387960000000003</v>
      </c>
      <c r="Z92" s="12" t="s">
        <v>24</v>
      </c>
    </row>
    <row r="93" spans="1:26" s="1" customFormat="1" ht="22.5" customHeight="1">
      <c r="A93" s="18">
        <v>60</v>
      </c>
      <c r="B93" s="25" t="s">
        <v>98</v>
      </c>
      <c r="C93" s="63" t="s">
        <v>35</v>
      </c>
      <c r="D93" s="48">
        <v>10.207000000000001</v>
      </c>
      <c r="E93" s="25">
        <v>0</v>
      </c>
      <c r="F93" s="25">
        <v>0</v>
      </c>
      <c r="G93" s="26">
        <f t="shared" si="33"/>
        <v>10.207000000000001</v>
      </c>
      <c r="H93" s="25">
        <v>0</v>
      </c>
      <c r="I93" s="24">
        <f>1.05*20</f>
        <v>21</v>
      </c>
      <c r="J93" s="6">
        <f t="shared" si="35"/>
        <v>10.792999999999999</v>
      </c>
      <c r="K93" s="48">
        <f t="shared" si="37"/>
        <v>10.792999999999999</v>
      </c>
      <c r="L93" s="17" t="s">
        <v>24</v>
      </c>
      <c r="M93" s="16"/>
      <c r="N93" s="18">
        <v>60</v>
      </c>
      <c r="O93" s="25" t="s">
        <v>98</v>
      </c>
      <c r="P93" s="28" t="s">
        <v>35</v>
      </c>
      <c r="Q93" s="85">
        <f>0.1742</f>
        <v>0.17419999999999999</v>
      </c>
      <c r="R93" s="47">
        <f t="shared" si="32"/>
        <v>10.381200000000002</v>
      </c>
      <c r="S93" s="25">
        <v>0</v>
      </c>
      <c r="T93" s="25">
        <v>0</v>
      </c>
      <c r="U93" s="26">
        <f t="shared" si="34"/>
        <v>10.381200000000002</v>
      </c>
      <c r="V93" s="25">
        <v>0</v>
      </c>
      <c r="W93" s="24">
        <f>1.05*20</f>
        <v>21</v>
      </c>
      <c r="X93" s="6">
        <f t="shared" si="36"/>
        <v>10.618799999999998</v>
      </c>
      <c r="Y93" s="48">
        <f t="shared" si="38"/>
        <v>10.618799999999998</v>
      </c>
      <c r="Z93" s="12" t="s">
        <v>24</v>
      </c>
    </row>
    <row r="94" spans="1:26" s="1" customFormat="1" ht="21.75" customHeight="1">
      <c r="A94" s="139">
        <v>61</v>
      </c>
      <c r="B94" s="25" t="s">
        <v>100</v>
      </c>
      <c r="C94" s="93" t="s">
        <v>30</v>
      </c>
      <c r="D94" s="50">
        <f>D95+D96</f>
        <v>14.498000000000001</v>
      </c>
      <c r="E94" s="25">
        <f>E95+E96</f>
        <v>4.8</v>
      </c>
      <c r="F94" s="25" t="s">
        <v>58</v>
      </c>
      <c r="G94" s="26">
        <f t="shared" si="33"/>
        <v>9.6980000000000004</v>
      </c>
      <c r="H94" s="25">
        <v>0</v>
      </c>
      <c r="I94" s="24">
        <f>1.05*16</f>
        <v>16.8</v>
      </c>
      <c r="J94" s="5">
        <f t="shared" si="35"/>
        <v>7.1020000000000003</v>
      </c>
      <c r="K94" s="125">
        <f>MIN(J94:J96)</f>
        <v>7.1020000000000003</v>
      </c>
      <c r="L94" s="128" t="s">
        <v>24</v>
      </c>
      <c r="M94" s="16"/>
      <c r="N94" s="139">
        <v>61</v>
      </c>
      <c r="O94" s="25" t="s">
        <v>100</v>
      </c>
      <c r="P94" s="28" t="s">
        <v>30</v>
      </c>
      <c r="Q94" s="85">
        <f>Q95+Q96</f>
        <v>0.16400000000000003</v>
      </c>
      <c r="R94" s="47">
        <f>R95+R96</f>
        <v>14.662000000000001</v>
      </c>
      <c r="S94" s="25">
        <f>S95+S96</f>
        <v>4.8</v>
      </c>
      <c r="T94" s="25" t="s">
        <v>58</v>
      </c>
      <c r="U94" s="26">
        <f t="shared" si="34"/>
        <v>9.8620000000000019</v>
      </c>
      <c r="V94" s="25">
        <v>0</v>
      </c>
      <c r="W94" s="24">
        <f>1.05*16</f>
        <v>16.8</v>
      </c>
      <c r="X94" s="5">
        <f t="shared" si="36"/>
        <v>6.9379999999999988</v>
      </c>
      <c r="Y94" s="125">
        <f>MIN(X94:X96)</f>
        <v>6.9379999999999988</v>
      </c>
      <c r="Z94" s="128" t="s">
        <v>24</v>
      </c>
    </row>
    <row r="95" spans="1:26" s="1" customFormat="1" ht="20.25" customHeight="1">
      <c r="A95" s="140"/>
      <c r="B95" s="33" t="s">
        <v>57</v>
      </c>
      <c r="C95" s="63" t="s">
        <v>30</v>
      </c>
      <c r="D95" s="48">
        <v>6.59</v>
      </c>
      <c r="E95" s="25">
        <v>4.8</v>
      </c>
      <c r="F95" s="25" t="s">
        <v>58</v>
      </c>
      <c r="G95" s="26">
        <f t="shared" si="33"/>
        <v>1.79</v>
      </c>
      <c r="H95" s="25">
        <v>0</v>
      </c>
      <c r="I95" s="24">
        <f>1.05*16</f>
        <v>16.8</v>
      </c>
      <c r="J95" s="5">
        <f>I95-D95</f>
        <v>10.210000000000001</v>
      </c>
      <c r="K95" s="151"/>
      <c r="L95" s="137"/>
      <c r="M95" s="16"/>
      <c r="N95" s="140"/>
      <c r="O95" s="27" t="s">
        <v>57</v>
      </c>
      <c r="P95" s="28" t="s">
        <v>30</v>
      </c>
      <c r="Q95" s="85"/>
      <c r="R95" s="47">
        <f t="shared" si="32"/>
        <v>6.59</v>
      </c>
      <c r="S95" s="25">
        <v>4.8</v>
      </c>
      <c r="T95" s="25" t="s">
        <v>58</v>
      </c>
      <c r="U95" s="26">
        <f t="shared" si="34"/>
        <v>1.79</v>
      </c>
      <c r="V95" s="25">
        <v>0</v>
      </c>
      <c r="W95" s="24">
        <f>1.05*16</f>
        <v>16.8</v>
      </c>
      <c r="X95" s="5">
        <f>W95-R95</f>
        <v>10.210000000000001</v>
      </c>
      <c r="Y95" s="126"/>
      <c r="Z95" s="137"/>
    </row>
    <row r="96" spans="1:26" s="1" customFormat="1" ht="20.25" customHeight="1">
      <c r="A96" s="141"/>
      <c r="B96" s="27" t="s">
        <v>44</v>
      </c>
      <c r="C96" s="63" t="s">
        <v>30</v>
      </c>
      <c r="D96" s="48">
        <v>7.9080000000000004</v>
      </c>
      <c r="E96" s="25">
        <v>0</v>
      </c>
      <c r="F96" s="25">
        <v>0</v>
      </c>
      <c r="G96" s="26">
        <f t="shared" si="33"/>
        <v>7.9080000000000004</v>
      </c>
      <c r="H96" s="25">
        <v>0</v>
      </c>
      <c r="I96" s="24">
        <f>1.05*16</f>
        <v>16.8</v>
      </c>
      <c r="J96" s="5">
        <f t="shared" ref="J96:J101" si="39">I96-G96-H96</f>
        <v>8.8919999999999995</v>
      </c>
      <c r="K96" s="152"/>
      <c r="L96" s="138"/>
      <c r="M96" s="16"/>
      <c r="N96" s="141"/>
      <c r="O96" s="27" t="s">
        <v>44</v>
      </c>
      <c r="P96" s="28" t="s">
        <v>30</v>
      </c>
      <c r="Q96" s="85">
        <f>0.16+0.006+0.005+0.009+0.0223-0.0296+0.009+0.0038-0.0215</f>
        <v>0.16400000000000003</v>
      </c>
      <c r="R96" s="47">
        <f t="shared" si="32"/>
        <v>8.072000000000001</v>
      </c>
      <c r="S96" s="25">
        <v>0</v>
      </c>
      <c r="T96" s="25">
        <v>0</v>
      </c>
      <c r="U96" s="26">
        <f t="shared" si="34"/>
        <v>8.072000000000001</v>
      </c>
      <c r="V96" s="25">
        <v>0</v>
      </c>
      <c r="W96" s="24">
        <f>1.05*16</f>
        <v>16.8</v>
      </c>
      <c r="X96" s="5">
        <f t="shared" ref="X96:X101" si="40">W96-U96-V96</f>
        <v>8.7279999999999998</v>
      </c>
      <c r="Y96" s="127"/>
      <c r="Z96" s="138"/>
    </row>
    <row r="97" spans="1:26" s="74" customFormat="1" ht="22.5">
      <c r="A97" s="18">
        <v>62</v>
      </c>
      <c r="B97" s="65" t="s">
        <v>102</v>
      </c>
      <c r="C97" s="63" t="s">
        <v>49</v>
      </c>
      <c r="D97" s="82">
        <v>15.518000000000001</v>
      </c>
      <c r="E97" s="65">
        <v>0</v>
      </c>
      <c r="F97" s="65">
        <v>0</v>
      </c>
      <c r="G97" s="64">
        <f t="shared" si="33"/>
        <v>15.518000000000001</v>
      </c>
      <c r="H97" s="65">
        <v>0</v>
      </c>
      <c r="I97" s="66">
        <f>1.05*16</f>
        <v>16.8</v>
      </c>
      <c r="J97" s="2">
        <f t="shared" si="39"/>
        <v>1.282</v>
      </c>
      <c r="K97" s="82">
        <f>J97</f>
        <v>1.282</v>
      </c>
      <c r="L97" s="97" t="s">
        <v>24</v>
      </c>
      <c r="M97" s="104"/>
      <c r="N97" s="18">
        <v>62</v>
      </c>
      <c r="O97" s="65" t="s">
        <v>102</v>
      </c>
      <c r="P97" s="63" t="s">
        <v>49</v>
      </c>
      <c r="Q97" s="81">
        <v>0.23799999999999999</v>
      </c>
      <c r="R97" s="79">
        <f t="shared" si="32"/>
        <v>15.756</v>
      </c>
      <c r="S97" s="65">
        <v>0</v>
      </c>
      <c r="T97" s="65">
        <v>0</v>
      </c>
      <c r="U97" s="64">
        <f t="shared" si="34"/>
        <v>15.756</v>
      </c>
      <c r="V97" s="65">
        <v>0</v>
      </c>
      <c r="W97" s="66">
        <f>1.05*16</f>
        <v>16.8</v>
      </c>
      <c r="X97" s="2">
        <f t="shared" si="40"/>
        <v>1.0440000000000005</v>
      </c>
      <c r="Y97" s="82">
        <f>X97</f>
        <v>1.0440000000000005</v>
      </c>
      <c r="Z97" s="18" t="s">
        <v>24</v>
      </c>
    </row>
    <row r="98" spans="1:26" s="1" customFormat="1" ht="22.5">
      <c r="A98" s="18">
        <v>63</v>
      </c>
      <c r="B98" s="18" t="s">
        <v>156</v>
      </c>
      <c r="C98" s="69" t="s">
        <v>50</v>
      </c>
      <c r="D98" s="47">
        <v>0.93700000000000006</v>
      </c>
      <c r="E98" s="25">
        <v>0</v>
      </c>
      <c r="F98" s="25">
        <v>0</v>
      </c>
      <c r="G98" s="26">
        <f t="shared" si="33"/>
        <v>0.93700000000000006</v>
      </c>
      <c r="H98" s="25">
        <v>0</v>
      </c>
      <c r="I98" s="24">
        <f>1.05*2.5</f>
        <v>2.625</v>
      </c>
      <c r="J98" s="6">
        <f t="shared" si="39"/>
        <v>1.6879999999999999</v>
      </c>
      <c r="K98" s="48">
        <f>J98</f>
        <v>1.6879999999999999</v>
      </c>
      <c r="L98" s="17" t="s">
        <v>24</v>
      </c>
      <c r="M98" s="16"/>
      <c r="N98" s="18">
        <v>63</v>
      </c>
      <c r="O98" s="12" t="s">
        <v>156</v>
      </c>
      <c r="P98" s="15" t="s">
        <v>50</v>
      </c>
      <c r="Q98" s="86">
        <f>0.022+0.0226+0.0054-0.0328+0.0054+0.0032+0.016-0.0311</f>
        <v>1.0700000000000005E-2</v>
      </c>
      <c r="R98" s="47">
        <f t="shared" si="32"/>
        <v>0.9477000000000001</v>
      </c>
      <c r="S98" s="25">
        <v>0</v>
      </c>
      <c r="T98" s="25">
        <v>0</v>
      </c>
      <c r="U98" s="26">
        <f t="shared" si="34"/>
        <v>0.9477000000000001</v>
      </c>
      <c r="V98" s="25">
        <v>0</v>
      </c>
      <c r="W98" s="24">
        <f>1.05*2.5</f>
        <v>2.625</v>
      </c>
      <c r="X98" s="6">
        <f t="shared" si="40"/>
        <v>1.6772999999999998</v>
      </c>
      <c r="Y98" s="48">
        <f>X98</f>
        <v>1.6772999999999998</v>
      </c>
      <c r="Z98" s="12" t="s">
        <v>24</v>
      </c>
    </row>
    <row r="99" spans="1:26" s="1" customFormat="1" ht="22.5">
      <c r="A99" s="18">
        <v>64</v>
      </c>
      <c r="B99" s="12" t="s">
        <v>157</v>
      </c>
      <c r="C99" s="69" t="s">
        <v>49</v>
      </c>
      <c r="D99" s="47">
        <v>5.17</v>
      </c>
      <c r="E99" s="25">
        <v>0</v>
      </c>
      <c r="F99" s="25">
        <v>0</v>
      </c>
      <c r="G99" s="26">
        <f t="shared" si="33"/>
        <v>5.17</v>
      </c>
      <c r="H99" s="25">
        <v>0</v>
      </c>
      <c r="I99" s="24">
        <f>1.05*16</f>
        <v>16.8</v>
      </c>
      <c r="J99" s="6">
        <f t="shared" si="39"/>
        <v>11.63</v>
      </c>
      <c r="K99" s="48">
        <f>J99</f>
        <v>11.63</v>
      </c>
      <c r="L99" s="17" t="s">
        <v>24</v>
      </c>
      <c r="M99" s="16"/>
      <c r="N99" s="18">
        <v>64</v>
      </c>
      <c r="O99" s="12" t="s">
        <v>157</v>
      </c>
      <c r="P99" s="15" t="s">
        <v>49</v>
      </c>
      <c r="Q99" s="86">
        <v>0</v>
      </c>
      <c r="R99" s="47">
        <f t="shared" si="32"/>
        <v>5.17</v>
      </c>
      <c r="S99" s="25">
        <v>0</v>
      </c>
      <c r="T99" s="25">
        <v>0</v>
      </c>
      <c r="U99" s="26">
        <f t="shared" si="34"/>
        <v>5.17</v>
      </c>
      <c r="V99" s="25">
        <v>0</v>
      </c>
      <c r="W99" s="24">
        <f>1.05*16</f>
        <v>16.8</v>
      </c>
      <c r="X99" s="6">
        <f t="shared" si="40"/>
        <v>11.63</v>
      </c>
      <c r="Y99" s="48">
        <f>X99</f>
        <v>11.63</v>
      </c>
      <c r="Z99" s="12" t="s">
        <v>24</v>
      </c>
    </row>
    <row r="100" spans="1:26" s="1" customFormat="1" ht="22.5">
      <c r="A100" s="18">
        <v>65</v>
      </c>
      <c r="B100" s="18" t="s">
        <v>158</v>
      </c>
      <c r="C100" s="69" t="s">
        <v>41</v>
      </c>
      <c r="D100" s="47">
        <v>0.98799999999999999</v>
      </c>
      <c r="E100" s="25">
        <v>0</v>
      </c>
      <c r="F100" s="25">
        <v>0</v>
      </c>
      <c r="G100" s="26">
        <f t="shared" si="33"/>
        <v>0.98799999999999999</v>
      </c>
      <c r="H100" s="25">
        <v>0</v>
      </c>
      <c r="I100" s="24">
        <f>1.05*4</f>
        <v>4.2</v>
      </c>
      <c r="J100" s="6">
        <f t="shared" si="39"/>
        <v>3.2120000000000002</v>
      </c>
      <c r="K100" s="48">
        <f>J100</f>
        <v>3.2120000000000002</v>
      </c>
      <c r="L100" s="17" t="s">
        <v>24</v>
      </c>
      <c r="M100" s="16"/>
      <c r="N100" s="18">
        <v>65</v>
      </c>
      <c r="O100" s="12" t="s">
        <v>158</v>
      </c>
      <c r="P100" s="15" t="s">
        <v>41</v>
      </c>
      <c r="Q100" s="86">
        <f>0.092+0.015+0.018+0.002+0.004+0.0161-0.0548+0.0054+0.0032+0.0054+0.0172+0.172+0.2398+0.0097-0.2226</f>
        <v>0.32240000000000002</v>
      </c>
      <c r="R100" s="47">
        <f t="shared" si="32"/>
        <v>1.3104</v>
      </c>
      <c r="S100" s="25">
        <v>0</v>
      </c>
      <c r="T100" s="25">
        <v>0</v>
      </c>
      <c r="U100" s="26">
        <f t="shared" si="34"/>
        <v>1.3104</v>
      </c>
      <c r="V100" s="25">
        <v>0</v>
      </c>
      <c r="W100" s="24">
        <f>1.05*4</f>
        <v>4.2</v>
      </c>
      <c r="X100" s="6">
        <f t="shared" si="40"/>
        <v>2.8896000000000002</v>
      </c>
      <c r="Y100" s="48">
        <f>X100</f>
        <v>2.8896000000000002</v>
      </c>
      <c r="Z100" s="12" t="s">
        <v>24</v>
      </c>
    </row>
    <row r="101" spans="1:26" s="1" customFormat="1" ht="22.5">
      <c r="A101" s="139">
        <v>66</v>
      </c>
      <c r="B101" s="18" t="s">
        <v>159</v>
      </c>
      <c r="C101" s="69" t="s">
        <v>46</v>
      </c>
      <c r="D101" s="47">
        <f>D102+D103</f>
        <v>1.915</v>
      </c>
      <c r="E101" s="25">
        <f>E102+E103</f>
        <v>0.54</v>
      </c>
      <c r="F101" s="25" t="str">
        <f>F102</f>
        <v>3 час</v>
      </c>
      <c r="G101" s="26">
        <f t="shared" si="33"/>
        <v>1.375</v>
      </c>
      <c r="H101" s="25">
        <v>0</v>
      </c>
      <c r="I101" s="24">
        <f>1.05*6.3</f>
        <v>6.6150000000000002</v>
      </c>
      <c r="J101" s="5">
        <f t="shared" si="39"/>
        <v>5.24</v>
      </c>
      <c r="K101" s="125">
        <f>MIN(J101:J103)</f>
        <v>4.7469999999999999</v>
      </c>
      <c r="L101" s="128" t="s">
        <v>24</v>
      </c>
      <c r="M101" s="16"/>
      <c r="N101" s="139">
        <v>66</v>
      </c>
      <c r="O101" s="12" t="s">
        <v>159</v>
      </c>
      <c r="P101" s="15" t="s">
        <v>46</v>
      </c>
      <c r="Q101" s="86">
        <f>Q102+Q103</f>
        <v>0</v>
      </c>
      <c r="R101" s="47">
        <f>R102+R103</f>
        <v>1.915</v>
      </c>
      <c r="S101" s="25">
        <f>S102+S103</f>
        <v>0.54</v>
      </c>
      <c r="T101" s="25" t="str">
        <f>T102</f>
        <v>3 час</v>
      </c>
      <c r="U101" s="26">
        <f t="shared" si="34"/>
        <v>1.375</v>
      </c>
      <c r="V101" s="25">
        <v>0</v>
      </c>
      <c r="W101" s="24">
        <f>1.05*6.3</f>
        <v>6.6150000000000002</v>
      </c>
      <c r="X101" s="5">
        <f t="shared" si="40"/>
        <v>5.24</v>
      </c>
      <c r="Y101" s="125">
        <f>MIN(X101:X103)</f>
        <v>4.7469999999999999</v>
      </c>
      <c r="Z101" s="128" t="s">
        <v>24</v>
      </c>
    </row>
    <row r="102" spans="1:26" s="1" customFormat="1" ht="24.75" customHeight="1">
      <c r="A102" s="140"/>
      <c r="B102" s="27" t="s">
        <v>57</v>
      </c>
      <c r="C102" s="69" t="s">
        <v>46</v>
      </c>
      <c r="D102" s="48">
        <v>4.7E-2</v>
      </c>
      <c r="E102" s="25">
        <v>0.54</v>
      </c>
      <c r="F102" s="25" t="s">
        <v>56</v>
      </c>
      <c r="G102" s="26">
        <v>0</v>
      </c>
      <c r="H102" s="25">
        <v>0</v>
      </c>
      <c r="I102" s="24">
        <f>1.05*6.3</f>
        <v>6.6150000000000002</v>
      </c>
      <c r="J102" s="5">
        <f>I102-D102</f>
        <v>6.5680000000000005</v>
      </c>
      <c r="K102" s="151"/>
      <c r="L102" s="129"/>
      <c r="M102" s="16"/>
      <c r="N102" s="140"/>
      <c r="O102" s="27" t="s">
        <v>57</v>
      </c>
      <c r="P102" s="15" t="s">
        <v>46</v>
      </c>
      <c r="Q102" s="86"/>
      <c r="R102" s="47">
        <f t="shared" si="32"/>
        <v>4.7E-2</v>
      </c>
      <c r="S102" s="25">
        <v>0.54</v>
      </c>
      <c r="T102" s="25" t="s">
        <v>56</v>
      </c>
      <c r="U102" s="26">
        <v>0</v>
      </c>
      <c r="V102" s="25">
        <v>0</v>
      </c>
      <c r="W102" s="24">
        <f>1.05*6.3</f>
        <v>6.6150000000000002</v>
      </c>
      <c r="X102" s="5">
        <f>W102-R102</f>
        <v>6.5680000000000005</v>
      </c>
      <c r="Y102" s="126"/>
      <c r="Z102" s="129"/>
    </row>
    <row r="103" spans="1:26" s="1" customFormat="1" ht="25.5" customHeight="1">
      <c r="A103" s="141"/>
      <c r="B103" s="27" t="s">
        <v>44</v>
      </c>
      <c r="C103" s="69" t="s">
        <v>46</v>
      </c>
      <c r="D103" s="48">
        <v>1.8680000000000001</v>
      </c>
      <c r="E103" s="25">
        <v>0</v>
      </c>
      <c r="F103" s="25">
        <v>0</v>
      </c>
      <c r="G103" s="26">
        <f t="shared" si="33"/>
        <v>1.8680000000000001</v>
      </c>
      <c r="H103" s="25">
        <v>0</v>
      </c>
      <c r="I103" s="24">
        <f>1.05*6.3</f>
        <v>6.6150000000000002</v>
      </c>
      <c r="J103" s="5">
        <f>I103-G103-H103</f>
        <v>4.7469999999999999</v>
      </c>
      <c r="K103" s="152"/>
      <c r="L103" s="130"/>
      <c r="M103" s="16"/>
      <c r="N103" s="141"/>
      <c r="O103" s="27" t="s">
        <v>44</v>
      </c>
      <c r="P103" s="15" t="s">
        <v>46</v>
      </c>
      <c r="Q103" s="86">
        <f>0.0161-0.0161</f>
        <v>0</v>
      </c>
      <c r="R103" s="47">
        <f t="shared" si="32"/>
        <v>1.8680000000000001</v>
      </c>
      <c r="S103" s="25">
        <v>0</v>
      </c>
      <c r="T103" s="25">
        <v>0</v>
      </c>
      <c r="U103" s="26">
        <f t="shared" si="34"/>
        <v>1.8680000000000001</v>
      </c>
      <c r="V103" s="25">
        <v>0</v>
      </c>
      <c r="W103" s="24">
        <f>1.05*6.3</f>
        <v>6.6150000000000002</v>
      </c>
      <c r="X103" s="5">
        <f>W103-U103-V103</f>
        <v>4.7469999999999999</v>
      </c>
      <c r="Y103" s="127"/>
      <c r="Z103" s="130"/>
    </row>
    <row r="104" spans="1:26" s="1" customFormat="1" ht="22.5">
      <c r="A104" s="18">
        <v>67</v>
      </c>
      <c r="B104" s="12" t="s">
        <v>160</v>
      </c>
      <c r="C104" s="69" t="s">
        <v>37</v>
      </c>
      <c r="D104" s="47">
        <v>25.614000000000001</v>
      </c>
      <c r="E104" s="25">
        <v>0</v>
      </c>
      <c r="F104" s="25">
        <v>0</v>
      </c>
      <c r="G104" s="26">
        <f t="shared" si="33"/>
        <v>25.614000000000001</v>
      </c>
      <c r="H104" s="25">
        <v>0</v>
      </c>
      <c r="I104" s="24">
        <f>1.05*40</f>
        <v>42</v>
      </c>
      <c r="J104" s="6">
        <f>I104-G104-H104</f>
        <v>16.385999999999999</v>
      </c>
      <c r="K104" s="48">
        <f>J104</f>
        <v>16.385999999999999</v>
      </c>
      <c r="L104" s="17" t="s">
        <v>24</v>
      </c>
      <c r="M104" s="16"/>
      <c r="N104" s="18">
        <v>67</v>
      </c>
      <c r="O104" s="12" t="s">
        <v>160</v>
      </c>
      <c r="P104" s="15" t="s">
        <v>37</v>
      </c>
      <c r="Q104" s="86">
        <f>0.029+0.003+0.004+0.055-0.0234+0.0032-0.0167</f>
        <v>5.4099999999999988E-2</v>
      </c>
      <c r="R104" s="47">
        <f t="shared" si="32"/>
        <v>25.668099999999999</v>
      </c>
      <c r="S104" s="25">
        <v>0</v>
      </c>
      <c r="T104" s="25">
        <v>0</v>
      </c>
      <c r="U104" s="26">
        <f t="shared" si="34"/>
        <v>25.668099999999999</v>
      </c>
      <c r="V104" s="25">
        <v>0</v>
      </c>
      <c r="W104" s="24">
        <f>1.05*40</f>
        <v>42</v>
      </c>
      <c r="X104" s="6">
        <f>W104-U104-V104</f>
        <v>16.331900000000001</v>
      </c>
      <c r="Y104" s="48">
        <f>X104</f>
        <v>16.331900000000001</v>
      </c>
      <c r="Z104" s="12" t="s">
        <v>24</v>
      </c>
    </row>
    <row r="105" spans="1:26" s="1" customFormat="1" ht="22.5">
      <c r="A105" s="18">
        <v>68</v>
      </c>
      <c r="B105" s="18" t="s">
        <v>164</v>
      </c>
      <c r="C105" s="69" t="s">
        <v>46</v>
      </c>
      <c r="D105" s="47">
        <v>3.863</v>
      </c>
      <c r="E105" s="25">
        <v>0</v>
      </c>
      <c r="F105" s="25">
        <v>0</v>
      </c>
      <c r="G105" s="26">
        <f t="shared" ref="G105:G132" si="41">D105-E105</f>
        <v>3.863</v>
      </c>
      <c r="H105" s="25">
        <v>0</v>
      </c>
      <c r="I105" s="24">
        <f>1.05*6.3</f>
        <v>6.6150000000000002</v>
      </c>
      <c r="J105" s="6">
        <f>I105-G105-H105</f>
        <v>2.7520000000000002</v>
      </c>
      <c r="K105" s="48">
        <f>J105</f>
        <v>2.7520000000000002</v>
      </c>
      <c r="L105" s="17" t="s">
        <v>24</v>
      </c>
      <c r="M105" s="16"/>
      <c r="N105" s="18">
        <v>68</v>
      </c>
      <c r="O105" s="12" t="s">
        <v>164</v>
      </c>
      <c r="P105" s="15" t="s">
        <v>46</v>
      </c>
      <c r="Q105" s="86">
        <f>0.131+0.012+0.009+0.011+0.003+0.005+0.015+0.002+0.0323+0.0661+0.0075+0.0054+0.0065+0.019+0.0151+0.0172+0.0118+0.0538+0.023654-0.1618+0.0035+0.1114+0.029</f>
        <v>0.42845400000000011</v>
      </c>
      <c r="R105" s="47">
        <f t="shared" si="32"/>
        <v>4.2914539999999999</v>
      </c>
      <c r="S105" s="25">
        <v>0</v>
      </c>
      <c r="T105" s="25">
        <v>0</v>
      </c>
      <c r="U105" s="26">
        <f t="shared" ref="U105:U132" si="42">R105-S105</f>
        <v>4.2914539999999999</v>
      </c>
      <c r="V105" s="25">
        <v>0</v>
      </c>
      <c r="W105" s="24">
        <f>1.05*6.3</f>
        <v>6.6150000000000002</v>
      </c>
      <c r="X105" s="6">
        <f>W105-U105-V105</f>
        <v>2.3235460000000003</v>
      </c>
      <c r="Y105" s="48">
        <f>X105</f>
        <v>2.3235460000000003</v>
      </c>
      <c r="Z105" s="12" t="s">
        <v>24</v>
      </c>
    </row>
    <row r="106" spans="1:26" s="100" customFormat="1" ht="22.5">
      <c r="A106" s="31">
        <v>69</v>
      </c>
      <c r="B106" s="31" t="s">
        <v>165</v>
      </c>
      <c r="C106" s="32" t="s">
        <v>26</v>
      </c>
      <c r="D106" s="49">
        <v>12.538</v>
      </c>
      <c r="E106" s="31">
        <v>0</v>
      </c>
      <c r="F106" s="31">
        <v>0</v>
      </c>
      <c r="G106" s="29">
        <f t="shared" si="41"/>
        <v>12.538</v>
      </c>
      <c r="H106" s="31">
        <v>0</v>
      </c>
      <c r="I106" s="30">
        <f>1.05*10</f>
        <v>10.5</v>
      </c>
      <c r="J106" s="45">
        <f>I106-G106-H106</f>
        <v>-2.0380000000000003</v>
      </c>
      <c r="K106" s="49">
        <f>J106</f>
        <v>-2.0380000000000003</v>
      </c>
      <c r="L106" s="31" t="s">
        <v>25</v>
      </c>
      <c r="M106" s="98"/>
      <c r="N106" s="31">
        <v>69</v>
      </c>
      <c r="O106" s="31" t="s">
        <v>165</v>
      </c>
      <c r="P106" s="32" t="s">
        <v>26</v>
      </c>
      <c r="Q106" s="87">
        <f>0.016+0+0.011+0.011+0.005+0.011+0.004+0.0054-0.0048+0.0161+0.0108+0.5559+0.0065-0.0607+0.0032</f>
        <v>0.59039999999999992</v>
      </c>
      <c r="R106" s="49">
        <f t="shared" si="32"/>
        <v>13.128400000000001</v>
      </c>
      <c r="S106" s="31">
        <v>0</v>
      </c>
      <c r="T106" s="31">
        <v>0</v>
      </c>
      <c r="U106" s="29">
        <f t="shared" si="42"/>
        <v>13.128400000000001</v>
      </c>
      <c r="V106" s="31">
        <v>0</v>
      </c>
      <c r="W106" s="30">
        <f>1.05*10</f>
        <v>10.5</v>
      </c>
      <c r="X106" s="45">
        <f>W106-U106-V106</f>
        <v>-2.628400000000001</v>
      </c>
      <c r="Y106" s="49">
        <f>X106</f>
        <v>-2.628400000000001</v>
      </c>
      <c r="Z106" s="31" t="s">
        <v>25</v>
      </c>
    </row>
    <row r="107" spans="1:26" s="1" customFormat="1" ht="22.5">
      <c r="A107" s="139">
        <v>70</v>
      </c>
      <c r="B107" s="12" t="s">
        <v>166</v>
      </c>
      <c r="C107" s="69" t="s">
        <v>30</v>
      </c>
      <c r="D107" s="47">
        <f>D108+D109</f>
        <v>11.388000000000002</v>
      </c>
      <c r="E107" s="25">
        <f>E108+E109</f>
        <v>1.64</v>
      </c>
      <c r="F107" s="25" t="str">
        <f>F108</f>
        <v>6 час</v>
      </c>
      <c r="G107" s="26">
        <f t="shared" si="41"/>
        <v>9.7480000000000011</v>
      </c>
      <c r="H107" s="25">
        <v>0</v>
      </c>
      <c r="I107" s="24">
        <f>1.05*16</f>
        <v>16.8</v>
      </c>
      <c r="J107" s="5">
        <f>I107-G107-H107</f>
        <v>7.0519999999999996</v>
      </c>
      <c r="K107" s="125">
        <f>MIN(J107:J109)</f>
        <v>7.0519999999999996</v>
      </c>
      <c r="L107" s="128" t="s">
        <v>24</v>
      </c>
      <c r="M107" s="16"/>
      <c r="N107" s="139">
        <v>70</v>
      </c>
      <c r="O107" s="12" t="s">
        <v>166</v>
      </c>
      <c r="P107" s="15" t="s">
        <v>30</v>
      </c>
      <c r="Q107" s="86">
        <f>Q108+Q109</f>
        <v>0.21271299999999999</v>
      </c>
      <c r="R107" s="47">
        <f>R108+R109</f>
        <v>11.600713000000001</v>
      </c>
      <c r="S107" s="25">
        <f>S108+S109</f>
        <v>1.64</v>
      </c>
      <c r="T107" s="25" t="str">
        <f>T108</f>
        <v>6 час</v>
      </c>
      <c r="U107" s="26">
        <f t="shared" si="42"/>
        <v>9.9607130000000002</v>
      </c>
      <c r="V107" s="25">
        <v>0</v>
      </c>
      <c r="W107" s="24">
        <f>1.05*16</f>
        <v>16.8</v>
      </c>
      <c r="X107" s="5">
        <f>W107-U107-V107</f>
        <v>6.8392870000000006</v>
      </c>
      <c r="Y107" s="125">
        <f>MIN(X107:X109)</f>
        <v>6.8392870000000006</v>
      </c>
      <c r="Z107" s="128" t="s">
        <v>24</v>
      </c>
    </row>
    <row r="108" spans="1:26" s="1" customFormat="1" ht="11.25" customHeight="1">
      <c r="A108" s="140"/>
      <c r="B108" s="27" t="s">
        <v>57</v>
      </c>
      <c r="C108" s="69" t="s">
        <v>30</v>
      </c>
      <c r="D108" s="48">
        <v>4.0730000000000004</v>
      </c>
      <c r="E108" s="25">
        <v>1.64</v>
      </c>
      <c r="F108" s="25" t="s">
        <v>58</v>
      </c>
      <c r="G108" s="26">
        <f t="shared" si="41"/>
        <v>2.4330000000000007</v>
      </c>
      <c r="H108" s="25">
        <v>0</v>
      </c>
      <c r="I108" s="24">
        <f>1.05*16</f>
        <v>16.8</v>
      </c>
      <c r="J108" s="5">
        <f>I108-D108</f>
        <v>12.727</v>
      </c>
      <c r="K108" s="151"/>
      <c r="L108" s="129"/>
      <c r="M108" s="16"/>
      <c r="N108" s="140"/>
      <c r="O108" s="27" t="s">
        <v>57</v>
      </c>
      <c r="P108" s="15" t="s">
        <v>30</v>
      </c>
      <c r="Q108" s="86"/>
      <c r="R108" s="47">
        <f t="shared" si="32"/>
        <v>4.0730000000000004</v>
      </c>
      <c r="S108" s="25">
        <v>1.64</v>
      </c>
      <c r="T108" s="25" t="s">
        <v>58</v>
      </c>
      <c r="U108" s="26">
        <f t="shared" si="42"/>
        <v>2.4330000000000007</v>
      </c>
      <c r="V108" s="25">
        <v>0</v>
      </c>
      <c r="W108" s="24">
        <f>1.05*16</f>
        <v>16.8</v>
      </c>
      <c r="X108" s="5">
        <f>W108-R108</f>
        <v>12.727</v>
      </c>
      <c r="Y108" s="126"/>
      <c r="Z108" s="129"/>
    </row>
    <row r="109" spans="1:26" s="1" customFormat="1" ht="11.25" customHeight="1">
      <c r="A109" s="141"/>
      <c r="B109" s="27" t="s">
        <v>44</v>
      </c>
      <c r="C109" s="69" t="s">
        <v>30</v>
      </c>
      <c r="D109" s="48">
        <v>7.3150000000000004</v>
      </c>
      <c r="E109" s="25">
        <v>0</v>
      </c>
      <c r="F109" s="25">
        <v>0</v>
      </c>
      <c r="G109" s="26">
        <f t="shared" si="41"/>
        <v>7.3150000000000004</v>
      </c>
      <c r="H109" s="25">
        <v>0</v>
      </c>
      <c r="I109" s="24">
        <f>1.05*16</f>
        <v>16.8</v>
      </c>
      <c r="J109" s="5">
        <f>I109-G109-H109</f>
        <v>9.4849999999999994</v>
      </c>
      <c r="K109" s="152"/>
      <c r="L109" s="130"/>
      <c r="M109" s="16"/>
      <c r="N109" s="141"/>
      <c r="O109" s="27" t="s">
        <v>44</v>
      </c>
      <c r="P109" s="15" t="s">
        <v>30</v>
      </c>
      <c r="Q109" s="86">
        <f>0.056+0.097+0.005+0.003+0.032+0.003+0.0022-0.0414+0.0387+0.0054+0.005+0.0108+0.0161+0.004+0.0054+0.001613+0.0108-0.0419</f>
        <v>0.21271299999999999</v>
      </c>
      <c r="R109" s="47">
        <f t="shared" si="32"/>
        <v>7.5277130000000003</v>
      </c>
      <c r="S109" s="25">
        <v>0</v>
      </c>
      <c r="T109" s="25">
        <v>0</v>
      </c>
      <c r="U109" s="26">
        <f t="shared" si="42"/>
        <v>7.5277130000000003</v>
      </c>
      <c r="V109" s="25">
        <v>0</v>
      </c>
      <c r="W109" s="24">
        <f>1.05*16</f>
        <v>16.8</v>
      </c>
      <c r="X109" s="5">
        <f>W109-U109-V109</f>
        <v>9.2722870000000004</v>
      </c>
      <c r="Y109" s="127"/>
      <c r="Z109" s="130"/>
    </row>
    <row r="110" spans="1:26" s="1" customFormat="1" ht="22.5">
      <c r="A110" s="139">
        <v>71</v>
      </c>
      <c r="B110" s="12" t="s">
        <v>168</v>
      </c>
      <c r="C110" s="69" t="s">
        <v>26</v>
      </c>
      <c r="D110" s="47">
        <f>D111+D112</f>
        <v>3.1840000000000002</v>
      </c>
      <c r="E110" s="25">
        <f>E111+E112</f>
        <v>3.12</v>
      </c>
      <c r="F110" s="25" t="str">
        <f>F111</f>
        <v>6 час</v>
      </c>
      <c r="G110" s="26">
        <f t="shared" si="41"/>
        <v>6.4000000000000057E-2</v>
      </c>
      <c r="H110" s="25">
        <v>0</v>
      </c>
      <c r="I110" s="24">
        <f>1.05*10</f>
        <v>10.5</v>
      </c>
      <c r="J110" s="5">
        <f>I110-G110-H110</f>
        <v>10.436</v>
      </c>
      <c r="K110" s="125">
        <f>MIN(J110:J112)</f>
        <v>8.0220000000000002</v>
      </c>
      <c r="L110" s="128" t="s">
        <v>24</v>
      </c>
      <c r="M110" s="16"/>
      <c r="N110" s="139">
        <v>71</v>
      </c>
      <c r="O110" s="12" t="s">
        <v>168</v>
      </c>
      <c r="P110" s="15" t="s">
        <v>26</v>
      </c>
      <c r="Q110" s="86">
        <f>Q111+Q112</f>
        <v>1.3599999999999999E-2</v>
      </c>
      <c r="R110" s="47">
        <f>R111+R112</f>
        <v>3.1976</v>
      </c>
      <c r="S110" s="25">
        <f>S111+S112</f>
        <v>3.12</v>
      </c>
      <c r="T110" s="25" t="str">
        <f>T111</f>
        <v>6 час</v>
      </c>
      <c r="U110" s="26">
        <f t="shared" si="42"/>
        <v>7.7599999999999891E-2</v>
      </c>
      <c r="V110" s="25">
        <v>0</v>
      </c>
      <c r="W110" s="24">
        <f>1.05*10</f>
        <v>10.5</v>
      </c>
      <c r="X110" s="5">
        <f>W110-U110-V110</f>
        <v>10.4224</v>
      </c>
      <c r="Y110" s="125">
        <f>MIN(X110:X112)</f>
        <v>8.0220000000000002</v>
      </c>
      <c r="Z110" s="128" t="s">
        <v>24</v>
      </c>
    </row>
    <row r="111" spans="1:26" s="1" customFormat="1" ht="20.25" customHeight="1">
      <c r="A111" s="140"/>
      <c r="B111" s="27" t="s">
        <v>57</v>
      </c>
      <c r="C111" s="69" t="s">
        <v>26</v>
      </c>
      <c r="D111" s="48">
        <v>2.4780000000000002</v>
      </c>
      <c r="E111" s="25">
        <v>3.12</v>
      </c>
      <c r="F111" s="25" t="s">
        <v>58</v>
      </c>
      <c r="G111" s="26">
        <f t="shared" si="41"/>
        <v>-0.6419999999999999</v>
      </c>
      <c r="H111" s="25">
        <v>0</v>
      </c>
      <c r="I111" s="24">
        <f>1.05*10</f>
        <v>10.5</v>
      </c>
      <c r="J111" s="5">
        <f>I111-D111</f>
        <v>8.0220000000000002</v>
      </c>
      <c r="K111" s="151"/>
      <c r="L111" s="129"/>
      <c r="M111" s="16"/>
      <c r="N111" s="140"/>
      <c r="O111" s="27" t="s">
        <v>57</v>
      </c>
      <c r="P111" s="15" t="s">
        <v>26</v>
      </c>
      <c r="Q111" s="86"/>
      <c r="R111" s="47">
        <f t="shared" si="32"/>
        <v>2.4780000000000002</v>
      </c>
      <c r="S111" s="25">
        <v>3.12</v>
      </c>
      <c r="T111" s="25" t="s">
        <v>58</v>
      </c>
      <c r="U111" s="26">
        <f t="shared" si="42"/>
        <v>-0.6419999999999999</v>
      </c>
      <c r="V111" s="25">
        <v>0</v>
      </c>
      <c r="W111" s="24">
        <f>1.05*10</f>
        <v>10.5</v>
      </c>
      <c r="X111" s="5">
        <f>W111-R111</f>
        <v>8.0220000000000002</v>
      </c>
      <c r="Y111" s="126"/>
      <c r="Z111" s="129"/>
    </row>
    <row r="112" spans="1:26" s="1" customFormat="1" ht="22.5" customHeight="1">
      <c r="A112" s="141"/>
      <c r="B112" s="27" t="s">
        <v>44</v>
      </c>
      <c r="C112" s="69" t="s">
        <v>26</v>
      </c>
      <c r="D112" s="48">
        <v>0.70599999999999996</v>
      </c>
      <c r="E112" s="25">
        <v>0</v>
      </c>
      <c r="F112" s="25">
        <v>0</v>
      </c>
      <c r="G112" s="26">
        <f t="shared" si="41"/>
        <v>0.70599999999999996</v>
      </c>
      <c r="H112" s="25">
        <v>0</v>
      </c>
      <c r="I112" s="24">
        <f>1.05*10</f>
        <v>10.5</v>
      </c>
      <c r="J112" s="5">
        <f>I112-G112-H112</f>
        <v>9.7940000000000005</v>
      </c>
      <c r="K112" s="152"/>
      <c r="L112" s="130"/>
      <c r="M112" s="16"/>
      <c r="N112" s="141"/>
      <c r="O112" s="27" t="s">
        <v>44</v>
      </c>
      <c r="P112" s="15" t="s">
        <v>26</v>
      </c>
      <c r="Q112" s="86">
        <f>0.009+0.004+0.0065-0.0005-0.0054</f>
        <v>1.3599999999999999E-2</v>
      </c>
      <c r="R112" s="47">
        <f t="shared" si="32"/>
        <v>0.71959999999999991</v>
      </c>
      <c r="S112" s="25">
        <v>0</v>
      </c>
      <c r="T112" s="25">
        <v>0</v>
      </c>
      <c r="U112" s="26">
        <f t="shared" si="42"/>
        <v>0.71959999999999991</v>
      </c>
      <c r="V112" s="25">
        <v>0</v>
      </c>
      <c r="W112" s="24">
        <f>1.05*10</f>
        <v>10.5</v>
      </c>
      <c r="X112" s="5">
        <f>W112-U112-V112</f>
        <v>9.7804000000000002</v>
      </c>
      <c r="Y112" s="127"/>
      <c r="Z112" s="130"/>
    </row>
    <row r="113" spans="1:26" s="1" customFormat="1" ht="22.5">
      <c r="A113" s="18">
        <v>72</v>
      </c>
      <c r="B113" s="12" t="s">
        <v>169</v>
      </c>
      <c r="C113" s="69" t="s">
        <v>27</v>
      </c>
      <c r="D113" s="47">
        <v>1.004</v>
      </c>
      <c r="E113" s="25">
        <v>0</v>
      </c>
      <c r="F113" s="25">
        <v>0</v>
      </c>
      <c r="G113" s="26">
        <f t="shared" si="41"/>
        <v>1.004</v>
      </c>
      <c r="H113" s="25">
        <v>0</v>
      </c>
      <c r="I113" s="24">
        <f>1.05*2.5</f>
        <v>2.625</v>
      </c>
      <c r="J113" s="6">
        <f>I113-G113-H113</f>
        <v>1.621</v>
      </c>
      <c r="K113" s="48">
        <f>J113</f>
        <v>1.621</v>
      </c>
      <c r="L113" s="17" t="s">
        <v>24</v>
      </c>
      <c r="M113" s="16"/>
      <c r="N113" s="18">
        <v>72</v>
      </c>
      <c r="O113" s="12" t="s">
        <v>169</v>
      </c>
      <c r="P113" s="15" t="s">
        <v>27</v>
      </c>
      <c r="Q113" s="86">
        <f>0.084+0.011+0.014+0.015+0.015+0.011+0.001+0.0108-0.0607+0.0056+0.0108+0.0538+0.0118+0.0161-0.0108+0.0054</f>
        <v>0.1938</v>
      </c>
      <c r="R113" s="47">
        <f t="shared" si="32"/>
        <v>1.1978</v>
      </c>
      <c r="S113" s="25">
        <v>0</v>
      </c>
      <c r="T113" s="25">
        <v>0</v>
      </c>
      <c r="U113" s="26">
        <f t="shared" si="42"/>
        <v>1.1978</v>
      </c>
      <c r="V113" s="25">
        <v>0</v>
      </c>
      <c r="W113" s="24">
        <f>1.05*2.5</f>
        <v>2.625</v>
      </c>
      <c r="X113" s="6">
        <f>W113-U113-V113</f>
        <v>1.4272</v>
      </c>
      <c r="Y113" s="48">
        <f>X113</f>
        <v>1.4272</v>
      </c>
      <c r="Z113" s="12" t="s">
        <v>24</v>
      </c>
    </row>
    <row r="114" spans="1:26" s="1" customFormat="1" ht="22.5">
      <c r="A114" s="139">
        <v>73</v>
      </c>
      <c r="B114" s="12" t="s">
        <v>171</v>
      </c>
      <c r="C114" s="69" t="s">
        <v>53</v>
      </c>
      <c r="D114" s="47">
        <f>D115+D116</f>
        <v>12.488</v>
      </c>
      <c r="E114" s="25">
        <f>E115+E116</f>
        <v>1.8</v>
      </c>
      <c r="F114" s="25" t="str">
        <f>F115</f>
        <v>6 час</v>
      </c>
      <c r="G114" s="26">
        <f t="shared" si="41"/>
        <v>10.687999999999999</v>
      </c>
      <c r="H114" s="25">
        <v>0</v>
      </c>
      <c r="I114" s="24">
        <f>1.05*32</f>
        <v>33.6</v>
      </c>
      <c r="J114" s="5">
        <f>I114-G114-H114</f>
        <v>22.912000000000003</v>
      </c>
      <c r="K114" s="125">
        <f>MIN(J114:J116)</f>
        <v>22.912000000000003</v>
      </c>
      <c r="L114" s="128" t="s">
        <v>24</v>
      </c>
      <c r="M114" s="16"/>
      <c r="N114" s="139">
        <v>73</v>
      </c>
      <c r="O114" s="12" t="s">
        <v>171</v>
      </c>
      <c r="P114" s="15" t="s">
        <v>53</v>
      </c>
      <c r="Q114" s="86">
        <f>Q115+Q116</f>
        <v>1.7259780000000002</v>
      </c>
      <c r="R114" s="47">
        <f>R115+R116</f>
        <v>14.213977999999999</v>
      </c>
      <c r="S114" s="25">
        <f>S115+S116</f>
        <v>1.8</v>
      </c>
      <c r="T114" s="25" t="str">
        <f>T115</f>
        <v>6 час</v>
      </c>
      <c r="U114" s="26">
        <f t="shared" si="42"/>
        <v>12.413977999999998</v>
      </c>
      <c r="V114" s="25">
        <v>0</v>
      </c>
      <c r="W114" s="24">
        <f>1.05*32</f>
        <v>33.6</v>
      </c>
      <c r="X114" s="5">
        <f>W114-U114-V114</f>
        <v>21.186022000000001</v>
      </c>
      <c r="Y114" s="125">
        <f>MIN(X114:X116)</f>
        <v>21.186022000000001</v>
      </c>
      <c r="Z114" s="128" t="s">
        <v>24</v>
      </c>
    </row>
    <row r="115" spans="1:26" s="1" customFormat="1" ht="11.25" customHeight="1">
      <c r="A115" s="140"/>
      <c r="B115" s="27" t="s">
        <v>57</v>
      </c>
      <c r="C115" s="63" t="s">
        <v>30</v>
      </c>
      <c r="D115" s="48">
        <v>2.8530000000000002</v>
      </c>
      <c r="E115" s="25">
        <v>1.8</v>
      </c>
      <c r="F115" s="25" t="s">
        <v>58</v>
      </c>
      <c r="G115" s="26">
        <f t="shared" si="41"/>
        <v>1.0530000000000002</v>
      </c>
      <c r="H115" s="25">
        <v>0</v>
      </c>
      <c r="I115" s="24">
        <f>1.05*32</f>
        <v>33.6</v>
      </c>
      <c r="J115" s="5">
        <f>I115-D115</f>
        <v>30.747</v>
      </c>
      <c r="K115" s="151"/>
      <c r="L115" s="129"/>
      <c r="M115" s="16"/>
      <c r="N115" s="140"/>
      <c r="O115" s="27" t="s">
        <v>57</v>
      </c>
      <c r="P115" s="28" t="s">
        <v>30</v>
      </c>
      <c r="Q115" s="85"/>
      <c r="R115" s="47">
        <f t="shared" si="32"/>
        <v>2.8530000000000002</v>
      </c>
      <c r="S115" s="25">
        <v>1.8</v>
      </c>
      <c r="T115" s="25" t="s">
        <v>58</v>
      </c>
      <c r="U115" s="26">
        <f t="shared" si="42"/>
        <v>1.0530000000000002</v>
      </c>
      <c r="V115" s="25">
        <v>0</v>
      </c>
      <c r="W115" s="24">
        <f>1.05*32</f>
        <v>33.6</v>
      </c>
      <c r="X115" s="5">
        <f>W115-R115</f>
        <v>30.747</v>
      </c>
      <c r="Y115" s="126"/>
      <c r="Z115" s="129"/>
    </row>
    <row r="116" spans="1:26" s="1" customFormat="1" ht="11.25" customHeight="1">
      <c r="A116" s="141"/>
      <c r="B116" s="27" t="s">
        <v>44</v>
      </c>
      <c r="C116" s="63" t="s">
        <v>30</v>
      </c>
      <c r="D116" s="48">
        <v>9.6349999999999998</v>
      </c>
      <c r="E116" s="25">
        <v>0</v>
      </c>
      <c r="F116" s="25">
        <v>0</v>
      </c>
      <c r="G116" s="26">
        <f t="shared" si="41"/>
        <v>9.6349999999999998</v>
      </c>
      <c r="H116" s="25">
        <v>0</v>
      </c>
      <c r="I116" s="24">
        <f>1.05*32</f>
        <v>33.6</v>
      </c>
      <c r="J116" s="5">
        <f>I116-G116-H116</f>
        <v>23.965000000000003</v>
      </c>
      <c r="K116" s="152"/>
      <c r="L116" s="130"/>
      <c r="M116" s="16"/>
      <c r="N116" s="141"/>
      <c r="O116" s="27" t="s">
        <v>44</v>
      </c>
      <c r="P116" s="28" t="s">
        <v>30</v>
      </c>
      <c r="Q116" s="85">
        <f>0.034+0.108+0.016+0.614+0.016+0.022+0.005+0.4623+0.0237-0.0726+0.0108+0.0216+0.0161+0.0108+0.022+0.441+0.0161+0.016128-0.07635+0.0054+0.014</f>
        <v>1.7259780000000002</v>
      </c>
      <c r="R116" s="47">
        <f t="shared" si="32"/>
        <v>11.360977999999999</v>
      </c>
      <c r="S116" s="25">
        <v>0</v>
      </c>
      <c r="T116" s="25">
        <v>0</v>
      </c>
      <c r="U116" s="26">
        <f t="shared" si="42"/>
        <v>11.360977999999999</v>
      </c>
      <c r="V116" s="25">
        <v>0</v>
      </c>
      <c r="W116" s="24">
        <f>1.05*32</f>
        <v>33.6</v>
      </c>
      <c r="X116" s="5">
        <f>W116-U116-V116</f>
        <v>22.239022000000002</v>
      </c>
      <c r="Y116" s="127"/>
      <c r="Z116" s="130"/>
    </row>
    <row r="117" spans="1:26" s="1" customFormat="1" ht="22.5">
      <c r="A117" s="139">
        <v>74</v>
      </c>
      <c r="B117" s="12" t="s">
        <v>172</v>
      </c>
      <c r="C117" s="69" t="s">
        <v>31</v>
      </c>
      <c r="D117" s="47">
        <f>D118+D119</f>
        <v>12.455</v>
      </c>
      <c r="E117" s="25">
        <f>E118+E119</f>
        <v>2.21</v>
      </c>
      <c r="F117" s="25" t="str">
        <f>F118</f>
        <v>3 час</v>
      </c>
      <c r="G117" s="26">
        <f t="shared" si="41"/>
        <v>10.245000000000001</v>
      </c>
      <c r="H117" s="25">
        <v>0</v>
      </c>
      <c r="I117" s="24">
        <f>1.05*25</f>
        <v>26.25</v>
      </c>
      <c r="J117" s="5">
        <f>I117-G117-H117</f>
        <v>16.004999999999999</v>
      </c>
      <c r="K117" s="125">
        <f>MIN(J117:J119)</f>
        <v>16.004999999999999</v>
      </c>
      <c r="L117" s="128" t="s">
        <v>24</v>
      </c>
      <c r="M117" s="16"/>
      <c r="N117" s="139">
        <v>74</v>
      </c>
      <c r="O117" s="12" t="s">
        <v>172</v>
      </c>
      <c r="P117" s="15" t="s">
        <v>31</v>
      </c>
      <c r="Q117" s="86">
        <f>Q118+Q119</f>
        <v>3.5720399999999994</v>
      </c>
      <c r="R117" s="47">
        <f>R118+R119</f>
        <v>16.02704</v>
      </c>
      <c r="S117" s="25">
        <f>S118+S119</f>
        <v>2.21</v>
      </c>
      <c r="T117" s="25" t="str">
        <f>T118</f>
        <v>3 час</v>
      </c>
      <c r="U117" s="26">
        <f t="shared" si="42"/>
        <v>13.817039999999999</v>
      </c>
      <c r="V117" s="25">
        <v>0</v>
      </c>
      <c r="W117" s="24">
        <f>1.05*25</f>
        <v>26.25</v>
      </c>
      <c r="X117" s="5">
        <f>W117-U117-V117</f>
        <v>12.432960000000001</v>
      </c>
      <c r="Y117" s="125">
        <f>MIN(X117:X119)</f>
        <v>12.432960000000001</v>
      </c>
      <c r="Z117" s="128" t="s">
        <v>24</v>
      </c>
    </row>
    <row r="118" spans="1:26" s="1" customFormat="1" ht="11.25" customHeight="1">
      <c r="A118" s="140"/>
      <c r="B118" s="27" t="s">
        <v>57</v>
      </c>
      <c r="C118" s="69" t="s">
        <v>31</v>
      </c>
      <c r="D118" s="48">
        <v>2.7759999999999998</v>
      </c>
      <c r="E118" s="25">
        <v>2.21</v>
      </c>
      <c r="F118" s="25" t="s">
        <v>56</v>
      </c>
      <c r="G118" s="26">
        <f t="shared" si="41"/>
        <v>0.56599999999999984</v>
      </c>
      <c r="H118" s="25">
        <v>0</v>
      </c>
      <c r="I118" s="24">
        <f>1.05*25</f>
        <v>26.25</v>
      </c>
      <c r="J118" s="5">
        <f>I118-D118</f>
        <v>23.474</v>
      </c>
      <c r="K118" s="151"/>
      <c r="L118" s="129"/>
      <c r="M118" s="16"/>
      <c r="N118" s="140"/>
      <c r="O118" s="27" t="s">
        <v>57</v>
      </c>
      <c r="P118" s="15" t="s">
        <v>31</v>
      </c>
      <c r="Q118" s="86"/>
      <c r="R118" s="47">
        <f t="shared" si="32"/>
        <v>2.7759999999999998</v>
      </c>
      <c r="S118" s="25">
        <v>2.21</v>
      </c>
      <c r="T118" s="25" t="s">
        <v>56</v>
      </c>
      <c r="U118" s="26">
        <f t="shared" si="42"/>
        <v>0.56599999999999984</v>
      </c>
      <c r="V118" s="25">
        <v>0</v>
      </c>
      <c r="W118" s="24">
        <f>1.05*25</f>
        <v>26.25</v>
      </c>
      <c r="X118" s="5">
        <f>W118-R118</f>
        <v>23.474</v>
      </c>
      <c r="Y118" s="126"/>
      <c r="Z118" s="129"/>
    </row>
    <row r="119" spans="1:26" s="1" customFormat="1" ht="11.25" customHeight="1">
      <c r="A119" s="141"/>
      <c r="B119" s="27" t="s">
        <v>44</v>
      </c>
      <c r="C119" s="69" t="s">
        <v>31</v>
      </c>
      <c r="D119" s="48">
        <v>9.6790000000000003</v>
      </c>
      <c r="E119" s="25">
        <v>0</v>
      </c>
      <c r="F119" s="25">
        <v>0</v>
      </c>
      <c r="G119" s="26">
        <f t="shared" si="41"/>
        <v>9.6790000000000003</v>
      </c>
      <c r="H119" s="25">
        <v>0</v>
      </c>
      <c r="I119" s="24">
        <f>1.05*25</f>
        <v>26.25</v>
      </c>
      <c r="J119" s="5">
        <f>I119-G119-H119</f>
        <v>16.570999999999998</v>
      </c>
      <c r="K119" s="152"/>
      <c r="L119" s="130"/>
      <c r="M119" s="16"/>
      <c r="N119" s="141"/>
      <c r="O119" s="27" t="s">
        <v>44</v>
      </c>
      <c r="P119" s="15" t="s">
        <v>31</v>
      </c>
      <c r="Q119" s="86">
        <f>1.731+0.001+0.11+0.005+0.004+0.101+0.005+0.005+0.017+1.2044+0.0065+0.0484+0.0038+0.0212+0.0054+0.038+0.3967+0.0215+0.0753+0.0161+0.04204+0.0108-0.324+0.0215+0.0054</f>
        <v>3.5720399999999994</v>
      </c>
      <c r="R119" s="47">
        <f t="shared" si="32"/>
        <v>13.25104</v>
      </c>
      <c r="S119" s="25">
        <v>0</v>
      </c>
      <c r="T119" s="25">
        <v>0</v>
      </c>
      <c r="U119" s="26">
        <f t="shared" si="42"/>
        <v>13.25104</v>
      </c>
      <c r="V119" s="25">
        <v>0</v>
      </c>
      <c r="W119" s="24">
        <f>1.05*25</f>
        <v>26.25</v>
      </c>
      <c r="X119" s="5">
        <f>W119-U119-V119</f>
        <v>12.99896</v>
      </c>
      <c r="Y119" s="127"/>
      <c r="Z119" s="130"/>
    </row>
    <row r="120" spans="1:26" s="1" customFormat="1" ht="22.5">
      <c r="A120" s="18">
        <v>75</v>
      </c>
      <c r="B120" s="12" t="s">
        <v>173</v>
      </c>
      <c r="C120" s="69" t="s">
        <v>27</v>
      </c>
      <c r="D120" s="47">
        <v>0.36899999999999999</v>
      </c>
      <c r="E120" s="25">
        <v>0</v>
      </c>
      <c r="F120" s="25">
        <v>0</v>
      </c>
      <c r="G120" s="26">
        <f t="shared" si="41"/>
        <v>0.36899999999999999</v>
      </c>
      <c r="H120" s="25">
        <v>0</v>
      </c>
      <c r="I120" s="24">
        <f>1.05*2.5</f>
        <v>2.625</v>
      </c>
      <c r="J120" s="6">
        <f>I120-G120-H120</f>
        <v>2.2560000000000002</v>
      </c>
      <c r="K120" s="48">
        <f>J120</f>
        <v>2.2560000000000002</v>
      </c>
      <c r="L120" s="17" t="s">
        <v>24</v>
      </c>
      <c r="M120" s="16"/>
      <c r="N120" s="18">
        <v>75</v>
      </c>
      <c r="O120" s="12" t="s">
        <v>173</v>
      </c>
      <c r="P120" s="15" t="s">
        <v>27</v>
      </c>
      <c r="Q120" s="86">
        <f>0.006+0.215+0.0155-0.2234+0.0155</f>
        <v>2.86E-2</v>
      </c>
      <c r="R120" s="47">
        <f t="shared" si="32"/>
        <v>0.39760000000000001</v>
      </c>
      <c r="S120" s="25">
        <v>0</v>
      </c>
      <c r="T120" s="25">
        <v>0</v>
      </c>
      <c r="U120" s="26">
        <f t="shared" si="42"/>
        <v>0.39760000000000001</v>
      </c>
      <c r="V120" s="25">
        <v>0</v>
      </c>
      <c r="W120" s="24">
        <f>1.05*2.5</f>
        <v>2.625</v>
      </c>
      <c r="X120" s="6">
        <f>W120-U120-V120</f>
        <v>2.2273999999999998</v>
      </c>
      <c r="Y120" s="48">
        <f>X120</f>
        <v>2.2273999999999998</v>
      </c>
      <c r="Z120" s="12" t="s">
        <v>24</v>
      </c>
    </row>
    <row r="121" spans="1:26" s="1" customFormat="1" ht="22.5">
      <c r="A121" s="139">
        <v>76</v>
      </c>
      <c r="B121" s="12" t="s">
        <v>174</v>
      </c>
      <c r="C121" s="69" t="s">
        <v>30</v>
      </c>
      <c r="D121" s="47">
        <f>D122+D123</f>
        <v>14.8</v>
      </c>
      <c r="E121" s="25">
        <f>E122+E123</f>
        <v>7.34</v>
      </c>
      <c r="F121" s="25" t="str">
        <f>F122</f>
        <v>6 час</v>
      </c>
      <c r="G121" s="26">
        <f t="shared" si="41"/>
        <v>7.4600000000000009</v>
      </c>
      <c r="H121" s="25">
        <v>0</v>
      </c>
      <c r="I121" s="24">
        <f>1.05*16</f>
        <v>16.8</v>
      </c>
      <c r="J121" s="5">
        <f>I121-G121-H121</f>
        <v>9.34</v>
      </c>
      <c r="K121" s="125">
        <f>MIN(J121:J123)</f>
        <v>6.8770000000000007</v>
      </c>
      <c r="L121" s="128" t="s">
        <v>24</v>
      </c>
      <c r="M121" s="16"/>
      <c r="N121" s="139">
        <v>76</v>
      </c>
      <c r="O121" s="12" t="s">
        <v>174</v>
      </c>
      <c r="P121" s="15" t="s">
        <v>30</v>
      </c>
      <c r="Q121" s="86">
        <f>Q122+Q123</f>
        <v>6.2100000000000016E-2</v>
      </c>
      <c r="R121" s="47">
        <f>R122+R123</f>
        <v>14.8621</v>
      </c>
      <c r="S121" s="25">
        <f>S122+S123</f>
        <v>7.34</v>
      </c>
      <c r="T121" s="25" t="str">
        <f>T122</f>
        <v>6 час</v>
      </c>
      <c r="U121" s="26">
        <f t="shared" si="42"/>
        <v>7.5221</v>
      </c>
      <c r="V121" s="25">
        <v>0</v>
      </c>
      <c r="W121" s="24">
        <f>1.05*16</f>
        <v>16.8</v>
      </c>
      <c r="X121" s="5">
        <f>W121-U121-V121</f>
        <v>9.2779000000000007</v>
      </c>
      <c r="Y121" s="125">
        <f>MIN(X121:X123)</f>
        <v>6.8770000000000007</v>
      </c>
      <c r="Z121" s="128" t="s">
        <v>24</v>
      </c>
    </row>
    <row r="122" spans="1:26" s="1" customFormat="1" ht="22.5">
      <c r="A122" s="140"/>
      <c r="B122" s="27" t="s">
        <v>57</v>
      </c>
      <c r="C122" s="69" t="s">
        <v>30</v>
      </c>
      <c r="D122" s="48">
        <v>9.923</v>
      </c>
      <c r="E122" s="25">
        <v>7.34</v>
      </c>
      <c r="F122" s="25" t="s">
        <v>58</v>
      </c>
      <c r="G122" s="26">
        <f t="shared" si="41"/>
        <v>2.5830000000000002</v>
      </c>
      <c r="H122" s="25">
        <v>0</v>
      </c>
      <c r="I122" s="24">
        <f>1.05*16</f>
        <v>16.8</v>
      </c>
      <c r="J122" s="5">
        <f>I122-D122</f>
        <v>6.8770000000000007</v>
      </c>
      <c r="K122" s="151"/>
      <c r="L122" s="129"/>
      <c r="M122" s="16"/>
      <c r="N122" s="140"/>
      <c r="O122" s="27" t="s">
        <v>57</v>
      </c>
      <c r="P122" s="15" t="s">
        <v>30</v>
      </c>
      <c r="Q122" s="86"/>
      <c r="R122" s="47">
        <f t="shared" si="32"/>
        <v>9.923</v>
      </c>
      <c r="S122" s="25">
        <v>7.34</v>
      </c>
      <c r="T122" s="25" t="s">
        <v>58</v>
      </c>
      <c r="U122" s="26">
        <f t="shared" si="42"/>
        <v>2.5830000000000002</v>
      </c>
      <c r="V122" s="25">
        <v>0</v>
      </c>
      <c r="W122" s="24">
        <f>1.05*16</f>
        <v>16.8</v>
      </c>
      <c r="X122" s="5">
        <f>W122-R122</f>
        <v>6.8770000000000007</v>
      </c>
      <c r="Y122" s="126"/>
      <c r="Z122" s="129"/>
    </row>
    <row r="123" spans="1:26" s="1" customFormat="1" ht="22.5">
      <c r="A123" s="141"/>
      <c r="B123" s="27" t="s">
        <v>44</v>
      </c>
      <c r="C123" s="69" t="s">
        <v>30</v>
      </c>
      <c r="D123" s="48">
        <v>4.8769999999999998</v>
      </c>
      <c r="E123" s="25">
        <v>0</v>
      </c>
      <c r="F123" s="25">
        <v>0</v>
      </c>
      <c r="G123" s="26">
        <f t="shared" si="41"/>
        <v>4.8769999999999998</v>
      </c>
      <c r="H123" s="25">
        <v>0</v>
      </c>
      <c r="I123" s="24">
        <f>1.05*16</f>
        <v>16.8</v>
      </c>
      <c r="J123" s="5">
        <f>I123-G123-H123</f>
        <v>11.923000000000002</v>
      </c>
      <c r="K123" s="152"/>
      <c r="L123" s="130"/>
      <c r="M123" s="16"/>
      <c r="N123" s="141"/>
      <c r="O123" s="27" t="s">
        <v>44</v>
      </c>
      <c r="P123" s="15" t="s">
        <v>30</v>
      </c>
      <c r="Q123" s="86">
        <f>0.017+0.004+0.004+0.0048-0.0091+0.0043+0.0155+0.0091+0.0108+0.0054-0.0199+0.0035+0.0108+0.0019</f>
        <v>6.2100000000000016E-2</v>
      </c>
      <c r="R123" s="47">
        <f t="shared" si="32"/>
        <v>4.9390999999999998</v>
      </c>
      <c r="S123" s="25">
        <v>0</v>
      </c>
      <c r="T123" s="25">
        <v>0</v>
      </c>
      <c r="U123" s="26">
        <f t="shared" si="42"/>
        <v>4.9390999999999998</v>
      </c>
      <c r="V123" s="25">
        <v>0</v>
      </c>
      <c r="W123" s="24">
        <f>1.05*16</f>
        <v>16.8</v>
      </c>
      <c r="X123" s="5">
        <f>W123-U123-V123</f>
        <v>11.860900000000001</v>
      </c>
      <c r="Y123" s="127"/>
      <c r="Z123" s="130"/>
    </row>
    <row r="124" spans="1:26" s="1" customFormat="1" ht="22.5">
      <c r="A124" s="18">
        <v>77</v>
      </c>
      <c r="B124" s="18" t="s">
        <v>175</v>
      </c>
      <c r="C124" s="69" t="s">
        <v>29</v>
      </c>
      <c r="D124" s="47">
        <v>1.018</v>
      </c>
      <c r="E124" s="25">
        <v>0</v>
      </c>
      <c r="F124" s="25">
        <v>0</v>
      </c>
      <c r="G124" s="26">
        <f t="shared" si="41"/>
        <v>1.018</v>
      </c>
      <c r="H124" s="25">
        <v>0</v>
      </c>
      <c r="I124" s="24">
        <f>1.05*6.3</f>
        <v>6.6150000000000002</v>
      </c>
      <c r="J124" s="6">
        <f>I124-G124-H124</f>
        <v>5.5970000000000004</v>
      </c>
      <c r="K124" s="48">
        <f>J124</f>
        <v>5.5970000000000004</v>
      </c>
      <c r="L124" s="17" t="s">
        <v>24</v>
      </c>
      <c r="M124" s="16"/>
      <c r="N124" s="18">
        <v>77</v>
      </c>
      <c r="O124" s="12" t="s">
        <v>175</v>
      </c>
      <c r="P124" s="15" t="s">
        <v>29</v>
      </c>
      <c r="Q124" s="86">
        <f>0.01+0.005+0.03+0.06+0.009+0.006-0.0656+0.0753+0.0075+0.0161+0.005914+0.0054+0.0054</f>
        <v>0.17001399999999997</v>
      </c>
      <c r="R124" s="47">
        <f t="shared" si="32"/>
        <v>1.1880139999999999</v>
      </c>
      <c r="S124" s="25">
        <v>0</v>
      </c>
      <c r="T124" s="25">
        <v>0</v>
      </c>
      <c r="U124" s="26">
        <f t="shared" si="42"/>
        <v>1.1880139999999999</v>
      </c>
      <c r="V124" s="25">
        <v>0</v>
      </c>
      <c r="W124" s="24">
        <f>1.05*6.3</f>
        <v>6.6150000000000002</v>
      </c>
      <c r="X124" s="6">
        <f>W124-U124-V124</f>
        <v>5.4269860000000003</v>
      </c>
      <c r="Y124" s="48">
        <f>X124</f>
        <v>5.4269860000000003</v>
      </c>
      <c r="Z124" s="12" t="s">
        <v>24</v>
      </c>
    </row>
    <row r="125" spans="1:26" s="37" customFormat="1" ht="22.5">
      <c r="A125" s="145">
        <v>78</v>
      </c>
      <c r="B125" s="22" t="s">
        <v>176</v>
      </c>
      <c r="C125" s="23" t="s">
        <v>30</v>
      </c>
      <c r="D125" s="51">
        <f>D126+D127</f>
        <v>18.457999999999998</v>
      </c>
      <c r="E125" s="31">
        <v>0</v>
      </c>
      <c r="F125" s="31">
        <f>F126</f>
        <v>0</v>
      </c>
      <c r="G125" s="29">
        <f t="shared" si="41"/>
        <v>18.457999999999998</v>
      </c>
      <c r="H125" s="31">
        <v>0</v>
      </c>
      <c r="I125" s="30">
        <f>1.05*16</f>
        <v>16.8</v>
      </c>
      <c r="J125" s="3">
        <f>I125-G125-H125</f>
        <v>-1.6579999999999977</v>
      </c>
      <c r="K125" s="142">
        <f>MIN(J125:J127)</f>
        <v>-1.6579999999999977</v>
      </c>
      <c r="L125" s="145" t="s">
        <v>25</v>
      </c>
      <c r="M125" s="105"/>
      <c r="N125" s="145">
        <v>78</v>
      </c>
      <c r="O125" s="22" t="s">
        <v>176</v>
      </c>
      <c r="P125" s="23" t="s">
        <v>30</v>
      </c>
      <c r="Q125" s="88">
        <f>Q126+Q127</f>
        <v>0</v>
      </c>
      <c r="R125" s="51">
        <f>R126+R127</f>
        <v>18.457999999999998</v>
      </c>
      <c r="S125" s="31">
        <f>S126+S127</f>
        <v>0</v>
      </c>
      <c r="T125" s="31">
        <f>T126</f>
        <v>0</v>
      </c>
      <c r="U125" s="29">
        <f t="shared" si="42"/>
        <v>18.457999999999998</v>
      </c>
      <c r="V125" s="31">
        <v>0</v>
      </c>
      <c r="W125" s="30">
        <f>1.05*16</f>
        <v>16.8</v>
      </c>
      <c r="X125" s="3">
        <f>W125-U125-V125</f>
        <v>-1.6579999999999977</v>
      </c>
      <c r="Y125" s="142">
        <f>MIN(X125:X127)</f>
        <v>-1.6579999999999977</v>
      </c>
      <c r="Z125" s="145" t="s">
        <v>25</v>
      </c>
    </row>
    <row r="126" spans="1:26" s="37" customFormat="1" ht="22.5">
      <c r="A126" s="146"/>
      <c r="B126" s="35" t="s">
        <v>57</v>
      </c>
      <c r="C126" s="23" t="s">
        <v>30</v>
      </c>
      <c r="D126" s="49">
        <v>3.7690000000000001</v>
      </c>
      <c r="E126" s="31">
        <v>0</v>
      </c>
      <c r="F126" s="31">
        <v>0</v>
      </c>
      <c r="G126" s="29">
        <f t="shared" si="41"/>
        <v>3.7690000000000001</v>
      </c>
      <c r="H126" s="31">
        <v>0</v>
      </c>
      <c r="I126" s="30">
        <f>1.05*16</f>
        <v>16.8</v>
      </c>
      <c r="J126" s="3">
        <f>I126-D126</f>
        <v>13.031000000000001</v>
      </c>
      <c r="K126" s="173"/>
      <c r="L126" s="165"/>
      <c r="M126" s="105"/>
      <c r="N126" s="146"/>
      <c r="O126" s="35" t="s">
        <v>57</v>
      </c>
      <c r="P126" s="23" t="s">
        <v>30</v>
      </c>
      <c r="Q126" s="88"/>
      <c r="R126" s="51">
        <f t="shared" si="32"/>
        <v>3.7690000000000001</v>
      </c>
      <c r="S126" s="31">
        <v>0</v>
      </c>
      <c r="T126" s="31">
        <v>0</v>
      </c>
      <c r="U126" s="29">
        <f t="shared" si="42"/>
        <v>3.7690000000000001</v>
      </c>
      <c r="V126" s="31">
        <v>0</v>
      </c>
      <c r="W126" s="30">
        <f>1.05*16</f>
        <v>16.8</v>
      </c>
      <c r="X126" s="3">
        <f>W126-R126</f>
        <v>13.031000000000001</v>
      </c>
      <c r="Y126" s="143"/>
      <c r="Z126" s="165"/>
    </row>
    <row r="127" spans="1:26" s="37" customFormat="1" ht="22.5">
      <c r="A127" s="147"/>
      <c r="B127" s="35" t="s">
        <v>44</v>
      </c>
      <c r="C127" s="23" t="s">
        <v>30</v>
      </c>
      <c r="D127" s="49">
        <v>14.689</v>
      </c>
      <c r="E127" s="31">
        <v>0</v>
      </c>
      <c r="F127" s="31">
        <v>0</v>
      </c>
      <c r="G127" s="29">
        <f t="shared" si="41"/>
        <v>14.689</v>
      </c>
      <c r="H127" s="31">
        <v>0</v>
      </c>
      <c r="I127" s="30">
        <f>1.05*16</f>
        <v>16.8</v>
      </c>
      <c r="J127" s="3">
        <f>I127-G127-H127</f>
        <v>2.1110000000000007</v>
      </c>
      <c r="K127" s="174"/>
      <c r="L127" s="166"/>
      <c r="M127" s="105"/>
      <c r="N127" s="147"/>
      <c r="O127" s="35" t="s">
        <v>44</v>
      </c>
      <c r="P127" s="23" t="s">
        <v>30</v>
      </c>
      <c r="Q127" s="88"/>
      <c r="R127" s="51">
        <f t="shared" si="32"/>
        <v>14.689</v>
      </c>
      <c r="S127" s="31">
        <v>0</v>
      </c>
      <c r="T127" s="31">
        <v>0</v>
      </c>
      <c r="U127" s="29">
        <f t="shared" si="42"/>
        <v>14.689</v>
      </c>
      <c r="V127" s="31">
        <v>0</v>
      </c>
      <c r="W127" s="30">
        <f>1.05*16</f>
        <v>16.8</v>
      </c>
      <c r="X127" s="3">
        <f>W127-U127-V127</f>
        <v>2.1110000000000007</v>
      </c>
      <c r="Y127" s="144"/>
      <c r="Z127" s="166"/>
    </row>
    <row r="128" spans="1:26" s="1" customFormat="1" ht="22.5">
      <c r="A128" s="18">
        <v>79</v>
      </c>
      <c r="B128" s="12" t="s">
        <v>177</v>
      </c>
      <c r="C128" s="69" t="s">
        <v>40</v>
      </c>
      <c r="D128" s="47">
        <v>7.8949999999999996</v>
      </c>
      <c r="E128" s="25">
        <v>0</v>
      </c>
      <c r="F128" s="25">
        <v>0</v>
      </c>
      <c r="G128" s="26">
        <f t="shared" si="41"/>
        <v>7.8949999999999996</v>
      </c>
      <c r="H128" s="25">
        <v>0</v>
      </c>
      <c r="I128" s="24">
        <f>1.05*10</f>
        <v>10.5</v>
      </c>
      <c r="J128" s="6">
        <f>I128-G128-H128</f>
        <v>2.6050000000000004</v>
      </c>
      <c r="K128" s="48">
        <f>J128</f>
        <v>2.6050000000000004</v>
      </c>
      <c r="L128" s="17" t="s">
        <v>24</v>
      </c>
      <c r="M128" s="16"/>
      <c r="N128" s="18">
        <v>79</v>
      </c>
      <c r="O128" s="12" t="s">
        <v>177</v>
      </c>
      <c r="P128" s="15" t="s">
        <v>40</v>
      </c>
      <c r="Q128" s="86">
        <f>0.311+0.029+0.024+0.01+0.304+0.145+0.005+0.009+0.011+0.0108+0.0223-0.1704+0.0048+0.0048+0.2742+0.0914-0.0228</f>
        <v>1.0631000000000002</v>
      </c>
      <c r="R128" s="47">
        <f t="shared" si="32"/>
        <v>8.9581</v>
      </c>
      <c r="S128" s="25">
        <v>0</v>
      </c>
      <c r="T128" s="25">
        <v>0</v>
      </c>
      <c r="U128" s="26">
        <f t="shared" si="42"/>
        <v>8.9581</v>
      </c>
      <c r="V128" s="25">
        <v>0</v>
      </c>
      <c r="W128" s="24">
        <f>1.05*10</f>
        <v>10.5</v>
      </c>
      <c r="X128" s="6">
        <f>W128-U128-V128</f>
        <v>1.5419</v>
      </c>
      <c r="Y128" s="48">
        <f>X128</f>
        <v>1.5419</v>
      </c>
      <c r="Z128" s="12" t="s">
        <v>24</v>
      </c>
    </row>
    <row r="129" spans="1:26" s="1" customFormat="1" ht="22.5">
      <c r="A129" s="18">
        <v>80</v>
      </c>
      <c r="B129" s="18" t="s">
        <v>179</v>
      </c>
      <c r="C129" s="69" t="s">
        <v>29</v>
      </c>
      <c r="D129" s="47">
        <v>0.80800000000000005</v>
      </c>
      <c r="E129" s="25">
        <v>0</v>
      </c>
      <c r="F129" s="25">
        <v>0</v>
      </c>
      <c r="G129" s="26">
        <f t="shared" si="41"/>
        <v>0.80800000000000005</v>
      </c>
      <c r="H129" s="25">
        <v>0</v>
      </c>
      <c r="I129" s="24">
        <f>1.05*6.3</f>
        <v>6.6150000000000002</v>
      </c>
      <c r="J129" s="6">
        <f>I129-G129-H129</f>
        <v>5.8070000000000004</v>
      </c>
      <c r="K129" s="48">
        <f>J129</f>
        <v>5.8070000000000004</v>
      </c>
      <c r="L129" s="17" t="s">
        <v>24</v>
      </c>
      <c r="M129" s="16"/>
      <c r="N129" s="18">
        <v>80</v>
      </c>
      <c r="O129" s="12" t="s">
        <v>179</v>
      </c>
      <c r="P129" s="15" t="s">
        <v>29</v>
      </c>
      <c r="Q129" s="86">
        <f>0.011+0.005+0.0086-0.0163+0.0065+0.0081+0.0007+0.0065-0.0132+0.0081</f>
        <v>2.4999999999999998E-2</v>
      </c>
      <c r="R129" s="47">
        <f t="shared" si="32"/>
        <v>0.83300000000000007</v>
      </c>
      <c r="S129" s="25">
        <v>0</v>
      </c>
      <c r="T129" s="25">
        <v>0</v>
      </c>
      <c r="U129" s="26">
        <f t="shared" si="42"/>
        <v>0.83300000000000007</v>
      </c>
      <c r="V129" s="25">
        <v>0</v>
      </c>
      <c r="W129" s="24">
        <f>1.05*6.3</f>
        <v>6.6150000000000002</v>
      </c>
      <c r="X129" s="6">
        <f>W129-U129-V129</f>
        <v>5.782</v>
      </c>
      <c r="Y129" s="48">
        <f>X129</f>
        <v>5.782</v>
      </c>
      <c r="Z129" s="12" t="s">
        <v>24</v>
      </c>
    </row>
    <row r="130" spans="1:26" s="1" customFormat="1" ht="22.5">
      <c r="A130" s="139">
        <v>81</v>
      </c>
      <c r="B130" s="12" t="s">
        <v>178</v>
      </c>
      <c r="C130" s="69" t="s">
        <v>30</v>
      </c>
      <c r="D130" s="47">
        <f>D131+D132</f>
        <v>13.364000000000001</v>
      </c>
      <c r="E130" s="25">
        <f>E131+E132</f>
        <v>6.45</v>
      </c>
      <c r="F130" s="25" t="str">
        <f>F131</f>
        <v>3 час</v>
      </c>
      <c r="G130" s="26">
        <f t="shared" si="41"/>
        <v>6.9140000000000006</v>
      </c>
      <c r="H130" s="25">
        <v>0</v>
      </c>
      <c r="I130" s="24">
        <f>1.05*16</f>
        <v>16.8</v>
      </c>
      <c r="J130" s="5">
        <f>I130-G130-H130</f>
        <v>9.8859999999999992</v>
      </c>
      <c r="K130" s="125">
        <f>MIN(J130:J132)</f>
        <v>7.4700000000000006</v>
      </c>
      <c r="L130" s="128" t="s">
        <v>24</v>
      </c>
      <c r="M130" s="16"/>
      <c r="N130" s="139">
        <v>81</v>
      </c>
      <c r="O130" s="12" t="s">
        <v>178</v>
      </c>
      <c r="P130" s="15" t="s">
        <v>30</v>
      </c>
      <c r="Q130" s="86">
        <f>Q131+Q132</f>
        <v>1.8543999999999998</v>
      </c>
      <c r="R130" s="47">
        <f>R131+R132</f>
        <v>15.218399999999999</v>
      </c>
      <c r="S130" s="25">
        <f>S131+S132</f>
        <v>6.45</v>
      </c>
      <c r="T130" s="25" t="str">
        <f>T131</f>
        <v>3 час</v>
      </c>
      <c r="U130" s="26">
        <f t="shared" si="42"/>
        <v>8.7683999999999997</v>
      </c>
      <c r="V130" s="25">
        <v>0</v>
      </c>
      <c r="W130" s="24">
        <f>1.05*16</f>
        <v>16.8</v>
      </c>
      <c r="X130" s="5">
        <f>W130-U130-V130</f>
        <v>8.031600000000001</v>
      </c>
      <c r="Y130" s="125">
        <f>MIN(X130:X132)</f>
        <v>5.6156000000000006</v>
      </c>
      <c r="Z130" s="128" t="s">
        <v>24</v>
      </c>
    </row>
    <row r="131" spans="1:26" s="1" customFormat="1" ht="22.5">
      <c r="A131" s="140"/>
      <c r="B131" s="27" t="s">
        <v>57</v>
      </c>
      <c r="C131" s="69" t="s">
        <v>30</v>
      </c>
      <c r="D131" s="48">
        <v>4.0339999999999998</v>
      </c>
      <c r="E131" s="25">
        <v>6.45</v>
      </c>
      <c r="F131" s="25" t="s">
        <v>56</v>
      </c>
      <c r="G131" s="26">
        <v>0</v>
      </c>
      <c r="H131" s="25">
        <v>0</v>
      </c>
      <c r="I131" s="24">
        <f>1.05*16</f>
        <v>16.8</v>
      </c>
      <c r="J131" s="5">
        <f>I131-D131</f>
        <v>12.766000000000002</v>
      </c>
      <c r="K131" s="151"/>
      <c r="L131" s="129"/>
      <c r="M131" s="16"/>
      <c r="N131" s="140"/>
      <c r="O131" s="27" t="s">
        <v>57</v>
      </c>
      <c r="P131" s="15" t="s">
        <v>30</v>
      </c>
      <c r="Q131" s="86"/>
      <c r="R131" s="47">
        <f t="shared" si="32"/>
        <v>4.0339999999999998</v>
      </c>
      <c r="S131" s="25">
        <v>6.45</v>
      </c>
      <c r="T131" s="25" t="s">
        <v>56</v>
      </c>
      <c r="U131" s="26">
        <v>0</v>
      </c>
      <c r="V131" s="25">
        <v>0</v>
      </c>
      <c r="W131" s="24">
        <f>1.05*16</f>
        <v>16.8</v>
      </c>
      <c r="X131" s="5">
        <f>W131-R131</f>
        <v>12.766000000000002</v>
      </c>
      <c r="Y131" s="126"/>
      <c r="Z131" s="129"/>
    </row>
    <row r="132" spans="1:26" s="1" customFormat="1" ht="22.5">
      <c r="A132" s="141"/>
      <c r="B132" s="27" t="s">
        <v>44</v>
      </c>
      <c r="C132" s="69" t="s">
        <v>30</v>
      </c>
      <c r="D132" s="48">
        <v>9.33</v>
      </c>
      <c r="E132" s="25">
        <v>0</v>
      </c>
      <c r="F132" s="25">
        <v>0</v>
      </c>
      <c r="G132" s="26">
        <f t="shared" si="41"/>
        <v>9.33</v>
      </c>
      <c r="H132" s="25">
        <v>0</v>
      </c>
      <c r="I132" s="24">
        <f>1.05*16</f>
        <v>16.8</v>
      </c>
      <c r="J132" s="5">
        <f>I132-G132-H132</f>
        <v>7.4700000000000006</v>
      </c>
      <c r="K132" s="152"/>
      <c r="L132" s="130"/>
      <c r="M132" s="16"/>
      <c r="N132" s="141"/>
      <c r="O132" s="27" t="s">
        <v>44</v>
      </c>
      <c r="P132" s="15" t="s">
        <v>30</v>
      </c>
      <c r="Q132" s="86">
        <f>0.303+0.012+2.692+0.516+0.01+0.016+0.0306-1.702+0.0048+0.0468+0.007-0.0869+0.0003+0.0048</f>
        <v>1.8543999999999998</v>
      </c>
      <c r="R132" s="47">
        <f t="shared" si="32"/>
        <v>11.1844</v>
      </c>
      <c r="S132" s="25">
        <v>0</v>
      </c>
      <c r="T132" s="25">
        <v>0</v>
      </c>
      <c r="U132" s="26">
        <f t="shared" si="42"/>
        <v>11.1844</v>
      </c>
      <c r="V132" s="25">
        <v>0</v>
      </c>
      <c r="W132" s="24">
        <f>1.05*16</f>
        <v>16.8</v>
      </c>
      <c r="X132" s="5">
        <f>W132-U132-V132</f>
        <v>5.6156000000000006</v>
      </c>
      <c r="Y132" s="127"/>
      <c r="Z132" s="130"/>
    </row>
    <row r="133" spans="1:26" s="74" customFormat="1" ht="22.5">
      <c r="A133" s="18">
        <v>82</v>
      </c>
      <c r="B133" s="18" t="s">
        <v>105</v>
      </c>
      <c r="C133" s="69" t="s">
        <v>29</v>
      </c>
      <c r="D133" s="79">
        <v>2.9830000000000001</v>
      </c>
      <c r="E133" s="18">
        <v>0</v>
      </c>
      <c r="F133" s="18">
        <v>0</v>
      </c>
      <c r="G133" s="71">
        <f>D133</f>
        <v>2.9830000000000001</v>
      </c>
      <c r="H133" s="18">
        <v>0</v>
      </c>
      <c r="I133" s="70">
        <f>1.05*6.3</f>
        <v>6.6150000000000002</v>
      </c>
      <c r="J133" s="71">
        <f t="shared" ref="J133:J164" si="43">I133-H133-G133</f>
        <v>3.6320000000000001</v>
      </c>
      <c r="K133" s="79">
        <f t="shared" ref="K133:K164" si="44">J133</f>
        <v>3.6320000000000001</v>
      </c>
      <c r="L133" s="97" t="s">
        <v>24</v>
      </c>
      <c r="M133" s="104"/>
      <c r="N133" s="18">
        <v>82</v>
      </c>
      <c r="O133" s="18" t="s">
        <v>105</v>
      </c>
      <c r="P133" s="69" t="s">
        <v>29</v>
      </c>
      <c r="Q133" s="108">
        <f>0.043</f>
        <v>4.2999999999999997E-2</v>
      </c>
      <c r="R133" s="79">
        <f t="shared" si="32"/>
        <v>3.0260000000000002</v>
      </c>
      <c r="S133" s="18">
        <v>0</v>
      </c>
      <c r="T133" s="18">
        <v>0</v>
      </c>
      <c r="U133" s="71">
        <f>R133</f>
        <v>3.0260000000000002</v>
      </c>
      <c r="V133" s="18">
        <v>0</v>
      </c>
      <c r="W133" s="70">
        <f>1.05*6.3</f>
        <v>6.6150000000000002</v>
      </c>
      <c r="X133" s="71">
        <f t="shared" ref="X133:X164" si="45">W133-V133-U133</f>
        <v>3.589</v>
      </c>
      <c r="Y133" s="79">
        <f t="shared" ref="Y133:Y171" si="46">X133</f>
        <v>3.589</v>
      </c>
      <c r="Z133" s="18" t="s">
        <v>24</v>
      </c>
    </row>
    <row r="134" spans="1:26" s="1" customFormat="1" ht="22.5">
      <c r="A134" s="18">
        <v>83</v>
      </c>
      <c r="B134" s="12" t="s">
        <v>106</v>
      </c>
      <c r="C134" s="69" t="s">
        <v>29</v>
      </c>
      <c r="D134" s="47">
        <v>3.28</v>
      </c>
      <c r="E134" s="12">
        <v>0</v>
      </c>
      <c r="F134" s="12">
        <v>0</v>
      </c>
      <c r="G134" s="12">
        <f t="shared" ref="G134:G165" si="47">D134-E134</f>
        <v>3.28</v>
      </c>
      <c r="H134" s="12">
        <v>0</v>
      </c>
      <c r="I134" s="14">
        <f>1.05*6.3</f>
        <v>6.6150000000000002</v>
      </c>
      <c r="J134" s="13">
        <f t="shared" si="43"/>
        <v>3.3350000000000004</v>
      </c>
      <c r="K134" s="47">
        <f t="shared" si="44"/>
        <v>3.3350000000000004</v>
      </c>
      <c r="L134" s="17" t="s">
        <v>24</v>
      </c>
      <c r="M134" s="16"/>
      <c r="N134" s="18">
        <v>83</v>
      </c>
      <c r="O134" s="12" t="s">
        <v>106</v>
      </c>
      <c r="P134" s="15" t="s">
        <v>29</v>
      </c>
      <c r="Q134" s="86">
        <f>0.003+0.005+0.0161-0.0113+0.0059</f>
        <v>1.8700000000000001E-2</v>
      </c>
      <c r="R134" s="47">
        <f t="shared" si="32"/>
        <v>3.2986999999999997</v>
      </c>
      <c r="S134" s="12">
        <v>0</v>
      </c>
      <c r="T134" s="12">
        <v>0</v>
      </c>
      <c r="U134" s="12">
        <f t="shared" ref="U134:U165" si="48">R134-S134</f>
        <v>3.2986999999999997</v>
      </c>
      <c r="V134" s="12">
        <v>0</v>
      </c>
      <c r="W134" s="14">
        <f>1.05*6.3</f>
        <v>6.6150000000000002</v>
      </c>
      <c r="X134" s="13">
        <f t="shared" si="45"/>
        <v>3.3163000000000005</v>
      </c>
      <c r="Y134" s="47">
        <f t="shared" si="46"/>
        <v>3.3163000000000005</v>
      </c>
      <c r="Z134" s="12" t="s">
        <v>24</v>
      </c>
    </row>
    <row r="135" spans="1:26" s="1" customFormat="1" ht="22.5">
      <c r="A135" s="18">
        <v>84</v>
      </c>
      <c r="B135" s="12" t="s">
        <v>107</v>
      </c>
      <c r="C135" s="69" t="s">
        <v>28</v>
      </c>
      <c r="D135" s="47">
        <v>0.54900000000000004</v>
      </c>
      <c r="E135" s="12">
        <v>0</v>
      </c>
      <c r="F135" s="12">
        <v>0</v>
      </c>
      <c r="G135" s="12">
        <f t="shared" si="47"/>
        <v>0.54900000000000004</v>
      </c>
      <c r="H135" s="12">
        <v>0</v>
      </c>
      <c r="I135" s="14">
        <f>1.05*1.6</f>
        <v>1.6800000000000002</v>
      </c>
      <c r="J135" s="13">
        <f t="shared" si="43"/>
        <v>1.1310000000000002</v>
      </c>
      <c r="K135" s="47">
        <f t="shared" si="44"/>
        <v>1.1310000000000002</v>
      </c>
      <c r="L135" s="17" t="s">
        <v>24</v>
      </c>
      <c r="M135" s="16"/>
      <c r="N135" s="18">
        <v>84</v>
      </c>
      <c r="O135" s="12" t="s">
        <v>107</v>
      </c>
      <c r="P135" s="15" t="s">
        <v>28</v>
      </c>
      <c r="Q135" s="86">
        <f>0.011-0.0032+0.1075+0.215-0.1075</f>
        <v>0.2228</v>
      </c>
      <c r="R135" s="47">
        <f t="shared" si="32"/>
        <v>0.77180000000000004</v>
      </c>
      <c r="S135" s="12">
        <v>0</v>
      </c>
      <c r="T135" s="12">
        <v>0</v>
      </c>
      <c r="U135" s="12">
        <f t="shared" si="48"/>
        <v>0.77180000000000004</v>
      </c>
      <c r="V135" s="12">
        <v>0</v>
      </c>
      <c r="W135" s="14">
        <f>1.05*1.6</f>
        <v>1.6800000000000002</v>
      </c>
      <c r="X135" s="13">
        <f t="shared" si="45"/>
        <v>0.90820000000000012</v>
      </c>
      <c r="Y135" s="47">
        <f t="shared" si="46"/>
        <v>0.90820000000000012</v>
      </c>
      <c r="Z135" s="12" t="s">
        <v>24</v>
      </c>
    </row>
    <row r="136" spans="1:26" s="1" customFormat="1" ht="22.5">
      <c r="A136" s="18">
        <v>85</v>
      </c>
      <c r="B136" s="12" t="s">
        <v>108</v>
      </c>
      <c r="C136" s="69" t="s">
        <v>55</v>
      </c>
      <c r="D136" s="47">
        <v>2.6320000000000001</v>
      </c>
      <c r="E136" s="12">
        <v>0</v>
      </c>
      <c r="F136" s="12">
        <v>0</v>
      </c>
      <c r="G136" s="14">
        <f t="shared" si="47"/>
        <v>2.6320000000000001</v>
      </c>
      <c r="H136" s="12">
        <v>0</v>
      </c>
      <c r="I136" s="14">
        <f>1.05*3.2</f>
        <v>3.3600000000000003</v>
      </c>
      <c r="J136" s="14">
        <f t="shared" si="43"/>
        <v>0.7280000000000002</v>
      </c>
      <c r="K136" s="47">
        <f t="shared" si="44"/>
        <v>0.7280000000000002</v>
      </c>
      <c r="L136" s="17" t="s">
        <v>24</v>
      </c>
      <c r="M136" s="16"/>
      <c r="N136" s="18">
        <v>85</v>
      </c>
      <c r="O136" s="12" t="s">
        <v>108</v>
      </c>
      <c r="P136" s="15" t="s">
        <v>55</v>
      </c>
      <c r="Q136" s="86">
        <f>0.0022+0.0161</f>
        <v>1.83E-2</v>
      </c>
      <c r="R136" s="47">
        <f t="shared" ref="R136:R195" si="49">Q136+D136</f>
        <v>2.6503000000000001</v>
      </c>
      <c r="S136" s="12">
        <v>0</v>
      </c>
      <c r="T136" s="12">
        <v>0</v>
      </c>
      <c r="U136" s="12">
        <f t="shared" si="48"/>
        <v>2.6503000000000001</v>
      </c>
      <c r="V136" s="12">
        <v>0</v>
      </c>
      <c r="W136" s="14">
        <f>1.05*3.2</f>
        <v>3.3600000000000003</v>
      </c>
      <c r="X136" s="13">
        <f t="shared" si="45"/>
        <v>0.70970000000000022</v>
      </c>
      <c r="Y136" s="47">
        <f t="shared" si="46"/>
        <v>0.70970000000000022</v>
      </c>
      <c r="Z136" s="12" t="s">
        <v>24</v>
      </c>
    </row>
    <row r="137" spans="1:26" s="1" customFormat="1" ht="33.75">
      <c r="A137" s="18">
        <v>86</v>
      </c>
      <c r="B137" s="12" t="s">
        <v>109</v>
      </c>
      <c r="C137" s="69" t="s">
        <v>34</v>
      </c>
      <c r="D137" s="47">
        <v>1.2370000000000001</v>
      </c>
      <c r="E137" s="12">
        <v>0</v>
      </c>
      <c r="F137" s="12">
        <v>0</v>
      </c>
      <c r="G137" s="12">
        <f t="shared" si="47"/>
        <v>1.2370000000000001</v>
      </c>
      <c r="H137" s="12">
        <v>0</v>
      </c>
      <c r="I137" s="14">
        <f>1.05*4</f>
        <v>4.2</v>
      </c>
      <c r="J137" s="13">
        <f t="shared" si="43"/>
        <v>2.9630000000000001</v>
      </c>
      <c r="K137" s="47">
        <f t="shared" si="44"/>
        <v>2.9630000000000001</v>
      </c>
      <c r="L137" s="17" t="s">
        <v>24</v>
      </c>
      <c r="M137" s="16"/>
      <c r="N137" s="18">
        <v>86</v>
      </c>
      <c r="O137" s="12" t="s">
        <v>109</v>
      </c>
      <c r="P137" s="15" t="s">
        <v>34</v>
      </c>
      <c r="Q137" s="86">
        <f>0.007+0.004+0.003+0.021+0.004+0.002+0.0151+0.0054-0.0102+0.029+0.0161+0.0161+0.086+0.0086+0.0339+0.0204-0.1348+0.0048</f>
        <v>0.13139999999999996</v>
      </c>
      <c r="R137" s="47">
        <f t="shared" si="49"/>
        <v>1.3684000000000001</v>
      </c>
      <c r="S137" s="12">
        <v>0</v>
      </c>
      <c r="T137" s="12">
        <v>0</v>
      </c>
      <c r="U137" s="12">
        <f t="shared" si="48"/>
        <v>1.3684000000000001</v>
      </c>
      <c r="V137" s="12">
        <v>0</v>
      </c>
      <c r="W137" s="14">
        <f>1.05*4</f>
        <v>4.2</v>
      </c>
      <c r="X137" s="13">
        <f t="shared" si="45"/>
        <v>2.8315999999999999</v>
      </c>
      <c r="Y137" s="47">
        <f t="shared" si="46"/>
        <v>2.8315999999999999</v>
      </c>
      <c r="Z137" s="12" t="s">
        <v>24</v>
      </c>
    </row>
    <row r="138" spans="1:26" s="1" customFormat="1" ht="22.5">
      <c r="A138" s="18">
        <v>87</v>
      </c>
      <c r="B138" s="12" t="s">
        <v>110</v>
      </c>
      <c r="C138" s="69" t="s">
        <v>27</v>
      </c>
      <c r="D138" s="47">
        <v>0.53600000000000003</v>
      </c>
      <c r="E138" s="12">
        <v>0</v>
      </c>
      <c r="F138" s="12">
        <v>0</v>
      </c>
      <c r="G138" s="12">
        <f t="shared" si="47"/>
        <v>0.53600000000000003</v>
      </c>
      <c r="H138" s="12">
        <v>0</v>
      </c>
      <c r="I138" s="14">
        <f>1.05*2.5</f>
        <v>2.625</v>
      </c>
      <c r="J138" s="14">
        <f t="shared" si="43"/>
        <v>2.089</v>
      </c>
      <c r="K138" s="47">
        <f t="shared" si="44"/>
        <v>2.089</v>
      </c>
      <c r="L138" s="17" t="s">
        <v>24</v>
      </c>
      <c r="M138" s="16"/>
      <c r="N138" s="18">
        <v>87</v>
      </c>
      <c r="O138" s="12" t="s">
        <v>110</v>
      </c>
      <c r="P138" s="15" t="s">
        <v>27</v>
      </c>
      <c r="Q138" s="86">
        <f>0.016+0.0155+0.0108+0.016128+0.0065+0.0065+0.0161</f>
        <v>8.7528000000000022E-2</v>
      </c>
      <c r="R138" s="47">
        <f t="shared" si="49"/>
        <v>0.62352800000000008</v>
      </c>
      <c r="S138" s="12">
        <v>0</v>
      </c>
      <c r="T138" s="12">
        <v>0</v>
      </c>
      <c r="U138" s="12">
        <f t="shared" si="48"/>
        <v>0.62352800000000008</v>
      </c>
      <c r="V138" s="12">
        <v>0</v>
      </c>
      <c r="W138" s="14">
        <f>1.05*2.5</f>
        <v>2.625</v>
      </c>
      <c r="X138" s="13">
        <f t="shared" si="45"/>
        <v>2.0014719999999997</v>
      </c>
      <c r="Y138" s="47">
        <f t="shared" si="46"/>
        <v>2.0014719999999997</v>
      </c>
      <c r="Z138" s="12" t="s">
        <v>24</v>
      </c>
    </row>
    <row r="139" spans="1:26" s="100" customFormat="1" ht="22.5">
      <c r="A139" s="31">
        <v>88</v>
      </c>
      <c r="B139" s="31" t="s">
        <v>111</v>
      </c>
      <c r="C139" s="32" t="s">
        <v>46</v>
      </c>
      <c r="D139" s="49">
        <v>11.314</v>
      </c>
      <c r="E139" s="31">
        <v>0</v>
      </c>
      <c r="F139" s="31">
        <v>0</v>
      </c>
      <c r="G139" s="31">
        <f t="shared" si="47"/>
        <v>11.314</v>
      </c>
      <c r="H139" s="31">
        <v>0</v>
      </c>
      <c r="I139" s="30">
        <f>1.05*6.3</f>
        <v>6.6150000000000002</v>
      </c>
      <c r="J139" s="29">
        <f t="shared" si="43"/>
        <v>-4.6989999999999998</v>
      </c>
      <c r="K139" s="49">
        <f t="shared" si="44"/>
        <v>-4.6989999999999998</v>
      </c>
      <c r="L139" s="101" t="s">
        <v>25</v>
      </c>
      <c r="M139" s="98"/>
      <c r="N139" s="31">
        <v>88</v>
      </c>
      <c r="O139" s="31" t="s">
        <v>111</v>
      </c>
      <c r="P139" s="32" t="s">
        <v>46</v>
      </c>
      <c r="Q139" s="87">
        <v>0</v>
      </c>
      <c r="R139" s="49">
        <f t="shared" si="49"/>
        <v>11.314</v>
      </c>
      <c r="S139" s="31">
        <v>0</v>
      </c>
      <c r="T139" s="31">
        <v>0</v>
      </c>
      <c r="U139" s="31">
        <f t="shared" si="48"/>
        <v>11.314</v>
      </c>
      <c r="V139" s="31">
        <v>0</v>
      </c>
      <c r="W139" s="30">
        <f>1.05*6.3</f>
        <v>6.6150000000000002</v>
      </c>
      <c r="X139" s="29">
        <f t="shared" si="45"/>
        <v>-4.6989999999999998</v>
      </c>
      <c r="Y139" s="49">
        <f>X139</f>
        <v>-4.6989999999999998</v>
      </c>
      <c r="Z139" s="31" t="s">
        <v>25</v>
      </c>
    </row>
    <row r="140" spans="1:26" s="1" customFormat="1" ht="22.5">
      <c r="A140" s="18">
        <v>89</v>
      </c>
      <c r="B140" s="12" t="s">
        <v>112</v>
      </c>
      <c r="C140" s="69" t="s">
        <v>36</v>
      </c>
      <c r="D140" s="47">
        <v>1.1739999999999999</v>
      </c>
      <c r="E140" s="12">
        <v>0</v>
      </c>
      <c r="F140" s="12">
        <v>0</v>
      </c>
      <c r="G140" s="12">
        <f t="shared" si="47"/>
        <v>1.1739999999999999</v>
      </c>
      <c r="H140" s="12">
        <v>0</v>
      </c>
      <c r="I140" s="14">
        <f>1.05*2.5</f>
        <v>2.625</v>
      </c>
      <c r="J140" s="13">
        <f t="shared" si="43"/>
        <v>1.4510000000000001</v>
      </c>
      <c r="K140" s="47">
        <f t="shared" si="44"/>
        <v>1.4510000000000001</v>
      </c>
      <c r="L140" s="17" t="s">
        <v>24</v>
      </c>
      <c r="M140" s="16"/>
      <c r="N140" s="18">
        <v>89</v>
      </c>
      <c r="O140" s="12" t="s">
        <v>112</v>
      </c>
      <c r="P140" s="15" t="s">
        <v>36</v>
      </c>
      <c r="Q140" s="86">
        <f>0.013+0.007+0.007+0.0145+0.0161-0.0134+0.0077+0.0075-0.0269+0.0145</f>
        <v>4.6999999999999993E-2</v>
      </c>
      <c r="R140" s="47">
        <f t="shared" si="49"/>
        <v>1.2209999999999999</v>
      </c>
      <c r="S140" s="12">
        <v>0</v>
      </c>
      <c r="T140" s="12">
        <v>0</v>
      </c>
      <c r="U140" s="12">
        <f t="shared" si="48"/>
        <v>1.2209999999999999</v>
      </c>
      <c r="V140" s="12">
        <v>0</v>
      </c>
      <c r="W140" s="14">
        <f>1.05*2.5</f>
        <v>2.625</v>
      </c>
      <c r="X140" s="13">
        <f t="shared" si="45"/>
        <v>1.4040000000000001</v>
      </c>
      <c r="Y140" s="47">
        <f t="shared" si="46"/>
        <v>1.4040000000000001</v>
      </c>
      <c r="Z140" s="12" t="s">
        <v>24</v>
      </c>
    </row>
    <row r="141" spans="1:26" s="1" customFormat="1" ht="22.5">
      <c r="A141" s="22">
        <v>90</v>
      </c>
      <c r="B141" s="22" t="s">
        <v>113</v>
      </c>
      <c r="C141" s="23" t="s">
        <v>26</v>
      </c>
      <c r="D141" s="51">
        <v>11.754</v>
      </c>
      <c r="E141" s="22">
        <v>0</v>
      </c>
      <c r="F141" s="22">
        <v>0</v>
      </c>
      <c r="G141" s="22">
        <f t="shared" si="47"/>
        <v>11.754</v>
      </c>
      <c r="H141" s="22">
        <v>0</v>
      </c>
      <c r="I141" s="21">
        <f>1.05*10</f>
        <v>10.5</v>
      </c>
      <c r="J141" s="20">
        <f t="shared" si="43"/>
        <v>-1.2539999999999996</v>
      </c>
      <c r="K141" s="51">
        <f t="shared" si="44"/>
        <v>-1.2539999999999996</v>
      </c>
      <c r="L141" s="19" t="s">
        <v>25</v>
      </c>
      <c r="M141" s="16"/>
      <c r="N141" s="22">
        <v>90</v>
      </c>
      <c r="O141" s="22" t="s">
        <v>113</v>
      </c>
      <c r="P141" s="23" t="s">
        <v>26</v>
      </c>
      <c r="Q141" s="88">
        <v>0</v>
      </c>
      <c r="R141" s="51">
        <f t="shared" si="49"/>
        <v>11.754</v>
      </c>
      <c r="S141" s="22">
        <v>0</v>
      </c>
      <c r="T141" s="22">
        <v>0</v>
      </c>
      <c r="U141" s="22">
        <f t="shared" si="48"/>
        <v>11.754</v>
      </c>
      <c r="V141" s="22">
        <v>0</v>
      </c>
      <c r="W141" s="21">
        <f>1.05*10</f>
        <v>10.5</v>
      </c>
      <c r="X141" s="20">
        <f t="shared" si="45"/>
        <v>-1.2539999999999996</v>
      </c>
      <c r="Y141" s="51">
        <f t="shared" si="46"/>
        <v>-1.2539999999999996</v>
      </c>
      <c r="Z141" s="22" t="s">
        <v>25</v>
      </c>
    </row>
    <row r="142" spans="1:26" s="1" customFormat="1" ht="33.75">
      <c r="A142" s="18">
        <v>91</v>
      </c>
      <c r="B142" s="12" t="s">
        <v>114</v>
      </c>
      <c r="C142" s="69" t="s">
        <v>34</v>
      </c>
      <c r="D142" s="47">
        <v>0.77100000000000002</v>
      </c>
      <c r="E142" s="12">
        <v>0</v>
      </c>
      <c r="F142" s="12">
        <v>0</v>
      </c>
      <c r="G142" s="12">
        <f t="shared" si="47"/>
        <v>0.77100000000000002</v>
      </c>
      <c r="H142" s="12">
        <v>0</v>
      </c>
      <c r="I142" s="14">
        <f>1.05*4</f>
        <v>4.2</v>
      </c>
      <c r="J142" s="13">
        <f t="shared" si="43"/>
        <v>3.4290000000000003</v>
      </c>
      <c r="K142" s="47">
        <f t="shared" si="44"/>
        <v>3.4290000000000003</v>
      </c>
      <c r="L142" s="17" t="s">
        <v>24</v>
      </c>
      <c r="M142" s="16"/>
      <c r="N142" s="18">
        <v>91</v>
      </c>
      <c r="O142" s="12" t="s">
        <v>114</v>
      </c>
      <c r="P142" s="15" t="s">
        <v>34</v>
      </c>
      <c r="Q142" s="86">
        <f>0.006+0.011+0.005+0.014+0.007+0.016-0.0108+0.0054+0.0161-0.0247</f>
        <v>4.5000000000000012E-2</v>
      </c>
      <c r="R142" s="47">
        <f t="shared" si="49"/>
        <v>0.81600000000000006</v>
      </c>
      <c r="S142" s="12">
        <v>0</v>
      </c>
      <c r="T142" s="12">
        <v>0</v>
      </c>
      <c r="U142" s="12">
        <f t="shared" si="48"/>
        <v>0.81600000000000006</v>
      </c>
      <c r="V142" s="12">
        <v>0</v>
      </c>
      <c r="W142" s="14">
        <f>1.05*4</f>
        <v>4.2</v>
      </c>
      <c r="X142" s="13">
        <f t="shared" si="45"/>
        <v>3.3840000000000003</v>
      </c>
      <c r="Y142" s="47">
        <f t="shared" si="46"/>
        <v>3.3840000000000003</v>
      </c>
      <c r="Z142" s="12" t="s">
        <v>24</v>
      </c>
    </row>
    <row r="143" spans="1:26" s="1" customFormat="1" ht="22.5">
      <c r="A143" s="18">
        <v>92</v>
      </c>
      <c r="B143" s="12" t="s">
        <v>115</v>
      </c>
      <c r="C143" s="69" t="s">
        <v>28</v>
      </c>
      <c r="D143" s="47">
        <v>0.33</v>
      </c>
      <c r="E143" s="12">
        <v>0</v>
      </c>
      <c r="F143" s="12">
        <v>0</v>
      </c>
      <c r="G143" s="12">
        <f t="shared" si="47"/>
        <v>0.33</v>
      </c>
      <c r="H143" s="12">
        <v>0</v>
      </c>
      <c r="I143" s="14">
        <f>1.05*1.6</f>
        <v>1.6800000000000002</v>
      </c>
      <c r="J143" s="13">
        <f t="shared" si="43"/>
        <v>1.35</v>
      </c>
      <c r="K143" s="47">
        <f t="shared" si="44"/>
        <v>1.35</v>
      </c>
      <c r="L143" s="17" t="s">
        <v>24</v>
      </c>
      <c r="M143" s="16"/>
      <c r="N143" s="18">
        <v>92</v>
      </c>
      <c r="O143" s="12" t="s">
        <v>115</v>
      </c>
      <c r="P143" s="15" t="s">
        <v>28</v>
      </c>
      <c r="Q143" s="86">
        <f>0.0065</f>
        <v>6.4999999999999997E-3</v>
      </c>
      <c r="R143" s="47">
        <f t="shared" si="49"/>
        <v>0.33650000000000002</v>
      </c>
      <c r="S143" s="12">
        <v>0</v>
      </c>
      <c r="T143" s="12">
        <v>0</v>
      </c>
      <c r="U143" s="12">
        <f t="shared" si="48"/>
        <v>0.33650000000000002</v>
      </c>
      <c r="V143" s="12">
        <v>0</v>
      </c>
      <c r="W143" s="14">
        <f>1.05*1.6</f>
        <v>1.6800000000000002</v>
      </c>
      <c r="X143" s="13">
        <f t="shared" si="45"/>
        <v>1.3435000000000001</v>
      </c>
      <c r="Y143" s="47">
        <f t="shared" si="46"/>
        <v>1.3435000000000001</v>
      </c>
      <c r="Z143" s="12" t="s">
        <v>24</v>
      </c>
    </row>
    <row r="144" spans="1:26" s="1" customFormat="1" ht="22.5">
      <c r="A144" s="18">
        <v>93</v>
      </c>
      <c r="B144" s="12" t="s">
        <v>118</v>
      </c>
      <c r="C144" s="69" t="s">
        <v>34</v>
      </c>
      <c r="D144" s="47">
        <v>1.911</v>
      </c>
      <c r="E144" s="12">
        <v>0</v>
      </c>
      <c r="F144" s="12">
        <v>0</v>
      </c>
      <c r="G144" s="12">
        <f t="shared" si="47"/>
        <v>1.911</v>
      </c>
      <c r="H144" s="12">
        <v>0</v>
      </c>
      <c r="I144" s="14">
        <f>1.05*4</f>
        <v>4.2</v>
      </c>
      <c r="J144" s="13">
        <f t="shared" si="43"/>
        <v>2.2890000000000001</v>
      </c>
      <c r="K144" s="47">
        <f t="shared" si="44"/>
        <v>2.2890000000000001</v>
      </c>
      <c r="L144" s="17" t="s">
        <v>24</v>
      </c>
      <c r="M144" s="16"/>
      <c r="N144" s="18">
        <v>93</v>
      </c>
      <c r="O144" s="12" t="s">
        <v>118</v>
      </c>
      <c r="P144" s="15" t="s">
        <v>34</v>
      </c>
      <c r="Q144" s="86">
        <f>0.029+0.008+0.012+0.005+0.008+0.015+0.0054+0.285+0.0215+0.003226-0.028+0.3226</f>
        <v>0.68672599999999995</v>
      </c>
      <c r="R144" s="47">
        <f t="shared" si="49"/>
        <v>2.5977259999999998</v>
      </c>
      <c r="S144" s="12">
        <v>0</v>
      </c>
      <c r="T144" s="12">
        <v>0</v>
      </c>
      <c r="U144" s="12">
        <f t="shared" si="48"/>
        <v>2.5977259999999998</v>
      </c>
      <c r="V144" s="12">
        <v>0</v>
      </c>
      <c r="W144" s="14">
        <f>1.05*4</f>
        <v>4.2</v>
      </c>
      <c r="X144" s="13">
        <f t="shared" si="45"/>
        <v>1.6022740000000004</v>
      </c>
      <c r="Y144" s="47">
        <f t="shared" si="46"/>
        <v>1.6022740000000004</v>
      </c>
      <c r="Z144" s="12" t="s">
        <v>24</v>
      </c>
    </row>
    <row r="145" spans="1:26" s="1" customFormat="1" ht="22.5">
      <c r="A145" s="18">
        <v>94</v>
      </c>
      <c r="B145" s="12" t="s">
        <v>119</v>
      </c>
      <c r="C145" s="69" t="s">
        <v>41</v>
      </c>
      <c r="D145" s="47">
        <v>1.8120000000000001</v>
      </c>
      <c r="E145" s="12">
        <v>0</v>
      </c>
      <c r="F145" s="12">
        <v>0</v>
      </c>
      <c r="G145" s="12">
        <f t="shared" si="47"/>
        <v>1.8120000000000001</v>
      </c>
      <c r="H145" s="12">
        <v>0</v>
      </c>
      <c r="I145" s="14">
        <f>1.05*4</f>
        <v>4.2</v>
      </c>
      <c r="J145" s="13">
        <f t="shared" si="43"/>
        <v>2.3879999999999999</v>
      </c>
      <c r="K145" s="47">
        <f t="shared" si="44"/>
        <v>2.3879999999999999</v>
      </c>
      <c r="L145" s="17" t="s">
        <v>24</v>
      </c>
      <c r="M145" s="16"/>
      <c r="N145" s="18">
        <v>94</v>
      </c>
      <c r="O145" s="12" t="s">
        <v>119</v>
      </c>
      <c r="P145" s="15" t="s">
        <v>41</v>
      </c>
      <c r="Q145" s="86">
        <f>0.023+0.003+0.028+0.038+0.005+0.016+0.016-0.028+0.0034+0.001344-0.0671</f>
        <v>3.8643999999999998E-2</v>
      </c>
      <c r="R145" s="47">
        <f t="shared" si="49"/>
        <v>1.850644</v>
      </c>
      <c r="S145" s="12">
        <v>0</v>
      </c>
      <c r="T145" s="12">
        <v>0</v>
      </c>
      <c r="U145" s="12">
        <f t="shared" si="48"/>
        <v>1.850644</v>
      </c>
      <c r="V145" s="12">
        <v>0</v>
      </c>
      <c r="W145" s="14">
        <f>1.05*4</f>
        <v>4.2</v>
      </c>
      <c r="X145" s="13">
        <f t="shared" si="45"/>
        <v>2.3493560000000002</v>
      </c>
      <c r="Y145" s="47">
        <f t="shared" si="46"/>
        <v>2.3493560000000002</v>
      </c>
      <c r="Z145" s="12" t="s">
        <v>24</v>
      </c>
    </row>
    <row r="146" spans="1:26" s="1" customFormat="1" ht="22.5">
      <c r="A146" s="18">
        <v>95</v>
      </c>
      <c r="B146" s="12" t="s">
        <v>215</v>
      </c>
      <c r="C146" s="69" t="s">
        <v>54</v>
      </c>
      <c r="D146" s="47">
        <v>0.12</v>
      </c>
      <c r="E146" s="12">
        <v>0</v>
      </c>
      <c r="F146" s="12">
        <v>0</v>
      </c>
      <c r="G146" s="12">
        <f t="shared" si="47"/>
        <v>0.12</v>
      </c>
      <c r="H146" s="12">
        <v>0</v>
      </c>
      <c r="I146" s="14">
        <f>1.05*1</f>
        <v>1.05</v>
      </c>
      <c r="J146" s="13">
        <f t="shared" si="43"/>
        <v>0.93</v>
      </c>
      <c r="K146" s="47">
        <f t="shared" si="44"/>
        <v>0.93</v>
      </c>
      <c r="L146" s="17" t="s">
        <v>24</v>
      </c>
      <c r="M146" s="16"/>
      <c r="N146" s="18">
        <v>95</v>
      </c>
      <c r="O146" s="12" t="s">
        <v>120</v>
      </c>
      <c r="P146" s="15" t="s">
        <v>54</v>
      </c>
      <c r="Q146" s="86">
        <f>0.008+0.005+0.008-0.0054+0.0032+0.0032+0.016+0.0043-0.029</f>
        <v>1.3300000000000003E-2</v>
      </c>
      <c r="R146" s="47">
        <f t="shared" si="49"/>
        <v>0.1333</v>
      </c>
      <c r="S146" s="12">
        <v>0</v>
      </c>
      <c r="T146" s="12">
        <v>0</v>
      </c>
      <c r="U146" s="12">
        <f t="shared" si="48"/>
        <v>0.1333</v>
      </c>
      <c r="V146" s="12">
        <v>0</v>
      </c>
      <c r="W146" s="14">
        <f>1.05*1</f>
        <v>1.05</v>
      </c>
      <c r="X146" s="13">
        <f t="shared" si="45"/>
        <v>0.91670000000000007</v>
      </c>
      <c r="Y146" s="47">
        <f t="shared" si="46"/>
        <v>0.91670000000000007</v>
      </c>
      <c r="Z146" s="12" t="s">
        <v>24</v>
      </c>
    </row>
    <row r="147" spans="1:26" s="1" customFormat="1" ht="22.5">
      <c r="A147" s="18">
        <v>96</v>
      </c>
      <c r="B147" s="12" t="s">
        <v>122</v>
      </c>
      <c r="C147" s="69" t="s">
        <v>27</v>
      </c>
      <c r="D147" s="47">
        <v>0.245</v>
      </c>
      <c r="E147" s="12">
        <v>0</v>
      </c>
      <c r="F147" s="12">
        <v>0</v>
      </c>
      <c r="G147" s="12">
        <f t="shared" si="47"/>
        <v>0.245</v>
      </c>
      <c r="H147" s="12">
        <v>0</v>
      </c>
      <c r="I147" s="14">
        <f>1.05*2.5</f>
        <v>2.625</v>
      </c>
      <c r="J147" s="13">
        <f t="shared" si="43"/>
        <v>2.38</v>
      </c>
      <c r="K147" s="47">
        <f t="shared" si="44"/>
        <v>2.38</v>
      </c>
      <c r="L147" s="17" t="s">
        <v>24</v>
      </c>
      <c r="M147" s="16"/>
      <c r="N147" s="18">
        <v>96</v>
      </c>
      <c r="O147" s="12" t="s">
        <v>122</v>
      </c>
      <c r="P147" s="15" t="s">
        <v>27</v>
      </c>
      <c r="Q147" s="86">
        <f>0.005+0.005+0.0054+0.0108-0.0097</f>
        <v>1.6500000000000001E-2</v>
      </c>
      <c r="R147" s="47">
        <f t="shared" si="49"/>
        <v>0.26150000000000001</v>
      </c>
      <c r="S147" s="12">
        <v>0</v>
      </c>
      <c r="T147" s="12">
        <v>0</v>
      </c>
      <c r="U147" s="12">
        <f t="shared" si="48"/>
        <v>0.26150000000000001</v>
      </c>
      <c r="V147" s="12">
        <v>0</v>
      </c>
      <c r="W147" s="14">
        <f>1.05*2.5</f>
        <v>2.625</v>
      </c>
      <c r="X147" s="13">
        <f t="shared" si="45"/>
        <v>2.3635000000000002</v>
      </c>
      <c r="Y147" s="47">
        <f t="shared" si="46"/>
        <v>2.3635000000000002</v>
      </c>
      <c r="Z147" s="12" t="s">
        <v>24</v>
      </c>
    </row>
    <row r="148" spans="1:26" s="1" customFormat="1" ht="22.5">
      <c r="A148" s="18">
        <v>97</v>
      </c>
      <c r="B148" s="12" t="s">
        <v>123</v>
      </c>
      <c r="C148" s="69" t="s">
        <v>27</v>
      </c>
      <c r="D148" s="47">
        <v>0.50800000000000001</v>
      </c>
      <c r="E148" s="12">
        <v>0</v>
      </c>
      <c r="F148" s="12">
        <v>0</v>
      </c>
      <c r="G148" s="12">
        <f t="shared" si="47"/>
        <v>0.50800000000000001</v>
      </c>
      <c r="H148" s="12">
        <v>0</v>
      </c>
      <c r="I148" s="14">
        <f>1.05*2.5</f>
        <v>2.625</v>
      </c>
      <c r="J148" s="13">
        <f t="shared" si="43"/>
        <v>2.117</v>
      </c>
      <c r="K148" s="47">
        <f t="shared" si="44"/>
        <v>2.117</v>
      </c>
      <c r="L148" s="17" t="s">
        <v>24</v>
      </c>
      <c r="M148" s="16"/>
      <c r="N148" s="18">
        <v>97</v>
      </c>
      <c r="O148" s="12" t="s">
        <v>123</v>
      </c>
      <c r="P148" s="15" t="s">
        <v>27</v>
      </c>
      <c r="Q148" s="86">
        <f>0.004+0.011+0.177+0.01-0.0145+0.5376+0.001+0.0172+0.028+0.0129-0.0274</f>
        <v>0.75680000000000003</v>
      </c>
      <c r="R148" s="47">
        <f t="shared" si="49"/>
        <v>1.2648000000000001</v>
      </c>
      <c r="S148" s="12">
        <v>0</v>
      </c>
      <c r="T148" s="12">
        <v>0</v>
      </c>
      <c r="U148" s="12">
        <f t="shared" si="48"/>
        <v>1.2648000000000001</v>
      </c>
      <c r="V148" s="12">
        <v>0</v>
      </c>
      <c r="W148" s="14">
        <f>1.05*2.5</f>
        <v>2.625</v>
      </c>
      <c r="X148" s="13">
        <f t="shared" si="45"/>
        <v>1.3601999999999999</v>
      </c>
      <c r="Y148" s="47">
        <f t="shared" si="46"/>
        <v>1.3601999999999999</v>
      </c>
      <c r="Z148" s="12" t="s">
        <v>24</v>
      </c>
    </row>
    <row r="149" spans="1:26" s="1" customFormat="1" ht="22.5">
      <c r="A149" s="18">
        <v>98</v>
      </c>
      <c r="B149" s="12" t="s">
        <v>124</v>
      </c>
      <c r="C149" s="69" t="s">
        <v>28</v>
      </c>
      <c r="D149" s="47">
        <v>1.131</v>
      </c>
      <c r="E149" s="12">
        <v>0</v>
      </c>
      <c r="F149" s="12">
        <v>0</v>
      </c>
      <c r="G149" s="12">
        <f t="shared" si="47"/>
        <v>1.131</v>
      </c>
      <c r="H149" s="12">
        <v>0</v>
      </c>
      <c r="I149" s="14">
        <f>1.05*1.6</f>
        <v>1.6800000000000002</v>
      </c>
      <c r="J149" s="13">
        <f t="shared" si="43"/>
        <v>0.54900000000000015</v>
      </c>
      <c r="K149" s="47">
        <f t="shared" si="44"/>
        <v>0.54900000000000015</v>
      </c>
      <c r="L149" s="17" t="s">
        <v>24</v>
      </c>
      <c r="M149" s="16"/>
      <c r="N149" s="18">
        <v>98</v>
      </c>
      <c r="O149" s="12" t="s">
        <v>124</v>
      </c>
      <c r="P149" s="15" t="s">
        <v>28</v>
      </c>
      <c r="Q149" s="86">
        <v>0</v>
      </c>
      <c r="R149" s="47">
        <f t="shared" si="49"/>
        <v>1.131</v>
      </c>
      <c r="S149" s="12">
        <v>0</v>
      </c>
      <c r="T149" s="12">
        <v>0</v>
      </c>
      <c r="U149" s="12">
        <f t="shared" si="48"/>
        <v>1.131</v>
      </c>
      <c r="V149" s="12">
        <v>0</v>
      </c>
      <c r="W149" s="14">
        <f>1.05*1.6</f>
        <v>1.6800000000000002</v>
      </c>
      <c r="X149" s="13">
        <f t="shared" si="45"/>
        <v>0.54900000000000015</v>
      </c>
      <c r="Y149" s="47">
        <f t="shared" si="46"/>
        <v>0.54900000000000015</v>
      </c>
      <c r="Z149" s="12" t="s">
        <v>24</v>
      </c>
    </row>
    <row r="150" spans="1:26" s="1" customFormat="1" ht="22.5">
      <c r="A150" s="18">
        <v>99</v>
      </c>
      <c r="B150" s="12" t="s">
        <v>125</v>
      </c>
      <c r="C150" s="69" t="s">
        <v>29</v>
      </c>
      <c r="D150" s="47">
        <v>4.202</v>
      </c>
      <c r="E150" s="12">
        <v>0</v>
      </c>
      <c r="F150" s="12">
        <v>0</v>
      </c>
      <c r="G150" s="12">
        <f t="shared" si="47"/>
        <v>4.202</v>
      </c>
      <c r="H150" s="12">
        <v>0</v>
      </c>
      <c r="I150" s="14">
        <f>1.05*6.3</f>
        <v>6.6150000000000002</v>
      </c>
      <c r="J150" s="14">
        <f t="shared" si="43"/>
        <v>2.4130000000000003</v>
      </c>
      <c r="K150" s="47">
        <f t="shared" si="44"/>
        <v>2.4130000000000003</v>
      </c>
      <c r="L150" s="17" t="s">
        <v>24</v>
      </c>
      <c r="M150" s="16"/>
      <c r="N150" s="18">
        <v>99</v>
      </c>
      <c r="O150" s="12" t="s">
        <v>125</v>
      </c>
      <c r="P150" s="15" t="s">
        <v>29</v>
      </c>
      <c r="Q150" s="86">
        <f>0.01+0.002+0.016+0.0086-0.0081+0.0108-0.0054</f>
        <v>3.39E-2</v>
      </c>
      <c r="R150" s="47">
        <f t="shared" si="49"/>
        <v>4.2359</v>
      </c>
      <c r="S150" s="12">
        <v>0</v>
      </c>
      <c r="T150" s="12">
        <v>0</v>
      </c>
      <c r="U150" s="12">
        <f t="shared" si="48"/>
        <v>4.2359</v>
      </c>
      <c r="V150" s="12">
        <v>0</v>
      </c>
      <c r="W150" s="14">
        <f>1.05*6.3</f>
        <v>6.6150000000000002</v>
      </c>
      <c r="X150" s="13">
        <f t="shared" si="45"/>
        <v>2.3791000000000002</v>
      </c>
      <c r="Y150" s="47">
        <f t="shared" si="46"/>
        <v>2.3791000000000002</v>
      </c>
      <c r="Z150" s="12" t="s">
        <v>24</v>
      </c>
    </row>
    <row r="151" spans="1:26" s="1" customFormat="1" ht="22.5">
      <c r="A151" s="18">
        <v>100</v>
      </c>
      <c r="B151" s="12" t="s">
        <v>126</v>
      </c>
      <c r="C151" s="69" t="s">
        <v>28</v>
      </c>
      <c r="D151" s="47">
        <v>0.82299999999999995</v>
      </c>
      <c r="E151" s="12">
        <v>0</v>
      </c>
      <c r="F151" s="12">
        <v>0</v>
      </c>
      <c r="G151" s="12">
        <f t="shared" si="47"/>
        <v>0.82299999999999995</v>
      </c>
      <c r="H151" s="12">
        <v>0</v>
      </c>
      <c r="I151" s="14">
        <f>1.05*1.6</f>
        <v>1.6800000000000002</v>
      </c>
      <c r="J151" s="13">
        <f t="shared" si="43"/>
        <v>0.85700000000000021</v>
      </c>
      <c r="K151" s="47">
        <f t="shared" si="44"/>
        <v>0.85700000000000021</v>
      </c>
      <c r="L151" s="17" t="s">
        <v>24</v>
      </c>
      <c r="M151" s="16"/>
      <c r="N151" s="18">
        <v>100</v>
      </c>
      <c r="O151" s="12" t="s">
        <v>126</v>
      </c>
      <c r="P151" s="15" t="s">
        <v>28</v>
      </c>
      <c r="Q151" s="86">
        <f>0.021+0.003+0.003+0.038+0.022+0.016+0.005-0.0306+0.0161+0.0108+0.0237+0.0161+0.0108-0.1398+0.0086+0.0054</f>
        <v>2.9100000000000001E-2</v>
      </c>
      <c r="R151" s="47">
        <f t="shared" si="49"/>
        <v>0.85209999999999997</v>
      </c>
      <c r="S151" s="12">
        <v>0</v>
      </c>
      <c r="T151" s="12">
        <v>0</v>
      </c>
      <c r="U151" s="12">
        <f t="shared" si="48"/>
        <v>0.85209999999999997</v>
      </c>
      <c r="V151" s="12">
        <v>0</v>
      </c>
      <c r="W151" s="14">
        <f>1.05*1.6</f>
        <v>1.6800000000000002</v>
      </c>
      <c r="X151" s="13">
        <f t="shared" si="45"/>
        <v>0.82790000000000019</v>
      </c>
      <c r="Y151" s="47">
        <f t="shared" si="46"/>
        <v>0.82790000000000019</v>
      </c>
      <c r="Z151" s="12" t="s">
        <v>24</v>
      </c>
    </row>
    <row r="152" spans="1:26" s="1" customFormat="1" ht="22.5">
      <c r="A152" s="18">
        <v>101</v>
      </c>
      <c r="B152" s="12" t="s">
        <v>129</v>
      </c>
      <c r="C152" s="69" t="s">
        <v>28</v>
      </c>
      <c r="D152" s="47">
        <v>0.16200000000000001</v>
      </c>
      <c r="E152" s="12">
        <v>0</v>
      </c>
      <c r="F152" s="12">
        <v>0</v>
      </c>
      <c r="G152" s="12">
        <f t="shared" si="47"/>
        <v>0.16200000000000001</v>
      </c>
      <c r="H152" s="12">
        <v>0</v>
      </c>
      <c r="I152" s="14">
        <f>1.05*1.6</f>
        <v>1.6800000000000002</v>
      </c>
      <c r="J152" s="13">
        <f t="shared" si="43"/>
        <v>1.5180000000000002</v>
      </c>
      <c r="K152" s="47">
        <f t="shared" si="44"/>
        <v>1.5180000000000002</v>
      </c>
      <c r="L152" s="17" t="s">
        <v>24</v>
      </c>
      <c r="M152" s="16"/>
      <c r="N152" s="18">
        <v>101</v>
      </c>
      <c r="O152" s="12" t="s">
        <v>129</v>
      </c>
      <c r="P152" s="15" t="s">
        <v>28</v>
      </c>
      <c r="Q152" s="86">
        <f>0.005+0.005-0.0048+0.007+0.0008+0.0065</f>
        <v>1.95E-2</v>
      </c>
      <c r="R152" s="47">
        <f t="shared" si="49"/>
        <v>0.18149999999999999</v>
      </c>
      <c r="S152" s="12">
        <v>0</v>
      </c>
      <c r="T152" s="12">
        <v>0</v>
      </c>
      <c r="U152" s="12">
        <f t="shared" si="48"/>
        <v>0.18149999999999999</v>
      </c>
      <c r="V152" s="12">
        <v>0</v>
      </c>
      <c r="W152" s="14">
        <f>1.05*1.6</f>
        <v>1.6800000000000002</v>
      </c>
      <c r="X152" s="13">
        <f t="shared" si="45"/>
        <v>1.4985000000000002</v>
      </c>
      <c r="Y152" s="47">
        <f t="shared" si="46"/>
        <v>1.4985000000000002</v>
      </c>
      <c r="Z152" s="12" t="s">
        <v>24</v>
      </c>
    </row>
    <row r="153" spans="1:26" s="1" customFormat="1" ht="22.5">
      <c r="A153" s="18">
        <v>102</v>
      </c>
      <c r="B153" s="12" t="s">
        <v>130</v>
      </c>
      <c r="C153" s="69" t="s">
        <v>34</v>
      </c>
      <c r="D153" s="47">
        <v>0.52</v>
      </c>
      <c r="E153" s="12">
        <v>0</v>
      </c>
      <c r="F153" s="12">
        <v>0</v>
      </c>
      <c r="G153" s="12">
        <f t="shared" si="47"/>
        <v>0.52</v>
      </c>
      <c r="H153" s="12">
        <v>0</v>
      </c>
      <c r="I153" s="14">
        <f>1.05*4</f>
        <v>4.2</v>
      </c>
      <c r="J153" s="13">
        <f t="shared" si="43"/>
        <v>3.68</v>
      </c>
      <c r="K153" s="47">
        <f t="shared" si="44"/>
        <v>3.68</v>
      </c>
      <c r="L153" s="17" t="s">
        <v>24</v>
      </c>
      <c r="M153" s="16"/>
      <c r="N153" s="18">
        <v>102</v>
      </c>
      <c r="O153" s="12" t="s">
        <v>130</v>
      </c>
      <c r="P153" s="15" t="s">
        <v>34</v>
      </c>
      <c r="Q153" s="86">
        <f>0.02-0.0034+0.0538+0.004+0.0022-0.0538</f>
        <v>2.2800000000000001E-2</v>
      </c>
      <c r="R153" s="47">
        <f t="shared" si="49"/>
        <v>0.54280000000000006</v>
      </c>
      <c r="S153" s="12">
        <v>0</v>
      </c>
      <c r="T153" s="12">
        <v>0</v>
      </c>
      <c r="U153" s="12">
        <f t="shared" si="48"/>
        <v>0.54280000000000006</v>
      </c>
      <c r="V153" s="12">
        <v>0</v>
      </c>
      <c r="W153" s="14">
        <f>1.05*4</f>
        <v>4.2</v>
      </c>
      <c r="X153" s="13">
        <f t="shared" si="45"/>
        <v>3.6572</v>
      </c>
      <c r="Y153" s="47">
        <f t="shared" si="46"/>
        <v>3.6572</v>
      </c>
      <c r="Z153" s="12" t="s">
        <v>24</v>
      </c>
    </row>
    <row r="154" spans="1:26" s="1" customFormat="1" ht="22.5">
      <c r="A154" s="18">
        <v>103</v>
      </c>
      <c r="B154" s="12" t="s">
        <v>131</v>
      </c>
      <c r="C154" s="69" t="s">
        <v>36</v>
      </c>
      <c r="D154" s="47">
        <v>0.47</v>
      </c>
      <c r="E154" s="12">
        <v>0</v>
      </c>
      <c r="F154" s="12">
        <v>0</v>
      </c>
      <c r="G154" s="12">
        <f t="shared" si="47"/>
        <v>0.47</v>
      </c>
      <c r="H154" s="12">
        <v>0</v>
      </c>
      <c r="I154" s="14">
        <f>1.05*2.5</f>
        <v>2.625</v>
      </c>
      <c r="J154" s="13">
        <f t="shared" si="43"/>
        <v>2.1550000000000002</v>
      </c>
      <c r="K154" s="47">
        <f t="shared" si="44"/>
        <v>2.1550000000000002</v>
      </c>
      <c r="L154" s="17" t="s">
        <v>24</v>
      </c>
      <c r="M154" s="16"/>
      <c r="N154" s="18">
        <v>103</v>
      </c>
      <c r="O154" s="12" t="s">
        <v>131</v>
      </c>
      <c r="P154" s="15" t="s">
        <v>36</v>
      </c>
      <c r="Q154" s="86">
        <f>0.005+0.002+0.011+0.0151-0.0183</f>
        <v>1.4799999999999997E-2</v>
      </c>
      <c r="R154" s="47">
        <f t="shared" si="49"/>
        <v>0.48479999999999995</v>
      </c>
      <c r="S154" s="12">
        <v>0</v>
      </c>
      <c r="T154" s="12">
        <v>0</v>
      </c>
      <c r="U154" s="12">
        <f t="shared" si="48"/>
        <v>0.48479999999999995</v>
      </c>
      <c r="V154" s="12">
        <v>0</v>
      </c>
      <c r="W154" s="14">
        <f>1.05*2.5</f>
        <v>2.625</v>
      </c>
      <c r="X154" s="47">
        <f t="shared" si="45"/>
        <v>2.1402000000000001</v>
      </c>
      <c r="Y154" s="47">
        <f t="shared" si="46"/>
        <v>2.1402000000000001</v>
      </c>
      <c r="Z154" s="12" t="s">
        <v>24</v>
      </c>
    </row>
    <row r="155" spans="1:26" s="1" customFormat="1" ht="22.5">
      <c r="A155" s="18">
        <v>104</v>
      </c>
      <c r="B155" s="12" t="s">
        <v>132</v>
      </c>
      <c r="C155" s="69" t="s">
        <v>34</v>
      </c>
      <c r="D155" s="47">
        <v>2.4780000000000002</v>
      </c>
      <c r="E155" s="12">
        <v>0</v>
      </c>
      <c r="F155" s="12">
        <v>0</v>
      </c>
      <c r="G155" s="12">
        <f t="shared" si="47"/>
        <v>2.4780000000000002</v>
      </c>
      <c r="H155" s="12">
        <v>0</v>
      </c>
      <c r="I155" s="14">
        <f>1.05*4</f>
        <v>4.2</v>
      </c>
      <c r="J155" s="13">
        <f t="shared" si="43"/>
        <v>1.722</v>
      </c>
      <c r="K155" s="47">
        <f t="shared" si="44"/>
        <v>1.722</v>
      </c>
      <c r="L155" s="17" t="s">
        <v>24</v>
      </c>
      <c r="M155" s="16"/>
      <c r="N155" s="18">
        <v>104</v>
      </c>
      <c r="O155" s="12" t="s">
        <v>132</v>
      </c>
      <c r="P155" s="15" t="s">
        <v>34</v>
      </c>
      <c r="Q155" s="86">
        <f>0.43+0.005+0.0161-0.4355+0.0054+0.0054+0.0022+0.005-0.0183</f>
        <v>1.5300000000000005E-2</v>
      </c>
      <c r="R155" s="47">
        <f t="shared" si="49"/>
        <v>2.4933000000000001</v>
      </c>
      <c r="S155" s="12">
        <v>0</v>
      </c>
      <c r="T155" s="12">
        <v>0</v>
      </c>
      <c r="U155" s="12">
        <f t="shared" si="48"/>
        <v>2.4933000000000001</v>
      </c>
      <c r="V155" s="12">
        <v>0</v>
      </c>
      <c r="W155" s="14">
        <f>1.05*4</f>
        <v>4.2</v>
      </c>
      <c r="X155" s="13">
        <f t="shared" si="45"/>
        <v>1.7067000000000001</v>
      </c>
      <c r="Y155" s="47">
        <f t="shared" si="46"/>
        <v>1.7067000000000001</v>
      </c>
      <c r="Z155" s="12" t="s">
        <v>24</v>
      </c>
    </row>
    <row r="156" spans="1:26" s="1" customFormat="1" ht="22.5">
      <c r="A156" s="18">
        <v>105</v>
      </c>
      <c r="B156" s="12" t="s">
        <v>133</v>
      </c>
      <c r="C156" s="69" t="s">
        <v>34</v>
      </c>
      <c r="D156" s="47">
        <v>1.0680000000000001</v>
      </c>
      <c r="E156" s="12">
        <v>0</v>
      </c>
      <c r="F156" s="12">
        <v>0</v>
      </c>
      <c r="G156" s="12">
        <f t="shared" si="47"/>
        <v>1.0680000000000001</v>
      </c>
      <c r="H156" s="12">
        <v>0</v>
      </c>
      <c r="I156" s="14">
        <f>1.05*4</f>
        <v>4.2</v>
      </c>
      <c r="J156" s="13">
        <f t="shared" si="43"/>
        <v>3.1320000000000001</v>
      </c>
      <c r="K156" s="47">
        <f t="shared" si="44"/>
        <v>3.1320000000000001</v>
      </c>
      <c r="L156" s="17" t="s">
        <v>24</v>
      </c>
      <c r="M156" s="16"/>
      <c r="N156" s="18">
        <v>105</v>
      </c>
      <c r="O156" s="12" t="s">
        <v>133</v>
      </c>
      <c r="P156" s="15" t="s">
        <v>34</v>
      </c>
      <c r="Q156" s="86">
        <f>0.01+0.047-0.0048+0.0161+0.0078</f>
        <v>7.6100000000000001E-2</v>
      </c>
      <c r="R156" s="47">
        <f t="shared" si="49"/>
        <v>1.1441000000000001</v>
      </c>
      <c r="S156" s="12">
        <v>0</v>
      </c>
      <c r="T156" s="12">
        <v>0</v>
      </c>
      <c r="U156" s="12">
        <f t="shared" si="48"/>
        <v>1.1441000000000001</v>
      </c>
      <c r="V156" s="12">
        <v>0</v>
      </c>
      <c r="W156" s="14">
        <f>1.05*4</f>
        <v>4.2</v>
      </c>
      <c r="X156" s="13">
        <f t="shared" si="45"/>
        <v>3.0559000000000003</v>
      </c>
      <c r="Y156" s="47">
        <f t="shared" si="46"/>
        <v>3.0559000000000003</v>
      </c>
      <c r="Z156" s="12" t="s">
        <v>24</v>
      </c>
    </row>
    <row r="157" spans="1:26" s="1" customFormat="1" ht="22.5">
      <c r="A157" s="18">
        <v>106</v>
      </c>
      <c r="B157" s="12" t="s">
        <v>134</v>
      </c>
      <c r="C157" s="69" t="s">
        <v>33</v>
      </c>
      <c r="D157" s="47">
        <v>1.31</v>
      </c>
      <c r="E157" s="12">
        <v>0</v>
      </c>
      <c r="F157" s="12">
        <v>0</v>
      </c>
      <c r="G157" s="12">
        <f t="shared" si="47"/>
        <v>1.31</v>
      </c>
      <c r="H157" s="12">
        <v>0</v>
      </c>
      <c r="I157" s="14">
        <f>1.05*1.6</f>
        <v>1.6800000000000002</v>
      </c>
      <c r="J157" s="13">
        <f t="shared" si="43"/>
        <v>0.37000000000000011</v>
      </c>
      <c r="K157" s="47">
        <f t="shared" si="44"/>
        <v>0.37000000000000011</v>
      </c>
      <c r="L157" s="17" t="s">
        <v>24</v>
      </c>
      <c r="M157" s="16"/>
      <c r="N157" s="18">
        <v>106</v>
      </c>
      <c r="O157" s="12" t="s">
        <v>134</v>
      </c>
      <c r="P157" s="15" t="s">
        <v>33</v>
      </c>
      <c r="Q157" s="86">
        <f>0.052+0.019+0.022+0.017+0.149+0.051+0.043+0.019+0.019+0.0108-0.122+0.028+0.039+0.0054-0.065+0.0538+0.0161</f>
        <v>0.35710000000000003</v>
      </c>
      <c r="R157" s="47">
        <f t="shared" si="49"/>
        <v>1.6671</v>
      </c>
      <c r="S157" s="12">
        <v>0</v>
      </c>
      <c r="T157" s="12">
        <v>0</v>
      </c>
      <c r="U157" s="12">
        <f t="shared" si="48"/>
        <v>1.6671</v>
      </c>
      <c r="V157" s="12">
        <v>0</v>
      </c>
      <c r="W157" s="14">
        <f>1.05*1.6</f>
        <v>1.6800000000000002</v>
      </c>
      <c r="X157" s="13">
        <f t="shared" si="45"/>
        <v>1.2900000000000134E-2</v>
      </c>
      <c r="Y157" s="47">
        <f t="shared" si="46"/>
        <v>1.2900000000000134E-2</v>
      </c>
      <c r="Z157" s="12" t="s">
        <v>24</v>
      </c>
    </row>
    <row r="158" spans="1:26" s="1" customFormat="1" ht="22.5">
      <c r="A158" s="18">
        <v>107</v>
      </c>
      <c r="B158" s="12" t="s">
        <v>135</v>
      </c>
      <c r="C158" s="69" t="s">
        <v>27</v>
      </c>
      <c r="D158" s="47">
        <v>0.98299999999999998</v>
      </c>
      <c r="E158" s="12">
        <v>0</v>
      </c>
      <c r="F158" s="12">
        <v>0</v>
      </c>
      <c r="G158" s="12">
        <f t="shared" si="47"/>
        <v>0.98299999999999998</v>
      </c>
      <c r="H158" s="12">
        <v>0</v>
      </c>
      <c r="I158" s="14">
        <f>1.05*2.5</f>
        <v>2.625</v>
      </c>
      <c r="J158" s="13">
        <f t="shared" si="43"/>
        <v>1.6419999999999999</v>
      </c>
      <c r="K158" s="47">
        <f t="shared" si="44"/>
        <v>1.6419999999999999</v>
      </c>
      <c r="L158" s="17" t="s">
        <v>24</v>
      </c>
      <c r="M158" s="16"/>
      <c r="N158" s="18">
        <v>107</v>
      </c>
      <c r="O158" s="12" t="s">
        <v>135</v>
      </c>
      <c r="P158" s="15" t="s">
        <v>27</v>
      </c>
      <c r="Q158" s="86">
        <v>0</v>
      </c>
      <c r="R158" s="47">
        <f t="shared" si="49"/>
        <v>0.98299999999999998</v>
      </c>
      <c r="S158" s="12">
        <v>0</v>
      </c>
      <c r="T158" s="12">
        <v>0</v>
      </c>
      <c r="U158" s="12">
        <f t="shared" si="48"/>
        <v>0.98299999999999998</v>
      </c>
      <c r="V158" s="12">
        <v>0</v>
      </c>
      <c r="W158" s="14">
        <f>1.05*2.5</f>
        <v>2.625</v>
      </c>
      <c r="X158" s="13">
        <f t="shared" si="45"/>
        <v>1.6419999999999999</v>
      </c>
      <c r="Y158" s="47">
        <f t="shared" si="46"/>
        <v>1.6419999999999999</v>
      </c>
      <c r="Z158" s="12" t="s">
        <v>24</v>
      </c>
    </row>
    <row r="159" spans="1:26" s="1" customFormat="1" ht="22.5">
      <c r="A159" s="18">
        <v>108</v>
      </c>
      <c r="B159" s="12" t="s">
        <v>136</v>
      </c>
      <c r="C159" s="69" t="s">
        <v>41</v>
      </c>
      <c r="D159" s="47">
        <v>1.3149999999999999</v>
      </c>
      <c r="E159" s="12">
        <v>0</v>
      </c>
      <c r="F159" s="12">
        <v>0</v>
      </c>
      <c r="G159" s="12">
        <f t="shared" si="47"/>
        <v>1.3149999999999999</v>
      </c>
      <c r="H159" s="12">
        <v>0</v>
      </c>
      <c r="I159" s="14">
        <f>1.05*4</f>
        <v>4.2</v>
      </c>
      <c r="J159" s="13">
        <f t="shared" si="43"/>
        <v>2.8850000000000002</v>
      </c>
      <c r="K159" s="47">
        <f t="shared" si="44"/>
        <v>2.8850000000000002</v>
      </c>
      <c r="L159" s="17" t="s">
        <v>24</v>
      </c>
      <c r="M159" s="16"/>
      <c r="N159" s="18">
        <v>108</v>
      </c>
      <c r="O159" s="12" t="s">
        <v>136</v>
      </c>
      <c r="P159" s="15" t="s">
        <v>41</v>
      </c>
      <c r="Q159" s="86">
        <f>0.02+0.005-0.0151+0.0054+0.016+0.0161+0.010752+0.0108-0.0228+0.0108</f>
        <v>5.6952000000000003E-2</v>
      </c>
      <c r="R159" s="47">
        <f t="shared" si="49"/>
        <v>1.3719519999999998</v>
      </c>
      <c r="S159" s="12">
        <v>0</v>
      </c>
      <c r="T159" s="12">
        <v>0</v>
      </c>
      <c r="U159" s="12">
        <f t="shared" si="48"/>
        <v>1.3719519999999998</v>
      </c>
      <c r="V159" s="12">
        <v>0</v>
      </c>
      <c r="W159" s="14">
        <f>1.05*4</f>
        <v>4.2</v>
      </c>
      <c r="X159" s="13">
        <f t="shared" si="45"/>
        <v>2.8280480000000003</v>
      </c>
      <c r="Y159" s="47">
        <f t="shared" si="46"/>
        <v>2.8280480000000003</v>
      </c>
      <c r="Z159" s="12" t="s">
        <v>24</v>
      </c>
    </row>
    <row r="160" spans="1:26" s="1" customFormat="1" ht="22.5">
      <c r="A160" s="18">
        <v>109</v>
      </c>
      <c r="B160" s="12" t="s">
        <v>228</v>
      </c>
      <c r="C160" s="69" t="s">
        <v>34</v>
      </c>
      <c r="D160" s="47">
        <v>0.76600000000000001</v>
      </c>
      <c r="E160" s="12">
        <v>0</v>
      </c>
      <c r="F160" s="12">
        <v>0</v>
      </c>
      <c r="G160" s="12">
        <f t="shared" si="47"/>
        <v>0.76600000000000001</v>
      </c>
      <c r="H160" s="12">
        <v>0</v>
      </c>
      <c r="I160" s="14">
        <f>1.05*4</f>
        <v>4.2</v>
      </c>
      <c r="J160" s="13">
        <f t="shared" si="43"/>
        <v>3.4340000000000002</v>
      </c>
      <c r="K160" s="47">
        <f t="shared" si="44"/>
        <v>3.4340000000000002</v>
      </c>
      <c r="L160" s="17" t="s">
        <v>24</v>
      </c>
      <c r="M160" s="16"/>
      <c r="N160" s="18">
        <v>109</v>
      </c>
      <c r="O160" s="12" t="s">
        <v>137</v>
      </c>
      <c r="P160" s="15" t="s">
        <v>34</v>
      </c>
      <c r="Q160" s="86">
        <f>0.01+0.01+0.009+0.0065+0.0054</f>
        <v>4.0899999999999999E-2</v>
      </c>
      <c r="R160" s="47">
        <f t="shared" si="49"/>
        <v>0.80690000000000006</v>
      </c>
      <c r="S160" s="12">
        <v>0</v>
      </c>
      <c r="T160" s="12">
        <v>0</v>
      </c>
      <c r="U160" s="12">
        <f t="shared" si="48"/>
        <v>0.80690000000000006</v>
      </c>
      <c r="V160" s="12">
        <v>0</v>
      </c>
      <c r="W160" s="14">
        <f>1.05*4</f>
        <v>4.2</v>
      </c>
      <c r="X160" s="13">
        <f t="shared" si="45"/>
        <v>3.3931</v>
      </c>
      <c r="Y160" s="47">
        <f t="shared" si="46"/>
        <v>3.3931</v>
      </c>
      <c r="Z160" s="12" t="s">
        <v>24</v>
      </c>
    </row>
    <row r="161" spans="1:26" s="1" customFormat="1" ht="22.5">
      <c r="A161" s="18">
        <v>110</v>
      </c>
      <c r="B161" s="12" t="s">
        <v>138</v>
      </c>
      <c r="C161" s="69" t="s">
        <v>29</v>
      </c>
      <c r="D161" s="47">
        <v>4.5209999999999999</v>
      </c>
      <c r="E161" s="12">
        <v>0</v>
      </c>
      <c r="F161" s="12">
        <v>0</v>
      </c>
      <c r="G161" s="12">
        <f t="shared" si="47"/>
        <v>4.5209999999999999</v>
      </c>
      <c r="H161" s="12">
        <v>0</v>
      </c>
      <c r="I161" s="14">
        <f>1.05*6.3</f>
        <v>6.6150000000000002</v>
      </c>
      <c r="J161" s="13">
        <f t="shared" si="43"/>
        <v>2.0940000000000003</v>
      </c>
      <c r="K161" s="47">
        <f t="shared" si="44"/>
        <v>2.0940000000000003</v>
      </c>
      <c r="L161" s="17" t="s">
        <v>24</v>
      </c>
      <c r="M161" s="16"/>
      <c r="N161" s="18">
        <v>110</v>
      </c>
      <c r="O161" s="12" t="s">
        <v>138</v>
      </c>
      <c r="P161" s="15" t="s">
        <v>29</v>
      </c>
      <c r="Q161" s="86">
        <f>0.215+0.016+0.013+0.029-0.0161+0.554+0.007+0.0323+0.009677-0.029+0.0054</f>
        <v>0.83627700000000005</v>
      </c>
      <c r="R161" s="47">
        <f t="shared" si="49"/>
        <v>5.3572769999999998</v>
      </c>
      <c r="S161" s="12">
        <v>0</v>
      </c>
      <c r="T161" s="12">
        <v>0</v>
      </c>
      <c r="U161" s="12">
        <f t="shared" si="48"/>
        <v>5.3572769999999998</v>
      </c>
      <c r="V161" s="12">
        <v>0</v>
      </c>
      <c r="W161" s="14">
        <f>1.05*6.3</f>
        <v>6.6150000000000002</v>
      </c>
      <c r="X161" s="13">
        <f t="shared" si="45"/>
        <v>1.2577230000000004</v>
      </c>
      <c r="Y161" s="47">
        <f t="shared" si="46"/>
        <v>1.2577230000000004</v>
      </c>
      <c r="Z161" s="12" t="s">
        <v>24</v>
      </c>
    </row>
    <row r="162" spans="1:26" s="1" customFormat="1" ht="22.5">
      <c r="A162" s="22">
        <v>21</v>
      </c>
      <c r="B162" s="22" t="s">
        <v>145</v>
      </c>
      <c r="C162" s="23" t="s">
        <v>47</v>
      </c>
      <c r="D162" s="51">
        <v>1.9890000000000001</v>
      </c>
      <c r="E162" s="22">
        <v>0</v>
      </c>
      <c r="F162" s="22">
        <v>0</v>
      </c>
      <c r="G162" s="22">
        <f t="shared" si="47"/>
        <v>1.9890000000000001</v>
      </c>
      <c r="H162" s="22">
        <v>0</v>
      </c>
      <c r="I162" s="21">
        <f>1.05*1.6</f>
        <v>1.6800000000000002</v>
      </c>
      <c r="J162" s="20">
        <f t="shared" si="43"/>
        <v>-0.30899999999999994</v>
      </c>
      <c r="K162" s="51">
        <f t="shared" si="44"/>
        <v>-0.30899999999999994</v>
      </c>
      <c r="L162" s="22" t="s">
        <v>25</v>
      </c>
      <c r="M162" s="16"/>
      <c r="N162" s="22">
        <v>21</v>
      </c>
      <c r="O162" s="22" t="s">
        <v>145</v>
      </c>
      <c r="P162" s="23" t="s">
        <v>47</v>
      </c>
      <c r="Q162" s="88">
        <f>0.037+0.005+0.011+0.005+0.007+0.011+0.0043-0.0443+0.0194+0.0215+0.0043+0.0161+0.419+0.0065+0.0323+0.0269-0.0253+0.0323</f>
        <v>0.58899999999999997</v>
      </c>
      <c r="R162" s="51">
        <f t="shared" si="49"/>
        <v>2.5780000000000003</v>
      </c>
      <c r="S162" s="22">
        <v>0</v>
      </c>
      <c r="T162" s="22">
        <v>0</v>
      </c>
      <c r="U162" s="22">
        <f t="shared" si="48"/>
        <v>2.5780000000000003</v>
      </c>
      <c r="V162" s="22">
        <v>0</v>
      </c>
      <c r="W162" s="21">
        <f>1.05*1.6</f>
        <v>1.6800000000000002</v>
      </c>
      <c r="X162" s="20">
        <f t="shared" si="45"/>
        <v>-0.89800000000000013</v>
      </c>
      <c r="Y162" s="51">
        <f>X162</f>
        <v>-0.89800000000000013</v>
      </c>
      <c r="Z162" s="22" t="s">
        <v>25</v>
      </c>
    </row>
    <row r="163" spans="1:26" s="1" customFormat="1" ht="22.5">
      <c r="A163" s="18">
        <v>111</v>
      </c>
      <c r="B163" s="12" t="s">
        <v>144</v>
      </c>
      <c r="C163" s="69" t="s">
        <v>26</v>
      </c>
      <c r="D163" s="47">
        <v>2.3580000000000001</v>
      </c>
      <c r="E163" s="12">
        <v>0</v>
      </c>
      <c r="F163" s="12">
        <v>0</v>
      </c>
      <c r="G163" s="12">
        <f t="shared" si="47"/>
        <v>2.3580000000000001</v>
      </c>
      <c r="H163" s="12">
        <v>0</v>
      </c>
      <c r="I163" s="14">
        <f>1.05*10</f>
        <v>10.5</v>
      </c>
      <c r="J163" s="14">
        <f t="shared" si="43"/>
        <v>8.1419999999999995</v>
      </c>
      <c r="K163" s="47">
        <f t="shared" si="44"/>
        <v>8.1419999999999995</v>
      </c>
      <c r="L163" s="17" t="s">
        <v>24</v>
      </c>
      <c r="M163" s="16"/>
      <c r="N163" s="18">
        <v>111</v>
      </c>
      <c r="O163" s="12" t="s">
        <v>144</v>
      </c>
      <c r="P163" s="15" t="s">
        <v>26</v>
      </c>
      <c r="Q163" s="86">
        <v>0</v>
      </c>
      <c r="R163" s="47">
        <f t="shared" si="49"/>
        <v>2.3580000000000001</v>
      </c>
      <c r="S163" s="12">
        <v>0</v>
      </c>
      <c r="T163" s="12">
        <v>0</v>
      </c>
      <c r="U163" s="12">
        <f t="shared" si="48"/>
        <v>2.3580000000000001</v>
      </c>
      <c r="V163" s="12">
        <v>0</v>
      </c>
      <c r="W163" s="14">
        <f>1.05*10</f>
        <v>10.5</v>
      </c>
      <c r="X163" s="13">
        <f t="shared" si="45"/>
        <v>8.1419999999999995</v>
      </c>
      <c r="Y163" s="47">
        <f t="shared" si="46"/>
        <v>8.1419999999999995</v>
      </c>
      <c r="Z163" s="12" t="s">
        <v>24</v>
      </c>
    </row>
    <row r="164" spans="1:26" s="1" customFormat="1" ht="22.5">
      <c r="A164" s="18">
        <v>112</v>
      </c>
      <c r="B164" s="12" t="s">
        <v>147</v>
      </c>
      <c r="C164" s="69" t="s">
        <v>27</v>
      </c>
      <c r="D164" s="47">
        <v>0.57899999999999996</v>
      </c>
      <c r="E164" s="12">
        <v>0</v>
      </c>
      <c r="F164" s="12">
        <v>0</v>
      </c>
      <c r="G164" s="12">
        <f t="shared" si="47"/>
        <v>0.57899999999999996</v>
      </c>
      <c r="H164" s="12">
        <v>0</v>
      </c>
      <c r="I164" s="14">
        <f>1.05*2.5</f>
        <v>2.625</v>
      </c>
      <c r="J164" s="13">
        <f t="shared" si="43"/>
        <v>2.0460000000000003</v>
      </c>
      <c r="K164" s="47">
        <f t="shared" si="44"/>
        <v>2.0460000000000003</v>
      </c>
      <c r="L164" s="17" t="s">
        <v>24</v>
      </c>
      <c r="M164" s="16"/>
      <c r="N164" s="18">
        <v>112</v>
      </c>
      <c r="O164" s="12" t="s">
        <v>147</v>
      </c>
      <c r="P164" s="15" t="s">
        <v>27</v>
      </c>
      <c r="Q164" s="86">
        <f>0.051+0.003+0.142+0.142+0.016+0.0038-0.1456+0.2419+0.0161+0.0161+0.0161+0.0161-0.064</f>
        <v>0.45449999999999996</v>
      </c>
      <c r="R164" s="47">
        <f t="shared" si="49"/>
        <v>1.0334999999999999</v>
      </c>
      <c r="S164" s="12">
        <v>0</v>
      </c>
      <c r="T164" s="12">
        <v>0</v>
      </c>
      <c r="U164" s="12">
        <f t="shared" si="48"/>
        <v>1.0334999999999999</v>
      </c>
      <c r="V164" s="12">
        <v>0</v>
      </c>
      <c r="W164" s="14">
        <f>1.05*2.5</f>
        <v>2.625</v>
      </c>
      <c r="X164" s="13">
        <f t="shared" si="45"/>
        <v>1.5915000000000001</v>
      </c>
      <c r="Y164" s="47">
        <f t="shared" si="46"/>
        <v>1.5915000000000001</v>
      </c>
      <c r="Z164" s="12" t="s">
        <v>24</v>
      </c>
    </row>
    <row r="165" spans="1:26" s="1" customFormat="1" ht="22.5">
      <c r="A165" s="18">
        <v>113</v>
      </c>
      <c r="B165" s="12" t="s">
        <v>149</v>
      </c>
      <c r="C165" s="69" t="s">
        <v>32</v>
      </c>
      <c r="D165" s="47">
        <v>0.48399999999999999</v>
      </c>
      <c r="E165" s="12">
        <v>0</v>
      </c>
      <c r="F165" s="12">
        <v>0</v>
      </c>
      <c r="G165" s="12">
        <f t="shared" si="47"/>
        <v>0.48399999999999999</v>
      </c>
      <c r="H165" s="12">
        <v>0</v>
      </c>
      <c r="I165" s="14">
        <f>1.05*1.6</f>
        <v>1.6800000000000002</v>
      </c>
      <c r="J165" s="13">
        <f t="shared" ref="J165:J195" si="50">I165-H165-G165</f>
        <v>1.1960000000000002</v>
      </c>
      <c r="K165" s="47">
        <f t="shared" ref="K165:K195" si="51">J165</f>
        <v>1.1960000000000002</v>
      </c>
      <c r="L165" s="17" t="s">
        <v>24</v>
      </c>
      <c r="M165" s="16"/>
      <c r="N165" s="18">
        <v>113</v>
      </c>
      <c r="O165" s="12" t="s">
        <v>149</v>
      </c>
      <c r="P165" s="15" t="s">
        <v>32</v>
      </c>
      <c r="Q165" s="86">
        <f>0.02+0.019+0.016+0.005+0.015-0.0656+0.0244+0.0032+0.0097-0.0376</f>
        <v>9.099999999999997E-3</v>
      </c>
      <c r="R165" s="47">
        <f t="shared" si="49"/>
        <v>0.49309999999999998</v>
      </c>
      <c r="S165" s="12">
        <v>0</v>
      </c>
      <c r="T165" s="12">
        <v>0</v>
      </c>
      <c r="U165" s="12">
        <f t="shared" si="48"/>
        <v>0.49309999999999998</v>
      </c>
      <c r="V165" s="12">
        <v>0</v>
      </c>
      <c r="W165" s="14">
        <f>1.05*1.6</f>
        <v>1.6800000000000002</v>
      </c>
      <c r="X165" s="13">
        <f t="shared" ref="X165:X195" si="52">W165-V165-U165</f>
        <v>1.1869000000000001</v>
      </c>
      <c r="Y165" s="47">
        <f t="shared" si="46"/>
        <v>1.1869000000000001</v>
      </c>
      <c r="Z165" s="12" t="s">
        <v>24</v>
      </c>
    </row>
    <row r="166" spans="1:26" s="1" customFormat="1" ht="22.5">
      <c r="A166" s="18">
        <v>114</v>
      </c>
      <c r="B166" s="18" t="s">
        <v>150</v>
      </c>
      <c r="C166" s="69" t="s">
        <v>53</v>
      </c>
      <c r="D166" s="79">
        <v>16.125</v>
      </c>
      <c r="E166" s="18">
        <v>0</v>
      </c>
      <c r="F166" s="18">
        <v>0</v>
      </c>
      <c r="G166" s="18">
        <f t="shared" ref="G166:G195" si="53">D166-E166</f>
        <v>16.125</v>
      </c>
      <c r="H166" s="18">
        <v>0</v>
      </c>
      <c r="I166" s="70">
        <f>1.05*32</f>
        <v>33.6</v>
      </c>
      <c r="J166" s="71">
        <f t="shared" si="50"/>
        <v>17.475000000000001</v>
      </c>
      <c r="K166" s="79">
        <f t="shared" si="51"/>
        <v>17.475000000000001</v>
      </c>
      <c r="L166" s="17" t="s">
        <v>24</v>
      </c>
      <c r="M166" s="16"/>
      <c r="N166" s="18">
        <v>114</v>
      </c>
      <c r="O166" s="12" t="s">
        <v>150</v>
      </c>
      <c r="P166" s="15" t="s">
        <v>53</v>
      </c>
      <c r="Q166" s="86">
        <f>1.226+0.8053+0.64+1.4934+0.8064+1.1177329-2.2356</f>
        <v>3.8532329000000001</v>
      </c>
      <c r="R166" s="47">
        <f t="shared" si="49"/>
        <v>19.978232900000002</v>
      </c>
      <c r="S166" s="12">
        <v>0</v>
      </c>
      <c r="T166" s="12">
        <v>0</v>
      </c>
      <c r="U166" s="12">
        <f t="shared" ref="U166:U195" si="54">R166-S166</f>
        <v>19.978232900000002</v>
      </c>
      <c r="V166" s="12">
        <v>0</v>
      </c>
      <c r="W166" s="14">
        <f>1.05*32</f>
        <v>33.6</v>
      </c>
      <c r="X166" s="13">
        <f t="shared" si="52"/>
        <v>13.6217671</v>
      </c>
      <c r="Y166" s="47">
        <f t="shared" si="46"/>
        <v>13.6217671</v>
      </c>
      <c r="Z166" s="18" t="s">
        <v>24</v>
      </c>
    </row>
    <row r="167" spans="1:26" s="1" customFormat="1" ht="22.5">
      <c r="A167" s="18">
        <v>115</v>
      </c>
      <c r="B167" s="12" t="s">
        <v>151</v>
      </c>
      <c r="C167" s="69" t="s">
        <v>52</v>
      </c>
      <c r="D167" s="47">
        <v>10.76</v>
      </c>
      <c r="E167" s="12">
        <v>0</v>
      </c>
      <c r="F167" s="12">
        <v>0</v>
      </c>
      <c r="G167" s="12">
        <f t="shared" si="53"/>
        <v>10.76</v>
      </c>
      <c r="H167" s="12">
        <v>0</v>
      </c>
      <c r="I167" s="14">
        <f>1.05*11.9</f>
        <v>12.495000000000001</v>
      </c>
      <c r="J167" s="13">
        <f t="shared" si="50"/>
        <v>1.7350000000000012</v>
      </c>
      <c r="K167" s="47">
        <f t="shared" si="51"/>
        <v>1.7350000000000012</v>
      </c>
      <c r="L167" s="17" t="s">
        <v>24</v>
      </c>
      <c r="M167" s="16"/>
      <c r="N167" s="18">
        <v>115</v>
      </c>
      <c r="O167" s="12" t="s">
        <v>151</v>
      </c>
      <c r="P167" s="15" t="s">
        <v>52</v>
      </c>
      <c r="Q167" s="86">
        <f>0.0158</f>
        <v>1.5800000000000002E-2</v>
      </c>
      <c r="R167" s="47">
        <f t="shared" si="49"/>
        <v>10.7758</v>
      </c>
      <c r="S167" s="12">
        <v>0</v>
      </c>
      <c r="T167" s="12">
        <v>0</v>
      </c>
      <c r="U167" s="12">
        <f t="shared" si="54"/>
        <v>10.7758</v>
      </c>
      <c r="V167" s="12">
        <v>0</v>
      </c>
      <c r="W167" s="14">
        <f>1.05*11.9</f>
        <v>12.495000000000001</v>
      </c>
      <c r="X167" s="13">
        <f t="shared" si="52"/>
        <v>1.7192000000000007</v>
      </c>
      <c r="Y167" s="47">
        <f t="shared" si="46"/>
        <v>1.7192000000000007</v>
      </c>
      <c r="Z167" s="12" t="s">
        <v>24</v>
      </c>
    </row>
    <row r="168" spans="1:26" s="1" customFormat="1" ht="22.5">
      <c r="A168" s="18">
        <v>116</v>
      </c>
      <c r="B168" s="12" t="s">
        <v>154</v>
      </c>
      <c r="C168" s="69" t="s">
        <v>39</v>
      </c>
      <c r="D168" s="47">
        <v>0.99399999999999999</v>
      </c>
      <c r="E168" s="12">
        <v>0</v>
      </c>
      <c r="F168" s="12">
        <v>0</v>
      </c>
      <c r="G168" s="12">
        <f t="shared" si="53"/>
        <v>0.99399999999999999</v>
      </c>
      <c r="H168" s="12">
        <v>0</v>
      </c>
      <c r="I168" s="14">
        <f>1.05*2.5</f>
        <v>2.625</v>
      </c>
      <c r="J168" s="13">
        <f t="shared" si="50"/>
        <v>1.631</v>
      </c>
      <c r="K168" s="47">
        <f t="shared" si="51"/>
        <v>1.631</v>
      </c>
      <c r="L168" s="17" t="s">
        <v>24</v>
      </c>
      <c r="M168" s="16"/>
      <c r="N168" s="18">
        <v>116</v>
      </c>
      <c r="O168" s="12" t="s">
        <v>154</v>
      </c>
      <c r="P168" s="15" t="s">
        <v>39</v>
      </c>
      <c r="Q168" s="86">
        <f>0.052+0.01+0.083+0.0108+0.007+0.0045+0.007+0.188158-0.0032</f>
        <v>0.35925800000000008</v>
      </c>
      <c r="R168" s="47">
        <f t="shared" si="49"/>
        <v>1.3532580000000001</v>
      </c>
      <c r="S168" s="12">
        <v>0</v>
      </c>
      <c r="T168" s="12">
        <v>0</v>
      </c>
      <c r="U168" s="12">
        <f t="shared" si="54"/>
        <v>1.3532580000000001</v>
      </c>
      <c r="V168" s="12">
        <v>0</v>
      </c>
      <c r="W168" s="14">
        <f>1.05*2.5</f>
        <v>2.625</v>
      </c>
      <c r="X168" s="13">
        <f t="shared" si="52"/>
        <v>1.2717419999999999</v>
      </c>
      <c r="Y168" s="47">
        <f t="shared" si="46"/>
        <v>1.2717419999999999</v>
      </c>
      <c r="Z168" s="12" t="s">
        <v>24</v>
      </c>
    </row>
    <row r="169" spans="1:26" s="1" customFormat="1" ht="22.5">
      <c r="A169" s="18">
        <v>117</v>
      </c>
      <c r="B169" s="12" t="s">
        <v>180</v>
      </c>
      <c r="C169" s="69" t="s">
        <v>34</v>
      </c>
      <c r="D169" s="47">
        <v>0.95699999999999996</v>
      </c>
      <c r="E169" s="12">
        <v>0</v>
      </c>
      <c r="F169" s="12">
        <v>0</v>
      </c>
      <c r="G169" s="12">
        <f t="shared" si="53"/>
        <v>0.95699999999999996</v>
      </c>
      <c r="H169" s="12">
        <v>0</v>
      </c>
      <c r="I169" s="14">
        <f>1.05*4</f>
        <v>4.2</v>
      </c>
      <c r="J169" s="13">
        <f t="shared" si="50"/>
        <v>3.2430000000000003</v>
      </c>
      <c r="K169" s="47">
        <f t="shared" si="51"/>
        <v>3.2430000000000003</v>
      </c>
      <c r="L169" s="17" t="s">
        <v>24</v>
      </c>
      <c r="M169" s="16"/>
      <c r="N169" s="18">
        <v>117</v>
      </c>
      <c r="O169" s="12" t="s">
        <v>180</v>
      </c>
      <c r="P169" s="15" t="s">
        <v>34</v>
      </c>
      <c r="Q169" s="86">
        <f>0.09+0.005-0.0037+0.0097-0.0032+0.0075</f>
        <v>0.1053</v>
      </c>
      <c r="R169" s="47">
        <f t="shared" si="49"/>
        <v>1.0623</v>
      </c>
      <c r="S169" s="12">
        <v>0</v>
      </c>
      <c r="T169" s="12">
        <v>0</v>
      </c>
      <c r="U169" s="12">
        <f t="shared" si="54"/>
        <v>1.0623</v>
      </c>
      <c r="V169" s="12">
        <v>0</v>
      </c>
      <c r="W169" s="14">
        <f>1.05*4</f>
        <v>4.2</v>
      </c>
      <c r="X169" s="13">
        <f t="shared" si="52"/>
        <v>3.1377000000000002</v>
      </c>
      <c r="Y169" s="47">
        <f t="shared" si="46"/>
        <v>3.1377000000000002</v>
      </c>
      <c r="Z169" s="12" t="s">
        <v>24</v>
      </c>
    </row>
    <row r="170" spans="1:26" s="1" customFormat="1" ht="22.5">
      <c r="A170" s="18">
        <v>118</v>
      </c>
      <c r="B170" s="12" t="s">
        <v>183</v>
      </c>
      <c r="C170" s="69" t="s">
        <v>27</v>
      </c>
      <c r="D170" s="47">
        <v>0.82799999999999996</v>
      </c>
      <c r="E170" s="12">
        <v>0</v>
      </c>
      <c r="F170" s="12">
        <v>0</v>
      </c>
      <c r="G170" s="12">
        <f t="shared" si="53"/>
        <v>0.82799999999999996</v>
      </c>
      <c r="H170" s="12">
        <v>0</v>
      </c>
      <c r="I170" s="14">
        <f>1.05*2.5</f>
        <v>2.625</v>
      </c>
      <c r="J170" s="13">
        <f t="shared" si="50"/>
        <v>1.7970000000000002</v>
      </c>
      <c r="K170" s="47">
        <f t="shared" si="51"/>
        <v>1.7970000000000002</v>
      </c>
      <c r="L170" s="17" t="s">
        <v>24</v>
      </c>
      <c r="M170" s="16"/>
      <c r="N170" s="18">
        <v>118</v>
      </c>
      <c r="O170" s="12" t="s">
        <v>183</v>
      </c>
      <c r="P170" s="15" t="s">
        <v>27</v>
      </c>
      <c r="Q170" s="86">
        <f>0.006+0.002+0.0054-0.0032+0.0693+0.0077-0.0246+0.0062</f>
        <v>6.88E-2</v>
      </c>
      <c r="R170" s="47">
        <f t="shared" si="49"/>
        <v>0.89679999999999993</v>
      </c>
      <c r="S170" s="12">
        <v>0</v>
      </c>
      <c r="T170" s="12">
        <v>0</v>
      </c>
      <c r="U170" s="12">
        <f t="shared" si="54"/>
        <v>0.89679999999999993</v>
      </c>
      <c r="V170" s="12">
        <v>0</v>
      </c>
      <c r="W170" s="14">
        <f>1.05*2.5</f>
        <v>2.625</v>
      </c>
      <c r="X170" s="13">
        <f t="shared" si="52"/>
        <v>1.7282000000000002</v>
      </c>
      <c r="Y170" s="47">
        <f t="shared" si="46"/>
        <v>1.7282000000000002</v>
      </c>
      <c r="Z170" s="12" t="s">
        <v>24</v>
      </c>
    </row>
    <row r="171" spans="1:26" s="1" customFormat="1" ht="22.5">
      <c r="A171" s="18">
        <v>119</v>
      </c>
      <c r="B171" s="12" t="s">
        <v>182</v>
      </c>
      <c r="C171" s="69" t="s">
        <v>28</v>
      </c>
      <c r="D171" s="47">
        <v>0.93200000000000005</v>
      </c>
      <c r="E171" s="12">
        <v>0</v>
      </c>
      <c r="F171" s="12">
        <v>0</v>
      </c>
      <c r="G171" s="12">
        <f t="shared" si="53"/>
        <v>0.93200000000000005</v>
      </c>
      <c r="H171" s="12">
        <v>0</v>
      </c>
      <c r="I171" s="14">
        <f>1.05*1.6</f>
        <v>1.6800000000000002</v>
      </c>
      <c r="J171" s="13">
        <f t="shared" si="50"/>
        <v>0.74800000000000011</v>
      </c>
      <c r="K171" s="47">
        <f t="shared" si="51"/>
        <v>0.74800000000000011</v>
      </c>
      <c r="L171" s="17" t="s">
        <v>24</v>
      </c>
      <c r="M171" s="16"/>
      <c r="N171" s="18">
        <v>119</v>
      </c>
      <c r="O171" s="12" t="s">
        <v>182</v>
      </c>
      <c r="P171" s="15" t="s">
        <v>28</v>
      </c>
      <c r="Q171" s="86">
        <f>0.037+0.004+0.002+0.003-0.0161+0.0062</f>
        <v>3.61E-2</v>
      </c>
      <c r="R171" s="47">
        <f t="shared" si="49"/>
        <v>0.96810000000000007</v>
      </c>
      <c r="S171" s="12">
        <v>0</v>
      </c>
      <c r="T171" s="12">
        <v>0</v>
      </c>
      <c r="U171" s="12">
        <f t="shared" si="54"/>
        <v>0.96810000000000007</v>
      </c>
      <c r="V171" s="12">
        <v>0</v>
      </c>
      <c r="W171" s="14">
        <f>1.05*1.6</f>
        <v>1.6800000000000002</v>
      </c>
      <c r="X171" s="13">
        <f t="shared" si="52"/>
        <v>0.71190000000000009</v>
      </c>
      <c r="Y171" s="47">
        <f t="shared" si="46"/>
        <v>0.71190000000000009</v>
      </c>
      <c r="Z171" s="12" t="s">
        <v>24</v>
      </c>
    </row>
    <row r="172" spans="1:26" s="1" customFormat="1" ht="22.5">
      <c r="A172" s="18">
        <v>120</v>
      </c>
      <c r="B172" s="12" t="s">
        <v>181</v>
      </c>
      <c r="C172" s="69" t="s">
        <v>33</v>
      </c>
      <c r="D172" s="47">
        <v>0.48899999999999999</v>
      </c>
      <c r="E172" s="12">
        <v>0</v>
      </c>
      <c r="F172" s="12">
        <v>0</v>
      </c>
      <c r="G172" s="12">
        <f t="shared" si="53"/>
        <v>0.48899999999999999</v>
      </c>
      <c r="H172" s="12">
        <v>0</v>
      </c>
      <c r="I172" s="14">
        <f>1.05*1.6</f>
        <v>1.6800000000000002</v>
      </c>
      <c r="J172" s="13">
        <f t="shared" si="50"/>
        <v>1.1910000000000003</v>
      </c>
      <c r="K172" s="47">
        <f t="shared" si="51"/>
        <v>1.1910000000000003</v>
      </c>
      <c r="L172" s="17" t="s">
        <v>24</v>
      </c>
      <c r="M172" s="16"/>
      <c r="N172" s="18">
        <v>120</v>
      </c>
      <c r="O172" s="12" t="s">
        <v>181</v>
      </c>
      <c r="P172" s="15" t="s">
        <v>33</v>
      </c>
      <c r="Q172" s="86">
        <f>0.022+0.026-0.0177+0.004-0.0242</f>
        <v>1.0099999999999998E-2</v>
      </c>
      <c r="R172" s="47">
        <f t="shared" si="49"/>
        <v>0.49909999999999999</v>
      </c>
      <c r="S172" s="12">
        <v>0</v>
      </c>
      <c r="T172" s="12">
        <v>0</v>
      </c>
      <c r="U172" s="12">
        <f t="shared" si="54"/>
        <v>0.49909999999999999</v>
      </c>
      <c r="V172" s="12">
        <v>0</v>
      </c>
      <c r="W172" s="14">
        <f>1.05*1.6</f>
        <v>1.6800000000000002</v>
      </c>
      <c r="X172" s="13">
        <f t="shared" si="52"/>
        <v>1.1809000000000003</v>
      </c>
      <c r="Y172" s="47">
        <f t="shared" ref="Y172:Y195" si="55">X172</f>
        <v>1.1809000000000003</v>
      </c>
      <c r="Z172" s="12" t="s">
        <v>24</v>
      </c>
    </row>
    <row r="173" spans="1:26" s="1" customFormat="1" ht="22.5">
      <c r="A173" s="18">
        <v>121</v>
      </c>
      <c r="B173" s="12" t="s">
        <v>184</v>
      </c>
      <c r="C173" s="69" t="s">
        <v>27</v>
      </c>
      <c r="D173" s="47">
        <v>0.44500000000000001</v>
      </c>
      <c r="E173" s="12">
        <v>0</v>
      </c>
      <c r="F173" s="12">
        <v>0</v>
      </c>
      <c r="G173" s="12">
        <f t="shared" si="53"/>
        <v>0.44500000000000001</v>
      </c>
      <c r="H173" s="12">
        <v>0</v>
      </c>
      <c r="I173" s="14">
        <f>1.05*2.5</f>
        <v>2.625</v>
      </c>
      <c r="J173" s="13">
        <f t="shared" si="50"/>
        <v>2.1800000000000002</v>
      </c>
      <c r="K173" s="47">
        <f t="shared" si="51"/>
        <v>2.1800000000000002</v>
      </c>
      <c r="L173" s="17" t="s">
        <v>24</v>
      </c>
      <c r="M173" s="16"/>
      <c r="N173" s="18">
        <v>121</v>
      </c>
      <c r="O173" s="12" t="s">
        <v>184</v>
      </c>
      <c r="P173" s="15" t="s">
        <v>27</v>
      </c>
      <c r="Q173" s="86">
        <v>0</v>
      </c>
      <c r="R173" s="47">
        <f t="shared" si="49"/>
        <v>0.44500000000000001</v>
      </c>
      <c r="S173" s="12">
        <v>0</v>
      </c>
      <c r="T173" s="12">
        <v>0</v>
      </c>
      <c r="U173" s="12">
        <f t="shared" si="54"/>
        <v>0.44500000000000001</v>
      </c>
      <c r="V173" s="12">
        <v>0</v>
      </c>
      <c r="W173" s="14">
        <f>1.05*2.5</f>
        <v>2.625</v>
      </c>
      <c r="X173" s="13">
        <f t="shared" si="52"/>
        <v>2.1800000000000002</v>
      </c>
      <c r="Y173" s="47">
        <f t="shared" si="55"/>
        <v>2.1800000000000002</v>
      </c>
      <c r="Z173" s="12" t="s">
        <v>24</v>
      </c>
    </row>
    <row r="174" spans="1:26" s="1" customFormat="1" ht="22.5">
      <c r="A174" s="18">
        <v>122</v>
      </c>
      <c r="B174" s="12" t="s">
        <v>185</v>
      </c>
      <c r="C174" s="69" t="s">
        <v>42</v>
      </c>
      <c r="D174" s="47">
        <v>1.5509999999999999</v>
      </c>
      <c r="E174" s="12">
        <v>0</v>
      </c>
      <c r="F174" s="12">
        <v>0</v>
      </c>
      <c r="G174" s="12">
        <f t="shared" si="53"/>
        <v>1.5509999999999999</v>
      </c>
      <c r="H174" s="12">
        <v>0</v>
      </c>
      <c r="I174" s="14">
        <f>1.05*2.5</f>
        <v>2.625</v>
      </c>
      <c r="J174" s="13">
        <f t="shared" si="50"/>
        <v>1.0740000000000001</v>
      </c>
      <c r="K174" s="47">
        <f t="shared" si="51"/>
        <v>1.0740000000000001</v>
      </c>
      <c r="L174" s="17" t="s">
        <v>24</v>
      </c>
      <c r="M174" s="16"/>
      <c r="N174" s="18">
        <v>122</v>
      </c>
      <c r="O174" s="12" t="s">
        <v>185</v>
      </c>
      <c r="P174" s="15" t="s">
        <v>42</v>
      </c>
      <c r="Q174" s="86">
        <f>0.023+0.01+0.003+0.008+0.0054-0.0089+0.0032-0.0097+0.0032</f>
        <v>3.7200000000000011E-2</v>
      </c>
      <c r="R174" s="47">
        <f t="shared" si="49"/>
        <v>1.5882000000000001</v>
      </c>
      <c r="S174" s="12">
        <v>0</v>
      </c>
      <c r="T174" s="12">
        <v>0</v>
      </c>
      <c r="U174" s="12">
        <f t="shared" si="54"/>
        <v>1.5882000000000001</v>
      </c>
      <c r="V174" s="12">
        <v>0</v>
      </c>
      <c r="W174" s="14">
        <f>1.05*2.5</f>
        <v>2.625</v>
      </c>
      <c r="X174" s="13">
        <f t="shared" si="52"/>
        <v>1.0367999999999999</v>
      </c>
      <c r="Y174" s="47">
        <f t="shared" si="55"/>
        <v>1.0367999999999999</v>
      </c>
      <c r="Z174" s="12" t="s">
        <v>24</v>
      </c>
    </row>
    <row r="175" spans="1:26" s="1" customFormat="1" ht="22.5">
      <c r="A175" s="18">
        <v>123</v>
      </c>
      <c r="B175" s="12" t="s">
        <v>186</v>
      </c>
      <c r="C175" s="69" t="s">
        <v>34</v>
      </c>
      <c r="D175" s="47">
        <v>2.3610000000000002</v>
      </c>
      <c r="E175" s="12">
        <v>0</v>
      </c>
      <c r="F175" s="12">
        <v>0</v>
      </c>
      <c r="G175" s="12">
        <f t="shared" si="53"/>
        <v>2.3610000000000002</v>
      </c>
      <c r="H175" s="12">
        <v>0</v>
      </c>
      <c r="I175" s="14">
        <f>1.05*4</f>
        <v>4.2</v>
      </c>
      <c r="J175" s="13">
        <f t="shared" si="50"/>
        <v>1.839</v>
      </c>
      <c r="K175" s="47">
        <f t="shared" si="51"/>
        <v>1.839</v>
      </c>
      <c r="L175" s="17" t="s">
        <v>24</v>
      </c>
      <c r="M175" s="16"/>
      <c r="N175" s="18">
        <v>123</v>
      </c>
      <c r="O175" s="12" t="s">
        <v>186</v>
      </c>
      <c r="P175" s="15" t="s">
        <v>34</v>
      </c>
      <c r="Q175" s="86">
        <f>0.042+0.013+0.011+0.002+0.021+0.016+0.0032-0.0323+0.028+0.0161+0.0032+0.0054+0.006+0.0065+0.005376-0.0699+0.0013+0.0075</f>
        <v>8.537599999999998E-2</v>
      </c>
      <c r="R175" s="47">
        <f t="shared" si="49"/>
        <v>2.4463760000000003</v>
      </c>
      <c r="S175" s="12">
        <v>0</v>
      </c>
      <c r="T175" s="12">
        <v>0</v>
      </c>
      <c r="U175" s="12">
        <f t="shared" si="54"/>
        <v>2.4463760000000003</v>
      </c>
      <c r="V175" s="12">
        <v>0</v>
      </c>
      <c r="W175" s="14">
        <f>1.05*4</f>
        <v>4.2</v>
      </c>
      <c r="X175" s="13">
        <f t="shared" si="52"/>
        <v>1.7536239999999998</v>
      </c>
      <c r="Y175" s="47">
        <f t="shared" si="55"/>
        <v>1.7536239999999998</v>
      </c>
      <c r="Z175" s="12" t="s">
        <v>24</v>
      </c>
    </row>
    <row r="176" spans="1:26" s="1" customFormat="1" ht="22.5">
      <c r="A176" s="18">
        <v>124</v>
      </c>
      <c r="B176" s="12" t="s">
        <v>187</v>
      </c>
      <c r="C176" s="69" t="s">
        <v>42</v>
      </c>
      <c r="D176" s="47">
        <v>1.7569999999999999</v>
      </c>
      <c r="E176" s="12">
        <v>0</v>
      </c>
      <c r="F176" s="12">
        <v>0</v>
      </c>
      <c r="G176" s="12">
        <f t="shared" si="53"/>
        <v>1.7569999999999999</v>
      </c>
      <c r="H176" s="12">
        <v>0</v>
      </c>
      <c r="I176" s="14">
        <f>1.05*2.5</f>
        <v>2.625</v>
      </c>
      <c r="J176" s="13">
        <f t="shared" si="50"/>
        <v>0.8680000000000001</v>
      </c>
      <c r="K176" s="47">
        <f t="shared" si="51"/>
        <v>0.8680000000000001</v>
      </c>
      <c r="L176" s="17" t="s">
        <v>24</v>
      </c>
      <c r="M176" s="16"/>
      <c r="N176" s="18">
        <v>124</v>
      </c>
      <c r="O176" s="12" t="s">
        <v>187</v>
      </c>
      <c r="P176" s="15" t="s">
        <v>42</v>
      </c>
      <c r="Q176" s="86">
        <f>0.108+0.005+0.003+0.0032-0.0048+0.0032+0.0032+0.0054+0.008601-0.0129</f>
        <v>0.12190099999999998</v>
      </c>
      <c r="R176" s="47">
        <f t="shared" si="49"/>
        <v>1.8789009999999999</v>
      </c>
      <c r="S176" s="12">
        <v>0</v>
      </c>
      <c r="T176" s="12">
        <v>0</v>
      </c>
      <c r="U176" s="12">
        <f t="shared" si="54"/>
        <v>1.8789009999999999</v>
      </c>
      <c r="V176" s="12">
        <v>0</v>
      </c>
      <c r="W176" s="14">
        <f>1.05*2.5</f>
        <v>2.625</v>
      </c>
      <c r="X176" s="13">
        <f t="shared" si="52"/>
        <v>0.74609900000000007</v>
      </c>
      <c r="Y176" s="47">
        <f t="shared" si="55"/>
        <v>0.74609900000000007</v>
      </c>
      <c r="Z176" s="12" t="s">
        <v>24</v>
      </c>
    </row>
    <row r="177" spans="1:26" s="1" customFormat="1" ht="22.5">
      <c r="A177" s="18">
        <v>125</v>
      </c>
      <c r="B177" s="12" t="s">
        <v>188</v>
      </c>
      <c r="C177" s="69" t="s">
        <v>36</v>
      </c>
      <c r="D177" s="47">
        <v>1.583</v>
      </c>
      <c r="E177" s="12">
        <v>0</v>
      </c>
      <c r="F177" s="12">
        <v>0</v>
      </c>
      <c r="G177" s="12">
        <f t="shared" si="53"/>
        <v>1.583</v>
      </c>
      <c r="H177" s="12">
        <v>0</v>
      </c>
      <c r="I177" s="14">
        <f>1.05*2.5</f>
        <v>2.625</v>
      </c>
      <c r="J177" s="13">
        <f t="shared" si="50"/>
        <v>1.042</v>
      </c>
      <c r="K177" s="47">
        <f t="shared" si="51"/>
        <v>1.042</v>
      </c>
      <c r="L177" s="17" t="s">
        <v>24</v>
      </c>
      <c r="M177" s="16"/>
      <c r="N177" s="18">
        <v>125</v>
      </c>
      <c r="O177" s="12" t="s">
        <v>188</v>
      </c>
      <c r="P177" s="15" t="s">
        <v>36</v>
      </c>
      <c r="Q177" s="86">
        <f>0.005+0.003-0.0032+0.0292</f>
        <v>3.4000000000000002E-2</v>
      </c>
      <c r="R177" s="47">
        <f t="shared" si="49"/>
        <v>1.617</v>
      </c>
      <c r="S177" s="12">
        <v>0</v>
      </c>
      <c r="T177" s="12">
        <v>0</v>
      </c>
      <c r="U177" s="12">
        <f t="shared" si="54"/>
        <v>1.617</v>
      </c>
      <c r="V177" s="12">
        <v>0</v>
      </c>
      <c r="W177" s="14">
        <f>1.05*2.5</f>
        <v>2.625</v>
      </c>
      <c r="X177" s="13">
        <f t="shared" si="52"/>
        <v>1.008</v>
      </c>
      <c r="Y177" s="47">
        <f t="shared" si="55"/>
        <v>1.008</v>
      </c>
      <c r="Z177" s="12" t="s">
        <v>24</v>
      </c>
    </row>
    <row r="178" spans="1:26" s="1" customFormat="1" ht="22.5">
      <c r="A178" s="18">
        <v>126</v>
      </c>
      <c r="B178" s="12" t="s">
        <v>189</v>
      </c>
      <c r="C178" s="69" t="s">
        <v>28</v>
      </c>
      <c r="D178" s="47">
        <v>0.72099999999999997</v>
      </c>
      <c r="E178" s="12">
        <v>0</v>
      </c>
      <c r="F178" s="12">
        <v>0</v>
      </c>
      <c r="G178" s="12">
        <f t="shared" si="53"/>
        <v>0.72099999999999997</v>
      </c>
      <c r="H178" s="12">
        <v>0</v>
      </c>
      <c r="I178" s="14">
        <f>1.05*1.6</f>
        <v>1.6800000000000002</v>
      </c>
      <c r="J178" s="13">
        <f t="shared" si="50"/>
        <v>0.95900000000000019</v>
      </c>
      <c r="K178" s="47">
        <f t="shared" si="51"/>
        <v>0.95900000000000019</v>
      </c>
      <c r="L178" s="17" t="s">
        <v>24</v>
      </c>
      <c r="M178" s="16"/>
      <c r="N178" s="18">
        <v>126</v>
      </c>
      <c r="O178" s="12" t="s">
        <v>189</v>
      </c>
      <c r="P178" s="15" t="s">
        <v>28</v>
      </c>
      <c r="Q178" s="86">
        <f>0.005+0.005+0.005+0.006-0.0161+0.0161+0.0054+0.0054+0.012902-0.0102</f>
        <v>3.4502000000000005E-2</v>
      </c>
      <c r="R178" s="47">
        <f t="shared" si="49"/>
        <v>0.75550200000000001</v>
      </c>
      <c r="S178" s="12">
        <v>0</v>
      </c>
      <c r="T178" s="12">
        <v>0</v>
      </c>
      <c r="U178" s="12">
        <f t="shared" si="54"/>
        <v>0.75550200000000001</v>
      </c>
      <c r="V178" s="12">
        <v>0</v>
      </c>
      <c r="W178" s="14">
        <f>1.05*1.6</f>
        <v>1.6800000000000002</v>
      </c>
      <c r="X178" s="13">
        <f t="shared" si="52"/>
        <v>0.92449800000000015</v>
      </c>
      <c r="Y178" s="47">
        <f t="shared" si="55"/>
        <v>0.92449800000000015</v>
      </c>
      <c r="Z178" s="12" t="s">
        <v>24</v>
      </c>
    </row>
    <row r="179" spans="1:26" s="1" customFormat="1" ht="22.5">
      <c r="A179" s="18">
        <v>127</v>
      </c>
      <c r="B179" s="12" t="s">
        <v>190</v>
      </c>
      <c r="C179" s="69" t="s">
        <v>28</v>
      </c>
      <c r="D179" s="47">
        <v>0.47</v>
      </c>
      <c r="E179" s="12">
        <v>0</v>
      </c>
      <c r="F179" s="12">
        <v>0</v>
      </c>
      <c r="G179" s="12">
        <f t="shared" si="53"/>
        <v>0.47</v>
      </c>
      <c r="H179" s="12">
        <v>0</v>
      </c>
      <c r="I179" s="14">
        <f>1.05*1.6</f>
        <v>1.6800000000000002</v>
      </c>
      <c r="J179" s="13">
        <f t="shared" si="50"/>
        <v>1.2100000000000002</v>
      </c>
      <c r="K179" s="47">
        <f t="shared" si="51"/>
        <v>1.2100000000000002</v>
      </c>
      <c r="L179" s="17" t="s">
        <v>24</v>
      </c>
      <c r="M179" s="16"/>
      <c r="N179" s="18">
        <v>127</v>
      </c>
      <c r="O179" s="12" t="s">
        <v>190</v>
      </c>
      <c r="P179" s="15" t="s">
        <v>28</v>
      </c>
      <c r="Q179" s="86">
        <f>0.024+0.005-0.0083+0.0054-0.0102</f>
        <v>1.5900000000000004E-2</v>
      </c>
      <c r="R179" s="47">
        <f t="shared" si="49"/>
        <v>0.4859</v>
      </c>
      <c r="S179" s="12">
        <v>0</v>
      </c>
      <c r="T179" s="12">
        <v>0</v>
      </c>
      <c r="U179" s="12">
        <f t="shared" si="54"/>
        <v>0.4859</v>
      </c>
      <c r="V179" s="12">
        <v>0</v>
      </c>
      <c r="W179" s="14">
        <f>1.05*1.6</f>
        <v>1.6800000000000002</v>
      </c>
      <c r="X179" s="13">
        <f t="shared" si="52"/>
        <v>1.1941000000000002</v>
      </c>
      <c r="Y179" s="47">
        <f t="shared" si="55"/>
        <v>1.1941000000000002</v>
      </c>
      <c r="Z179" s="12" t="s">
        <v>24</v>
      </c>
    </row>
    <row r="180" spans="1:26" s="1" customFormat="1" ht="22.5">
      <c r="A180" s="18">
        <v>128</v>
      </c>
      <c r="B180" s="12" t="s">
        <v>191</v>
      </c>
      <c r="C180" s="69" t="s">
        <v>27</v>
      </c>
      <c r="D180" s="47">
        <v>1.8939999999999999</v>
      </c>
      <c r="E180" s="12">
        <v>0</v>
      </c>
      <c r="F180" s="12">
        <v>0</v>
      </c>
      <c r="G180" s="12">
        <f t="shared" si="53"/>
        <v>1.8939999999999999</v>
      </c>
      <c r="H180" s="12">
        <v>0</v>
      </c>
      <c r="I180" s="14">
        <f>1.05*2.5</f>
        <v>2.625</v>
      </c>
      <c r="J180" s="13">
        <f t="shared" si="50"/>
        <v>0.73100000000000009</v>
      </c>
      <c r="K180" s="47">
        <f t="shared" si="51"/>
        <v>0.73100000000000009</v>
      </c>
      <c r="L180" s="17" t="s">
        <v>24</v>
      </c>
      <c r="M180" s="16"/>
      <c r="N180" s="18">
        <v>128</v>
      </c>
      <c r="O180" s="12" t="s">
        <v>191</v>
      </c>
      <c r="P180" s="15" t="s">
        <v>27</v>
      </c>
      <c r="Q180" s="86">
        <f>0.015+0.01+0.005+0.008+0.012+0.009+0.005+0.003+0.022+0.0118-0.0374+0.0048+0.0019+0.0047+0.006451-0.0556+0.215</f>
        <v>0.240651</v>
      </c>
      <c r="R180" s="47">
        <f t="shared" si="49"/>
        <v>2.1346509999999999</v>
      </c>
      <c r="S180" s="12">
        <v>0</v>
      </c>
      <c r="T180" s="12">
        <v>0</v>
      </c>
      <c r="U180" s="12">
        <f t="shared" si="54"/>
        <v>2.1346509999999999</v>
      </c>
      <c r="V180" s="12">
        <v>0</v>
      </c>
      <c r="W180" s="14">
        <f>1.05*2.5</f>
        <v>2.625</v>
      </c>
      <c r="X180" s="13">
        <f t="shared" si="52"/>
        <v>0.49034900000000015</v>
      </c>
      <c r="Y180" s="47">
        <f t="shared" si="55"/>
        <v>0.49034900000000015</v>
      </c>
      <c r="Z180" s="12" t="s">
        <v>24</v>
      </c>
    </row>
    <row r="181" spans="1:26" s="1" customFormat="1" ht="22.5">
      <c r="A181" s="18">
        <v>129</v>
      </c>
      <c r="B181" s="12" t="s">
        <v>192</v>
      </c>
      <c r="C181" s="69" t="s">
        <v>33</v>
      </c>
      <c r="D181" s="47">
        <v>0.749</v>
      </c>
      <c r="E181" s="12">
        <v>0</v>
      </c>
      <c r="F181" s="12">
        <v>0</v>
      </c>
      <c r="G181" s="12">
        <f t="shared" si="53"/>
        <v>0.749</v>
      </c>
      <c r="H181" s="12">
        <v>0</v>
      </c>
      <c r="I181" s="14">
        <f>1.05*1.6</f>
        <v>1.6800000000000002</v>
      </c>
      <c r="J181" s="13">
        <f t="shared" si="50"/>
        <v>0.93100000000000016</v>
      </c>
      <c r="K181" s="47">
        <f t="shared" si="51"/>
        <v>0.93100000000000016</v>
      </c>
      <c r="L181" s="17" t="s">
        <v>24</v>
      </c>
      <c r="M181" s="16"/>
      <c r="N181" s="18">
        <v>129</v>
      </c>
      <c r="O181" s="12" t="s">
        <v>192</v>
      </c>
      <c r="P181" s="15" t="s">
        <v>33</v>
      </c>
      <c r="Q181" s="86">
        <f>0.016+0.019+0.006+0.011+0.0054-0.0535+0.0054</f>
        <v>9.3000000000000079E-3</v>
      </c>
      <c r="R181" s="47">
        <f t="shared" si="49"/>
        <v>0.75829999999999997</v>
      </c>
      <c r="S181" s="12">
        <v>0</v>
      </c>
      <c r="T181" s="12">
        <v>0</v>
      </c>
      <c r="U181" s="12">
        <f t="shared" si="54"/>
        <v>0.75829999999999997</v>
      </c>
      <c r="V181" s="12">
        <v>0</v>
      </c>
      <c r="W181" s="14">
        <f>1.05*1.6</f>
        <v>1.6800000000000002</v>
      </c>
      <c r="X181" s="13">
        <f t="shared" si="52"/>
        <v>0.92170000000000019</v>
      </c>
      <c r="Y181" s="47">
        <f t="shared" si="55"/>
        <v>0.92170000000000019</v>
      </c>
      <c r="Z181" s="12" t="s">
        <v>24</v>
      </c>
    </row>
    <row r="182" spans="1:26" s="1" customFormat="1" ht="22.5">
      <c r="A182" s="18">
        <v>130</v>
      </c>
      <c r="B182" s="12" t="s">
        <v>193</v>
      </c>
      <c r="C182" s="69" t="s">
        <v>33</v>
      </c>
      <c r="D182" s="47">
        <v>1.022</v>
      </c>
      <c r="E182" s="12">
        <v>0</v>
      </c>
      <c r="F182" s="12">
        <v>0</v>
      </c>
      <c r="G182" s="12">
        <f t="shared" si="53"/>
        <v>1.022</v>
      </c>
      <c r="H182" s="12">
        <v>0</v>
      </c>
      <c r="I182" s="14">
        <f>1.05*1.6</f>
        <v>1.6800000000000002</v>
      </c>
      <c r="J182" s="13">
        <f t="shared" si="50"/>
        <v>0.65800000000000014</v>
      </c>
      <c r="K182" s="47">
        <f t="shared" si="51"/>
        <v>0.65800000000000014</v>
      </c>
      <c r="L182" s="17" t="s">
        <v>24</v>
      </c>
      <c r="M182" s="16"/>
      <c r="N182" s="18">
        <v>130</v>
      </c>
      <c r="O182" s="12" t="s">
        <v>193</v>
      </c>
      <c r="P182" s="15" t="s">
        <v>33</v>
      </c>
      <c r="Q182" s="86">
        <f>0.016+0.002-0.0073+0.1462+0.0043+0.001344+0.014</f>
        <v>0.17654400000000001</v>
      </c>
      <c r="R182" s="47">
        <f t="shared" si="49"/>
        <v>1.1985440000000001</v>
      </c>
      <c r="S182" s="12">
        <v>0</v>
      </c>
      <c r="T182" s="12">
        <v>0</v>
      </c>
      <c r="U182" s="12">
        <f t="shared" si="54"/>
        <v>1.1985440000000001</v>
      </c>
      <c r="V182" s="12">
        <v>0</v>
      </c>
      <c r="W182" s="14">
        <f>1.05*1.6</f>
        <v>1.6800000000000002</v>
      </c>
      <c r="X182" s="13">
        <f t="shared" si="52"/>
        <v>0.48145600000000011</v>
      </c>
      <c r="Y182" s="47">
        <f t="shared" si="55"/>
        <v>0.48145600000000011</v>
      </c>
      <c r="Z182" s="12" t="s">
        <v>24</v>
      </c>
    </row>
    <row r="183" spans="1:26" s="1" customFormat="1" ht="22.5">
      <c r="A183" s="18">
        <v>131</v>
      </c>
      <c r="B183" s="12" t="s">
        <v>194</v>
      </c>
      <c r="C183" s="69" t="s">
        <v>27</v>
      </c>
      <c r="D183" s="47">
        <v>0.35399999999999998</v>
      </c>
      <c r="E183" s="12">
        <v>0</v>
      </c>
      <c r="F183" s="12">
        <v>0</v>
      </c>
      <c r="G183" s="12">
        <f t="shared" si="53"/>
        <v>0.35399999999999998</v>
      </c>
      <c r="H183" s="12">
        <v>0</v>
      </c>
      <c r="I183" s="14">
        <f>1.05*2.5</f>
        <v>2.625</v>
      </c>
      <c r="J183" s="13">
        <f t="shared" si="50"/>
        <v>2.2709999999999999</v>
      </c>
      <c r="K183" s="47">
        <f t="shared" si="51"/>
        <v>2.2709999999999999</v>
      </c>
      <c r="L183" s="17" t="s">
        <v>24</v>
      </c>
      <c r="M183" s="16"/>
      <c r="N183" s="18">
        <v>131</v>
      </c>
      <c r="O183" s="12" t="s">
        <v>194</v>
      </c>
      <c r="P183" s="15" t="s">
        <v>27</v>
      </c>
      <c r="Q183" s="86">
        <f>0.013+0.005+0.007+0.0032+0.215-0.2183+0.0108</f>
        <v>3.570000000000001E-2</v>
      </c>
      <c r="R183" s="47">
        <f t="shared" si="49"/>
        <v>0.38969999999999999</v>
      </c>
      <c r="S183" s="12">
        <v>0</v>
      </c>
      <c r="T183" s="12">
        <v>0</v>
      </c>
      <c r="U183" s="12">
        <f t="shared" si="54"/>
        <v>0.38969999999999999</v>
      </c>
      <c r="V183" s="12">
        <v>0</v>
      </c>
      <c r="W183" s="14">
        <f>1.05*2.5</f>
        <v>2.625</v>
      </c>
      <c r="X183" s="13">
        <f t="shared" si="52"/>
        <v>2.2353000000000001</v>
      </c>
      <c r="Y183" s="47">
        <f t="shared" si="55"/>
        <v>2.2353000000000001</v>
      </c>
      <c r="Z183" s="12" t="s">
        <v>24</v>
      </c>
    </row>
    <row r="184" spans="1:26" s="1" customFormat="1" ht="22.5">
      <c r="A184" s="18">
        <v>132</v>
      </c>
      <c r="B184" s="12" t="s">
        <v>195</v>
      </c>
      <c r="C184" s="69" t="s">
        <v>34</v>
      </c>
      <c r="D184" s="47">
        <v>3.387</v>
      </c>
      <c r="E184" s="12">
        <v>0</v>
      </c>
      <c r="F184" s="12">
        <v>0</v>
      </c>
      <c r="G184" s="12">
        <f t="shared" si="53"/>
        <v>3.387</v>
      </c>
      <c r="H184" s="12">
        <v>0</v>
      </c>
      <c r="I184" s="14">
        <f>1.05*4</f>
        <v>4.2</v>
      </c>
      <c r="J184" s="13">
        <f t="shared" si="50"/>
        <v>0.81300000000000017</v>
      </c>
      <c r="K184" s="47">
        <f t="shared" si="51"/>
        <v>0.81300000000000017</v>
      </c>
      <c r="L184" s="17" t="s">
        <v>24</v>
      </c>
      <c r="M184" s="16"/>
      <c r="N184" s="18">
        <v>132</v>
      </c>
      <c r="O184" s="12" t="s">
        <v>195</v>
      </c>
      <c r="P184" s="15" t="s">
        <v>34</v>
      </c>
      <c r="Q184" s="86">
        <f>0.025+0.001+0.011+0.013+0.011+0.011-0.053+0.0024+0.0105+0.215037-0.0452</f>
        <v>0.20173700000000003</v>
      </c>
      <c r="R184" s="47">
        <f t="shared" si="49"/>
        <v>3.5887370000000001</v>
      </c>
      <c r="S184" s="12">
        <v>0</v>
      </c>
      <c r="T184" s="12">
        <v>0</v>
      </c>
      <c r="U184" s="12">
        <f t="shared" si="54"/>
        <v>3.5887370000000001</v>
      </c>
      <c r="V184" s="12">
        <v>0</v>
      </c>
      <c r="W184" s="14">
        <f>1.05*4</f>
        <v>4.2</v>
      </c>
      <c r="X184" s="13">
        <f t="shared" si="52"/>
        <v>0.61126300000000011</v>
      </c>
      <c r="Y184" s="47">
        <f t="shared" si="55"/>
        <v>0.61126300000000011</v>
      </c>
      <c r="Z184" s="12" t="s">
        <v>24</v>
      </c>
    </row>
    <row r="185" spans="1:26" s="1" customFormat="1" ht="22.5">
      <c r="A185" s="18">
        <v>133</v>
      </c>
      <c r="B185" s="12" t="s">
        <v>196</v>
      </c>
      <c r="C185" s="69" t="s">
        <v>28</v>
      </c>
      <c r="D185" s="47">
        <v>0.65400000000000003</v>
      </c>
      <c r="E185" s="12">
        <v>0</v>
      </c>
      <c r="F185" s="12">
        <v>0</v>
      </c>
      <c r="G185" s="12">
        <f t="shared" si="53"/>
        <v>0.65400000000000003</v>
      </c>
      <c r="H185" s="12">
        <v>0</v>
      </c>
      <c r="I185" s="14">
        <f>1.05*1.6</f>
        <v>1.6800000000000002</v>
      </c>
      <c r="J185" s="13">
        <f t="shared" si="50"/>
        <v>1.0260000000000002</v>
      </c>
      <c r="K185" s="47">
        <f t="shared" si="51"/>
        <v>1.0260000000000002</v>
      </c>
      <c r="L185" s="17" t="s">
        <v>24</v>
      </c>
      <c r="M185" s="16"/>
      <c r="N185" s="18">
        <v>133</v>
      </c>
      <c r="O185" s="12" t="s">
        <v>196</v>
      </c>
      <c r="P185" s="15" t="s">
        <v>28</v>
      </c>
      <c r="Q185" s="86">
        <f>0.021+0.005-0.0013+0.0054-0.0183</f>
        <v>1.1800000000000001E-2</v>
      </c>
      <c r="R185" s="47">
        <f t="shared" si="49"/>
        <v>0.66580000000000006</v>
      </c>
      <c r="S185" s="12">
        <v>0</v>
      </c>
      <c r="T185" s="12">
        <v>0</v>
      </c>
      <c r="U185" s="12">
        <f t="shared" si="54"/>
        <v>0.66580000000000006</v>
      </c>
      <c r="V185" s="12">
        <v>0</v>
      </c>
      <c r="W185" s="14">
        <f>1.05*1.6</f>
        <v>1.6800000000000002</v>
      </c>
      <c r="X185" s="13">
        <f t="shared" si="52"/>
        <v>1.0142000000000002</v>
      </c>
      <c r="Y185" s="47">
        <f t="shared" si="55"/>
        <v>1.0142000000000002</v>
      </c>
      <c r="Z185" s="12" t="s">
        <v>24</v>
      </c>
    </row>
    <row r="186" spans="1:26" s="1" customFormat="1" ht="22.5">
      <c r="A186" s="18">
        <v>134</v>
      </c>
      <c r="B186" s="12" t="s">
        <v>198</v>
      </c>
      <c r="C186" s="69" t="s">
        <v>27</v>
      </c>
      <c r="D186" s="47">
        <v>0.55200000000000005</v>
      </c>
      <c r="E186" s="12">
        <v>0</v>
      </c>
      <c r="F186" s="12">
        <v>0</v>
      </c>
      <c r="G186" s="12">
        <f t="shared" si="53"/>
        <v>0.55200000000000005</v>
      </c>
      <c r="H186" s="12">
        <v>0</v>
      </c>
      <c r="I186" s="14">
        <f>1.05*2.5</f>
        <v>2.625</v>
      </c>
      <c r="J186" s="13">
        <f t="shared" si="50"/>
        <v>2.073</v>
      </c>
      <c r="K186" s="47">
        <f t="shared" si="51"/>
        <v>2.073</v>
      </c>
      <c r="L186" s="17" t="s">
        <v>24</v>
      </c>
      <c r="M186" s="16"/>
      <c r="N186" s="18">
        <v>134</v>
      </c>
      <c r="O186" s="12" t="s">
        <v>198</v>
      </c>
      <c r="P186" s="15" t="s">
        <v>27</v>
      </c>
      <c r="Q186" s="86">
        <f>0.001+0.016+0.005-0.014+0.215-0.021</f>
        <v>0.20200000000000001</v>
      </c>
      <c r="R186" s="47">
        <f t="shared" si="49"/>
        <v>0.754</v>
      </c>
      <c r="S186" s="12">
        <v>0</v>
      </c>
      <c r="T186" s="12">
        <v>0</v>
      </c>
      <c r="U186" s="12">
        <f t="shared" si="54"/>
        <v>0.754</v>
      </c>
      <c r="V186" s="12">
        <v>0</v>
      </c>
      <c r="W186" s="14">
        <f>1.05*2.5</f>
        <v>2.625</v>
      </c>
      <c r="X186" s="13">
        <f t="shared" si="52"/>
        <v>1.871</v>
      </c>
      <c r="Y186" s="47">
        <f t="shared" si="55"/>
        <v>1.871</v>
      </c>
      <c r="Z186" s="12" t="s">
        <v>24</v>
      </c>
    </row>
    <row r="187" spans="1:26" s="74" customFormat="1" ht="22.5">
      <c r="A187" s="18">
        <v>135</v>
      </c>
      <c r="B187" s="18" t="s">
        <v>200</v>
      </c>
      <c r="C187" s="69" t="s">
        <v>29</v>
      </c>
      <c r="D187" s="79">
        <v>6.452</v>
      </c>
      <c r="E187" s="18">
        <v>0</v>
      </c>
      <c r="F187" s="18">
        <v>0</v>
      </c>
      <c r="G187" s="18">
        <f t="shared" si="53"/>
        <v>6.452</v>
      </c>
      <c r="H187" s="18">
        <v>0</v>
      </c>
      <c r="I187" s="70">
        <f>1.05*6.3</f>
        <v>6.6150000000000002</v>
      </c>
      <c r="J187" s="71">
        <f t="shared" si="50"/>
        <v>0.16300000000000026</v>
      </c>
      <c r="K187" s="79">
        <f t="shared" si="51"/>
        <v>0.16300000000000026</v>
      </c>
      <c r="L187" s="97" t="s">
        <v>24</v>
      </c>
      <c r="M187" s="104"/>
      <c r="N187" s="18">
        <v>135</v>
      </c>
      <c r="O187" s="18" t="s">
        <v>200</v>
      </c>
      <c r="P187" s="69" t="s">
        <v>29</v>
      </c>
      <c r="Q187" s="108">
        <f>0.044+0.016+0.005+0.015+0.0151-0.0231-0.0156+0.0011+0.0151</f>
        <v>7.2599999999999998E-2</v>
      </c>
      <c r="R187" s="79">
        <f t="shared" si="49"/>
        <v>6.5245999999999995</v>
      </c>
      <c r="S187" s="18">
        <v>0</v>
      </c>
      <c r="T187" s="18">
        <v>0</v>
      </c>
      <c r="U187" s="18">
        <f t="shared" si="54"/>
        <v>6.5245999999999995</v>
      </c>
      <c r="V187" s="18">
        <v>0</v>
      </c>
      <c r="W187" s="70">
        <f>1.05*6.3</f>
        <v>6.6150000000000002</v>
      </c>
      <c r="X187" s="71">
        <f t="shared" si="52"/>
        <v>9.0400000000000702E-2</v>
      </c>
      <c r="Y187" s="79">
        <f t="shared" si="55"/>
        <v>9.0400000000000702E-2</v>
      </c>
      <c r="Z187" s="18" t="s">
        <v>24</v>
      </c>
    </row>
    <row r="188" spans="1:26" s="1" customFormat="1" ht="22.5">
      <c r="A188" s="18">
        <v>136</v>
      </c>
      <c r="B188" s="12" t="s">
        <v>202</v>
      </c>
      <c r="C188" s="69" t="s">
        <v>27</v>
      </c>
      <c r="D188" s="47">
        <v>1.2010000000000001</v>
      </c>
      <c r="E188" s="12">
        <v>0</v>
      </c>
      <c r="F188" s="12">
        <v>0</v>
      </c>
      <c r="G188" s="12">
        <f t="shared" si="53"/>
        <v>1.2010000000000001</v>
      </c>
      <c r="H188" s="12">
        <v>0</v>
      </c>
      <c r="I188" s="14">
        <f>1.05*2.5</f>
        <v>2.625</v>
      </c>
      <c r="J188" s="13">
        <f t="shared" si="50"/>
        <v>1.4239999999999999</v>
      </c>
      <c r="K188" s="47">
        <f t="shared" si="51"/>
        <v>1.4239999999999999</v>
      </c>
      <c r="L188" s="17" t="s">
        <v>24</v>
      </c>
      <c r="M188" s="16"/>
      <c r="N188" s="18">
        <v>136</v>
      </c>
      <c r="O188" s="12" t="s">
        <v>202</v>
      </c>
      <c r="P188" s="15" t="s">
        <v>27</v>
      </c>
      <c r="Q188" s="86">
        <f>0.007+0.003+0.06+0.03+0.016+0.005+0.003-0.0382+0.0161+0.0086-0.0215+0.172</f>
        <v>0.26100000000000001</v>
      </c>
      <c r="R188" s="47">
        <f t="shared" si="49"/>
        <v>1.4620000000000002</v>
      </c>
      <c r="S188" s="12">
        <v>0</v>
      </c>
      <c r="T188" s="12">
        <v>0</v>
      </c>
      <c r="U188" s="12">
        <f t="shared" si="54"/>
        <v>1.4620000000000002</v>
      </c>
      <c r="V188" s="12">
        <v>0</v>
      </c>
      <c r="W188" s="14">
        <f>1.05*2.5</f>
        <v>2.625</v>
      </c>
      <c r="X188" s="13">
        <f t="shared" si="52"/>
        <v>1.1629999999999998</v>
      </c>
      <c r="Y188" s="47">
        <f t="shared" si="55"/>
        <v>1.1629999999999998</v>
      </c>
      <c r="Z188" s="12" t="s">
        <v>24</v>
      </c>
    </row>
    <row r="189" spans="1:26" s="1" customFormat="1" ht="22.5">
      <c r="A189" s="18">
        <v>137</v>
      </c>
      <c r="B189" s="12" t="s">
        <v>203</v>
      </c>
      <c r="C189" s="69" t="s">
        <v>33</v>
      </c>
      <c r="D189" s="47">
        <v>0.91900000000000004</v>
      </c>
      <c r="E189" s="12">
        <v>0</v>
      </c>
      <c r="F189" s="12">
        <v>0</v>
      </c>
      <c r="G189" s="12">
        <f t="shared" si="53"/>
        <v>0.91900000000000004</v>
      </c>
      <c r="H189" s="12">
        <v>0</v>
      </c>
      <c r="I189" s="14">
        <f>1.05*1.6</f>
        <v>1.6800000000000002</v>
      </c>
      <c r="J189" s="13">
        <f t="shared" si="50"/>
        <v>0.76100000000000012</v>
      </c>
      <c r="K189" s="47">
        <f t="shared" si="51"/>
        <v>0.76100000000000012</v>
      </c>
      <c r="L189" s="17" t="s">
        <v>24</v>
      </c>
      <c r="M189" s="16"/>
      <c r="N189" s="18">
        <v>137</v>
      </c>
      <c r="O189" s="12" t="s">
        <v>203</v>
      </c>
      <c r="P189" s="15" t="s">
        <v>33</v>
      </c>
      <c r="Q189" s="86">
        <f>0.019+0.004+0.011+0.029+0.029+0.014-0.0516+0.0108+0.0065+0.0151+0.02+0.0065+0.0194-0.0583</f>
        <v>7.4400000000000022E-2</v>
      </c>
      <c r="R189" s="47">
        <f t="shared" si="49"/>
        <v>0.99340000000000006</v>
      </c>
      <c r="S189" s="12">
        <v>0</v>
      </c>
      <c r="T189" s="12">
        <v>0</v>
      </c>
      <c r="U189" s="12">
        <f t="shared" si="54"/>
        <v>0.99340000000000006</v>
      </c>
      <c r="V189" s="12">
        <v>0</v>
      </c>
      <c r="W189" s="14">
        <f>1.05*1.6</f>
        <v>1.6800000000000002</v>
      </c>
      <c r="X189" s="13">
        <f t="shared" si="52"/>
        <v>0.6866000000000001</v>
      </c>
      <c r="Y189" s="47">
        <f t="shared" si="55"/>
        <v>0.6866000000000001</v>
      </c>
      <c r="Z189" s="12" t="s">
        <v>24</v>
      </c>
    </row>
    <row r="190" spans="1:26" s="1" customFormat="1" ht="22.5">
      <c r="A190" s="18">
        <v>138</v>
      </c>
      <c r="B190" s="12" t="s">
        <v>204</v>
      </c>
      <c r="C190" s="69" t="s">
        <v>29</v>
      </c>
      <c r="D190" s="47">
        <v>3.665</v>
      </c>
      <c r="E190" s="12">
        <v>0</v>
      </c>
      <c r="F190" s="12">
        <v>0</v>
      </c>
      <c r="G190" s="12">
        <f t="shared" si="53"/>
        <v>3.665</v>
      </c>
      <c r="H190" s="12">
        <v>0</v>
      </c>
      <c r="I190" s="14">
        <f>1.05*6.3</f>
        <v>6.6150000000000002</v>
      </c>
      <c r="J190" s="13">
        <f t="shared" si="50"/>
        <v>2.95</v>
      </c>
      <c r="K190" s="47">
        <f t="shared" si="51"/>
        <v>2.95</v>
      </c>
      <c r="L190" s="17" t="s">
        <v>24</v>
      </c>
      <c r="M190" s="16"/>
      <c r="N190" s="18">
        <v>138</v>
      </c>
      <c r="O190" s="12" t="s">
        <v>204</v>
      </c>
      <c r="P190" s="15" t="s">
        <v>29</v>
      </c>
      <c r="Q190" s="86">
        <f>0.08+0.005+0.001+0.017+0.011+0.023+0.143+0.0247+0.0054-0.078+0.0199+0.0237+0.0054+0.0032+0.0065+0.019353-0.0995+0.0065</f>
        <v>0.21715300000000001</v>
      </c>
      <c r="R190" s="47">
        <f t="shared" si="49"/>
        <v>3.8821530000000002</v>
      </c>
      <c r="S190" s="12">
        <v>0</v>
      </c>
      <c r="T190" s="12">
        <v>0</v>
      </c>
      <c r="U190" s="12">
        <f t="shared" si="54"/>
        <v>3.8821530000000002</v>
      </c>
      <c r="V190" s="12">
        <v>0</v>
      </c>
      <c r="W190" s="14">
        <f>1.05*6.3</f>
        <v>6.6150000000000002</v>
      </c>
      <c r="X190" s="13">
        <f t="shared" si="52"/>
        <v>2.732847</v>
      </c>
      <c r="Y190" s="47">
        <f t="shared" si="55"/>
        <v>2.732847</v>
      </c>
      <c r="Z190" s="12" t="s">
        <v>24</v>
      </c>
    </row>
    <row r="191" spans="1:26" s="1" customFormat="1" ht="22.5">
      <c r="A191" s="18">
        <v>139</v>
      </c>
      <c r="B191" s="12" t="s">
        <v>205</v>
      </c>
      <c r="C191" s="69" t="s">
        <v>28</v>
      </c>
      <c r="D191" s="47">
        <v>0.40300000000000002</v>
      </c>
      <c r="E191" s="12">
        <v>0</v>
      </c>
      <c r="F191" s="12">
        <v>0</v>
      </c>
      <c r="G191" s="12">
        <f t="shared" si="53"/>
        <v>0.40300000000000002</v>
      </c>
      <c r="H191" s="12">
        <v>0</v>
      </c>
      <c r="I191" s="14">
        <f>1.05*1.6</f>
        <v>1.6800000000000002</v>
      </c>
      <c r="J191" s="13">
        <f t="shared" si="50"/>
        <v>1.2770000000000001</v>
      </c>
      <c r="K191" s="47">
        <f t="shared" si="51"/>
        <v>1.2770000000000001</v>
      </c>
      <c r="L191" s="17" t="s">
        <v>24</v>
      </c>
      <c r="M191" s="16"/>
      <c r="N191" s="18">
        <v>139</v>
      </c>
      <c r="O191" s="12" t="s">
        <v>205</v>
      </c>
      <c r="P191" s="15" t="s">
        <v>28</v>
      </c>
      <c r="Q191" s="86">
        <f>0.003+0.002+0.0054+0.0054-0.0129</f>
        <v>2.9000000000000015E-3</v>
      </c>
      <c r="R191" s="47">
        <f t="shared" si="49"/>
        <v>0.40590000000000004</v>
      </c>
      <c r="S191" s="12">
        <v>0</v>
      </c>
      <c r="T191" s="12">
        <v>0</v>
      </c>
      <c r="U191" s="12">
        <f t="shared" si="54"/>
        <v>0.40590000000000004</v>
      </c>
      <c r="V191" s="12">
        <v>0</v>
      </c>
      <c r="W191" s="14">
        <f>1.05*1.6</f>
        <v>1.6800000000000002</v>
      </c>
      <c r="X191" s="13">
        <f t="shared" si="52"/>
        <v>1.2741000000000002</v>
      </c>
      <c r="Y191" s="47">
        <f t="shared" si="55"/>
        <v>1.2741000000000002</v>
      </c>
      <c r="Z191" s="12" t="s">
        <v>24</v>
      </c>
    </row>
    <row r="192" spans="1:26" s="1" customFormat="1" ht="22.5">
      <c r="A192" s="18">
        <v>140</v>
      </c>
      <c r="B192" s="12" t="s">
        <v>206</v>
      </c>
      <c r="C192" s="69" t="s">
        <v>27</v>
      </c>
      <c r="D192" s="47">
        <v>0.78500000000000003</v>
      </c>
      <c r="E192" s="12">
        <v>0</v>
      </c>
      <c r="F192" s="12">
        <v>0</v>
      </c>
      <c r="G192" s="12">
        <f t="shared" si="53"/>
        <v>0.78500000000000003</v>
      </c>
      <c r="H192" s="12">
        <v>0</v>
      </c>
      <c r="I192" s="14">
        <f>1.05*2.5</f>
        <v>2.625</v>
      </c>
      <c r="J192" s="13">
        <f t="shared" si="50"/>
        <v>1.8399999999999999</v>
      </c>
      <c r="K192" s="47">
        <f t="shared" si="51"/>
        <v>1.8399999999999999</v>
      </c>
      <c r="L192" s="17" t="s">
        <v>24</v>
      </c>
      <c r="M192" s="16"/>
      <c r="N192" s="18">
        <v>140</v>
      </c>
      <c r="O192" s="12" t="s">
        <v>206</v>
      </c>
      <c r="P192" s="15" t="s">
        <v>27</v>
      </c>
      <c r="Q192" s="86">
        <f>0.015+0.008+0.376+0.0039-0.3892+0.016-0.0065</f>
        <v>2.3200000000000047E-2</v>
      </c>
      <c r="R192" s="47">
        <f t="shared" si="49"/>
        <v>0.80820000000000003</v>
      </c>
      <c r="S192" s="12">
        <v>0</v>
      </c>
      <c r="T192" s="12">
        <v>0</v>
      </c>
      <c r="U192" s="12">
        <f t="shared" si="54"/>
        <v>0.80820000000000003</v>
      </c>
      <c r="V192" s="12">
        <v>0</v>
      </c>
      <c r="W192" s="14">
        <f>1.05*2.5</f>
        <v>2.625</v>
      </c>
      <c r="X192" s="13">
        <f t="shared" si="52"/>
        <v>1.8168</v>
      </c>
      <c r="Y192" s="47">
        <f t="shared" si="55"/>
        <v>1.8168</v>
      </c>
      <c r="Z192" s="12" t="s">
        <v>24</v>
      </c>
    </row>
    <row r="193" spans="1:26" s="1" customFormat="1" ht="22.5">
      <c r="A193" s="18">
        <v>141</v>
      </c>
      <c r="B193" s="12" t="s">
        <v>207</v>
      </c>
      <c r="C193" s="69" t="s">
        <v>51</v>
      </c>
      <c r="D193" s="47">
        <v>6.3769999999999998</v>
      </c>
      <c r="E193" s="12">
        <v>0</v>
      </c>
      <c r="F193" s="12">
        <v>0</v>
      </c>
      <c r="G193" s="12">
        <f t="shared" si="53"/>
        <v>6.3769999999999998</v>
      </c>
      <c r="H193" s="12">
        <v>0</v>
      </c>
      <c r="I193" s="14">
        <f>1.05*7.2</f>
        <v>7.5600000000000005</v>
      </c>
      <c r="J193" s="13">
        <f t="shared" si="50"/>
        <v>1.1830000000000007</v>
      </c>
      <c r="K193" s="47">
        <f t="shared" si="51"/>
        <v>1.1830000000000007</v>
      </c>
      <c r="L193" s="17" t="s">
        <v>24</v>
      </c>
      <c r="M193" s="16"/>
      <c r="N193" s="18">
        <v>141</v>
      </c>
      <c r="O193" s="12" t="s">
        <v>207</v>
      </c>
      <c r="P193" s="15" t="s">
        <v>51</v>
      </c>
      <c r="Q193" s="86">
        <f>0.039+0.031+0.005+0.005+0.01+0.005+0.0048+0.0048+0.0048+0.007+0.0145+0.0161-0.0194+0.0048</f>
        <v>0.13240000000000002</v>
      </c>
      <c r="R193" s="47">
        <f t="shared" si="49"/>
        <v>6.5093999999999994</v>
      </c>
      <c r="S193" s="12">
        <v>0</v>
      </c>
      <c r="T193" s="12">
        <v>0</v>
      </c>
      <c r="U193" s="12">
        <f t="shared" si="54"/>
        <v>6.5093999999999994</v>
      </c>
      <c r="V193" s="12">
        <v>0</v>
      </c>
      <c r="W193" s="14">
        <f>1.05*7.2</f>
        <v>7.5600000000000005</v>
      </c>
      <c r="X193" s="13">
        <f t="shared" si="52"/>
        <v>1.0506000000000011</v>
      </c>
      <c r="Y193" s="47">
        <f t="shared" si="55"/>
        <v>1.0506000000000011</v>
      </c>
      <c r="Z193" s="12" t="s">
        <v>24</v>
      </c>
    </row>
    <row r="194" spans="1:26" s="1" customFormat="1" ht="22.5">
      <c r="A194" s="18">
        <v>142</v>
      </c>
      <c r="B194" s="12" t="s">
        <v>210</v>
      </c>
      <c r="C194" s="69" t="s">
        <v>39</v>
      </c>
      <c r="D194" s="47">
        <v>0.68899999999999995</v>
      </c>
      <c r="E194" s="12">
        <v>0</v>
      </c>
      <c r="F194" s="12">
        <v>0</v>
      </c>
      <c r="G194" s="12">
        <f t="shared" si="53"/>
        <v>0.68899999999999995</v>
      </c>
      <c r="H194" s="12">
        <v>0</v>
      </c>
      <c r="I194" s="14">
        <f>1.05*2.5</f>
        <v>2.625</v>
      </c>
      <c r="J194" s="13">
        <f t="shared" si="50"/>
        <v>1.9359999999999999</v>
      </c>
      <c r="K194" s="47">
        <f t="shared" si="51"/>
        <v>1.9359999999999999</v>
      </c>
      <c r="L194" s="17" t="s">
        <v>24</v>
      </c>
      <c r="M194" s="16"/>
      <c r="N194" s="18">
        <v>142</v>
      </c>
      <c r="O194" s="12" t="s">
        <v>210</v>
      </c>
      <c r="P194" s="15" t="s">
        <v>39</v>
      </c>
      <c r="Q194" s="86">
        <f>0.026+0.01+0.002+0.003+0.019+0.0161-0.0081+0.0065+0.0077+0.0065+0.038707-0.0286</f>
        <v>9.880700000000002E-2</v>
      </c>
      <c r="R194" s="47">
        <f t="shared" si="49"/>
        <v>0.78780699999999992</v>
      </c>
      <c r="S194" s="12">
        <v>0</v>
      </c>
      <c r="T194" s="12">
        <v>0</v>
      </c>
      <c r="U194" s="12">
        <f t="shared" si="54"/>
        <v>0.78780699999999992</v>
      </c>
      <c r="V194" s="12">
        <v>0</v>
      </c>
      <c r="W194" s="14">
        <f>1.05*2.5</f>
        <v>2.625</v>
      </c>
      <c r="X194" s="13">
        <f t="shared" si="52"/>
        <v>1.8371930000000001</v>
      </c>
      <c r="Y194" s="47">
        <f t="shared" si="55"/>
        <v>1.8371930000000001</v>
      </c>
      <c r="Z194" s="12" t="s">
        <v>24</v>
      </c>
    </row>
    <row r="195" spans="1:26" s="1" customFormat="1" ht="22.5">
      <c r="A195" s="18">
        <v>143</v>
      </c>
      <c r="B195" s="12" t="s">
        <v>211</v>
      </c>
      <c r="C195" s="69" t="s">
        <v>27</v>
      </c>
      <c r="D195" s="47">
        <v>1.099</v>
      </c>
      <c r="E195" s="12">
        <v>0</v>
      </c>
      <c r="F195" s="12">
        <v>0</v>
      </c>
      <c r="G195" s="12">
        <f t="shared" si="53"/>
        <v>1.099</v>
      </c>
      <c r="H195" s="12">
        <v>0</v>
      </c>
      <c r="I195" s="14">
        <f>1.05*2.5</f>
        <v>2.625</v>
      </c>
      <c r="J195" s="13">
        <f t="shared" si="50"/>
        <v>1.526</v>
      </c>
      <c r="K195" s="47">
        <f t="shared" si="51"/>
        <v>1.526</v>
      </c>
      <c r="L195" s="17" t="s">
        <v>24</v>
      </c>
      <c r="M195" s="16"/>
      <c r="N195" s="18">
        <v>143</v>
      </c>
      <c r="O195" s="12" t="s">
        <v>211</v>
      </c>
      <c r="P195" s="15" t="s">
        <v>27</v>
      </c>
      <c r="Q195" s="86">
        <f>0.033+0.008+0.015+0.014+0.004+0.0054+0.0161-0.0296+0.0032+0.0054-0.0441+0.0161</f>
        <v>4.6500000000000014E-2</v>
      </c>
      <c r="R195" s="47">
        <f t="shared" si="49"/>
        <v>1.1455</v>
      </c>
      <c r="S195" s="12">
        <v>0</v>
      </c>
      <c r="T195" s="12">
        <v>0</v>
      </c>
      <c r="U195" s="12">
        <f t="shared" si="54"/>
        <v>1.1455</v>
      </c>
      <c r="V195" s="12">
        <v>0</v>
      </c>
      <c r="W195" s="14">
        <f>1.05*2.5</f>
        <v>2.625</v>
      </c>
      <c r="X195" s="13">
        <f t="shared" si="52"/>
        <v>1.4795</v>
      </c>
      <c r="Y195" s="47">
        <f t="shared" si="55"/>
        <v>1.4795</v>
      </c>
      <c r="Z195" s="12" t="s">
        <v>24</v>
      </c>
    </row>
    <row r="196" spans="1:26" s="1" customFormat="1" ht="11.25">
      <c r="A196" s="170"/>
      <c r="B196" s="8" t="s">
        <v>43</v>
      </c>
      <c r="C196" s="94">
        <f>SUM(C11:C16)+C7+C8+C17+C20+C23+SUM(C26:C48)+80+12.6+65+12.6+32+10.3+103+32+50+16+25+20+50+50+16+25+20+26+32+6.3+2.5+16+16+26+20+6.3+6.3+32+32+25+40+80+31.5+20+40+32+16+25+6.3+2.5+16+25+10.3+16.3+80+16.3+20+32+20+5+32+16+50+5+32+6.3+6.3+32+16+10+6.3+6.3+32+6.3+6.3+6.3+6.3+3.2+3.2+6.3+8+5+16.3+6.5+20+8+3.2+8+10.3+3.5+5+5+3.2+12.6+3.2+3.2+8+4+2.5+8+8+2.5+1.6+5+10.3+8+12.6+5.6+20+5+1.6+1.8+32+16+6.3+5.6+16+6.5+8+5+3.2+2.5+1.6+5+2.5+3.2+8+2.5+3.2+6.5+3.2+3.2+5+2.5+1.6+2.5+1.6+5+8+3.2+5+6.3+6.3+5+2.5+1.6+6.3+6.3+3.2+5+8+3.2+6.5+5-4+2.5+0.3</f>
        <v>2302.4999999999982</v>
      </c>
      <c r="D196" s="44">
        <f>D7+D8+D11+D12+D13+D14+D15+D16+D17+D20+D23+D26+D27+D28+D29+D30+D31+D32+D33+D34+D35+D36+D37+D38+D39+D40+D41+D42+D43+D44+D45+D46+D47+D48+D49+D52+D54+D53+D56+D60+D63+D66+D69+D70+D73+D74+D75+D76+D79+D82+D83+D84+D87+D88+D89+D90+D91+D92+D93+D94+D97+D98+D99+D100+D101+D104+D105+D106+D107+D110+D113+D114+D117+D120+D121+D124+D125+D128+D129+D130+D133+D134+D135+D136+D137+D138+D139+D140+D141+D142+D143+D144+D145+D146+D147+D148+D149+D151+D150+D152+D153+D154+D155+D156+D157+D158+D159+D160+D161+D162+D163+D164+D165+D166+D167+D168+D169+D170+D171+D172+D173+D174+D175+D176+D177+D178+D179+D180+D181+D182+D183+D184+D185+D186+D187+D188+D189+D190+D191+D192+D193+D194+D195+D57+D55</f>
        <v>706.79399999999964</v>
      </c>
      <c r="E196" s="9"/>
      <c r="F196" s="9"/>
      <c r="G196" s="9"/>
      <c r="H196" s="9"/>
      <c r="I196" s="9"/>
      <c r="J196" s="9"/>
      <c r="K196" s="9"/>
      <c r="L196" s="11"/>
      <c r="M196" s="10"/>
      <c r="N196" s="131"/>
      <c r="O196" s="8" t="s">
        <v>43</v>
      </c>
      <c r="P196" s="9">
        <f>C196</f>
        <v>2302.4999999999982</v>
      </c>
      <c r="Q196" s="89">
        <f>Q7+Q8+Q11+Q12+Q13+Q14+Q15+Q16+Q17+Q20+Q23+Q26+Q27+Q28+Q29+Q30+Q31+Q32+Q33+Q34+Q35+Q36+Q37+Q38+Q39+Q40+Q41+Q42+Q43+Q44+Q45+Q46+Q47+Q48+Q49+Q52+Q54+Q53+Q56+Q60+Q63+Q66+Q69+Q70+Q73+Q74+Q75+Q76+Q79+Q82+Q83+Q84+Q87+Q88+Q89+Q90+Q91+Q92+Q93+Q94+Q97+Q98+Q99+Q100+Q101+Q104+Q105+Q106+Q107+Q110+Q113+Q114+Q117+Q120+Q121+Q124+Q125+Q128+Q129+Q130+Q133+Q134+Q135+Q136+Q137+Q138+Q139+Q140+Q141+Q142+Q143+Q144+Q145+Q146+Q147+Q148+Q149+Q151+Q150+Q152+Q153+Q154+Q155+Q156+Q157+Q158+Q159+Q160+Q161+Q162+Q163+Q164+Q165+Q166+Q167+Q168+Q169+Q170+Q171+Q172+Q173+Q174+Q175+Q176+Q177+Q178+Q179+Q180+Q181+Q182+Q183+Q184+Q185+Q186+Q187+Q188+Q189+Q190+Q191+Q192+Q193+Q194+Q195+Q57+Q55</f>
        <v>96.806161899999921</v>
      </c>
      <c r="R196" s="44">
        <f>R7+R8+R11+R12+R13+R14+R15+R16+R17+R20+R23+R26+R27+R28+R29+R30+R31+R32+R33+R34+R35+R36+R37+R38+R39+R40+R41+R42+R43+R44+R45+R46+R47+R48+R49+R52+R54+R53+R56+R60+R63+R66+R69+R70+R73+R74+R75+R76+R79+R82+R83+R84+R87+R88+R89+R90+R91+R92+R93+R94+R97+R98+R99+R100+R101+R104+R105+R106+R107+R110+R113+R114+R117+R120+R121+R124+R125+R128+R129+R130+R133+R134+R135+R136+R137+R138+R139+R140+R141+R142+R143+R144+R145+R146+R147+R148+R149+R151+R150+R152+R153+R154+R155+R156+R157+R158+R159+R160+R161+R162+R163+R164+R165+R166+R167+R168+R169+R170+R171+R172+R173+R174+R175+R176+R177+R178+R179+R180+R181+R182+R183+R184+R185+R186+R187+R188+R189+R190+R191+R192+R193+R194+R195+R57+R55</f>
        <v>803.60016189999942</v>
      </c>
      <c r="S196" s="9"/>
      <c r="T196" s="9"/>
      <c r="U196" s="9"/>
      <c r="V196" s="9"/>
      <c r="W196" s="9"/>
      <c r="X196" s="9"/>
      <c r="Y196" s="9"/>
      <c r="Z196" s="8"/>
    </row>
    <row r="197" spans="1:26" s="1" customFormat="1" ht="11.25">
      <c r="A197" s="171"/>
      <c r="B197" s="8" t="s">
        <v>13</v>
      </c>
      <c r="C197" s="94"/>
      <c r="D197" s="9"/>
      <c r="E197" s="9"/>
      <c r="F197" s="9"/>
      <c r="G197" s="9"/>
      <c r="H197" s="9"/>
      <c r="I197" s="9"/>
      <c r="J197" s="9"/>
      <c r="K197" s="89">
        <f>K53+K55+K63+K75+K106+K139+K141+K162+K56+K57+K13+K125</f>
        <v>-24.260000000000005</v>
      </c>
      <c r="L197" s="11"/>
      <c r="M197" s="10"/>
      <c r="N197" s="132"/>
      <c r="O197" s="8" t="s">
        <v>13</v>
      </c>
      <c r="P197" s="9"/>
      <c r="Q197" s="9"/>
      <c r="R197" s="9"/>
      <c r="S197" s="9"/>
      <c r="T197" s="9"/>
      <c r="U197" s="9"/>
      <c r="V197" s="9"/>
      <c r="W197" s="9"/>
      <c r="X197" s="9"/>
      <c r="Y197" s="89">
        <f>Y53+Y55+Y63+Y75+Y106+Y139+Y141+Y162+Y57+Y56+Y13+Y125</f>
        <v>-56.798781000000005</v>
      </c>
      <c r="Z197" s="8"/>
    </row>
    <row r="198" spans="1:26" s="1" customFormat="1" ht="11.25">
      <c r="A198" s="172"/>
      <c r="B198" s="8" t="s">
        <v>14</v>
      </c>
      <c r="C198" s="94"/>
      <c r="D198" s="9"/>
      <c r="E198" s="9"/>
      <c r="F198" s="9"/>
      <c r="G198" s="9"/>
      <c r="H198" s="9"/>
      <c r="I198" s="9"/>
      <c r="J198" s="9"/>
      <c r="K198" s="89">
        <f>K49+K52+K54+K60+K66+K69+K70+K74+K76+K79+K82+K84+K87+K88+K89+K91+K92+K93+K94+K98+K99+K100+K101+K104+K105+K107+K110+K113+K114+K117+K120+K121+K128+K129+K130+K133+K134+K135+K136+K137+K138+K140+K142+K143+K144+K145+K146+K147+K148+K149+K150+K151+K152+K153+K154+K155+K156+K157+K158+K159+K160+K161+K163+K164+K165+K167+K168+K169+K170+K171+K172+K173+K174+K175+K176+K177+K178+K179+K180+K181+K182+K183+K184+K185+K186+K187+K188+K189+K190+K191+K192+K193+K194+K195+K73+SUM(K7:K12)+SUM(K14:K48)+K83+K97+K124</f>
        <v>553.26499999999999</v>
      </c>
      <c r="L198" s="11"/>
      <c r="M198" s="10"/>
      <c r="N198" s="133"/>
      <c r="O198" s="8" t="s">
        <v>14</v>
      </c>
      <c r="P198" s="9"/>
      <c r="Q198" s="9"/>
      <c r="R198" s="9"/>
      <c r="S198" s="9"/>
      <c r="T198" s="9"/>
      <c r="U198" s="9"/>
      <c r="V198" s="9"/>
      <c r="W198" s="9"/>
      <c r="X198" s="9"/>
      <c r="Y198" s="89">
        <f>Y49+Y52+Y54+Y60+Y66+Y69+Y70+Y74+Y76+Y79+Y82+Y84+Y87+Y88+Y89+Y91+Y92+Y93+Y94+Y98+Y99+Y100+Y101+Y104+Y105+Y107+Y110+Y113+Y114+Y117+Y120+Y121+Y128+Y129+Y130+Y133+Y134+Y135+Y136+Y137+Y138+Y140+Y142+Y143+Y144+Y145+Y146+Y147+Y148+Y149+Y150+Y151+Y152+Y153+Y154+Y155+Y156+Y157+Y158+Y159+Y160+Y161+Y163+Y164+Y165+Y167+Y168+Y169+Y170+Y171+Y172+Y173+Y174+Y175+Y176+Y177+Y178+Y179+Y180+Y181+Y182+Y183+Y184+Y185+Y186+Y187+Y188+Y189+Y190+Y191+Y192+Y193+Y194+Y195+Y73+SUM(Y7:Y12)+SUM(Y14:Y48)+Y83+Y97+Y124</f>
        <v>507.59011399999997</v>
      </c>
      <c r="Z198" s="8"/>
    </row>
    <row r="199" spans="1:26" s="1" customFormat="1" ht="11.25">
      <c r="A199" s="74"/>
      <c r="C199" s="74"/>
      <c r="Q199" s="46"/>
    </row>
    <row r="200" spans="1:26" s="1" customFormat="1" ht="11.25">
      <c r="A200" s="74"/>
      <c r="C200" s="74"/>
      <c r="K200" s="103"/>
      <c r="Q200" s="46"/>
    </row>
    <row r="201" spans="1:26" s="1" customFormat="1">
      <c r="A201" s="74"/>
      <c r="C201" s="74"/>
      <c r="E201" s="103"/>
      <c r="F201" s="46"/>
      <c r="K201" s="103"/>
      <c r="Q201" s="46"/>
      <c r="R201" s="46"/>
      <c r="Y201" s="7"/>
    </row>
    <row r="202" spans="1:26" s="1" customFormat="1" ht="11.25">
      <c r="A202" s="74"/>
      <c r="C202" s="74"/>
    </row>
    <row r="203" spans="1:26" s="1" customFormat="1" ht="11.25">
      <c r="A203" s="74"/>
      <c r="C203" s="74"/>
    </row>
    <row r="204" spans="1:26" s="1" customFormat="1" ht="11.25">
      <c r="A204" s="74"/>
      <c r="C204" s="74"/>
    </row>
    <row r="205" spans="1:26" s="1" customFormat="1" ht="11.25">
      <c r="A205" s="74"/>
      <c r="C205" s="74"/>
    </row>
    <row r="206" spans="1:26" s="1" customFormat="1" ht="11.25">
      <c r="A206" s="74"/>
      <c r="C206" s="74"/>
    </row>
    <row r="207" spans="1:26" s="1" customFormat="1" ht="11.25">
      <c r="A207" s="74"/>
      <c r="C207" s="74"/>
    </row>
    <row r="208" spans="1:26" s="1" customFormat="1" ht="11.25">
      <c r="A208" s="74"/>
      <c r="C208" s="74"/>
    </row>
    <row r="209" spans="1:3" s="1" customFormat="1" ht="11.25">
      <c r="A209" s="74"/>
      <c r="C209" s="74"/>
    </row>
    <row r="210" spans="1:3" s="1" customFormat="1" ht="11.25">
      <c r="A210" s="74"/>
      <c r="C210" s="74"/>
    </row>
    <row r="211" spans="1:3" s="1" customFormat="1" ht="11.25">
      <c r="A211" s="74"/>
      <c r="C211" s="74"/>
    </row>
    <row r="212" spans="1:3" s="1" customFormat="1" ht="11.25">
      <c r="A212" s="74"/>
      <c r="C212" s="74"/>
    </row>
    <row r="213" spans="1:3" s="1" customFormat="1" ht="11.25">
      <c r="A213" s="74"/>
      <c r="C213" s="74"/>
    </row>
    <row r="214" spans="1:3" s="1" customFormat="1" ht="11.25">
      <c r="A214" s="74"/>
      <c r="C214" s="74"/>
    </row>
    <row r="215" spans="1:3" s="1" customFormat="1" ht="11.25">
      <c r="A215" s="74"/>
      <c r="C215" s="74"/>
    </row>
    <row r="216" spans="1:3" s="1" customFormat="1" ht="11.25">
      <c r="A216" s="74"/>
      <c r="C216" s="74"/>
    </row>
    <row r="217" spans="1:3" s="1" customFormat="1" ht="11.25">
      <c r="A217" s="74"/>
      <c r="C217" s="74"/>
    </row>
    <row r="218" spans="1:3" s="1" customFormat="1" ht="11.25">
      <c r="A218" s="74"/>
      <c r="C218" s="74"/>
    </row>
    <row r="219" spans="1:3" s="1" customFormat="1" ht="11.25">
      <c r="A219" s="74"/>
      <c r="C219" s="74"/>
    </row>
    <row r="220" spans="1:3" s="1" customFormat="1" ht="11.25">
      <c r="A220" s="74"/>
      <c r="C220" s="74"/>
    </row>
    <row r="221" spans="1:3" s="1" customFormat="1" ht="11.25">
      <c r="A221" s="74"/>
      <c r="C221" s="74"/>
    </row>
    <row r="222" spans="1:3" s="1" customFormat="1" ht="11.25">
      <c r="A222" s="74"/>
      <c r="C222" s="74"/>
    </row>
    <row r="223" spans="1:3" s="1" customFormat="1" ht="11.25">
      <c r="A223" s="74"/>
      <c r="C223" s="74"/>
    </row>
    <row r="224" spans="1:3" s="1" customFormat="1" ht="11.25">
      <c r="A224" s="74"/>
      <c r="C224" s="74"/>
    </row>
    <row r="225" spans="1:3" s="1" customFormat="1" ht="11.25">
      <c r="A225" s="74"/>
      <c r="C225" s="74"/>
    </row>
    <row r="226" spans="1:3" s="1" customFormat="1" ht="11.25">
      <c r="A226" s="74"/>
      <c r="C226" s="74"/>
    </row>
    <row r="227" spans="1:3" s="1" customFormat="1" ht="11.25">
      <c r="A227" s="74"/>
      <c r="C227" s="74"/>
    </row>
    <row r="228" spans="1:3" s="1" customFormat="1" ht="11.25">
      <c r="A228" s="74"/>
      <c r="C228" s="74"/>
    </row>
    <row r="229" spans="1:3" s="1" customFormat="1" ht="11.25">
      <c r="A229" s="74"/>
      <c r="C229" s="74"/>
    </row>
    <row r="230" spans="1:3" s="1" customFormat="1" ht="11.25">
      <c r="A230" s="74"/>
      <c r="C230" s="74"/>
    </row>
    <row r="231" spans="1:3" s="1" customFormat="1" ht="11.25">
      <c r="A231" s="74"/>
      <c r="C231" s="74"/>
    </row>
    <row r="232" spans="1:3" s="1" customFormat="1" ht="11.25">
      <c r="A232" s="74"/>
      <c r="C232" s="74"/>
    </row>
    <row r="233" spans="1:3" s="1" customFormat="1" ht="11.25">
      <c r="A233" s="74"/>
      <c r="C233" s="74"/>
    </row>
    <row r="234" spans="1:3" s="1" customFormat="1" ht="11.25">
      <c r="A234" s="74"/>
      <c r="C234" s="74"/>
    </row>
    <row r="235" spans="1:3" s="1" customFormat="1" ht="11.25">
      <c r="A235" s="74"/>
      <c r="C235" s="74"/>
    </row>
  </sheetData>
  <autoFilter ref="A6:Z6"/>
  <mergeCells count="161">
    <mergeCell ref="A84:A86"/>
    <mergeCell ref="K130:K132"/>
    <mergeCell ref="K107:K109"/>
    <mergeCell ref="K70:K72"/>
    <mergeCell ref="A94:A96"/>
    <mergeCell ref="A101:A103"/>
    <mergeCell ref="A107:A109"/>
    <mergeCell ref="A110:A112"/>
    <mergeCell ref="A114:A116"/>
    <mergeCell ref="A125:A127"/>
    <mergeCell ref="A130:A132"/>
    <mergeCell ref="A60:A62"/>
    <mergeCell ref="A57:A59"/>
    <mergeCell ref="A63:A65"/>
    <mergeCell ref="A66:A68"/>
    <mergeCell ref="A70:A72"/>
    <mergeCell ref="A76:A78"/>
    <mergeCell ref="A79:A81"/>
    <mergeCell ref="L125:L127"/>
    <mergeCell ref="A117:A119"/>
    <mergeCell ref="A121:A123"/>
    <mergeCell ref="L66:L68"/>
    <mergeCell ref="K84:K86"/>
    <mergeCell ref="L84:L86"/>
    <mergeCell ref="K94:K96"/>
    <mergeCell ref="L94:L96"/>
    <mergeCell ref="L70:L72"/>
    <mergeCell ref="K76:K78"/>
    <mergeCell ref="L76:L78"/>
    <mergeCell ref="K79:K81"/>
    <mergeCell ref="L79:L81"/>
    <mergeCell ref="K60:K62"/>
    <mergeCell ref="L60:L62"/>
    <mergeCell ref="K63:K65"/>
    <mergeCell ref="L63:L65"/>
    <mergeCell ref="A196:A198"/>
    <mergeCell ref="K117:K119"/>
    <mergeCell ref="L117:L119"/>
    <mergeCell ref="K121:K123"/>
    <mergeCell ref="L121:L123"/>
    <mergeCell ref="K125:K127"/>
    <mergeCell ref="L107:L109"/>
    <mergeCell ref="K110:K112"/>
    <mergeCell ref="L110:L112"/>
    <mergeCell ref="K114:K116"/>
    <mergeCell ref="L114:L116"/>
    <mergeCell ref="L57:L59"/>
    <mergeCell ref="K8:K10"/>
    <mergeCell ref="K17:K19"/>
    <mergeCell ref="K20:K22"/>
    <mergeCell ref="K23:K25"/>
    <mergeCell ref="N130:N132"/>
    <mergeCell ref="N125:N127"/>
    <mergeCell ref="N121:N123"/>
    <mergeCell ref="N117:N119"/>
    <mergeCell ref="K101:K103"/>
    <mergeCell ref="L101:L103"/>
    <mergeCell ref="N94:N96"/>
    <mergeCell ref="N66:N68"/>
    <mergeCell ref="N70:N72"/>
    <mergeCell ref="N114:N116"/>
    <mergeCell ref="N23:N25"/>
    <mergeCell ref="N57:N59"/>
    <mergeCell ref="N60:N62"/>
    <mergeCell ref="N63:N65"/>
    <mergeCell ref="N101:N103"/>
    <mergeCell ref="N110:N112"/>
    <mergeCell ref="N107:N109"/>
    <mergeCell ref="L130:L132"/>
    <mergeCell ref="A49:A51"/>
    <mergeCell ref="A8:A10"/>
    <mergeCell ref="L8:L10"/>
    <mergeCell ref="A17:A19"/>
    <mergeCell ref="L17:L19"/>
    <mergeCell ref="L20:L22"/>
    <mergeCell ref="L23:L25"/>
    <mergeCell ref="A20:A22"/>
    <mergeCell ref="A23:A25"/>
    <mergeCell ref="K49:K51"/>
    <mergeCell ref="D4:D5"/>
    <mergeCell ref="E4:F4"/>
    <mergeCell ref="G4:G5"/>
    <mergeCell ref="H4:H5"/>
    <mergeCell ref="I4:I5"/>
    <mergeCell ref="L49:L51"/>
    <mergeCell ref="Z114:Z116"/>
    <mergeCell ref="Y79:Y81"/>
    <mergeCell ref="Z79:Z81"/>
    <mergeCell ref="Y84:Y86"/>
    <mergeCell ref="Z84:Z86"/>
    <mergeCell ref="Z20:Z22"/>
    <mergeCell ref="Z23:Z25"/>
    <mergeCell ref="Z49:Z51"/>
    <mergeCell ref="Y8:Y10"/>
    <mergeCell ref="N8:N10"/>
    <mergeCell ref="Y17:Y19"/>
    <mergeCell ref="N17:N19"/>
    <mergeCell ref="P4:P5"/>
    <mergeCell ref="Q4:Q5"/>
    <mergeCell ref="R4:R5"/>
    <mergeCell ref="S4:T4"/>
    <mergeCell ref="U4:U5"/>
    <mergeCell ref="V4:V5"/>
    <mergeCell ref="A3:A5"/>
    <mergeCell ref="B3:B5"/>
    <mergeCell ref="C3:K3"/>
    <mergeCell ref="L3:L5"/>
    <mergeCell ref="C4:C5"/>
    <mergeCell ref="Z121:Z123"/>
    <mergeCell ref="Y101:Y103"/>
    <mergeCell ref="Z101:Z103"/>
    <mergeCell ref="Y125:Y127"/>
    <mergeCell ref="Z125:Z127"/>
    <mergeCell ref="Y107:Y109"/>
    <mergeCell ref="Z107:Z109"/>
    <mergeCell ref="Y110:Y112"/>
    <mergeCell ref="Z110:Z112"/>
    <mergeCell ref="Y114:Y116"/>
    <mergeCell ref="Z70:Z72"/>
    <mergeCell ref="Y76:Y78"/>
    <mergeCell ref="Z76:Z78"/>
    <mergeCell ref="N20:N22"/>
    <mergeCell ref="N49:N51"/>
    <mergeCell ref="Y70:Y72"/>
    <mergeCell ref="Y49:Y51"/>
    <mergeCell ref="Z8:Z10"/>
    <mergeCell ref="Z17:Z19"/>
    <mergeCell ref="N196:N198"/>
    <mergeCell ref="J1:K1"/>
    <mergeCell ref="J2:K2"/>
    <mergeCell ref="J4:K5"/>
    <mergeCell ref="Y117:Y119"/>
    <mergeCell ref="Z117:Z119"/>
    <mergeCell ref="Y121:Y123"/>
    <mergeCell ref="Y94:Y96"/>
    <mergeCell ref="Z94:Z96"/>
    <mergeCell ref="N79:N81"/>
    <mergeCell ref="N84:N86"/>
    <mergeCell ref="Y60:Y62"/>
    <mergeCell ref="Z60:Z62"/>
    <mergeCell ref="Y63:Y65"/>
    <mergeCell ref="Z63:Z65"/>
    <mergeCell ref="Y66:Y68"/>
    <mergeCell ref="Z66:Z68"/>
    <mergeCell ref="Y57:Y59"/>
    <mergeCell ref="Z57:Z59"/>
    <mergeCell ref="Y20:Y22"/>
    <mergeCell ref="Y23:Y25"/>
    <mergeCell ref="N76:N78"/>
    <mergeCell ref="K66:K68"/>
    <mergeCell ref="K57:K59"/>
    <mergeCell ref="X1:Y1"/>
    <mergeCell ref="X2:Y2"/>
    <mergeCell ref="Z3:Z5"/>
    <mergeCell ref="N3:N5"/>
    <mergeCell ref="O3:O5"/>
    <mergeCell ref="P3:Y3"/>
    <mergeCell ref="W4:W5"/>
    <mergeCell ref="X4:Y5"/>
    <mergeCell ref="Y130:Y132"/>
    <mergeCell ref="Z130:Z13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>
      <selection activeCell="J22" sqref="A1:J22"/>
    </sheetView>
  </sheetViews>
  <sheetFormatPr defaultRowHeight="15"/>
  <cols>
    <col min="1" max="1" width="3.42578125" customWidth="1"/>
    <col min="2" max="2" width="46" customWidth="1"/>
    <col min="3" max="3" width="16.85546875" customWidth="1"/>
    <col min="4" max="4" width="16.7109375" hidden="1" customWidth="1"/>
    <col min="5" max="9" width="9.140625" hidden="1" customWidth="1"/>
    <col min="10" max="10" width="20" customWidth="1"/>
  </cols>
  <sheetData>
    <row r="1" spans="1:12" ht="47.25" customHeight="1">
      <c r="A1" s="177" t="s">
        <v>227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2" s="56" customFormat="1" ht="15" customHeight="1">
      <c r="A2" s="178" t="s">
        <v>1</v>
      </c>
      <c r="B2" s="181" t="s">
        <v>2</v>
      </c>
      <c r="C2" s="182"/>
      <c r="D2" s="55"/>
      <c r="E2" s="55"/>
      <c r="F2" s="55"/>
      <c r="G2" s="55"/>
      <c r="H2" s="55"/>
      <c r="I2" s="55"/>
      <c r="J2" s="187" t="s">
        <v>63</v>
      </c>
    </row>
    <row r="3" spans="1:12" s="56" customFormat="1" ht="15" customHeight="1">
      <c r="A3" s="179"/>
      <c r="B3" s="183"/>
      <c r="C3" s="184"/>
      <c r="D3" s="57"/>
      <c r="E3" s="57"/>
      <c r="F3" s="57"/>
      <c r="G3" s="57"/>
      <c r="H3" s="57"/>
      <c r="I3" s="57"/>
      <c r="J3" s="188"/>
    </row>
    <row r="4" spans="1:12" s="56" customFormat="1" ht="194.25" customHeight="1">
      <c r="A4" s="180"/>
      <c r="B4" s="185"/>
      <c r="C4" s="186"/>
      <c r="D4" s="58"/>
      <c r="E4" s="58"/>
      <c r="F4" s="58"/>
      <c r="G4" s="58"/>
      <c r="H4" s="58"/>
      <c r="I4" s="58"/>
      <c r="J4" s="189"/>
    </row>
    <row r="5" spans="1:12" s="59" customFormat="1" ht="15" customHeight="1">
      <c r="A5" s="190" t="s">
        <v>64</v>
      </c>
      <c r="B5" s="191"/>
      <c r="C5" s="191"/>
      <c r="D5" s="191"/>
      <c r="E5" s="191"/>
      <c r="F5" s="191"/>
      <c r="G5" s="191"/>
      <c r="H5" s="191"/>
      <c r="I5" s="191"/>
      <c r="J5" s="192"/>
    </row>
    <row r="6" spans="1:12" s="59" customFormat="1">
      <c r="A6" s="18">
        <v>1</v>
      </c>
      <c r="B6" s="34" t="s">
        <v>216</v>
      </c>
      <c r="C6" s="63" t="s">
        <v>48</v>
      </c>
      <c r="D6" s="64">
        <v>34.57</v>
      </c>
      <c r="E6" s="65">
        <v>0</v>
      </c>
      <c r="F6" s="65">
        <v>0</v>
      </c>
      <c r="G6" s="64">
        <f t="shared" ref="G6:G21" si="0">D6-E6</f>
        <v>34.57</v>
      </c>
      <c r="H6" s="65">
        <v>0</v>
      </c>
      <c r="I6" s="66">
        <f>1.05*25</f>
        <v>26.25</v>
      </c>
      <c r="J6" s="90">
        <f>брянск!K53</f>
        <v>-0.93299999999999983</v>
      </c>
    </row>
    <row r="7" spans="1:12" s="59" customFormat="1">
      <c r="A7" s="18">
        <v>2</v>
      </c>
      <c r="B7" s="34" t="s">
        <v>217</v>
      </c>
      <c r="C7" s="63" t="s">
        <v>30</v>
      </c>
      <c r="D7" s="64">
        <v>25.56</v>
      </c>
      <c r="E7" s="65">
        <v>1.5</v>
      </c>
      <c r="F7" s="65" t="s">
        <v>61</v>
      </c>
      <c r="G7" s="64">
        <f t="shared" si="0"/>
        <v>24.06</v>
      </c>
      <c r="H7" s="65">
        <v>0</v>
      </c>
      <c r="I7" s="66">
        <f>1.05*16</f>
        <v>16.8</v>
      </c>
      <c r="J7" s="90">
        <f>брянск!K55</f>
        <v>-2.370000000000001</v>
      </c>
    </row>
    <row r="8" spans="1:12" s="59" customFormat="1">
      <c r="A8" s="65">
        <v>3</v>
      </c>
      <c r="B8" s="34" t="s">
        <v>218</v>
      </c>
      <c r="C8" s="63" t="s">
        <v>45</v>
      </c>
      <c r="D8" s="82">
        <v>4.3380000000000001</v>
      </c>
      <c r="E8" s="65">
        <v>0</v>
      </c>
      <c r="F8" s="65">
        <v>0</v>
      </c>
      <c r="G8" s="64">
        <f t="shared" si="0"/>
        <v>4.3380000000000001</v>
      </c>
      <c r="H8" s="65">
        <v>0</v>
      </c>
      <c r="I8" s="66">
        <f>1.05*4</f>
        <v>4.2</v>
      </c>
      <c r="J8" s="90">
        <f>брянск!K56</f>
        <v>-0.20500000000000007</v>
      </c>
    </row>
    <row r="9" spans="1:12" s="59" customFormat="1">
      <c r="A9" s="139">
        <v>4</v>
      </c>
      <c r="B9" s="34" t="s">
        <v>76</v>
      </c>
      <c r="C9" s="63" t="s">
        <v>62</v>
      </c>
      <c r="D9" s="82">
        <f>D10+D11</f>
        <v>44.040000000000006</v>
      </c>
      <c r="E9" s="65">
        <f>E10+E11</f>
        <v>0</v>
      </c>
      <c r="F9" s="65">
        <v>0</v>
      </c>
      <c r="G9" s="66">
        <f t="shared" si="0"/>
        <v>44.040000000000006</v>
      </c>
      <c r="H9" s="65">
        <v>0</v>
      </c>
      <c r="I9" s="66">
        <f>1.05*40</f>
        <v>42</v>
      </c>
      <c r="J9" s="193">
        <f>брянск!K57</f>
        <v>-2.4560000000000031</v>
      </c>
      <c r="K9" s="91"/>
      <c r="L9" s="91"/>
    </row>
    <row r="10" spans="1:12" s="59" customFormat="1">
      <c r="A10" s="140"/>
      <c r="B10" s="67" t="s">
        <v>57</v>
      </c>
      <c r="C10" s="63" t="s">
        <v>62</v>
      </c>
      <c r="D10" s="82">
        <v>22.42</v>
      </c>
      <c r="E10" s="65">
        <v>0</v>
      </c>
      <c r="F10" s="65">
        <v>0</v>
      </c>
      <c r="G10" s="66">
        <f t="shared" si="0"/>
        <v>22.42</v>
      </c>
      <c r="H10" s="65">
        <v>0</v>
      </c>
      <c r="I10" s="66">
        <f>1.05*40</f>
        <v>42</v>
      </c>
      <c r="J10" s="194"/>
      <c r="K10" s="91"/>
      <c r="L10" s="91"/>
    </row>
    <row r="11" spans="1:12" s="59" customFormat="1">
      <c r="A11" s="141"/>
      <c r="B11" s="67" t="s">
        <v>44</v>
      </c>
      <c r="C11" s="63" t="s">
        <v>62</v>
      </c>
      <c r="D11" s="82">
        <v>21.62</v>
      </c>
      <c r="E11" s="65">
        <v>0</v>
      </c>
      <c r="F11" s="65">
        <v>0</v>
      </c>
      <c r="G11" s="66">
        <f t="shared" si="0"/>
        <v>21.62</v>
      </c>
      <c r="H11" s="65">
        <v>0</v>
      </c>
      <c r="I11" s="66">
        <f>1.05*40</f>
        <v>42</v>
      </c>
      <c r="J11" s="195"/>
      <c r="K11" s="91"/>
      <c r="L11" s="91"/>
    </row>
    <row r="12" spans="1:12" s="59" customFormat="1">
      <c r="A12" s="139">
        <v>5</v>
      </c>
      <c r="B12" s="34" t="s">
        <v>219</v>
      </c>
      <c r="C12" s="63" t="s">
        <v>31</v>
      </c>
      <c r="D12" s="64">
        <f>D13+D14</f>
        <v>36.72</v>
      </c>
      <c r="E12" s="65">
        <f>E13+E14</f>
        <v>8.9</v>
      </c>
      <c r="F12" s="65" t="s">
        <v>61</v>
      </c>
      <c r="G12" s="64">
        <f t="shared" si="0"/>
        <v>27.82</v>
      </c>
      <c r="H12" s="65">
        <v>0</v>
      </c>
      <c r="I12" s="66">
        <f>1.05*25</f>
        <v>26.25</v>
      </c>
      <c r="J12" s="193">
        <f>брянск!K63</f>
        <v>-2.1649999999999991</v>
      </c>
    </row>
    <row r="13" spans="1:12" s="59" customFormat="1">
      <c r="A13" s="140"/>
      <c r="B13" s="67" t="s">
        <v>57</v>
      </c>
      <c r="C13" s="63" t="s">
        <v>31</v>
      </c>
      <c r="D13" s="64">
        <v>8.85</v>
      </c>
      <c r="E13" s="65">
        <v>8.9</v>
      </c>
      <c r="F13" s="65" t="s">
        <v>61</v>
      </c>
      <c r="G13" s="64">
        <f t="shared" si="0"/>
        <v>-5.0000000000000711E-2</v>
      </c>
      <c r="H13" s="65">
        <v>0</v>
      </c>
      <c r="I13" s="66">
        <f>1.05*25</f>
        <v>26.25</v>
      </c>
      <c r="J13" s="194"/>
    </row>
    <row r="14" spans="1:12">
      <c r="A14" s="141"/>
      <c r="B14" s="67" t="s">
        <v>44</v>
      </c>
      <c r="C14" s="63" t="s">
        <v>31</v>
      </c>
      <c r="D14" s="64">
        <v>27.87</v>
      </c>
      <c r="E14" s="65">
        <v>0</v>
      </c>
      <c r="F14" s="65">
        <v>0</v>
      </c>
      <c r="G14" s="64">
        <f t="shared" si="0"/>
        <v>27.87</v>
      </c>
      <c r="H14" s="65">
        <v>0</v>
      </c>
      <c r="I14" s="66">
        <f>1.05*25</f>
        <v>26.25</v>
      </c>
      <c r="J14" s="195"/>
    </row>
    <row r="15" spans="1:12">
      <c r="A15" s="18">
        <v>6</v>
      </c>
      <c r="B15" s="34" t="s">
        <v>220</v>
      </c>
      <c r="C15" s="63" t="s">
        <v>26</v>
      </c>
      <c r="D15" s="64">
        <v>18.28</v>
      </c>
      <c r="E15" s="65">
        <v>0</v>
      </c>
      <c r="F15" s="65">
        <v>0</v>
      </c>
      <c r="G15" s="64">
        <f t="shared" si="0"/>
        <v>18.28</v>
      </c>
      <c r="H15" s="65">
        <v>0</v>
      </c>
      <c r="I15" s="66">
        <f>1.05*10</f>
        <v>10.5</v>
      </c>
      <c r="J15" s="90">
        <f>брянск!K75</f>
        <v>-3.4309999999999992</v>
      </c>
    </row>
    <row r="16" spans="1:12">
      <c r="A16" s="18">
        <v>7</v>
      </c>
      <c r="B16" s="34" t="str">
        <f>брянск!B13</f>
        <v>ПС 110/6 кВ Энергоремонт</v>
      </c>
      <c r="C16" s="63">
        <f>брянск!C13</f>
        <v>10</v>
      </c>
      <c r="D16" s="64">
        <v>19.43</v>
      </c>
      <c r="E16" s="65">
        <v>0</v>
      </c>
      <c r="F16" s="65">
        <v>0</v>
      </c>
      <c r="G16" s="64">
        <f t="shared" si="0"/>
        <v>19.43</v>
      </c>
      <c r="H16" s="65">
        <v>0</v>
      </c>
      <c r="I16" s="66">
        <f>1.05*16</f>
        <v>16.8</v>
      </c>
      <c r="J16" s="90">
        <f>брянск!K13</f>
        <v>-2.742</v>
      </c>
    </row>
    <row r="17" spans="1:10">
      <c r="A17" s="18">
        <v>8</v>
      </c>
      <c r="B17" s="34" t="str">
        <f>брянск!B106</f>
        <v>ПС 110/6 кВ Западная</v>
      </c>
      <c r="C17" s="63" t="str">
        <f>брянск!C106</f>
        <v>10+10</v>
      </c>
      <c r="D17" s="64">
        <v>19.43</v>
      </c>
      <c r="E17" s="65">
        <v>0</v>
      </c>
      <c r="F17" s="65">
        <v>0</v>
      </c>
      <c r="G17" s="64">
        <f t="shared" ref="G17" si="1">D17-E17</f>
        <v>19.43</v>
      </c>
      <c r="H17" s="65">
        <v>0</v>
      </c>
      <c r="I17" s="66">
        <f>1.05*16</f>
        <v>16.8</v>
      </c>
      <c r="J17" s="90">
        <f>брянск!K106</f>
        <v>-2.0380000000000003</v>
      </c>
    </row>
    <row r="18" spans="1:10">
      <c r="A18" s="18">
        <v>9</v>
      </c>
      <c r="B18" s="34" t="str">
        <f>брянск!B125</f>
        <v>ПС 110/35/6 кВ Сураж</v>
      </c>
      <c r="C18" s="63" t="str">
        <f>брянск!C125</f>
        <v>16+16</v>
      </c>
      <c r="D18" s="64"/>
      <c r="E18" s="65"/>
      <c r="F18" s="65"/>
      <c r="G18" s="64"/>
      <c r="H18" s="65"/>
      <c r="I18" s="66"/>
      <c r="J18" s="90">
        <f>брянск!K125</f>
        <v>-1.6579999999999977</v>
      </c>
    </row>
    <row r="19" spans="1:10">
      <c r="A19" s="18">
        <v>10</v>
      </c>
      <c r="B19" s="68" t="s">
        <v>221</v>
      </c>
      <c r="C19" s="69" t="s">
        <v>46</v>
      </c>
      <c r="D19" s="18">
        <v>11.13</v>
      </c>
      <c r="E19" s="18">
        <v>0</v>
      </c>
      <c r="F19" s="18">
        <v>0</v>
      </c>
      <c r="G19" s="18">
        <f t="shared" si="0"/>
        <v>11.13</v>
      </c>
      <c r="H19" s="18">
        <v>0</v>
      </c>
      <c r="I19" s="70">
        <f>1.05*6.3</f>
        <v>6.6150000000000002</v>
      </c>
      <c r="J19" s="79">
        <f>брянск!K139</f>
        <v>-4.6989999999999998</v>
      </c>
    </row>
    <row r="20" spans="1:10">
      <c r="A20" s="18">
        <v>11</v>
      </c>
      <c r="B20" s="68" t="s">
        <v>222</v>
      </c>
      <c r="C20" s="69" t="s">
        <v>26</v>
      </c>
      <c r="D20" s="18">
        <v>10.88</v>
      </c>
      <c r="E20" s="18">
        <v>0</v>
      </c>
      <c r="F20" s="18">
        <v>0</v>
      </c>
      <c r="G20" s="18">
        <f t="shared" si="0"/>
        <v>10.88</v>
      </c>
      <c r="H20" s="18">
        <v>0</v>
      </c>
      <c r="I20" s="70">
        <f>1.05*10</f>
        <v>10.5</v>
      </c>
      <c r="J20" s="79">
        <f>брянск!K141</f>
        <v>-1.2539999999999996</v>
      </c>
    </row>
    <row r="21" spans="1:10">
      <c r="A21" s="18">
        <v>12</v>
      </c>
      <c r="B21" s="68" t="s">
        <v>223</v>
      </c>
      <c r="C21" s="69" t="s">
        <v>47</v>
      </c>
      <c r="D21" s="18">
        <v>2</v>
      </c>
      <c r="E21" s="18">
        <v>0</v>
      </c>
      <c r="F21" s="18">
        <v>0</v>
      </c>
      <c r="G21" s="18">
        <f t="shared" si="0"/>
        <v>2</v>
      </c>
      <c r="H21" s="18">
        <v>0</v>
      </c>
      <c r="I21" s="70">
        <f>1.05*1.6</f>
        <v>1.6800000000000002</v>
      </c>
      <c r="J21" s="79">
        <f>брянск!K162</f>
        <v>-0.30899999999999994</v>
      </c>
    </row>
    <row r="22" spans="1:10">
      <c r="A22" s="175" t="s">
        <v>65</v>
      </c>
      <c r="B22" s="176"/>
      <c r="C22" s="83">
        <f>65+32+10.3+103+50+20+10+20+32+16.3+20+5.6</f>
        <v>384.20000000000005</v>
      </c>
      <c r="D22" s="84"/>
      <c r="E22" s="61"/>
      <c r="F22" s="62"/>
      <c r="G22" s="62"/>
      <c r="H22" s="62"/>
      <c r="I22" s="61"/>
      <c r="J22" s="95">
        <f>J6+J7+J8+J9+J12+J15+J16+J17+J18+J19+J20+J21</f>
        <v>-24.26</v>
      </c>
    </row>
  </sheetData>
  <mergeCells count="10">
    <mergeCell ref="A22:B22"/>
    <mergeCell ref="A1:J1"/>
    <mergeCell ref="A2:A4"/>
    <mergeCell ref="B2:C4"/>
    <mergeCell ref="J2:J4"/>
    <mergeCell ref="A5:J5"/>
    <mergeCell ref="A12:A14"/>
    <mergeCell ref="A9:A11"/>
    <mergeCell ref="J12:J14"/>
    <mergeCell ref="J9:J1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24"/>
  <sheetViews>
    <sheetView workbookViewId="0">
      <selection activeCell="L8" sqref="L8"/>
    </sheetView>
  </sheetViews>
  <sheetFormatPr defaultRowHeight="15"/>
  <cols>
    <col min="1" max="1" width="3.85546875" customWidth="1"/>
    <col min="2" max="2" width="35.140625" customWidth="1"/>
    <col min="3" max="3" width="11.7109375" customWidth="1"/>
    <col min="4" max="4" width="6.140625" hidden="1" customWidth="1"/>
    <col min="5" max="5" width="5.85546875" hidden="1" customWidth="1"/>
    <col min="6" max="6" width="7.28515625" hidden="1" customWidth="1"/>
    <col min="7" max="7" width="7" hidden="1" customWidth="1"/>
    <col min="8" max="8" width="7.42578125" hidden="1" customWidth="1"/>
    <col min="9" max="9" width="10.5703125" hidden="1" customWidth="1"/>
    <col min="10" max="10" width="12.85546875" hidden="1" customWidth="1"/>
    <col min="11" max="11" width="8.7109375" hidden="1" customWidth="1"/>
    <col min="12" max="12" width="13.85546875" style="56" bestFit="1" customWidth="1"/>
    <col min="13" max="13" width="10" style="56" customWidth="1"/>
    <col min="14" max="1024" width="9.140625" style="56"/>
  </cols>
  <sheetData>
    <row r="1" spans="1:1024" s="72" customFormat="1" ht="72.75" customHeight="1">
      <c r="A1" s="177" t="s">
        <v>66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  <c r="IL1" s="59"/>
      <c r="IM1" s="59"/>
      <c r="IN1" s="59"/>
      <c r="IO1" s="59"/>
      <c r="IP1" s="59"/>
      <c r="IQ1" s="59"/>
      <c r="IR1" s="59"/>
      <c r="IS1" s="59"/>
      <c r="IT1" s="59"/>
      <c r="IU1" s="59"/>
      <c r="IV1" s="59"/>
      <c r="IW1" s="59"/>
      <c r="IX1" s="59"/>
      <c r="IY1" s="59"/>
      <c r="IZ1" s="59"/>
      <c r="JA1" s="59"/>
      <c r="JB1" s="59"/>
      <c r="JC1" s="59"/>
      <c r="JD1" s="59"/>
      <c r="JE1" s="59"/>
      <c r="JF1" s="59"/>
      <c r="JG1" s="59"/>
      <c r="JH1" s="59"/>
      <c r="JI1" s="59"/>
      <c r="JJ1" s="59"/>
      <c r="JK1" s="59"/>
      <c r="JL1" s="59"/>
      <c r="JM1" s="59"/>
      <c r="JN1" s="59"/>
      <c r="JO1" s="59"/>
      <c r="JP1" s="59"/>
      <c r="JQ1" s="59"/>
      <c r="JR1" s="59"/>
      <c r="JS1" s="59"/>
      <c r="JT1" s="59"/>
      <c r="JU1" s="59"/>
      <c r="JV1" s="59"/>
      <c r="JW1" s="59"/>
      <c r="JX1" s="59"/>
      <c r="JY1" s="59"/>
      <c r="JZ1" s="59"/>
      <c r="KA1" s="59"/>
      <c r="KB1" s="59"/>
      <c r="KC1" s="59"/>
      <c r="KD1" s="59"/>
      <c r="KE1" s="59"/>
      <c r="KF1" s="59"/>
      <c r="KG1" s="59"/>
      <c r="KH1" s="59"/>
      <c r="KI1" s="59"/>
      <c r="KJ1" s="59"/>
      <c r="KK1" s="59"/>
      <c r="KL1" s="59"/>
      <c r="KM1" s="59"/>
      <c r="KN1" s="59"/>
      <c r="KO1" s="59"/>
      <c r="KP1" s="59"/>
      <c r="KQ1" s="59"/>
      <c r="KR1" s="59"/>
      <c r="KS1" s="59"/>
      <c r="KT1" s="59"/>
      <c r="KU1" s="59"/>
      <c r="KV1" s="59"/>
      <c r="KW1" s="59"/>
      <c r="KX1" s="59"/>
      <c r="KY1" s="59"/>
      <c r="KZ1" s="59"/>
      <c r="LA1" s="59"/>
      <c r="LB1" s="59"/>
      <c r="LC1" s="59"/>
      <c r="LD1" s="59"/>
      <c r="LE1" s="59"/>
      <c r="LF1" s="59"/>
      <c r="LG1" s="59"/>
      <c r="LH1" s="59"/>
      <c r="LI1" s="59"/>
      <c r="LJ1" s="59"/>
      <c r="LK1" s="59"/>
      <c r="LL1" s="59"/>
      <c r="LM1" s="59"/>
      <c r="LN1" s="59"/>
      <c r="LO1" s="59"/>
      <c r="LP1" s="59"/>
      <c r="LQ1" s="59"/>
      <c r="LR1" s="59"/>
      <c r="LS1" s="59"/>
      <c r="LT1" s="59"/>
      <c r="LU1" s="59"/>
      <c r="LV1" s="59"/>
      <c r="LW1" s="59"/>
      <c r="LX1" s="59"/>
      <c r="LY1" s="59"/>
      <c r="LZ1" s="59"/>
      <c r="MA1" s="59"/>
      <c r="MB1" s="59"/>
      <c r="MC1" s="59"/>
      <c r="MD1" s="59"/>
      <c r="ME1" s="59"/>
      <c r="MF1" s="59"/>
      <c r="MG1" s="59"/>
      <c r="MH1" s="59"/>
      <c r="MI1" s="59"/>
      <c r="MJ1" s="59"/>
      <c r="MK1" s="59"/>
      <c r="ML1" s="59"/>
      <c r="MM1" s="59"/>
      <c r="MN1" s="59"/>
      <c r="MO1" s="59"/>
      <c r="MP1" s="59"/>
      <c r="MQ1" s="59"/>
      <c r="MR1" s="59"/>
      <c r="MS1" s="59"/>
      <c r="MT1" s="59"/>
      <c r="MU1" s="59"/>
      <c r="MV1" s="59"/>
      <c r="MW1" s="59"/>
      <c r="MX1" s="59"/>
      <c r="MY1" s="59"/>
      <c r="MZ1" s="59"/>
      <c r="NA1" s="59"/>
      <c r="NB1" s="59"/>
      <c r="NC1" s="59"/>
      <c r="ND1" s="59"/>
      <c r="NE1" s="59"/>
      <c r="NF1" s="59"/>
      <c r="NG1" s="59"/>
      <c r="NH1" s="59"/>
      <c r="NI1" s="59"/>
      <c r="NJ1" s="59"/>
      <c r="NK1" s="59"/>
      <c r="NL1" s="59"/>
      <c r="NM1" s="59"/>
      <c r="NN1" s="59"/>
      <c r="NO1" s="59"/>
      <c r="NP1" s="59"/>
      <c r="NQ1" s="59"/>
      <c r="NR1" s="59"/>
      <c r="NS1" s="59"/>
      <c r="NT1" s="59"/>
      <c r="NU1" s="59"/>
      <c r="NV1" s="59"/>
      <c r="NW1" s="59"/>
      <c r="NX1" s="59"/>
      <c r="NY1" s="59"/>
      <c r="NZ1" s="59"/>
      <c r="OA1" s="59"/>
      <c r="OB1" s="59"/>
      <c r="OC1" s="59"/>
      <c r="OD1" s="59"/>
      <c r="OE1" s="59"/>
      <c r="OF1" s="59"/>
      <c r="OG1" s="59"/>
      <c r="OH1" s="59"/>
      <c r="OI1" s="59"/>
      <c r="OJ1" s="59"/>
      <c r="OK1" s="59"/>
      <c r="OL1" s="59"/>
      <c r="OM1" s="59"/>
      <c r="ON1" s="59"/>
      <c r="OO1" s="59"/>
      <c r="OP1" s="59"/>
      <c r="OQ1" s="59"/>
      <c r="OR1" s="59"/>
      <c r="OS1" s="59"/>
      <c r="OT1" s="59"/>
      <c r="OU1" s="59"/>
      <c r="OV1" s="59"/>
      <c r="OW1" s="59"/>
      <c r="OX1" s="59"/>
      <c r="OY1" s="59"/>
      <c r="OZ1" s="59"/>
      <c r="PA1" s="59"/>
      <c r="PB1" s="59"/>
      <c r="PC1" s="59"/>
      <c r="PD1" s="59"/>
      <c r="PE1" s="59"/>
      <c r="PF1" s="59"/>
      <c r="PG1" s="59"/>
      <c r="PH1" s="59"/>
      <c r="PI1" s="59"/>
      <c r="PJ1" s="59"/>
      <c r="PK1" s="59"/>
      <c r="PL1" s="59"/>
      <c r="PM1" s="59"/>
      <c r="PN1" s="59"/>
      <c r="PO1" s="59"/>
      <c r="PP1" s="59"/>
      <c r="PQ1" s="59"/>
      <c r="PR1" s="59"/>
      <c r="PS1" s="59"/>
      <c r="PT1" s="59"/>
      <c r="PU1" s="59"/>
      <c r="PV1" s="59"/>
      <c r="PW1" s="59"/>
      <c r="PX1" s="59"/>
      <c r="PY1" s="59"/>
      <c r="PZ1" s="59"/>
      <c r="QA1" s="59"/>
      <c r="QB1" s="59"/>
      <c r="QC1" s="59"/>
      <c r="QD1" s="59"/>
      <c r="QE1" s="59"/>
      <c r="QF1" s="59"/>
      <c r="QG1" s="59"/>
      <c r="QH1" s="59"/>
      <c r="QI1" s="59"/>
      <c r="QJ1" s="59"/>
      <c r="QK1" s="59"/>
      <c r="QL1" s="59"/>
      <c r="QM1" s="59"/>
      <c r="QN1" s="59"/>
      <c r="QO1" s="59"/>
      <c r="QP1" s="59"/>
      <c r="QQ1" s="59"/>
      <c r="QR1" s="59"/>
      <c r="QS1" s="59"/>
      <c r="QT1" s="59"/>
      <c r="QU1" s="59"/>
      <c r="QV1" s="59"/>
      <c r="QW1" s="59"/>
      <c r="QX1" s="59"/>
      <c r="QY1" s="59"/>
      <c r="QZ1" s="59"/>
      <c r="RA1" s="59"/>
      <c r="RB1" s="59"/>
      <c r="RC1" s="59"/>
      <c r="RD1" s="59"/>
      <c r="RE1" s="59"/>
      <c r="RF1" s="59"/>
      <c r="RG1" s="59"/>
      <c r="RH1" s="59"/>
      <c r="RI1" s="59"/>
      <c r="RJ1" s="59"/>
      <c r="RK1" s="59"/>
      <c r="RL1" s="59"/>
      <c r="RM1" s="59"/>
      <c r="RN1" s="59"/>
      <c r="RO1" s="59"/>
      <c r="RP1" s="59"/>
      <c r="RQ1" s="59"/>
      <c r="RR1" s="59"/>
      <c r="RS1" s="59"/>
      <c r="RT1" s="59"/>
      <c r="RU1" s="59"/>
      <c r="RV1" s="59"/>
      <c r="RW1" s="59"/>
      <c r="RX1" s="59"/>
      <c r="RY1" s="59"/>
      <c r="RZ1" s="59"/>
      <c r="SA1" s="59"/>
      <c r="SB1" s="59"/>
      <c r="SC1" s="59"/>
      <c r="SD1" s="59"/>
      <c r="SE1" s="59"/>
      <c r="SF1" s="59"/>
      <c r="SG1" s="59"/>
      <c r="SH1" s="59"/>
      <c r="SI1" s="59"/>
      <c r="SJ1" s="59"/>
      <c r="SK1" s="59"/>
      <c r="SL1" s="59"/>
      <c r="SM1" s="59"/>
      <c r="SN1" s="59"/>
      <c r="SO1" s="59"/>
      <c r="SP1" s="59"/>
      <c r="SQ1" s="59"/>
      <c r="SR1" s="59"/>
      <c r="SS1" s="59"/>
      <c r="ST1" s="59"/>
      <c r="SU1" s="59"/>
      <c r="SV1" s="59"/>
      <c r="SW1" s="59"/>
      <c r="SX1" s="59"/>
      <c r="SY1" s="59"/>
      <c r="SZ1" s="59"/>
      <c r="TA1" s="59"/>
      <c r="TB1" s="59"/>
      <c r="TC1" s="59"/>
      <c r="TD1" s="59"/>
      <c r="TE1" s="59"/>
      <c r="TF1" s="59"/>
      <c r="TG1" s="59"/>
      <c r="TH1" s="59"/>
      <c r="TI1" s="59"/>
      <c r="TJ1" s="59"/>
      <c r="TK1" s="59"/>
      <c r="TL1" s="59"/>
      <c r="TM1" s="59"/>
      <c r="TN1" s="59"/>
      <c r="TO1" s="59"/>
      <c r="TP1" s="59"/>
      <c r="TQ1" s="59"/>
      <c r="TR1" s="59"/>
      <c r="TS1" s="59"/>
      <c r="TT1" s="59"/>
      <c r="TU1" s="59"/>
      <c r="TV1" s="59"/>
      <c r="TW1" s="59"/>
      <c r="TX1" s="59"/>
      <c r="TY1" s="59"/>
      <c r="TZ1" s="59"/>
      <c r="UA1" s="59"/>
      <c r="UB1" s="59"/>
      <c r="UC1" s="59"/>
      <c r="UD1" s="59"/>
      <c r="UE1" s="59"/>
      <c r="UF1" s="59"/>
      <c r="UG1" s="59"/>
      <c r="UH1" s="59"/>
      <c r="UI1" s="59"/>
      <c r="UJ1" s="59"/>
      <c r="UK1" s="59"/>
      <c r="UL1" s="59"/>
      <c r="UM1" s="59"/>
      <c r="UN1" s="59"/>
      <c r="UO1" s="59"/>
      <c r="UP1" s="59"/>
      <c r="UQ1" s="59"/>
      <c r="UR1" s="59"/>
      <c r="US1" s="59"/>
      <c r="UT1" s="59"/>
      <c r="UU1" s="59"/>
      <c r="UV1" s="59"/>
      <c r="UW1" s="59"/>
      <c r="UX1" s="59"/>
      <c r="UY1" s="59"/>
      <c r="UZ1" s="59"/>
      <c r="VA1" s="59"/>
      <c r="VB1" s="59"/>
      <c r="VC1" s="59"/>
      <c r="VD1" s="59"/>
      <c r="VE1" s="59"/>
      <c r="VF1" s="59"/>
      <c r="VG1" s="59"/>
      <c r="VH1" s="59"/>
      <c r="VI1" s="59"/>
      <c r="VJ1" s="59"/>
      <c r="VK1" s="59"/>
      <c r="VL1" s="59"/>
      <c r="VM1" s="59"/>
      <c r="VN1" s="59"/>
      <c r="VO1" s="59"/>
      <c r="VP1" s="59"/>
      <c r="VQ1" s="59"/>
      <c r="VR1" s="59"/>
      <c r="VS1" s="59"/>
      <c r="VT1" s="59"/>
      <c r="VU1" s="59"/>
      <c r="VV1" s="59"/>
      <c r="VW1" s="59"/>
      <c r="VX1" s="59"/>
      <c r="VY1" s="59"/>
      <c r="VZ1" s="59"/>
      <c r="WA1" s="59"/>
      <c r="WB1" s="59"/>
      <c r="WC1" s="59"/>
      <c r="WD1" s="59"/>
      <c r="WE1" s="59"/>
      <c r="WF1" s="59"/>
      <c r="WG1" s="59"/>
      <c r="WH1" s="59"/>
      <c r="WI1" s="59"/>
      <c r="WJ1" s="59"/>
      <c r="WK1" s="59"/>
      <c r="WL1" s="59"/>
      <c r="WM1" s="59"/>
      <c r="WN1" s="59"/>
      <c r="WO1" s="59"/>
      <c r="WP1" s="59"/>
      <c r="WQ1" s="59"/>
      <c r="WR1" s="59"/>
      <c r="WS1" s="59"/>
      <c r="WT1" s="59"/>
      <c r="WU1" s="59"/>
      <c r="WV1" s="59"/>
      <c r="WW1" s="59"/>
      <c r="WX1" s="59"/>
      <c r="WY1" s="59"/>
      <c r="WZ1" s="59"/>
      <c r="XA1" s="59"/>
      <c r="XB1" s="59"/>
      <c r="XC1" s="59"/>
      <c r="XD1" s="59"/>
      <c r="XE1" s="59"/>
      <c r="XF1" s="59"/>
      <c r="XG1" s="59"/>
      <c r="XH1" s="59"/>
      <c r="XI1" s="59"/>
      <c r="XJ1" s="59"/>
      <c r="XK1" s="59"/>
      <c r="XL1" s="59"/>
      <c r="XM1" s="59"/>
      <c r="XN1" s="59"/>
      <c r="XO1" s="59"/>
      <c r="XP1" s="59"/>
      <c r="XQ1" s="59"/>
      <c r="XR1" s="59"/>
      <c r="XS1" s="59"/>
      <c r="XT1" s="59"/>
      <c r="XU1" s="59"/>
      <c r="XV1" s="59"/>
      <c r="XW1" s="59"/>
      <c r="XX1" s="59"/>
      <c r="XY1" s="59"/>
      <c r="XZ1" s="59"/>
      <c r="YA1" s="59"/>
      <c r="YB1" s="59"/>
      <c r="YC1" s="59"/>
      <c r="YD1" s="59"/>
      <c r="YE1" s="59"/>
      <c r="YF1" s="59"/>
      <c r="YG1" s="59"/>
      <c r="YH1" s="59"/>
      <c r="YI1" s="59"/>
      <c r="YJ1" s="59"/>
      <c r="YK1" s="59"/>
      <c r="YL1" s="59"/>
      <c r="YM1" s="59"/>
      <c r="YN1" s="59"/>
      <c r="YO1" s="59"/>
      <c r="YP1" s="59"/>
      <c r="YQ1" s="59"/>
      <c r="YR1" s="59"/>
      <c r="YS1" s="59"/>
      <c r="YT1" s="59"/>
      <c r="YU1" s="59"/>
      <c r="YV1" s="59"/>
      <c r="YW1" s="59"/>
      <c r="YX1" s="59"/>
      <c r="YY1" s="59"/>
      <c r="YZ1" s="59"/>
      <c r="ZA1" s="59"/>
      <c r="ZB1" s="59"/>
      <c r="ZC1" s="59"/>
      <c r="ZD1" s="59"/>
      <c r="ZE1" s="59"/>
      <c r="ZF1" s="59"/>
      <c r="ZG1" s="59"/>
      <c r="ZH1" s="59"/>
      <c r="ZI1" s="59"/>
      <c r="ZJ1" s="59"/>
      <c r="ZK1" s="59"/>
      <c r="ZL1" s="59"/>
      <c r="ZM1" s="59"/>
      <c r="ZN1" s="59"/>
      <c r="ZO1" s="59"/>
      <c r="ZP1" s="59"/>
      <c r="ZQ1" s="59"/>
      <c r="ZR1" s="59"/>
      <c r="ZS1" s="59"/>
      <c r="ZT1" s="59"/>
      <c r="ZU1" s="59"/>
      <c r="ZV1" s="59"/>
      <c r="ZW1" s="59"/>
      <c r="ZX1" s="59"/>
      <c r="ZY1" s="59"/>
      <c r="ZZ1" s="59"/>
      <c r="AAA1" s="59"/>
      <c r="AAB1" s="59"/>
      <c r="AAC1" s="59"/>
      <c r="AAD1" s="59"/>
      <c r="AAE1" s="59"/>
      <c r="AAF1" s="59"/>
      <c r="AAG1" s="59"/>
      <c r="AAH1" s="59"/>
      <c r="AAI1" s="59"/>
      <c r="AAJ1" s="59"/>
      <c r="AAK1" s="59"/>
      <c r="AAL1" s="59"/>
      <c r="AAM1" s="59"/>
      <c r="AAN1" s="59"/>
      <c r="AAO1" s="59"/>
      <c r="AAP1" s="59"/>
      <c r="AAQ1" s="59"/>
      <c r="AAR1" s="59"/>
      <c r="AAS1" s="59"/>
      <c r="AAT1" s="59"/>
      <c r="AAU1" s="59"/>
      <c r="AAV1" s="59"/>
      <c r="AAW1" s="59"/>
      <c r="AAX1" s="59"/>
      <c r="AAY1" s="59"/>
      <c r="AAZ1" s="59"/>
      <c r="ABA1" s="59"/>
      <c r="ABB1" s="59"/>
      <c r="ABC1" s="59"/>
      <c r="ABD1" s="59"/>
      <c r="ABE1" s="59"/>
      <c r="ABF1" s="59"/>
      <c r="ABG1" s="59"/>
      <c r="ABH1" s="59"/>
      <c r="ABI1" s="59"/>
      <c r="ABJ1" s="59"/>
      <c r="ABK1" s="59"/>
      <c r="ABL1" s="59"/>
      <c r="ABM1" s="59"/>
      <c r="ABN1" s="59"/>
      <c r="ABO1" s="59"/>
      <c r="ABP1" s="59"/>
      <c r="ABQ1" s="59"/>
      <c r="ABR1" s="59"/>
      <c r="ABS1" s="59"/>
      <c r="ABT1" s="59"/>
      <c r="ABU1" s="59"/>
      <c r="ABV1" s="59"/>
      <c r="ABW1" s="59"/>
      <c r="ABX1" s="59"/>
      <c r="ABY1" s="59"/>
      <c r="ABZ1" s="59"/>
      <c r="ACA1" s="59"/>
      <c r="ACB1" s="59"/>
      <c r="ACC1" s="59"/>
      <c r="ACD1" s="59"/>
      <c r="ACE1" s="59"/>
      <c r="ACF1" s="59"/>
      <c r="ACG1" s="59"/>
      <c r="ACH1" s="59"/>
      <c r="ACI1" s="59"/>
      <c r="ACJ1" s="59"/>
      <c r="ACK1" s="59"/>
      <c r="ACL1" s="59"/>
      <c r="ACM1" s="59"/>
      <c r="ACN1" s="59"/>
      <c r="ACO1" s="59"/>
      <c r="ACP1" s="59"/>
      <c r="ACQ1" s="59"/>
      <c r="ACR1" s="59"/>
      <c r="ACS1" s="59"/>
      <c r="ACT1" s="59"/>
      <c r="ACU1" s="59"/>
      <c r="ACV1" s="59"/>
      <c r="ACW1" s="59"/>
      <c r="ACX1" s="59"/>
      <c r="ACY1" s="59"/>
      <c r="ACZ1" s="59"/>
      <c r="ADA1" s="59"/>
      <c r="ADB1" s="59"/>
      <c r="ADC1" s="59"/>
      <c r="ADD1" s="59"/>
      <c r="ADE1" s="59"/>
      <c r="ADF1" s="59"/>
      <c r="ADG1" s="59"/>
      <c r="ADH1" s="59"/>
      <c r="ADI1" s="59"/>
      <c r="ADJ1" s="59"/>
      <c r="ADK1" s="59"/>
      <c r="ADL1" s="59"/>
      <c r="ADM1" s="59"/>
      <c r="ADN1" s="59"/>
      <c r="ADO1" s="59"/>
      <c r="ADP1" s="59"/>
      <c r="ADQ1" s="59"/>
      <c r="ADR1" s="59"/>
      <c r="ADS1" s="59"/>
      <c r="ADT1" s="59"/>
      <c r="ADU1" s="59"/>
      <c r="ADV1" s="59"/>
      <c r="ADW1" s="59"/>
      <c r="ADX1" s="59"/>
      <c r="ADY1" s="59"/>
      <c r="ADZ1" s="59"/>
      <c r="AEA1" s="59"/>
      <c r="AEB1" s="59"/>
      <c r="AEC1" s="59"/>
      <c r="AED1" s="59"/>
      <c r="AEE1" s="59"/>
      <c r="AEF1" s="59"/>
      <c r="AEG1" s="59"/>
      <c r="AEH1" s="59"/>
      <c r="AEI1" s="59"/>
      <c r="AEJ1" s="59"/>
      <c r="AEK1" s="59"/>
      <c r="AEL1" s="59"/>
      <c r="AEM1" s="59"/>
      <c r="AEN1" s="59"/>
      <c r="AEO1" s="59"/>
      <c r="AEP1" s="59"/>
      <c r="AEQ1" s="59"/>
      <c r="AER1" s="59"/>
      <c r="AES1" s="59"/>
      <c r="AET1" s="59"/>
      <c r="AEU1" s="59"/>
      <c r="AEV1" s="59"/>
      <c r="AEW1" s="59"/>
      <c r="AEX1" s="59"/>
      <c r="AEY1" s="59"/>
      <c r="AEZ1" s="59"/>
      <c r="AFA1" s="59"/>
      <c r="AFB1" s="59"/>
      <c r="AFC1" s="59"/>
      <c r="AFD1" s="59"/>
      <c r="AFE1" s="59"/>
      <c r="AFF1" s="59"/>
      <c r="AFG1" s="59"/>
      <c r="AFH1" s="59"/>
      <c r="AFI1" s="59"/>
      <c r="AFJ1" s="59"/>
      <c r="AFK1" s="59"/>
      <c r="AFL1" s="59"/>
      <c r="AFM1" s="59"/>
      <c r="AFN1" s="59"/>
      <c r="AFO1" s="59"/>
      <c r="AFP1" s="59"/>
      <c r="AFQ1" s="59"/>
      <c r="AFR1" s="59"/>
      <c r="AFS1" s="59"/>
      <c r="AFT1" s="59"/>
      <c r="AFU1" s="59"/>
      <c r="AFV1" s="59"/>
      <c r="AFW1" s="59"/>
      <c r="AFX1" s="59"/>
      <c r="AFY1" s="59"/>
      <c r="AFZ1" s="59"/>
      <c r="AGA1" s="59"/>
      <c r="AGB1" s="59"/>
      <c r="AGC1" s="59"/>
      <c r="AGD1" s="59"/>
      <c r="AGE1" s="59"/>
      <c r="AGF1" s="59"/>
      <c r="AGG1" s="59"/>
      <c r="AGH1" s="59"/>
      <c r="AGI1" s="59"/>
      <c r="AGJ1" s="59"/>
      <c r="AGK1" s="59"/>
      <c r="AGL1" s="59"/>
      <c r="AGM1" s="59"/>
      <c r="AGN1" s="59"/>
      <c r="AGO1" s="59"/>
      <c r="AGP1" s="59"/>
      <c r="AGQ1" s="59"/>
      <c r="AGR1" s="59"/>
      <c r="AGS1" s="59"/>
      <c r="AGT1" s="59"/>
      <c r="AGU1" s="59"/>
      <c r="AGV1" s="59"/>
      <c r="AGW1" s="59"/>
      <c r="AGX1" s="59"/>
      <c r="AGY1" s="59"/>
      <c r="AGZ1" s="59"/>
      <c r="AHA1" s="59"/>
      <c r="AHB1" s="59"/>
      <c r="AHC1" s="59"/>
      <c r="AHD1" s="59"/>
      <c r="AHE1" s="59"/>
      <c r="AHF1" s="59"/>
      <c r="AHG1" s="59"/>
      <c r="AHH1" s="59"/>
      <c r="AHI1" s="59"/>
      <c r="AHJ1" s="59"/>
      <c r="AHK1" s="59"/>
      <c r="AHL1" s="59"/>
      <c r="AHM1" s="59"/>
      <c r="AHN1" s="59"/>
      <c r="AHO1" s="59"/>
      <c r="AHP1" s="59"/>
      <c r="AHQ1" s="59"/>
      <c r="AHR1" s="59"/>
      <c r="AHS1" s="59"/>
      <c r="AHT1" s="59"/>
      <c r="AHU1" s="59"/>
      <c r="AHV1" s="59"/>
      <c r="AHW1" s="59"/>
      <c r="AHX1" s="59"/>
      <c r="AHY1" s="59"/>
      <c r="AHZ1" s="59"/>
      <c r="AIA1" s="59"/>
      <c r="AIB1" s="59"/>
      <c r="AIC1" s="59"/>
      <c r="AID1" s="59"/>
      <c r="AIE1" s="59"/>
      <c r="AIF1" s="59"/>
      <c r="AIG1" s="59"/>
      <c r="AIH1" s="59"/>
      <c r="AII1" s="59"/>
      <c r="AIJ1" s="59"/>
      <c r="AIK1" s="59"/>
      <c r="AIL1" s="59"/>
      <c r="AIM1" s="59"/>
      <c r="AIN1" s="59"/>
      <c r="AIO1" s="59"/>
      <c r="AIP1" s="59"/>
      <c r="AIQ1" s="59"/>
      <c r="AIR1" s="59"/>
      <c r="AIS1" s="59"/>
      <c r="AIT1" s="59"/>
      <c r="AIU1" s="59"/>
      <c r="AIV1" s="59"/>
      <c r="AIW1" s="59"/>
      <c r="AIX1" s="59"/>
      <c r="AIY1" s="59"/>
      <c r="AIZ1" s="59"/>
      <c r="AJA1" s="59"/>
      <c r="AJB1" s="59"/>
      <c r="AJC1" s="59"/>
      <c r="AJD1" s="59"/>
      <c r="AJE1" s="59"/>
      <c r="AJF1" s="59"/>
      <c r="AJG1" s="59"/>
      <c r="AJH1" s="59"/>
      <c r="AJI1" s="59"/>
      <c r="AJJ1" s="59"/>
      <c r="AJK1" s="59"/>
      <c r="AJL1" s="59"/>
      <c r="AJM1" s="59"/>
      <c r="AJN1" s="59"/>
      <c r="AJO1" s="59"/>
      <c r="AJP1" s="59"/>
      <c r="AJQ1" s="59"/>
      <c r="AJR1" s="59"/>
      <c r="AJS1" s="59"/>
      <c r="AJT1" s="59"/>
      <c r="AJU1" s="59"/>
      <c r="AJV1" s="59"/>
      <c r="AJW1" s="59"/>
      <c r="AJX1" s="59"/>
      <c r="AJY1" s="59"/>
      <c r="AJZ1" s="59"/>
      <c r="AKA1" s="59"/>
      <c r="AKB1" s="59"/>
      <c r="AKC1" s="59"/>
      <c r="AKD1" s="59"/>
      <c r="AKE1" s="59"/>
      <c r="AKF1" s="59"/>
      <c r="AKG1" s="59"/>
      <c r="AKH1" s="59"/>
      <c r="AKI1" s="59"/>
      <c r="AKJ1" s="59"/>
      <c r="AKK1" s="59"/>
      <c r="AKL1" s="59"/>
      <c r="AKM1" s="59"/>
      <c r="AKN1" s="59"/>
      <c r="AKO1" s="59"/>
      <c r="AKP1" s="59"/>
      <c r="AKQ1" s="59"/>
      <c r="AKR1" s="59"/>
      <c r="AKS1" s="59"/>
      <c r="AKT1" s="59"/>
      <c r="AKU1" s="59"/>
      <c r="AKV1" s="59"/>
      <c r="AKW1" s="59"/>
      <c r="AKX1" s="59"/>
      <c r="AKY1" s="59"/>
      <c r="AKZ1" s="59"/>
      <c r="ALA1" s="59"/>
      <c r="ALB1" s="59"/>
      <c r="ALC1" s="59"/>
      <c r="ALD1" s="59"/>
      <c r="ALE1" s="59"/>
      <c r="ALF1" s="59"/>
      <c r="ALG1" s="59"/>
      <c r="ALH1" s="59"/>
      <c r="ALI1" s="59"/>
      <c r="ALJ1" s="59"/>
      <c r="ALK1" s="59"/>
      <c r="ALL1" s="59"/>
      <c r="ALM1" s="59"/>
      <c r="ALN1" s="59"/>
      <c r="ALO1" s="59"/>
      <c r="ALP1" s="59"/>
      <c r="ALQ1" s="59"/>
      <c r="ALR1" s="59"/>
      <c r="ALS1" s="59"/>
      <c r="ALT1" s="59"/>
      <c r="ALU1" s="59"/>
      <c r="ALV1" s="59"/>
      <c r="ALW1" s="59"/>
      <c r="ALX1" s="59"/>
      <c r="ALY1" s="59"/>
      <c r="ALZ1" s="59"/>
      <c r="AMA1" s="59"/>
      <c r="AMB1" s="59"/>
      <c r="AMC1" s="59"/>
      <c r="AMD1" s="59"/>
      <c r="AME1" s="59"/>
      <c r="AMF1" s="59"/>
      <c r="AMG1" s="59"/>
      <c r="AMH1" s="59"/>
      <c r="AMI1" s="59"/>
      <c r="AMJ1" s="59"/>
    </row>
    <row r="2" spans="1:1024" s="74" customFormat="1" ht="15" customHeight="1">
      <c r="A2" s="196" t="s">
        <v>1</v>
      </c>
      <c r="B2" s="199" t="s">
        <v>2</v>
      </c>
      <c r="C2" s="200" t="s">
        <v>17</v>
      </c>
      <c r="D2" s="201"/>
      <c r="E2" s="201"/>
      <c r="F2" s="201"/>
      <c r="G2" s="201"/>
      <c r="H2" s="201"/>
      <c r="I2" s="201"/>
      <c r="J2" s="201"/>
      <c r="K2" s="201"/>
      <c r="L2" s="202"/>
      <c r="M2" s="111" t="s">
        <v>16</v>
      </c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  <c r="IP2" s="73"/>
      <c r="IQ2" s="73"/>
      <c r="IR2" s="73"/>
      <c r="IS2" s="73"/>
      <c r="IT2" s="73"/>
      <c r="IU2" s="73"/>
      <c r="IV2" s="73"/>
      <c r="IW2" s="73"/>
      <c r="IX2" s="73"/>
      <c r="IY2" s="73"/>
      <c r="IZ2" s="73"/>
      <c r="JA2" s="73"/>
      <c r="JB2" s="73"/>
      <c r="JC2" s="73"/>
      <c r="JD2" s="73"/>
      <c r="JE2" s="73"/>
      <c r="JF2" s="73"/>
      <c r="JG2" s="73"/>
      <c r="JH2" s="73"/>
      <c r="JI2" s="73"/>
      <c r="JJ2" s="73"/>
      <c r="JK2" s="73"/>
      <c r="JL2" s="73"/>
      <c r="JM2" s="73"/>
      <c r="JN2" s="73"/>
      <c r="JO2" s="73"/>
      <c r="JP2" s="73"/>
      <c r="JQ2" s="73"/>
      <c r="JR2" s="73"/>
      <c r="JS2" s="73"/>
      <c r="JT2" s="73"/>
      <c r="JU2" s="73"/>
      <c r="JV2" s="73"/>
      <c r="JW2" s="73"/>
      <c r="JX2" s="73"/>
      <c r="JY2" s="73"/>
      <c r="JZ2" s="73"/>
      <c r="KA2" s="73"/>
      <c r="KB2" s="73"/>
      <c r="KC2" s="73"/>
      <c r="KD2" s="73"/>
      <c r="KE2" s="73"/>
      <c r="KF2" s="73"/>
      <c r="KG2" s="73"/>
      <c r="KH2" s="73"/>
      <c r="KI2" s="73"/>
      <c r="KJ2" s="73"/>
      <c r="KK2" s="73"/>
      <c r="KL2" s="73"/>
      <c r="KM2" s="73"/>
      <c r="KN2" s="73"/>
      <c r="KO2" s="73"/>
      <c r="KP2" s="73"/>
      <c r="KQ2" s="73"/>
      <c r="KR2" s="73"/>
      <c r="KS2" s="73"/>
      <c r="KT2" s="73"/>
      <c r="KU2" s="73"/>
      <c r="KV2" s="73"/>
      <c r="KW2" s="73"/>
      <c r="KX2" s="73"/>
      <c r="KY2" s="73"/>
      <c r="KZ2" s="73"/>
      <c r="LA2" s="73"/>
      <c r="LB2" s="73"/>
      <c r="LC2" s="73"/>
      <c r="LD2" s="73"/>
      <c r="LE2" s="73"/>
      <c r="LF2" s="73"/>
      <c r="LG2" s="73"/>
      <c r="LH2" s="73"/>
      <c r="LI2" s="73"/>
      <c r="LJ2" s="73"/>
      <c r="LK2" s="73"/>
      <c r="LL2" s="73"/>
      <c r="LM2" s="73"/>
      <c r="LN2" s="73"/>
      <c r="LO2" s="73"/>
      <c r="LP2" s="73"/>
      <c r="LQ2" s="73"/>
      <c r="LR2" s="73"/>
      <c r="LS2" s="73"/>
      <c r="LT2" s="73"/>
      <c r="LU2" s="73"/>
      <c r="LV2" s="73"/>
      <c r="LW2" s="73"/>
      <c r="LX2" s="73"/>
      <c r="LY2" s="73"/>
      <c r="LZ2" s="73"/>
      <c r="MA2" s="73"/>
      <c r="MB2" s="73"/>
      <c r="MC2" s="73"/>
      <c r="MD2" s="73"/>
      <c r="ME2" s="73"/>
      <c r="MF2" s="73"/>
      <c r="MG2" s="73"/>
      <c r="MH2" s="73"/>
      <c r="MI2" s="73"/>
      <c r="MJ2" s="73"/>
      <c r="MK2" s="73"/>
      <c r="ML2" s="73"/>
      <c r="MM2" s="73"/>
      <c r="MN2" s="73"/>
      <c r="MO2" s="73"/>
      <c r="MP2" s="73"/>
      <c r="MQ2" s="73"/>
      <c r="MR2" s="73"/>
      <c r="MS2" s="73"/>
      <c r="MT2" s="73"/>
      <c r="MU2" s="73"/>
      <c r="MV2" s="73"/>
      <c r="MW2" s="73"/>
      <c r="MX2" s="73"/>
      <c r="MY2" s="73"/>
      <c r="MZ2" s="73"/>
      <c r="NA2" s="73"/>
      <c r="NB2" s="73"/>
      <c r="NC2" s="73"/>
      <c r="ND2" s="73"/>
      <c r="NE2" s="73"/>
      <c r="NF2" s="73"/>
      <c r="NG2" s="73"/>
      <c r="NH2" s="73"/>
      <c r="NI2" s="73"/>
      <c r="NJ2" s="73"/>
      <c r="NK2" s="73"/>
      <c r="NL2" s="73"/>
      <c r="NM2" s="73"/>
      <c r="NN2" s="73"/>
      <c r="NO2" s="73"/>
      <c r="NP2" s="73"/>
      <c r="NQ2" s="73"/>
      <c r="NR2" s="73"/>
      <c r="NS2" s="73"/>
      <c r="NT2" s="73"/>
      <c r="NU2" s="73"/>
      <c r="NV2" s="73"/>
      <c r="NW2" s="73"/>
      <c r="NX2" s="73"/>
      <c r="NY2" s="73"/>
      <c r="NZ2" s="73"/>
      <c r="OA2" s="73"/>
      <c r="OB2" s="73"/>
      <c r="OC2" s="73"/>
      <c r="OD2" s="73"/>
      <c r="OE2" s="73"/>
      <c r="OF2" s="73"/>
      <c r="OG2" s="73"/>
      <c r="OH2" s="73"/>
      <c r="OI2" s="73"/>
      <c r="OJ2" s="73"/>
      <c r="OK2" s="73"/>
      <c r="OL2" s="73"/>
      <c r="OM2" s="73"/>
      <c r="ON2" s="73"/>
      <c r="OO2" s="73"/>
      <c r="OP2" s="73"/>
      <c r="OQ2" s="73"/>
      <c r="OR2" s="73"/>
      <c r="OS2" s="73"/>
      <c r="OT2" s="73"/>
      <c r="OU2" s="73"/>
      <c r="OV2" s="73"/>
      <c r="OW2" s="73"/>
      <c r="OX2" s="73"/>
      <c r="OY2" s="73"/>
      <c r="OZ2" s="73"/>
      <c r="PA2" s="73"/>
      <c r="PB2" s="73"/>
      <c r="PC2" s="73"/>
      <c r="PD2" s="73"/>
      <c r="PE2" s="73"/>
      <c r="PF2" s="73"/>
      <c r="PG2" s="73"/>
      <c r="PH2" s="73"/>
      <c r="PI2" s="73"/>
      <c r="PJ2" s="73"/>
      <c r="PK2" s="73"/>
      <c r="PL2" s="73"/>
      <c r="PM2" s="73"/>
      <c r="PN2" s="73"/>
      <c r="PO2" s="73"/>
      <c r="PP2" s="73"/>
      <c r="PQ2" s="73"/>
      <c r="PR2" s="73"/>
      <c r="PS2" s="73"/>
      <c r="PT2" s="73"/>
      <c r="PU2" s="73"/>
      <c r="PV2" s="73"/>
      <c r="PW2" s="73"/>
      <c r="PX2" s="73"/>
      <c r="PY2" s="73"/>
      <c r="PZ2" s="73"/>
      <c r="QA2" s="73"/>
      <c r="QB2" s="73"/>
      <c r="QC2" s="73"/>
      <c r="QD2" s="73"/>
      <c r="QE2" s="73"/>
      <c r="QF2" s="73"/>
      <c r="QG2" s="73"/>
      <c r="QH2" s="73"/>
      <c r="QI2" s="73"/>
      <c r="QJ2" s="73"/>
      <c r="QK2" s="73"/>
      <c r="QL2" s="73"/>
      <c r="QM2" s="73"/>
      <c r="QN2" s="73"/>
      <c r="QO2" s="73"/>
      <c r="QP2" s="73"/>
      <c r="QQ2" s="73"/>
      <c r="QR2" s="73"/>
      <c r="QS2" s="73"/>
      <c r="QT2" s="73"/>
      <c r="QU2" s="73"/>
      <c r="QV2" s="73"/>
      <c r="QW2" s="73"/>
      <c r="QX2" s="73"/>
      <c r="QY2" s="73"/>
      <c r="QZ2" s="73"/>
      <c r="RA2" s="73"/>
      <c r="RB2" s="73"/>
      <c r="RC2" s="73"/>
      <c r="RD2" s="73"/>
      <c r="RE2" s="73"/>
      <c r="RF2" s="73"/>
      <c r="RG2" s="73"/>
      <c r="RH2" s="73"/>
      <c r="RI2" s="73"/>
      <c r="RJ2" s="73"/>
      <c r="RK2" s="73"/>
      <c r="RL2" s="73"/>
      <c r="RM2" s="73"/>
      <c r="RN2" s="73"/>
      <c r="RO2" s="73"/>
      <c r="RP2" s="73"/>
      <c r="RQ2" s="73"/>
      <c r="RR2" s="73"/>
      <c r="RS2" s="73"/>
      <c r="RT2" s="73"/>
      <c r="RU2" s="73"/>
      <c r="RV2" s="73"/>
      <c r="RW2" s="73"/>
      <c r="RX2" s="73"/>
      <c r="RY2" s="73"/>
      <c r="RZ2" s="73"/>
      <c r="SA2" s="73"/>
      <c r="SB2" s="73"/>
      <c r="SC2" s="73"/>
      <c r="SD2" s="73"/>
      <c r="SE2" s="73"/>
      <c r="SF2" s="73"/>
      <c r="SG2" s="73"/>
      <c r="SH2" s="73"/>
      <c r="SI2" s="73"/>
      <c r="SJ2" s="73"/>
      <c r="SK2" s="73"/>
      <c r="SL2" s="73"/>
      <c r="SM2" s="73"/>
      <c r="SN2" s="73"/>
      <c r="SO2" s="73"/>
      <c r="SP2" s="73"/>
      <c r="SQ2" s="73"/>
      <c r="SR2" s="73"/>
      <c r="SS2" s="73"/>
      <c r="ST2" s="73"/>
      <c r="SU2" s="73"/>
      <c r="SV2" s="73"/>
      <c r="SW2" s="73"/>
      <c r="SX2" s="73"/>
      <c r="SY2" s="73"/>
      <c r="SZ2" s="73"/>
      <c r="TA2" s="73"/>
      <c r="TB2" s="73"/>
      <c r="TC2" s="73"/>
      <c r="TD2" s="73"/>
      <c r="TE2" s="73"/>
      <c r="TF2" s="73"/>
      <c r="TG2" s="73"/>
      <c r="TH2" s="73"/>
      <c r="TI2" s="73"/>
      <c r="TJ2" s="73"/>
      <c r="TK2" s="73"/>
      <c r="TL2" s="73"/>
      <c r="TM2" s="73"/>
      <c r="TN2" s="73"/>
      <c r="TO2" s="73"/>
      <c r="TP2" s="73"/>
      <c r="TQ2" s="73"/>
      <c r="TR2" s="73"/>
      <c r="TS2" s="73"/>
      <c r="TT2" s="73"/>
      <c r="TU2" s="73"/>
      <c r="TV2" s="73"/>
      <c r="TW2" s="73"/>
      <c r="TX2" s="73"/>
      <c r="TY2" s="73"/>
      <c r="TZ2" s="73"/>
      <c r="UA2" s="73"/>
      <c r="UB2" s="73"/>
      <c r="UC2" s="73"/>
      <c r="UD2" s="73"/>
      <c r="UE2" s="73"/>
      <c r="UF2" s="73"/>
      <c r="UG2" s="73"/>
      <c r="UH2" s="73"/>
      <c r="UI2" s="73"/>
      <c r="UJ2" s="73"/>
      <c r="UK2" s="73"/>
      <c r="UL2" s="73"/>
      <c r="UM2" s="73"/>
      <c r="UN2" s="73"/>
      <c r="UO2" s="73"/>
      <c r="UP2" s="73"/>
      <c r="UQ2" s="73"/>
      <c r="UR2" s="73"/>
      <c r="US2" s="73"/>
      <c r="UT2" s="73"/>
      <c r="UU2" s="73"/>
      <c r="UV2" s="73"/>
      <c r="UW2" s="73"/>
      <c r="UX2" s="73"/>
      <c r="UY2" s="73"/>
      <c r="UZ2" s="73"/>
      <c r="VA2" s="73"/>
      <c r="VB2" s="73"/>
      <c r="VC2" s="73"/>
      <c r="VD2" s="73"/>
      <c r="VE2" s="73"/>
      <c r="VF2" s="73"/>
      <c r="VG2" s="73"/>
      <c r="VH2" s="73"/>
      <c r="VI2" s="73"/>
      <c r="VJ2" s="73"/>
      <c r="VK2" s="73"/>
      <c r="VL2" s="73"/>
      <c r="VM2" s="73"/>
      <c r="VN2" s="73"/>
      <c r="VO2" s="73"/>
      <c r="VP2" s="73"/>
      <c r="VQ2" s="73"/>
      <c r="VR2" s="73"/>
      <c r="VS2" s="73"/>
      <c r="VT2" s="73"/>
      <c r="VU2" s="73"/>
      <c r="VV2" s="73"/>
      <c r="VW2" s="73"/>
      <c r="VX2" s="73"/>
      <c r="VY2" s="73"/>
      <c r="VZ2" s="73"/>
      <c r="WA2" s="73"/>
      <c r="WB2" s="73"/>
      <c r="WC2" s="73"/>
      <c r="WD2" s="73"/>
      <c r="WE2" s="73"/>
      <c r="WF2" s="73"/>
      <c r="WG2" s="73"/>
      <c r="WH2" s="73"/>
      <c r="WI2" s="73"/>
      <c r="WJ2" s="73"/>
      <c r="WK2" s="73"/>
      <c r="WL2" s="73"/>
      <c r="WM2" s="73"/>
      <c r="WN2" s="73"/>
      <c r="WO2" s="73"/>
      <c r="WP2" s="73"/>
      <c r="WQ2" s="73"/>
      <c r="WR2" s="73"/>
      <c r="WS2" s="73"/>
      <c r="WT2" s="73"/>
      <c r="WU2" s="73"/>
      <c r="WV2" s="73"/>
      <c r="WW2" s="73"/>
      <c r="WX2" s="73"/>
      <c r="WY2" s="73"/>
      <c r="WZ2" s="73"/>
      <c r="XA2" s="73"/>
      <c r="XB2" s="73"/>
      <c r="XC2" s="73"/>
      <c r="XD2" s="73"/>
      <c r="XE2" s="73"/>
      <c r="XF2" s="73"/>
      <c r="XG2" s="73"/>
      <c r="XH2" s="73"/>
      <c r="XI2" s="73"/>
      <c r="XJ2" s="73"/>
      <c r="XK2" s="73"/>
      <c r="XL2" s="73"/>
      <c r="XM2" s="73"/>
      <c r="XN2" s="73"/>
      <c r="XO2" s="73"/>
      <c r="XP2" s="73"/>
      <c r="XQ2" s="73"/>
      <c r="XR2" s="73"/>
      <c r="XS2" s="73"/>
      <c r="XT2" s="73"/>
      <c r="XU2" s="73"/>
      <c r="XV2" s="73"/>
      <c r="XW2" s="73"/>
      <c r="XX2" s="73"/>
      <c r="XY2" s="73"/>
      <c r="XZ2" s="73"/>
      <c r="YA2" s="73"/>
      <c r="YB2" s="73"/>
      <c r="YC2" s="73"/>
      <c r="YD2" s="73"/>
      <c r="YE2" s="73"/>
      <c r="YF2" s="73"/>
      <c r="YG2" s="73"/>
      <c r="YH2" s="73"/>
      <c r="YI2" s="73"/>
      <c r="YJ2" s="73"/>
      <c r="YK2" s="73"/>
      <c r="YL2" s="73"/>
      <c r="YM2" s="73"/>
      <c r="YN2" s="73"/>
      <c r="YO2" s="73"/>
      <c r="YP2" s="73"/>
      <c r="YQ2" s="73"/>
      <c r="YR2" s="73"/>
      <c r="YS2" s="73"/>
      <c r="YT2" s="73"/>
      <c r="YU2" s="73"/>
      <c r="YV2" s="73"/>
      <c r="YW2" s="73"/>
      <c r="YX2" s="73"/>
      <c r="YY2" s="73"/>
      <c r="YZ2" s="73"/>
      <c r="ZA2" s="73"/>
      <c r="ZB2" s="73"/>
      <c r="ZC2" s="73"/>
      <c r="ZD2" s="73"/>
      <c r="ZE2" s="73"/>
      <c r="ZF2" s="73"/>
      <c r="ZG2" s="73"/>
      <c r="ZH2" s="73"/>
      <c r="ZI2" s="73"/>
      <c r="ZJ2" s="73"/>
      <c r="ZK2" s="73"/>
      <c r="ZL2" s="73"/>
      <c r="ZM2" s="73"/>
      <c r="ZN2" s="73"/>
      <c r="ZO2" s="73"/>
      <c r="ZP2" s="73"/>
      <c r="ZQ2" s="73"/>
      <c r="ZR2" s="73"/>
      <c r="ZS2" s="73"/>
      <c r="ZT2" s="73"/>
      <c r="ZU2" s="73"/>
      <c r="ZV2" s="73"/>
      <c r="ZW2" s="73"/>
      <c r="ZX2" s="73"/>
      <c r="ZY2" s="73"/>
      <c r="ZZ2" s="73"/>
      <c r="AAA2" s="73"/>
      <c r="AAB2" s="73"/>
      <c r="AAC2" s="73"/>
      <c r="AAD2" s="73"/>
      <c r="AAE2" s="73"/>
      <c r="AAF2" s="73"/>
      <c r="AAG2" s="73"/>
      <c r="AAH2" s="73"/>
      <c r="AAI2" s="73"/>
      <c r="AAJ2" s="73"/>
      <c r="AAK2" s="73"/>
      <c r="AAL2" s="73"/>
      <c r="AAM2" s="73"/>
      <c r="AAN2" s="73"/>
      <c r="AAO2" s="73"/>
      <c r="AAP2" s="73"/>
      <c r="AAQ2" s="73"/>
      <c r="AAR2" s="73"/>
      <c r="AAS2" s="73"/>
      <c r="AAT2" s="73"/>
      <c r="AAU2" s="73"/>
      <c r="AAV2" s="73"/>
      <c r="AAW2" s="73"/>
      <c r="AAX2" s="73"/>
      <c r="AAY2" s="73"/>
      <c r="AAZ2" s="73"/>
      <c r="ABA2" s="73"/>
      <c r="ABB2" s="73"/>
      <c r="ABC2" s="73"/>
      <c r="ABD2" s="73"/>
      <c r="ABE2" s="73"/>
      <c r="ABF2" s="73"/>
      <c r="ABG2" s="73"/>
      <c r="ABH2" s="73"/>
      <c r="ABI2" s="73"/>
      <c r="ABJ2" s="73"/>
      <c r="ABK2" s="73"/>
      <c r="ABL2" s="73"/>
      <c r="ABM2" s="73"/>
      <c r="ABN2" s="73"/>
      <c r="ABO2" s="73"/>
      <c r="ABP2" s="73"/>
      <c r="ABQ2" s="73"/>
      <c r="ABR2" s="73"/>
      <c r="ABS2" s="73"/>
      <c r="ABT2" s="73"/>
      <c r="ABU2" s="73"/>
      <c r="ABV2" s="73"/>
      <c r="ABW2" s="73"/>
      <c r="ABX2" s="73"/>
      <c r="ABY2" s="73"/>
      <c r="ABZ2" s="73"/>
      <c r="ACA2" s="73"/>
      <c r="ACB2" s="73"/>
      <c r="ACC2" s="73"/>
      <c r="ACD2" s="73"/>
      <c r="ACE2" s="73"/>
      <c r="ACF2" s="73"/>
      <c r="ACG2" s="73"/>
      <c r="ACH2" s="73"/>
      <c r="ACI2" s="73"/>
      <c r="ACJ2" s="73"/>
      <c r="ACK2" s="73"/>
      <c r="ACL2" s="73"/>
      <c r="ACM2" s="73"/>
      <c r="ACN2" s="73"/>
      <c r="ACO2" s="73"/>
      <c r="ACP2" s="73"/>
      <c r="ACQ2" s="73"/>
      <c r="ACR2" s="73"/>
      <c r="ACS2" s="73"/>
      <c r="ACT2" s="73"/>
      <c r="ACU2" s="73"/>
      <c r="ACV2" s="73"/>
      <c r="ACW2" s="73"/>
      <c r="ACX2" s="73"/>
      <c r="ACY2" s="73"/>
      <c r="ACZ2" s="73"/>
      <c r="ADA2" s="73"/>
      <c r="ADB2" s="73"/>
      <c r="ADC2" s="73"/>
      <c r="ADD2" s="73"/>
      <c r="ADE2" s="73"/>
      <c r="ADF2" s="73"/>
      <c r="ADG2" s="73"/>
      <c r="ADH2" s="73"/>
      <c r="ADI2" s="73"/>
      <c r="ADJ2" s="73"/>
      <c r="ADK2" s="73"/>
      <c r="ADL2" s="73"/>
      <c r="ADM2" s="73"/>
      <c r="ADN2" s="73"/>
      <c r="ADO2" s="73"/>
      <c r="ADP2" s="73"/>
      <c r="ADQ2" s="73"/>
      <c r="ADR2" s="73"/>
      <c r="ADS2" s="73"/>
      <c r="ADT2" s="73"/>
      <c r="ADU2" s="73"/>
      <c r="ADV2" s="73"/>
      <c r="ADW2" s="73"/>
      <c r="ADX2" s="73"/>
      <c r="ADY2" s="73"/>
      <c r="ADZ2" s="73"/>
      <c r="AEA2" s="73"/>
      <c r="AEB2" s="73"/>
      <c r="AEC2" s="73"/>
      <c r="AED2" s="73"/>
      <c r="AEE2" s="73"/>
      <c r="AEF2" s="73"/>
      <c r="AEG2" s="73"/>
      <c r="AEH2" s="73"/>
      <c r="AEI2" s="73"/>
      <c r="AEJ2" s="73"/>
      <c r="AEK2" s="73"/>
      <c r="AEL2" s="73"/>
      <c r="AEM2" s="73"/>
      <c r="AEN2" s="73"/>
      <c r="AEO2" s="73"/>
      <c r="AEP2" s="73"/>
      <c r="AEQ2" s="73"/>
      <c r="AER2" s="73"/>
      <c r="AES2" s="73"/>
      <c r="AET2" s="73"/>
      <c r="AEU2" s="73"/>
      <c r="AEV2" s="73"/>
      <c r="AEW2" s="73"/>
      <c r="AEX2" s="73"/>
      <c r="AEY2" s="73"/>
      <c r="AEZ2" s="73"/>
      <c r="AFA2" s="73"/>
      <c r="AFB2" s="73"/>
      <c r="AFC2" s="73"/>
      <c r="AFD2" s="73"/>
      <c r="AFE2" s="73"/>
      <c r="AFF2" s="73"/>
      <c r="AFG2" s="73"/>
      <c r="AFH2" s="73"/>
      <c r="AFI2" s="73"/>
      <c r="AFJ2" s="73"/>
      <c r="AFK2" s="73"/>
      <c r="AFL2" s="73"/>
      <c r="AFM2" s="73"/>
      <c r="AFN2" s="73"/>
      <c r="AFO2" s="73"/>
      <c r="AFP2" s="73"/>
      <c r="AFQ2" s="73"/>
      <c r="AFR2" s="73"/>
      <c r="AFS2" s="73"/>
      <c r="AFT2" s="73"/>
      <c r="AFU2" s="73"/>
      <c r="AFV2" s="73"/>
      <c r="AFW2" s="73"/>
      <c r="AFX2" s="73"/>
      <c r="AFY2" s="73"/>
      <c r="AFZ2" s="73"/>
      <c r="AGA2" s="73"/>
      <c r="AGB2" s="73"/>
      <c r="AGC2" s="73"/>
      <c r="AGD2" s="73"/>
      <c r="AGE2" s="73"/>
      <c r="AGF2" s="73"/>
      <c r="AGG2" s="73"/>
      <c r="AGH2" s="73"/>
      <c r="AGI2" s="73"/>
      <c r="AGJ2" s="73"/>
      <c r="AGK2" s="73"/>
      <c r="AGL2" s="73"/>
      <c r="AGM2" s="73"/>
      <c r="AGN2" s="73"/>
      <c r="AGO2" s="73"/>
      <c r="AGP2" s="73"/>
      <c r="AGQ2" s="73"/>
      <c r="AGR2" s="73"/>
      <c r="AGS2" s="73"/>
      <c r="AGT2" s="73"/>
      <c r="AGU2" s="73"/>
      <c r="AGV2" s="73"/>
      <c r="AGW2" s="73"/>
      <c r="AGX2" s="73"/>
      <c r="AGY2" s="73"/>
      <c r="AGZ2" s="73"/>
      <c r="AHA2" s="73"/>
      <c r="AHB2" s="73"/>
      <c r="AHC2" s="73"/>
      <c r="AHD2" s="73"/>
      <c r="AHE2" s="73"/>
      <c r="AHF2" s="73"/>
      <c r="AHG2" s="73"/>
      <c r="AHH2" s="73"/>
      <c r="AHI2" s="73"/>
      <c r="AHJ2" s="73"/>
      <c r="AHK2" s="73"/>
      <c r="AHL2" s="73"/>
      <c r="AHM2" s="73"/>
      <c r="AHN2" s="73"/>
      <c r="AHO2" s="73"/>
      <c r="AHP2" s="73"/>
      <c r="AHQ2" s="73"/>
      <c r="AHR2" s="73"/>
      <c r="AHS2" s="73"/>
      <c r="AHT2" s="73"/>
      <c r="AHU2" s="73"/>
      <c r="AHV2" s="73"/>
      <c r="AHW2" s="73"/>
      <c r="AHX2" s="73"/>
      <c r="AHY2" s="73"/>
      <c r="AHZ2" s="73"/>
      <c r="AIA2" s="73"/>
      <c r="AIB2" s="73"/>
      <c r="AIC2" s="73"/>
      <c r="AID2" s="73"/>
      <c r="AIE2" s="73"/>
      <c r="AIF2" s="73"/>
      <c r="AIG2" s="73"/>
      <c r="AIH2" s="73"/>
      <c r="AII2" s="73"/>
      <c r="AIJ2" s="73"/>
      <c r="AIK2" s="73"/>
      <c r="AIL2" s="73"/>
      <c r="AIM2" s="73"/>
      <c r="AIN2" s="73"/>
      <c r="AIO2" s="73"/>
      <c r="AIP2" s="73"/>
      <c r="AIQ2" s="73"/>
      <c r="AIR2" s="73"/>
      <c r="AIS2" s="73"/>
      <c r="AIT2" s="73"/>
      <c r="AIU2" s="73"/>
      <c r="AIV2" s="73"/>
      <c r="AIW2" s="73"/>
      <c r="AIX2" s="73"/>
      <c r="AIY2" s="73"/>
      <c r="AIZ2" s="73"/>
      <c r="AJA2" s="73"/>
      <c r="AJB2" s="73"/>
      <c r="AJC2" s="73"/>
      <c r="AJD2" s="73"/>
      <c r="AJE2" s="73"/>
      <c r="AJF2" s="73"/>
      <c r="AJG2" s="73"/>
      <c r="AJH2" s="73"/>
      <c r="AJI2" s="73"/>
      <c r="AJJ2" s="73"/>
      <c r="AJK2" s="73"/>
      <c r="AJL2" s="73"/>
      <c r="AJM2" s="73"/>
      <c r="AJN2" s="73"/>
      <c r="AJO2" s="73"/>
      <c r="AJP2" s="73"/>
      <c r="AJQ2" s="73"/>
      <c r="AJR2" s="73"/>
      <c r="AJS2" s="73"/>
      <c r="AJT2" s="73"/>
      <c r="AJU2" s="73"/>
      <c r="AJV2" s="73"/>
      <c r="AJW2" s="73"/>
      <c r="AJX2" s="73"/>
      <c r="AJY2" s="73"/>
      <c r="AJZ2" s="73"/>
      <c r="AKA2" s="73"/>
      <c r="AKB2" s="73"/>
      <c r="AKC2" s="73"/>
      <c r="AKD2" s="73"/>
      <c r="AKE2" s="73"/>
      <c r="AKF2" s="73"/>
      <c r="AKG2" s="73"/>
      <c r="AKH2" s="73"/>
      <c r="AKI2" s="73"/>
      <c r="AKJ2" s="73"/>
      <c r="AKK2" s="73"/>
      <c r="AKL2" s="73"/>
      <c r="AKM2" s="73"/>
      <c r="AKN2" s="73"/>
      <c r="AKO2" s="73"/>
      <c r="AKP2" s="73"/>
      <c r="AKQ2" s="73"/>
      <c r="AKR2" s="73"/>
      <c r="AKS2" s="73"/>
      <c r="AKT2" s="73"/>
      <c r="AKU2" s="73"/>
      <c r="AKV2" s="73"/>
      <c r="AKW2" s="73"/>
      <c r="AKX2" s="73"/>
      <c r="AKY2" s="73"/>
      <c r="AKZ2" s="73"/>
      <c r="ALA2" s="73"/>
      <c r="ALB2" s="73"/>
      <c r="ALC2" s="73"/>
      <c r="ALD2" s="73"/>
      <c r="ALE2" s="73"/>
      <c r="ALF2" s="73"/>
      <c r="ALG2" s="73"/>
      <c r="ALH2" s="73"/>
      <c r="ALI2" s="73"/>
      <c r="ALJ2" s="73"/>
      <c r="ALK2" s="73"/>
      <c r="ALL2" s="73"/>
      <c r="ALM2" s="73"/>
      <c r="ALN2" s="73"/>
      <c r="ALO2" s="73"/>
      <c r="ALP2" s="73"/>
      <c r="ALQ2" s="73"/>
      <c r="ALR2" s="73"/>
      <c r="ALS2" s="73"/>
      <c r="ALT2" s="73"/>
      <c r="ALU2" s="73"/>
      <c r="ALV2" s="73"/>
      <c r="ALW2" s="73"/>
      <c r="ALX2" s="73"/>
      <c r="ALY2" s="73"/>
      <c r="ALZ2" s="73"/>
      <c r="AMA2" s="73"/>
      <c r="AMB2" s="73"/>
      <c r="AMC2" s="73"/>
      <c r="AMD2" s="73"/>
      <c r="AME2" s="73"/>
      <c r="AMF2" s="73"/>
      <c r="AMG2" s="73"/>
      <c r="AMH2" s="73"/>
      <c r="AMI2" s="73"/>
      <c r="AMJ2" s="73"/>
    </row>
    <row r="3" spans="1:1024" s="74" customFormat="1" ht="11.25" customHeight="1">
      <c r="A3" s="197"/>
      <c r="B3" s="199"/>
      <c r="C3" s="199" t="s">
        <v>19</v>
      </c>
      <c r="D3" s="199" t="s">
        <v>20</v>
      </c>
      <c r="E3" s="199" t="s">
        <v>21</v>
      </c>
      <c r="F3" s="199" t="s">
        <v>22</v>
      </c>
      <c r="G3" s="199"/>
      <c r="H3" s="199" t="s">
        <v>23</v>
      </c>
      <c r="I3" s="199" t="s">
        <v>8</v>
      </c>
      <c r="J3" s="199" t="s">
        <v>9</v>
      </c>
      <c r="K3" s="199" t="s">
        <v>67</v>
      </c>
      <c r="L3" s="203" t="s">
        <v>68</v>
      </c>
      <c r="M3" s="112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/>
      <c r="IB3" s="73"/>
      <c r="IC3" s="73"/>
      <c r="ID3" s="73"/>
      <c r="IE3" s="73"/>
      <c r="IF3" s="73"/>
      <c r="IG3" s="73"/>
      <c r="IH3" s="73"/>
      <c r="II3" s="73"/>
      <c r="IJ3" s="73"/>
      <c r="IK3" s="73"/>
      <c r="IL3" s="73"/>
      <c r="IM3" s="73"/>
      <c r="IN3" s="73"/>
      <c r="IO3" s="73"/>
      <c r="IP3" s="73"/>
      <c r="IQ3" s="73"/>
      <c r="IR3" s="73"/>
      <c r="IS3" s="73"/>
      <c r="IT3" s="73"/>
      <c r="IU3" s="73"/>
      <c r="IV3" s="73"/>
      <c r="IW3" s="73"/>
      <c r="IX3" s="73"/>
      <c r="IY3" s="73"/>
      <c r="IZ3" s="73"/>
      <c r="JA3" s="73"/>
      <c r="JB3" s="73"/>
      <c r="JC3" s="73"/>
      <c r="JD3" s="73"/>
      <c r="JE3" s="73"/>
      <c r="JF3" s="73"/>
      <c r="JG3" s="73"/>
      <c r="JH3" s="73"/>
      <c r="JI3" s="73"/>
      <c r="JJ3" s="73"/>
      <c r="JK3" s="73"/>
      <c r="JL3" s="73"/>
      <c r="JM3" s="73"/>
      <c r="JN3" s="73"/>
      <c r="JO3" s="73"/>
      <c r="JP3" s="73"/>
      <c r="JQ3" s="73"/>
      <c r="JR3" s="73"/>
      <c r="JS3" s="73"/>
      <c r="JT3" s="73"/>
      <c r="JU3" s="73"/>
      <c r="JV3" s="73"/>
      <c r="JW3" s="73"/>
      <c r="JX3" s="73"/>
      <c r="JY3" s="73"/>
      <c r="JZ3" s="73"/>
      <c r="KA3" s="73"/>
      <c r="KB3" s="73"/>
      <c r="KC3" s="73"/>
      <c r="KD3" s="73"/>
      <c r="KE3" s="73"/>
      <c r="KF3" s="73"/>
      <c r="KG3" s="73"/>
      <c r="KH3" s="73"/>
      <c r="KI3" s="73"/>
      <c r="KJ3" s="73"/>
      <c r="KK3" s="73"/>
      <c r="KL3" s="73"/>
      <c r="KM3" s="73"/>
      <c r="KN3" s="73"/>
      <c r="KO3" s="73"/>
      <c r="KP3" s="73"/>
      <c r="KQ3" s="73"/>
      <c r="KR3" s="73"/>
      <c r="KS3" s="73"/>
      <c r="KT3" s="73"/>
      <c r="KU3" s="73"/>
      <c r="KV3" s="73"/>
      <c r="KW3" s="73"/>
      <c r="KX3" s="73"/>
      <c r="KY3" s="73"/>
      <c r="KZ3" s="73"/>
      <c r="LA3" s="73"/>
      <c r="LB3" s="73"/>
      <c r="LC3" s="73"/>
      <c r="LD3" s="73"/>
      <c r="LE3" s="73"/>
      <c r="LF3" s="73"/>
      <c r="LG3" s="73"/>
      <c r="LH3" s="73"/>
      <c r="LI3" s="73"/>
      <c r="LJ3" s="73"/>
      <c r="LK3" s="73"/>
      <c r="LL3" s="73"/>
      <c r="LM3" s="73"/>
      <c r="LN3" s="73"/>
      <c r="LO3" s="73"/>
      <c r="LP3" s="73"/>
      <c r="LQ3" s="73"/>
      <c r="LR3" s="73"/>
      <c r="LS3" s="73"/>
      <c r="LT3" s="73"/>
      <c r="LU3" s="73"/>
      <c r="LV3" s="73"/>
      <c r="LW3" s="73"/>
      <c r="LX3" s="73"/>
      <c r="LY3" s="73"/>
      <c r="LZ3" s="73"/>
      <c r="MA3" s="73"/>
      <c r="MB3" s="73"/>
      <c r="MC3" s="73"/>
      <c r="MD3" s="73"/>
      <c r="ME3" s="73"/>
      <c r="MF3" s="73"/>
      <c r="MG3" s="73"/>
      <c r="MH3" s="73"/>
      <c r="MI3" s="73"/>
      <c r="MJ3" s="73"/>
      <c r="MK3" s="73"/>
      <c r="ML3" s="73"/>
      <c r="MM3" s="73"/>
      <c r="MN3" s="73"/>
      <c r="MO3" s="73"/>
      <c r="MP3" s="73"/>
      <c r="MQ3" s="73"/>
      <c r="MR3" s="73"/>
      <c r="MS3" s="73"/>
      <c r="MT3" s="73"/>
      <c r="MU3" s="73"/>
      <c r="MV3" s="73"/>
      <c r="MW3" s="73"/>
      <c r="MX3" s="73"/>
      <c r="MY3" s="73"/>
      <c r="MZ3" s="73"/>
      <c r="NA3" s="73"/>
      <c r="NB3" s="73"/>
      <c r="NC3" s="73"/>
      <c r="ND3" s="73"/>
      <c r="NE3" s="73"/>
      <c r="NF3" s="73"/>
      <c r="NG3" s="73"/>
      <c r="NH3" s="73"/>
      <c r="NI3" s="73"/>
      <c r="NJ3" s="73"/>
      <c r="NK3" s="73"/>
      <c r="NL3" s="73"/>
      <c r="NM3" s="73"/>
      <c r="NN3" s="73"/>
      <c r="NO3" s="73"/>
      <c r="NP3" s="73"/>
      <c r="NQ3" s="73"/>
      <c r="NR3" s="73"/>
      <c r="NS3" s="73"/>
      <c r="NT3" s="73"/>
      <c r="NU3" s="73"/>
      <c r="NV3" s="73"/>
      <c r="NW3" s="73"/>
      <c r="NX3" s="73"/>
      <c r="NY3" s="73"/>
      <c r="NZ3" s="73"/>
      <c r="OA3" s="73"/>
      <c r="OB3" s="73"/>
      <c r="OC3" s="73"/>
      <c r="OD3" s="73"/>
      <c r="OE3" s="73"/>
      <c r="OF3" s="73"/>
      <c r="OG3" s="73"/>
      <c r="OH3" s="73"/>
      <c r="OI3" s="73"/>
      <c r="OJ3" s="73"/>
      <c r="OK3" s="73"/>
      <c r="OL3" s="73"/>
      <c r="OM3" s="73"/>
      <c r="ON3" s="73"/>
      <c r="OO3" s="73"/>
      <c r="OP3" s="73"/>
      <c r="OQ3" s="73"/>
      <c r="OR3" s="73"/>
      <c r="OS3" s="73"/>
      <c r="OT3" s="73"/>
      <c r="OU3" s="73"/>
      <c r="OV3" s="73"/>
      <c r="OW3" s="73"/>
      <c r="OX3" s="73"/>
      <c r="OY3" s="73"/>
      <c r="OZ3" s="73"/>
      <c r="PA3" s="73"/>
      <c r="PB3" s="73"/>
      <c r="PC3" s="73"/>
      <c r="PD3" s="73"/>
      <c r="PE3" s="73"/>
      <c r="PF3" s="73"/>
      <c r="PG3" s="73"/>
      <c r="PH3" s="73"/>
      <c r="PI3" s="73"/>
      <c r="PJ3" s="73"/>
      <c r="PK3" s="73"/>
      <c r="PL3" s="73"/>
      <c r="PM3" s="73"/>
      <c r="PN3" s="73"/>
      <c r="PO3" s="73"/>
      <c r="PP3" s="73"/>
      <c r="PQ3" s="73"/>
      <c r="PR3" s="73"/>
      <c r="PS3" s="73"/>
      <c r="PT3" s="73"/>
      <c r="PU3" s="73"/>
      <c r="PV3" s="73"/>
      <c r="PW3" s="73"/>
      <c r="PX3" s="73"/>
      <c r="PY3" s="73"/>
      <c r="PZ3" s="73"/>
      <c r="QA3" s="73"/>
      <c r="QB3" s="73"/>
      <c r="QC3" s="73"/>
      <c r="QD3" s="73"/>
      <c r="QE3" s="73"/>
      <c r="QF3" s="73"/>
      <c r="QG3" s="73"/>
      <c r="QH3" s="73"/>
      <c r="QI3" s="73"/>
      <c r="QJ3" s="73"/>
      <c r="QK3" s="73"/>
      <c r="QL3" s="73"/>
      <c r="QM3" s="73"/>
      <c r="QN3" s="73"/>
      <c r="QO3" s="73"/>
      <c r="QP3" s="73"/>
      <c r="QQ3" s="73"/>
      <c r="QR3" s="73"/>
      <c r="QS3" s="73"/>
      <c r="QT3" s="73"/>
      <c r="QU3" s="73"/>
      <c r="QV3" s="73"/>
      <c r="QW3" s="73"/>
      <c r="QX3" s="73"/>
      <c r="QY3" s="73"/>
      <c r="QZ3" s="73"/>
      <c r="RA3" s="73"/>
      <c r="RB3" s="73"/>
      <c r="RC3" s="73"/>
      <c r="RD3" s="73"/>
      <c r="RE3" s="73"/>
      <c r="RF3" s="73"/>
      <c r="RG3" s="73"/>
      <c r="RH3" s="73"/>
      <c r="RI3" s="73"/>
      <c r="RJ3" s="73"/>
      <c r="RK3" s="73"/>
      <c r="RL3" s="73"/>
      <c r="RM3" s="73"/>
      <c r="RN3" s="73"/>
      <c r="RO3" s="73"/>
      <c r="RP3" s="73"/>
      <c r="RQ3" s="73"/>
      <c r="RR3" s="73"/>
      <c r="RS3" s="73"/>
      <c r="RT3" s="73"/>
      <c r="RU3" s="73"/>
      <c r="RV3" s="73"/>
      <c r="RW3" s="73"/>
      <c r="RX3" s="73"/>
      <c r="RY3" s="73"/>
      <c r="RZ3" s="73"/>
      <c r="SA3" s="73"/>
      <c r="SB3" s="73"/>
      <c r="SC3" s="73"/>
      <c r="SD3" s="73"/>
      <c r="SE3" s="73"/>
      <c r="SF3" s="73"/>
      <c r="SG3" s="73"/>
      <c r="SH3" s="73"/>
      <c r="SI3" s="73"/>
      <c r="SJ3" s="73"/>
      <c r="SK3" s="73"/>
      <c r="SL3" s="73"/>
      <c r="SM3" s="73"/>
      <c r="SN3" s="73"/>
      <c r="SO3" s="73"/>
      <c r="SP3" s="73"/>
      <c r="SQ3" s="73"/>
      <c r="SR3" s="73"/>
      <c r="SS3" s="73"/>
      <c r="ST3" s="73"/>
      <c r="SU3" s="73"/>
      <c r="SV3" s="73"/>
      <c r="SW3" s="73"/>
      <c r="SX3" s="73"/>
      <c r="SY3" s="73"/>
      <c r="SZ3" s="73"/>
      <c r="TA3" s="73"/>
      <c r="TB3" s="73"/>
      <c r="TC3" s="73"/>
      <c r="TD3" s="73"/>
      <c r="TE3" s="73"/>
      <c r="TF3" s="73"/>
      <c r="TG3" s="73"/>
      <c r="TH3" s="73"/>
      <c r="TI3" s="73"/>
      <c r="TJ3" s="73"/>
      <c r="TK3" s="73"/>
      <c r="TL3" s="73"/>
      <c r="TM3" s="73"/>
      <c r="TN3" s="73"/>
      <c r="TO3" s="73"/>
      <c r="TP3" s="73"/>
      <c r="TQ3" s="73"/>
      <c r="TR3" s="73"/>
      <c r="TS3" s="73"/>
      <c r="TT3" s="73"/>
      <c r="TU3" s="73"/>
      <c r="TV3" s="73"/>
      <c r="TW3" s="73"/>
      <c r="TX3" s="73"/>
      <c r="TY3" s="73"/>
      <c r="TZ3" s="73"/>
      <c r="UA3" s="73"/>
      <c r="UB3" s="73"/>
      <c r="UC3" s="73"/>
      <c r="UD3" s="73"/>
      <c r="UE3" s="73"/>
      <c r="UF3" s="73"/>
      <c r="UG3" s="73"/>
      <c r="UH3" s="73"/>
      <c r="UI3" s="73"/>
      <c r="UJ3" s="73"/>
      <c r="UK3" s="73"/>
      <c r="UL3" s="73"/>
      <c r="UM3" s="73"/>
      <c r="UN3" s="73"/>
      <c r="UO3" s="73"/>
      <c r="UP3" s="73"/>
      <c r="UQ3" s="73"/>
      <c r="UR3" s="73"/>
      <c r="US3" s="73"/>
      <c r="UT3" s="73"/>
      <c r="UU3" s="73"/>
      <c r="UV3" s="73"/>
      <c r="UW3" s="73"/>
      <c r="UX3" s="73"/>
      <c r="UY3" s="73"/>
      <c r="UZ3" s="73"/>
      <c r="VA3" s="73"/>
      <c r="VB3" s="73"/>
      <c r="VC3" s="73"/>
      <c r="VD3" s="73"/>
      <c r="VE3" s="73"/>
      <c r="VF3" s="73"/>
      <c r="VG3" s="73"/>
      <c r="VH3" s="73"/>
      <c r="VI3" s="73"/>
      <c r="VJ3" s="73"/>
      <c r="VK3" s="73"/>
      <c r="VL3" s="73"/>
      <c r="VM3" s="73"/>
      <c r="VN3" s="73"/>
      <c r="VO3" s="73"/>
      <c r="VP3" s="73"/>
      <c r="VQ3" s="73"/>
      <c r="VR3" s="73"/>
      <c r="VS3" s="73"/>
      <c r="VT3" s="73"/>
      <c r="VU3" s="73"/>
      <c r="VV3" s="73"/>
      <c r="VW3" s="73"/>
      <c r="VX3" s="73"/>
      <c r="VY3" s="73"/>
      <c r="VZ3" s="73"/>
      <c r="WA3" s="73"/>
      <c r="WB3" s="73"/>
      <c r="WC3" s="73"/>
      <c r="WD3" s="73"/>
      <c r="WE3" s="73"/>
      <c r="WF3" s="73"/>
      <c r="WG3" s="73"/>
      <c r="WH3" s="73"/>
      <c r="WI3" s="73"/>
      <c r="WJ3" s="73"/>
      <c r="WK3" s="73"/>
      <c r="WL3" s="73"/>
      <c r="WM3" s="73"/>
      <c r="WN3" s="73"/>
      <c r="WO3" s="73"/>
      <c r="WP3" s="73"/>
      <c r="WQ3" s="73"/>
      <c r="WR3" s="73"/>
      <c r="WS3" s="73"/>
      <c r="WT3" s="73"/>
      <c r="WU3" s="73"/>
      <c r="WV3" s="73"/>
      <c r="WW3" s="73"/>
      <c r="WX3" s="73"/>
      <c r="WY3" s="73"/>
      <c r="WZ3" s="73"/>
      <c r="XA3" s="73"/>
      <c r="XB3" s="73"/>
      <c r="XC3" s="73"/>
      <c r="XD3" s="73"/>
      <c r="XE3" s="73"/>
      <c r="XF3" s="73"/>
      <c r="XG3" s="73"/>
      <c r="XH3" s="73"/>
      <c r="XI3" s="73"/>
      <c r="XJ3" s="73"/>
      <c r="XK3" s="73"/>
      <c r="XL3" s="73"/>
      <c r="XM3" s="73"/>
      <c r="XN3" s="73"/>
      <c r="XO3" s="73"/>
      <c r="XP3" s="73"/>
      <c r="XQ3" s="73"/>
      <c r="XR3" s="73"/>
      <c r="XS3" s="73"/>
      <c r="XT3" s="73"/>
      <c r="XU3" s="73"/>
      <c r="XV3" s="73"/>
      <c r="XW3" s="73"/>
      <c r="XX3" s="73"/>
      <c r="XY3" s="73"/>
      <c r="XZ3" s="73"/>
      <c r="YA3" s="73"/>
      <c r="YB3" s="73"/>
      <c r="YC3" s="73"/>
      <c r="YD3" s="73"/>
      <c r="YE3" s="73"/>
      <c r="YF3" s="73"/>
      <c r="YG3" s="73"/>
      <c r="YH3" s="73"/>
      <c r="YI3" s="73"/>
      <c r="YJ3" s="73"/>
      <c r="YK3" s="73"/>
      <c r="YL3" s="73"/>
      <c r="YM3" s="73"/>
      <c r="YN3" s="73"/>
      <c r="YO3" s="73"/>
      <c r="YP3" s="73"/>
      <c r="YQ3" s="73"/>
      <c r="YR3" s="73"/>
      <c r="YS3" s="73"/>
      <c r="YT3" s="73"/>
      <c r="YU3" s="73"/>
      <c r="YV3" s="73"/>
      <c r="YW3" s="73"/>
      <c r="YX3" s="73"/>
      <c r="YY3" s="73"/>
      <c r="YZ3" s="73"/>
      <c r="ZA3" s="73"/>
      <c r="ZB3" s="73"/>
      <c r="ZC3" s="73"/>
      <c r="ZD3" s="73"/>
      <c r="ZE3" s="73"/>
      <c r="ZF3" s="73"/>
      <c r="ZG3" s="73"/>
      <c r="ZH3" s="73"/>
      <c r="ZI3" s="73"/>
      <c r="ZJ3" s="73"/>
      <c r="ZK3" s="73"/>
      <c r="ZL3" s="73"/>
      <c r="ZM3" s="73"/>
      <c r="ZN3" s="73"/>
      <c r="ZO3" s="73"/>
      <c r="ZP3" s="73"/>
      <c r="ZQ3" s="73"/>
      <c r="ZR3" s="73"/>
      <c r="ZS3" s="73"/>
      <c r="ZT3" s="73"/>
      <c r="ZU3" s="73"/>
      <c r="ZV3" s="73"/>
      <c r="ZW3" s="73"/>
      <c r="ZX3" s="73"/>
      <c r="ZY3" s="73"/>
      <c r="ZZ3" s="73"/>
      <c r="AAA3" s="73"/>
      <c r="AAB3" s="73"/>
      <c r="AAC3" s="73"/>
      <c r="AAD3" s="73"/>
      <c r="AAE3" s="73"/>
      <c r="AAF3" s="73"/>
      <c r="AAG3" s="73"/>
      <c r="AAH3" s="73"/>
      <c r="AAI3" s="73"/>
      <c r="AAJ3" s="73"/>
      <c r="AAK3" s="73"/>
      <c r="AAL3" s="73"/>
      <c r="AAM3" s="73"/>
      <c r="AAN3" s="73"/>
      <c r="AAO3" s="73"/>
      <c r="AAP3" s="73"/>
      <c r="AAQ3" s="73"/>
      <c r="AAR3" s="73"/>
      <c r="AAS3" s="73"/>
      <c r="AAT3" s="73"/>
      <c r="AAU3" s="73"/>
      <c r="AAV3" s="73"/>
      <c r="AAW3" s="73"/>
      <c r="AAX3" s="73"/>
      <c r="AAY3" s="73"/>
      <c r="AAZ3" s="73"/>
      <c r="ABA3" s="73"/>
      <c r="ABB3" s="73"/>
      <c r="ABC3" s="73"/>
      <c r="ABD3" s="73"/>
      <c r="ABE3" s="73"/>
      <c r="ABF3" s="73"/>
      <c r="ABG3" s="73"/>
      <c r="ABH3" s="73"/>
      <c r="ABI3" s="73"/>
      <c r="ABJ3" s="73"/>
      <c r="ABK3" s="73"/>
      <c r="ABL3" s="73"/>
      <c r="ABM3" s="73"/>
      <c r="ABN3" s="73"/>
      <c r="ABO3" s="73"/>
      <c r="ABP3" s="73"/>
      <c r="ABQ3" s="73"/>
      <c r="ABR3" s="73"/>
      <c r="ABS3" s="73"/>
      <c r="ABT3" s="73"/>
      <c r="ABU3" s="73"/>
      <c r="ABV3" s="73"/>
      <c r="ABW3" s="73"/>
      <c r="ABX3" s="73"/>
      <c r="ABY3" s="73"/>
      <c r="ABZ3" s="73"/>
      <c r="ACA3" s="73"/>
      <c r="ACB3" s="73"/>
      <c r="ACC3" s="73"/>
      <c r="ACD3" s="73"/>
      <c r="ACE3" s="73"/>
      <c r="ACF3" s="73"/>
      <c r="ACG3" s="73"/>
      <c r="ACH3" s="73"/>
      <c r="ACI3" s="73"/>
      <c r="ACJ3" s="73"/>
      <c r="ACK3" s="73"/>
      <c r="ACL3" s="73"/>
      <c r="ACM3" s="73"/>
      <c r="ACN3" s="73"/>
      <c r="ACO3" s="73"/>
      <c r="ACP3" s="73"/>
      <c r="ACQ3" s="73"/>
      <c r="ACR3" s="73"/>
      <c r="ACS3" s="73"/>
      <c r="ACT3" s="73"/>
      <c r="ACU3" s="73"/>
      <c r="ACV3" s="73"/>
      <c r="ACW3" s="73"/>
      <c r="ACX3" s="73"/>
      <c r="ACY3" s="73"/>
      <c r="ACZ3" s="73"/>
      <c r="ADA3" s="73"/>
      <c r="ADB3" s="73"/>
      <c r="ADC3" s="73"/>
      <c r="ADD3" s="73"/>
      <c r="ADE3" s="73"/>
      <c r="ADF3" s="73"/>
      <c r="ADG3" s="73"/>
      <c r="ADH3" s="73"/>
      <c r="ADI3" s="73"/>
      <c r="ADJ3" s="73"/>
      <c r="ADK3" s="73"/>
      <c r="ADL3" s="73"/>
      <c r="ADM3" s="73"/>
      <c r="ADN3" s="73"/>
      <c r="ADO3" s="73"/>
      <c r="ADP3" s="73"/>
      <c r="ADQ3" s="73"/>
      <c r="ADR3" s="73"/>
      <c r="ADS3" s="73"/>
      <c r="ADT3" s="73"/>
      <c r="ADU3" s="73"/>
      <c r="ADV3" s="73"/>
      <c r="ADW3" s="73"/>
      <c r="ADX3" s="73"/>
      <c r="ADY3" s="73"/>
      <c r="ADZ3" s="73"/>
      <c r="AEA3" s="73"/>
      <c r="AEB3" s="73"/>
      <c r="AEC3" s="73"/>
      <c r="AED3" s="73"/>
      <c r="AEE3" s="73"/>
      <c r="AEF3" s="73"/>
      <c r="AEG3" s="73"/>
      <c r="AEH3" s="73"/>
      <c r="AEI3" s="73"/>
      <c r="AEJ3" s="73"/>
      <c r="AEK3" s="73"/>
      <c r="AEL3" s="73"/>
      <c r="AEM3" s="73"/>
      <c r="AEN3" s="73"/>
      <c r="AEO3" s="73"/>
      <c r="AEP3" s="73"/>
      <c r="AEQ3" s="73"/>
      <c r="AER3" s="73"/>
      <c r="AES3" s="73"/>
      <c r="AET3" s="73"/>
      <c r="AEU3" s="73"/>
      <c r="AEV3" s="73"/>
      <c r="AEW3" s="73"/>
      <c r="AEX3" s="73"/>
      <c r="AEY3" s="73"/>
      <c r="AEZ3" s="73"/>
      <c r="AFA3" s="73"/>
      <c r="AFB3" s="73"/>
      <c r="AFC3" s="73"/>
      <c r="AFD3" s="73"/>
      <c r="AFE3" s="73"/>
      <c r="AFF3" s="73"/>
      <c r="AFG3" s="73"/>
      <c r="AFH3" s="73"/>
      <c r="AFI3" s="73"/>
      <c r="AFJ3" s="73"/>
      <c r="AFK3" s="73"/>
      <c r="AFL3" s="73"/>
      <c r="AFM3" s="73"/>
      <c r="AFN3" s="73"/>
      <c r="AFO3" s="73"/>
      <c r="AFP3" s="73"/>
      <c r="AFQ3" s="73"/>
      <c r="AFR3" s="73"/>
      <c r="AFS3" s="73"/>
      <c r="AFT3" s="73"/>
      <c r="AFU3" s="73"/>
      <c r="AFV3" s="73"/>
      <c r="AFW3" s="73"/>
      <c r="AFX3" s="73"/>
      <c r="AFY3" s="73"/>
      <c r="AFZ3" s="73"/>
      <c r="AGA3" s="73"/>
      <c r="AGB3" s="73"/>
      <c r="AGC3" s="73"/>
      <c r="AGD3" s="73"/>
      <c r="AGE3" s="73"/>
      <c r="AGF3" s="73"/>
      <c r="AGG3" s="73"/>
      <c r="AGH3" s="73"/>
      <c r="AGI3" s="73"/>
      <c r="AGJ3" s="73"/>
      <c r="AGK3" s="73"/>
      <c r="AGL3" s="73"/>
      <c r="AGM3" s="73"/>
      <c r="AGN3" s="73"/>
      <c r="AGO3" s="73"/>
      <c r="AGP3" s="73"/>
      <c r="AGQ3" s="73"/>
      <c r="AGR3" s="73"/>
      <c r="AGS3" s="73"/>
      <c r="AGT3" s="73"/>
      <c r="AGU3" s="73"/>
      <c r="AGV3" s="73"/>
      <c r="AGW3" s="73"/>
      <c r="AGX3" s="73"/>
      <c r="AGY3" s="73"/>
      <c r="AGZ3" s="73"/>
      <c r="AHA3" s="73"/>
      <c r="AHB3" s="73"/>
      <c r="AHC3" s="73"/>
      <c r="AHD3" s="73"/>
      <c r="AHE3" s="73"/>
      <c r="AHF3" s="73"/>
      <c r="AHG3" s="73"/>
      <c r="AHH3" s="73"/>
      <c r="AHI3" s="73"/>
      <c r="AHJ3" s="73"/>
      <c r="AHK3" s="73"/>
      <c r="AHL3" s="73"/>
      <c r="AHM3" s="73"/>
      <c r="AHN3" s="73"/>
      <c r="AHO3" s="73"/>
      <c r="AHP3" s="73"/>
      <c r="AHQ3" s="73"/>
      <c r="AHR3" s="73"/>
      <c r="AHS3" s="73"/>
      <c r="AHT3" s="73"/>
      <c r="AHU3" s="73"/>
      <c r="AHV3" s="73"/>
      <c r="AHW3" s="73"/>
      <c r="AHX3" s="73"/>
      <c r="AHY3" s="73"/>
      <c r="AHZ3" s="73"/>
      <c r="AIA3" s="73"/>
      <c r="AIB3" s="73"/>
      <c r="AIC3" s="73"/>
      <c r="AID3" s="73"/>
      <c r="AIE3" s="73"/>
      <c r="AIF3" s="73"/>
      <c r="AIG3" s="73"/>
      <c r="AIH3" s="73"/>
      <c r="AII3" s="73"/>
      <c r="AIJ3" s="73"/>
      <c r="AIK3" s="73"/>
      <c r="AIL3" s="73"/>
      <c r="AIM3" s="73"/>
      <c r="AIN3" s="73"/>
      <c r="AIO3" s="73"/>
      <c r="AIP3" s="73"/>
      <c r="AIQ3" s="73"/>
      <c r="AIR3" s="73"/>
      <c r="AIS3" s="73"/>
      <c r="AIT3" s="73"/>
      <c r="AIU3" s="73"/>
      <c r="AIV3" s="73"/>
      <c r="AIW3" s="73"/>
      <c r="AIX3" s="73"/>
      <c r="AIY3" s="73"/>
      <c r="AIZ3" s="73"/>
      <c r="AJA3" s="73"/>
      <c r="AJB3" s="73"/>
      <c r="AJC3" s="73"/>
      <c r="AJD3" s="73"/>
      <c r="AJE3" s="73"/>
      <c r="AJF3" s="73"/>
      <c r="AJG3" s="73"/>
      <c r="AJH3" s="73"/>
      <c r="AJI3" s="73"/>
      <c r="AJJ3" s="73"/>
      <c r="AJK3" s="73"/>
      <c r="AJL3" s="73"/>
      <c r="AJM3" s="73"/>
      <c r="AJN3" s="73"/>
      <c r="AJO3" s="73"/>
      <c r="AJP3" s="73"/>
      <c r="AJQ3" s="73"/>
      <c r="AJR3" s="73"/>
      <c r="AJS3" s="73"/>
      <c r="AJT3" s="73"/>
      <c r="AJU3" s="73"/>
      <c r="AJV3" s="73"/>
      <c r="AJW3" s="73"/>
      <c r="AJX3" s="73"/>
      <c r="AJY3" s="73"/>
      <c r="AJZ3" s="73"/>
      <c r="AKA3" s="73"/>
      <c r="AKB3" s="73"/>
      <c r="AKC3" s="73"/>
      <c r="AKD3" s="73"/>
      <c r="AKE3" s="73"/>
      <c r="AKF3" s="73"/>
      <c r="AKG3" s="73"/>
      <c r="AKH3" s="73"/>
      <c r="AKI3" s="73"/>
      <c r="AKJ3" s="73"/>
      <c r="AKK3" s="73"/>
      <c r="AKL3" s="73"/>
      <c r="AKM3" s="73"/>
      <c r="AKN3" s="73"/>
      <c r="AKO3" s="73"/>
      <c r="AKP3" s="73"/>
      <c r="AKQ3" s="73"/>
      <c r="AKR3" s="73"/>
      <c r="AKS3" s="73"/>
      <c r="AKT3" s="73"/>
      <c r="AKU3" s="73"/>
      <c r="AKV3" s="73"/>
      <c r="AKW3" s="73"/>
      <c r="AKX3" s="73"/>
      <c r="AKY3" s="73"/>
      <c r="AKZ3" s="73"/>
      <c r="ALA3" s="73"/>
      <c r="ALB3" s="73"/>
      <c r="ALC3" s="73"/>
      <c r="ALD3" s="73"/>
      <c r="ALE3" s="73"/>
      <c r="ALF3" s="73"/>
      <c r="ALG3" s="73"/>
      <c r="ALH3" s="73"/>
      <c r="ALI3" s="73"/>
      <c r="ALJ3" s="73"/>
      <c r="ALK3" s="73"/>
      <c r="ALL3" s="73"/>
      <c r="ALM3" s="73"/>
      <c r="ALN3" s="73"/>
      <c r="ALO3" s="73"/>
      <c r="ALP3" s="73"/>
      <c r="ALQ3" s="73"/>
      <c r="ALR3" s="73"/>
      <c r="ALS3" s="73"/>
      <c r="ALT3" s="73"/>
      <c r="ALU3" s="73"/>
      <c r="ALV3" s="73"/>
      <c r="ALW3" s="73"/>
      <c r="ALX3" s="73"/>
      <c r="ALY3" s="73"/>
      <c r="ALZ3" s="73"/>
      <c r="AMA3" s="73"/>
      <c r="AMB3" s="73"/>
      <c r="AMC3" s="73"/>
      <c r="AMD3" s="73"/>
      <c r="AME3" s="73"/>
      <c r="AMF3" s="73"/>
      <c r="AMG3" s="73"/>
      <c r="AMH3" s="73"/>
      <c r="AMI3" s="73"/>
      <c r="AMJ3" s="73"/>
    </row>
    <row r="4" spans="1:1024" s="74" customFormat="1" ht="235.5" customHeight="1">
      <c r="A4" s="198"/>
      <c r="B4" s="199"/>
      <c r="C4" s="199"/>
      <c r="D4" s="199"/>
      <c r="E4" s="199"/>
      <c r="F4" s="75" t="s">
        <v>10</v>
      </c>
      <c r="G4" s="75" t="s">
        <v>11</v>
      </c>
      <c r="H4" s="199"/>
      <c r="I4" s="199"/>
      <c r="J4" s="199"/>
      <c r="K4" s="199"/>
      <c r="L4" s="204"/>
      <c r="M4" s="11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  <c r="IH4" s="73"/>
      <c r="II4" s="73"/>
      <c r="IJ4" s="73"/>
      <c r="IK4" s="73"/>
      <c r="IL4" s="73"/>
      <c r="IM4" s="73"/>
      <c r="IN4" s="73"/>
      <c r="IO4" s="73"/>
      <c r="IP4" s="73"/>
      <c r="IQ4" s="73"/>
      <c r="IR4" s="73"/>
      <c r="IS4" s="73"/>
      <c r="IT4" s="73"/>
      <c r="IU4" s="73"/>
      <c r="IV4" s="73"/>
      <c r="IW4" s="73"/>
      <c r="IX4" s="73"/>
      <c r="IY4" s="73"/>
      <c r="IZ4" s="73"/>
      <c r="JA4" s="73"/>
      <c r="JB4" s="73"/>
      <c r="JC4" s="73"/>
      <c r="JD4" s="73"/>
      <c r="JE4" s="73"/>
      <c r="JF4" s="73"/>
      <c r="JG4" s="73"/>
      <c r="JH4" s="73"/>
      <c r="JI4" s="73"/>
      <c r="JJ4" s="73"/>
      <c r="JK4" s="73"/>
      <c r="JL4" s="73"/>
      <c r="JM4" s="73"/>
      <c r="JN4" s="73"/>
      <c r="JO4" s="73"/>
      <c r="JP4" s="73"/>
      <c r="JQ4" s="73"/>
      <c r="JR4" s="73"/>
      <c r="JS4" s="73"/>
      <c r="JT4" s="73"/>
      <c r="JU4" s="73"/>
      <c r="JV4" s="73"/>
      <c r="JW4" s="73"/>
      <c r="JX4" s="73"/>
      <c r="JY4" s="73"/>
      <c r="JZ4" s="73"/>
      <c r="KA4" s="73"/>
      <c r="KB4" s="73"/>
      <c r="KC4" s="73"/>
      <c r="KD4" s="73"/>
      <c r="KE4" s="73"/>
      <c r="KF4" s="73"/>
      <c r="KG4" s="73"/>
      <c r="KH4" s="73"/>
      <c r="KI4" s="73"/>
      <c r="KJ4" s="73"/>
      <c r="KK4" s="73"/>
      <c r="KL4" s="73"/>
      <c r="KM4" s="73"/>
      <c r="KN4" s="73"/>
      <c r="KO4" s="73"/>
      <c r="KP4" s="73"/>
      <c r="KQ4" s="73"/>
      <c r="KR4" s="73"/>
      <c r="KS4" s="73"/>
      <c r="KT4" s="73"/>
      <c r="KU4" s="73"/>
      <c r="KV4" s="73"/>
      <c r="KW4" s="73"/>
      <c r="KX4" s="73"/>
      <c r="KY4" s="73"/>
      <c r="KZ4" s="73"/>
      <c r="LA4" s="73"/>
      <c r="LB4" s="73"/>
      <c r="LC4" s="73"/>
      <c r="LD4" s="73"/>
      <c r="LE4" s="73"/>
      <c r="LF4" s="73"/>
      <c r="LG4" s="73"/>
      <c r="LH4" s="73"/>
      <c r="LI4" s="73"/>
      <c r="LJ4" s="73"/>
      <c r="LK4" s="73"/>
      <c r="LL4" s="73"/>
      <c r="LM4" s="73"/>
      <c r="LN4" s="73"/>
      <c r="LO4" s="73"/>
      <c r="LP4" s="73"/>
      <c r="LQ4" s="73"/>
      <c r="LR4" s="73"/>
      <c r="LS4" s="73"/>
      <c r="LT4" s="73"/>
      <c r="LU4" s="73"/>
      <c r="LV4" s="73"/>
      <c r="LW4" s="73"/>
      <c r="LX4" s="73"/>
      <c r="LY4" s="73"/>
      <c r="LZ4" s="73"/>
      <c r="MA4" s="73"/>
      <c r="MB4" s="73"/>
      <c r="MC4" s="73"/>
      <c r="MD4" s="73"/>
      <c r="ME4" s="73"/>
      <c r="MF4" s="73"/>
      <c r="MG4" s="73"/>
      <c r="MH4" s="73"/>
      <c r="MI4" s="73"/>
      <c r="MJ4" s="73"/>
      <c r="MK4" s="73"/>
      <c r="ML4" s="73"/>
      <c r="MM4" s="73"/>
      <c r="MN4" s="73"/>
      <c r="MO4" s="73"/>
      <c r="MP4" s="73"/>
      <c r="MQ4" s="73"/>
      <c r="MR4" s="73"/>
      <c r="MS4" s="73"/>
      <c r="MT4" s="73"/>
      <c r="MU4" s="73"/>
      <c r="MV4" s="73"/>
      <c r="MW4" s="73"/>
      <c r="MX4" s="73"/>
      <c r="MY4" s="73"/>
      <c r="MZ4" s="73"/>
      <c r="NA4" s="73"/>
      <c r="NB4" s="73"/>
      <c r="NC4" s="73"/>
      <c r="ND4" s="73"/>
      <c r="NE4" s="73"/>
      <c r="NF4" s="73"/>
      <c r="NG4" s="73"/>
      <c r="NH4" s="73"/>
      <c r="NI4" s="73"/>
      <c r="NJ4" s="73"/>
      <c r="NK4" s="73"/>
      <c r="NL4" s="73"/>
      <c r="NM4" s="73"/>
      <c r="NN4" s="73"/>
      <c r="NO4" s="73"/>
      <c r="NP4" s="73"/>
      <c r="NQ4" s="73"/>
      <c r="NR4" s="73"/>
      <c r="NS4" s="73"/>
      <c r="NT4" s="73"/>
      <c r="NU4" s="73"/>
      <c r="NV4" s="73"/>
      <c r="NW4" s="73"/>
      <c r="NX4" s="73"/>
      <c r="NY4" s="73"/>
      <c r="NZ4" s="73"/>
      <c r="OA4" s="73"/>
      <c r="OB4" s="73"/>
      <c r="OC4" s="73"/>
      <c r="OD4" s="73"/>
      <c r="OE4" s="73"/>
      <c r="OF4" s="73"/>
      <c r="OG4" s="73"/>
      <c r="OH4" s="73"/>
      <c r="OI4" s="73"/>
      <c r="OJ4" s="73"/>
      <c r="OK4" s="73"/>
      <c r="OL4" s="73"/>
      <c r="OM4" s="73"/>
      <c r="ON4" s="73"/>
      <c r="OO4" s="73"/>
      <c r="OP4" s="73"/>
      <c r="OQ4" s="73"/>
      <c r="OR4" s="73"/>
      <c r="OS4" s="73"/>
      <c r="OT4" s="73"/>
      <c r="OU4" s="73"/>
      <c r="OV4" s="73"/>
      <c r="OW4" s="73"/>
      <c r="OX4" s="73"/>
      <c r="OY4" s="73"/>
      <c r="OZ4" s="73"/>
      <c r="PA4" s="73"/>
      <c r="PB4" s="73"/>
      <c r="PC4" s="73"/>
      <c r="PD4" s="73"/>
      <c r="PE4" s="73"/>
      <c r="PF4" s="73"/>
      <c r="PG4" s="73"/>
      <c r="PH4" s="73"/>
      <c r="PI4" s="73"/>
      <c r="PJ4" s="73"/>
      <c r="PK4" s="73"/>
      <c r="PL4" s="73"/>
      <c r="PM4" s="73"/>
      <c r="PN4" s="73"/>
      <c r="PO4" s="73"/>
      <c r="PP4" s="73"/>
      <c r="PQ4" s="73"/>
      <c r="PR4" s="73"/>
      <c r="PS4" s="73"/>
      <c r="PT4" s="73"/>
      <c r="PU4" s="73"/>
      <c r="PV4" s="73"/>
      <c r="PW4" s="73"/>
      <c r="PX4" s="73"/>
      <c r="PY4" s="73"/>
      <c r="PZ4" s="73"/>
      <c r="QA4" s="73"/>
      <c r="QB4" s="73"/>
      <c r="QC4" s="73"/>
      <c r="QD4" s="73"/>
      <c r="QE4" s="73"/>
      <c r="QF4" s="73"/>
      <c r="QG4" s="73"/>
      <c r="QH4" s="73"/>
      <c r="QI4" s="73"/>
      <c r="QJ4" s="73"/>
      <c r="QK4" s="73"/>
      <c r="QL4" s="73"/>
      <c r="QM4" s="73"/>
      <c r="QN4" s="73"/>
      <c r="QO4" s="73"/>
      <c r="QP4" s="73"/>
      <c r="QQ4" s="73"/>
      <c r="QR4" s="73"/>
      <c r="QS4" s="73"/>
      <c r="QT4" s="73"/>
      <c r="QU4" s="73"/>
      <c r="QV4" s="73"/>
      <c r="QW4" s="73"/>
      <c r="QX4" s="73"/>
      <c r="QY4" s="73"/>
      <c r="QZ4" s="73"/>
      <c r="RA4" s="73"/>
      <c r="RB4" s="73"/>
      <c r="RC4" s="73"/>
      <c r="RD4" s="73"/>
      <c r="RE4" s="73"/>
      <c r="RF4" s="73"/>
      <c r="RG4" s="73"/>
      <c r="RH4" s="73"/>
      <c r="RI4" s="73"/>
      <c r="RJ4" s="73"/>
      <c r="RK4" s="73"/>
      <c r="RL4" s="73"/>
      <c r="RM4" s="73"/>
      <c r="RN4" s="73"/>
      <c r="RO4" s="73"/>
      <c r="RP4" s="73"/>
      <c r="RQ4" s="73"/>
      <c r="RR4" s="73"/>
      <c r="RS4" s="73"/>
      <c r="RT4" s="73"/>
      <c r="RU4" s="73"/>
      <c r="RV4" s="73"/>
      <c r="RW4" s="73"/>
      <c r="RX4" s="73"/>
      <c r="RY4" s="73"/>
      <c r="RZ4" s="73"/>
      <c r="SA4" s="73"/>
      <c r="SB4" s="73"/>
      <c r="SC4" s="73"/>
      <c r="SD4" s="73"/>
      <c r="SE4" s="73"/>
      <c r="SF4" s="73"/>
      <c r="SG4" s="73"/>
      <c r="SH4" s="73"/>
      <c r="SI4" s="73"/>
      <c r="SJ4" s="73"/>
      <c r="SK4" s="73"/>
      <c r="SL4" s="73"/>
      <c r="SM4" s="73"/>
      <c r="SN4" s="73"/>
      <c r="SO4" s="73"/>
      <c r="SP4" s="73"/>
      <c r="SQ4" s="73"/>
      <c r="SR4" s="73"/>
      <c r="SS4" s="73"/>
      <c r="ST4" s="73"/>
      <c r="SU4" s="73"/>
      <c r="SV4" s="73"/>
      <c r="SW4" s="73"/>
      <c r="SX4" s="73"/>
      <c r="SY4" s="73"/>
      <c r="SZ4" s="73"/>
      <c r="TA4" s="73"/>
      <c r="TB4" s="73"/>
      <c r="TC4" s="73"/>
      <c r="TD4" s="73"/>
      <c r="TE4" s="73"/>
      <c r="TF4" s="73"/>
      <c r="TG4" s="73"/>
      <c r="TH4" s="73"/>
      <c r="TI4" s="73"/>
      <c r="TJ4" s="73"/>
      <c r="TK4" s="73"/>
      <c r="TL4" s="73"/>
      <c r="TM4" s="73"/>
      <c r="TN4" s="73"/>
      <c r="TO4" s="73"/>
      <c r="TP4" s="73"/>
      <c r="TQ4" s="73"/>
      <c r="TR4" s="73"/>
      <c r="TS4" s="73"/>
      <c r="TT4" s="73"/>
      <c r="TU4" s="73"/>
      <c r="TV4" s="73"/>
      <c r="TW4" s="73"/>
      <c r="TX4" s="73"/>
      <c r="TY4" s="73"/>
      <c r="TZ4" s="73"/>
      <c r="UA4" s="73"/>
      <c r="UB4" s="73"/>
      <c r="UC4" s="73"/>
      <c r="UD4" s="73"/>
      <c r="UE4" s="73"/>
      <c r="UF4" s="73"/>
      <c r="UG4" s="73"/>
      <c r="UH4" s="73"/>
      <c r="UI4" s="73"/>
      <c r="UJ4" s="73"/>
      <c r="UK4" s="73"/>
      <c r="UL4" s="73"/>
      <c r="UM4" s="73"/>
      <c r="UN4" s="73"/>
      <c r="UO4" s="73"/>
      <c r="UP4" s="73"/>
      <c r="UQ4" s="73"/>
      <c r="UR4" s="73"/>
      <c r="US4" s="73"/>
      <c r="UT4" s="73"/>
      <c r="UU4" s="73"/>
      <c r="UV4" s="73"/>
      <c r="UW4" s="73"/>
      <c r="UX4" s="73"/>
      <c r="UY4" s="73"/>
      <c r="UZ4" s="73"/>
      <c r="VA4" s="73"/>
      <c r="VB4" s="73"/>
      <c r="VC4" s="73"/>
      <c r="VD4" s="73"/>
      <c r="VE4" s="73"/>
      <c r="VF4" s="73"/>
      <c r="VG4" s="73"/>
      <c r="VH4" s="73"/>
      <c r="VI4" s="73"/>
      <c r="VJ4" s="73"/>
      <c r="VK4" s="73"/>
      <c r="VL4" s="73"/>
      <c r="VM4" s="73"/>
      <c r="VN4" s="73"/>
      <c r="VO4" s="73"/>
      <c r="VP4" s="73"/>
      <c r="VQ4" s="73"/>
      <c r="VR4" s="73"/>
      <c r="VS4" s="73"/>
      <c r="VT4" s="73"/>
      <c r="VU4" s="73"/>
      <c r="VV4" s="73"/>
      <c r="VW4" s="73"/>
      <c r="VX4" s="73"/>
      <c r="VY4" s="73"/>
      <c r="VZ4" s="73"/>
      <c r="WA4" s="73"/>
      <c r="WB4" s="73"/>
      <c r="WC4" s="73"/>
      <c r="WD4" s="73"/>
      <c r="WE4" s="73"/>
      <c r="WF4" s="73"/>
      <c r="WG4" s="73"/>
      <c r="WH4" s="73"/>
      <c r="WI4" s="73"/>
      <c r="WJ4" s="73"/>
      <c r="WK4" s="73"/>
      <c r="WL4" s="73"/>
      <c r="WM4" s="73"/>
      <c r="WN4" s="73"/>
      <c r="WO4" s="73"/>
      <c r="WP4" s="73"/>
      <c r="WQ4" s="73"/>
      <c r="WR4" s="73"/>
      <c r="WS4" s="73"/>
      <c r="WT4" s="73"/>
      <c r="WU4" s="73"/>
      <c r="WV4" s="73"/>
      <c r="WW4" s="73"/>
      <c r="WX4" s="73"/>
      <c r="WY4" s="73"/>
      <c r="WZ4" s="73"/>
      <c r="XA4" s="73"/>
      <c r="XB4" s="73"/>
      <c r="XC4" s="73"/>
      <c r="XD4" s="73"/>
      <c r="XE4" s="73"/>
      <c r="XF4" s="73"/>
      <c r="XG4" s="73"/>
      <c r="XH4" s="73"/>
      <c r="XI4" s="73"/>
      <c r="XJ4" s="73"/>
      <c r="XK4" s="73"/>
      <c r="XL4" s="73"/>
      <c r="XM4" s="73"/>
      <c r="XN4" s="73"/>
      <c r="XO4" s="73"/>
      <c r="XP4" s="73"/>
      <c r="XQ4" s="73"/>
      <c r="XR4" s="73"/>
      <c r="XS4" s="73"/>
      <c r="XT4" s="73"/>
      <c r="XU4" s="73"/>
      <c r="XV4" s="73"/>
      <c r="XW4" s="73"/>
      <c r="XX4" s="73"/>
      <c r="XY4" s="73"/>
      <c r="XZ4" s="73"/>
      <c r="YA4" s="73"/>
      <c r="YB4" s="73"/>
      <c r="YC4" s="73"/>
      <c r="YD4" s="73"/>
      <c r="YE4" s="73"/>
      <c r="YF4" s="73"/>
      <c r="YG4" s="73"/>
      <c r="YH4" s="73"/>
      <c r="YI4" s="73"/>
      <c r="YJ4" s="73"/>
      <c r="YK4" s="73"/>
      <c r="YL4" s="73"/>
      <c r="YM4" s="73"/>
      <c r="YN4" s="73"/>
      <c r="YO4" s="73"/>
      <c r="YP4" s="73"/>
      <c r="YQ4" s="73"/>
      <c r="YR4" s="73"/>
      <c r="YS4" s="73"/>
      <c r="YT4" s="73"/>
      <c r="YU4" s="73"/>
      <c r="YV4" s="73"/>
      <c r="YW4" s="73"/>
      <c r="YX4" s="73"/>
      <c r="YY4" s="73"/>
      <c r="YZ4" s="73"/>
      <c r="ZA4" s="73"/>
      <c r="ZB4" s="73"/>
      <c r="ZC4" s="73"/>
      <c r="ZD4" s="73"/>
      <c r="ZE4" s="73"/>
      <c r="ZF4" s="73"/>
      <c r="ZG4" s="73"/>
      <c r="ZH4" s="73"/>
      <c r="ZI4" s="73"/>
      <c r="ZJ4" s="73"/>
      <c r="ZK4" s="73"/>
      <c r="ZL4" s="73"/>
      <c r="ZM4" s="73"/>
      <c r="ZN4" s="73"/>
      <c r="ZO4" s="73"/>
      <c r="ZP4" s="73"/>
      <c r="ZQ4" s="73"/>
      <c r="ZR4" s="73"/>
      <c r="ZS4" s="73"/>
      <c r="ZT4" s="73"/>
      <c r="ZU4" s="73"/>
      <c r="ZV4" s="73"/>
      <c r="ZW4" s="73"/>
      <c r="ZX4" s="73"/>
      <c r="ZY4" s="73"/>
      <c r="ZZ4" s="73"/>
      <c r="AAA4" s="73"/>
      <c r="AAB4" s="73"/>
      <c r="AAC4" s="73"/>
      <c r="AAD4" s="73"/>
      <c r="AAE4" s="73"/>
      <c r="AAF4" s="73"/>
      <c r="AAG4" s="73"/>
      <c r="AAH4" s="73"/>
      <c r="AAI4" s="73"/>
      <c r="AAJ4" s="73"/>
      <c r="AAK4" s="73"/>
      <c r="AAL4" s="73"/>
      <c r="AAM4" s="73"/>
      <c r="AAN4" s="73"/>
      <c r="AAO4" s="73"/>
      <c r="AAP4" s="73"/>
      <c r="AAQ4" s="73"/>
      <c r="AAR4" s="73"/>
      <c r="AAS4" s="73"/>
      <c r="AAT4" s="73"/>
      <c r="AAU4" s="73"/>
      <c r="AAV4" s="73"/>
      <c r="AAW4" s="73"/>
      <c r="AAX4" s="73"/>
      <c r="AAY4" s="73"/>
      <c r="AAZ4" s="73"/>
      <c r="ABA4" s="73"/>
      <c r="ABB4" s="73"/>
      <c r="ABC4" s="73"/>
      <c r="ABD4" s="73"/>
      <c r="ABE4" s="73"/>
      <c r="ABF4" s="73"/>
      <c r="ABG4" s="73"/>
      <c r="ABH4" s="73"/>
      <c r="ABI4" s="73"/>
      <c r="ABJ4" s="73"/>
      <c r="ABK4" s="73"/>
      <c r="ABL4" s="73"/>
      <c r="ABM4" s="73"/>
      <c r="ABN4" s="73"/>
      <c r="ABO4" s="73"/>
      <c r="ABP4" s="73"/>
      <c r="ABQ4" s="73"/>
      <c r="ABR4" s="73"/>
      <c r="ABS4" s="73"/>
      <c r="ABT4" s="73"/>
      <c r="ABU4" s="73"/>
      <c r="ABV4" s="73"/>
      <c r="ABW4" s="73"/>
      <c r="ABX4" s="73"/>
      <c r="ABY4" s="73"/>
      <c r="ABZ4" s="73"/>
      <c r="ACA4" s="73"/>
      <c r="ACB4" s="73"/>
      <c r="ACC4" s="73"/>
      <c r="ACD4" s="73"/>
      <c r="ACE4" s="73"/>
      <c r="ACF4" s="73"/>
      <c r="ACG4" s="73"/>
      <c r="ACH4" s="73"/>
      <c r="ACI4" s="73"/>
      <c r="ACJ4" s="73"/>
      <c r="ACK4" s="73"/>
      <c r="ACL4" s="73"/>
      <c r="ACM4" s="73"/>
      <c r="ACN4" s="73"/>
      <c r="ACO4" s="73"/>
      <c r="ACP4" s="73"/>
      <c r="ACQ4" s="73"/>
      <c r="ACR4" s="73"/>
      <c r="ACS4" s="73"/>
      <c r="ACT4" s="73"/>
      <c r="ACU4" s="73"/>
      <c r="ACV4" s="73"/>
      <c r="ACW4" s="73"/>
      <c r="ACX4" s="73"/>
      <c r="ACY4" s="73"/>
      <c r="ACZ4" s="73"/>
      <c r="ADA4" s="73"/>
      <c r="ADB4" s="73"/>
      <c r="ADC4" s="73"/>
      <c r="ADD4" s="73"/>
      <c r="ADE4" s="73"/>
      <c r="ADF4" s="73"/>
      <c r="ADG4" s="73"/>
      <c r="ADH4" s="73"/>
      <c r="ADI4" s="73"/>
      <c r="ADJ4" s="73"/>
      <c r="ADK4" s="73"/>
      <c r="ADL4" s="73"/>
      <c r="ADM4" s="73"/>
      <c r="ADN4" s="73"/>
      <c r="ADO4" s="73"/>
      <c r="ADP4" s="73"/>
      <c r="ADQ4" s="73"/>
      <c r="ADR4" s="73"/>
      <c r="ADS4" s="73"/>
      <c r="ADT4" s="73"/>
      <c r="ADU4" s="73"/>
      <c r="ADV4" s="73"/>
      <c r="ADW4" s="73"/>
      <c r="ADX4" s="73"/>
      <c r="ADY4" s="73"/>
      <c r="ADZ4" s="73"/>
      <c r="AEA4" s="73"/>
      <c r="AEB4" s="73"/>
      <c r="AEC4" s="73"/>
      <c r="AED4" s="73"/>
      <c r="AEE4" s="73"/>
      <c r="AEF4" s="73"/>
      <c r="AEG4" s="73"/>
      <c r="AEH4" s="73"/>
      <c r="AEI4" s="73"/>
      <c r="AEJ4" s="73"/>
      <c r="AEK4" s="73"/>
      <c r="AEL4" s="73"/>
      <c r="AEM4" s="73"/>
      <c r="AEN4" s="73"/>
      <c r="AEO4" s="73"/>
      <c r="AEP4" s="73"/>
      <c r="AEQ4" s="73"/>
      <c r="AER4" s="73"/>
      <c r="AES4" s="73"/>
      <c r="AET4" s="73"/>
      <c r="AEU4" s="73"/>
      <c r="AEV4" s="73"/>
      <c r="AEW4" s="73"/>
      <c r="AEX4" s="73"/>
      <c r="AEY4" s="73"/>
      <c r="AEZ4" s="73"/>
      <c r="AFA4" s="73"/>
      <c r="AFB4" s="73"/>
      <c r="AFC4" s="73"/>
      <c r="AFD4" s="73"/>
      <c r="AFE4" s="73"/>
      <c r="AFF4" s="73"/>
      <c r="AFG4" s="73"/>
      <c r="AFH4" s="73"/>
      <c r="AFI4" s="73"/>
      <c r="AFJ4" s="73"/>
      <c r="AFK4" s="73"/>
      <c r="AFL4" s="73"/>
      <c r="AFM4" s="73"/>
      <c r="AFN4" s="73"/>
      <c r="AFO4" s="73"/>
      <c r="AFP4" s="73"/>
      <c r="AFQ4" s="73"/>
      <c r="AFR4" s="73"/>
      <c r="AFS4" s="73"/>
      <c r="AFT4" s="73"/>
      <c r="AFU4" s="73"/>
      <c r="AFV4" s="73"/>
      <c r="AFW4" s="73"/>
      <c r="AFX4" s="73"/>
      <c r="AFY4" s="73"/>
      <c r="AFZ4" s="73"/>
      <c r="AGA4" s="73"/>
      <c r="AGB4" s="73"/>
      <c r="AGC4" s="73"/>
      <c r="AGD4" s="73"/>
      <c r="AGE4" s="73"/>
      <c r="AGF4" s="73"/>
      <c r="AGG4" s="73"/>
      <c r="AGH4" s="73"/>
      <c r="AGI4" s="73"/>
      <c r="AGJ4" s="73"/>
      <c r="AGK4" s="73"/>
      <c r="AGL4" s="73"/>
      <c r="AGM4" s="73"/>
      <c r="AGN4" s="73"/>
      <c r="AGO4" s="73"/>
      <c r="AGP4" s="73"/>
      <c r="AGQ4" s="73"/>
      <c r="AGR4" s="73"/>
      <c r="AGS4" s="73"/>
      <c r="AGT4" s="73"/>
      <c r="AGU4" s="73"/>
      <c r="AGV4" s="73"/>
      <c r="AGW4" s="73"/>
      <c r="AGX4" s="73"/>
      <c r="AGY4" s="73"/>
      <c r="AGZ4" s="73"/>
      <c r="AHA4" s="73"/>
      <c r="AHB4" s="73"/>
      <c r="AHC4" s="73"/>
      <c r="AHD4" s="73"/>
      <c r="AHE4" s="73"/>
      <c r="AHF4" s="73"/>
      <c r="AHG4" s="73"/>
      <c r="AHH4" s="73"/>
      <c r="AHI4" s="73"/>
      <c r="AHJ4" s="73"/>
      <c r="AHK4" s="73"/>
      <c r="AHL4" s="73"/>
      <c r="AHM4" s="73"/>
      <c r="AHN4" s="73"/>
      <c r="AHO4" s="73"/>
      <c r="AHP4" s="73"/>
      <c r="AHQ4" s="73"/>
      <c r="AHR4" s="73"/>
      <c r="AHS4" s="73"/>
      <c r="AHT4" s="73"/>
      <c r="AHU4" s="73"/>
      <c r="AHV4" s="73"/>
      <c r="AHW4" s="73"/>
      <c r="AHX4" s="73"/>
      <c r="AHY4" s="73"/>
      <c r="AHZ4" s="73"/>
      <c r="AIA4" s="73"/>
      <c r="AIB4" s="73"/>
      <c r="AIC4" s="73"/>
      <c r="AID4" s="73"/>
      <c r="AIE4" s="73"/>
      <c r="AIF4" s="73"/>
      <c r="AIG4" s="73"/>
      <c r="AIH4" s="73"/>
      <c r="AII4" s="73"/>
      <c r="AIJ4" s="73"/>
      <c r="AIK4" s="73"/>
      <c r="AIL4" s="73"/>
      <c r="AIM4" s="73"/>
      <c r="AIN4" s="73"/>
      <c r="AIO4" s="73"/>
      <c r="AIP4" s="73"/>
      <c r="AIQ4" s="73"/>
      <c r="AIR4" s="73"/>
      <c r="AIS4" s="73"/>
      <c r="AIT4" s="73"/>
      <c r="AIU4" s="73"/>
      <c r="AIV4" s="73"/>
      <c r="AIW4" s="73"/>
      <c r="AIX4" s="73"/>
      <c r="AIY4" s="73"/>
      <c r="AIZ4" s="73"/>
      <c r="AJA4" s="73"/>
      <c r="AJB4" s="73"/>
      <c r="AJC4" s="73"/>
      <c r="AJD4" s="73"/>
      <c r="AJE4" s="73"/>
      <c r="AJF4" s="73"/>
      <c r="AJG4" s="73"/>
      <c r="AJH4" s="73"/>
      <c r="AJI4" s="73"/>
      <c r="AJJ4" s="73"/>
      <c r="AJK4" s="73"/>
      <c r="AJL4" s="73"/>
      <c r="AJM4" s="73"/>
      <c r="AJN4" s="73"/>
      <c r="AJO4" s="73"/>
      <c r="AJP4" s="73"/>
      <c r="AJQ4" s="73"/>
      <c r="AJR4" s="73"/>
      <c r="AJS4" s="73"/>
      <c r="AJT4" s="73"/>
      <c r="AJU4" s="73"/>
      <c r="AJV4" s="73"/>
      <c r="AJW4" s="73"/>
      <c r="AJX4" s="73"/>
      <c r="AJY4" s="73"/>
      <c r="AJZ4" s="73"/>
      <c r="AKA4" s="73"/>
      <c r="AKB4" s="73"/>
      <c r="AKC4" s="73"/>
      <c r="AKD4" s="73"/>
      <c r="AKE4" s="73"/>
      <c r="AKF4" s="73"/>
      <c r="AKG4" s="73"/>
      <c r="AKH4" s="73"/>
      <c r="AKI4" s="73"/>
      <c r="AKJ4" s="73"/>
      <c r="AKK4" s="73"/>
      <c r="AKL4" s="73"/>
      <c r="AKM4" s="73"/>
      <c r="AKN4" s="73"/>
      <c r="AKO4" s="73"/>
      <c r="AKP4" s="73"/>
      <c r="AKQ4" s="73"/>
      <c r="AKR4" s="73"/>
      <c r="AKS4" s="73"/>
      <c r="AKT4" s="73"/>
      <c r="AKU4" s="73"/>
      <c r="AKV4" s="73"/>
      <c r="AKW4" s="73"/>
      <c r="AKX4" s="73"/>
      <c r="AKY4" s="73"/>
      <c r="AKZ4" s="73"/>
      <c r="ALA4" s="73"/>
      <c r="ALB4" s="73"/>
      <c r="ALC4" s="73"/>
      <c r="ALD4" s="73"/>
      <c r="ALE4" s="73"/>
      <c r="ALF4" s="73"/>
      <c r="ALG4" s="73"/>
      <c r="ALH4" s="73"/>
      <c r="ALI4" s="73"/>
      <c r="ALJ4" s="73"/>
      <c r="ALK4" s="73"/>
      <c r="ALL4" s="73"/>
      <c r="ALM4" s="73"/>
      <c r="ALN4" s="73"/>
      <c r="ALO4" s="73"/>
      <c r="ALP4" s="73"/>
      <c r="ALQ4" s="73"/>
      <c r="ALR4" s="73"/>
      <c r="ALS4" s="73"/>
      <c r="ALT4" s="73"/>
      <c r="ALU4" s="73"/>
      <c r="ALV4" s="73"/>
      <c r="ALW4" s="73"/>
      <c r="ALX4" s="73"/>
      <c r="ALY4" s="73"/>
      <c r="ALZ4" s="73"/>
      <c r="AMA4" s="73"/>
      <c r="AMB4" s="73"/>
      <c r="AMC4" s="73"/>
      <c r="AMD4" s="73"/>
      <c r="AME4" s="73"/>
      <c r="AMF4" s="73"/>
      <c r="AMG4" s="73"/>
      <c r="AMH4" s="73"/>
      <c r="AMI4" s="73"/>
      <c r="AMJ4" s="73"/>
    </row>
    <row r="5" spans="1:1024" s="74" customFormat="1" ht="11.25">
      <c r="A5" s="75">
        <v>1</v>
      </c>
      <c r="B5" s="75">
        <v>2</v>
      </c>
      <c r="C5" s="75">
        <v>3</v>
      </c>
      <c r="D5" s="75">
        <v>4</v>
      </c>
      <c r="E5" s="75">
        <v>5</v>
      </c>
      <c r="F5" s="75">
        <v>6</v>
      </c>
      <c r="G5" s="75">
        <v>7</v>
      </c>
      <c r="H5" s="75">
        <v>8</v>
      </c>
      <c r="I5" s="75">
        <v>9</v>
      </c>
      <c r="J5" s="75">
        <v>10</v>
      </c>
      <c r="K5" s="75">
        <v>11</v>
      </c>
      <c r="L5" s="75">
        <v>12</v>
      </c>
      <c r="M5" s="38">
        <v>13</v>
      </c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  <c r="IP5" s="73"/>
      <c r="IQ5" s="73"/>
      <c r="IR5" s="73"/>
      <c r="IS5" s="73"/>
      <c r="IT5" s="73"/>
      <c r="IU5" s="73"/>
      <c r="IV5" s="73"/>
      <c r="IW5" s="73"/>
      <c r="IX5" s="73"/>
      <c r="IY5" s="73"/>
      <c r="IZ5" s="73"/>
      <c r="JA5" s="73"/>
      <c r="JB5" s="73"/>
      <c r="JC5" s="73"/>
      <c r="JD5" s="73"/>
      <c r="JE5" s="73"/>
      <c r="JF5" s="73"/>
      <c r="JG5" s="73"/>
      <c r="JH5" s="73"/>
      <c r="JI5" s="73"/>
      <c r="JJ5" s="73"/>
      <c r="JK5" s="73"/>
      <c r="JL5" s="73"/>
      <c r="JM5" s="73"/>
      <c r="JN5" s="73"/>
      <c r="JO5" s="73"/>
      <c r="JP5" s="73"/>
      <c r="JQ5" s="73"/>
      <c r="JR5" s="73"/>
      <c r="JS5" s="73"/>
      <c r="JT5" s="73"/>
      <c r="JU5" s="73"/>
      <c r="JV5" s="73"/>
      <c r="JW5" s="73"/>
      <c r="JX5" s="73"/>
      <c r="JY5" s="73"/>
      <c r="JZ5" s="73"/>
      <c r="KA5" s="73"/>
      <c r="KB5" s="73"/>
      <c r="KC5" s="73"/>
      <c r="KD5" s="73"/>
      <c r="KE5" s="73"/>
      <c r="KF5" s="73"/>
      <c r="KG5" s="73"/>
      <c r="KH5" s="73"/>
      <c r="KI5" s="73"/>
      <c r="KJ5" s="73"/>
      <c r="KK5" s="73"/>
      <c r="KL5" s="73"/>
      <c r="KM5" s="73"/>
      <c r="KN5" s="73"/>
      <c r="KO5" s="73"/>
      <c r="KP5" s="73"/>
      <c r="KQ5" s="73"/>
      <c r="KR5" s="73"/>
      <c r="KS5" s="73"/>
      <c r="KT5" s="73"/>
      <c r="KU5" s="73"/>
      <c r="KV5" s="73"/>
      <c r="KW5" s="73"/>
      <c r="KX5" s="73"/>
      <c r="KY5" s="73"/>
      <c r="KZ5" s="73"/>
      <c r="LA5" s="73"/>
      <c r="LB5" s="73"/>
      <c r="LC5" s="73"/>
      <c r="LD5" s="73"/>
      <c r="LE5" s="73"/>
      <c r="LF5" s="73"/>
      <c r="LG5" s="73"/>
      <c r="LH5" s="73"/>
      <c r="LI5" s="73"/>
      <c r="LJ5" s="73"/>
      <c r="LK5" s="73"/>
      <c r="LL5" s="73"/>
      <c r="LM5" s="73"/>
      <c r="LN5" s="73"/>
      <c r="LO5" s="73"/>
      <c r="LP5" s="73"/>
      <c r="LQ5" s="73"/>
      <c r="LR5" s="73"/>
      <c r="LS5" s="73"/>
      <c r="LT5" s="73"/>
      <c r="LU5" s="73"/>
      <c r="LV5" s="73"/>
      <c r="LW5" s="73"/>
      <c r="LX5" s="73"/>
      <c r="LY5" s="73"/>
      <c r="LZ5" s="73"/>
      <c r="MA5" s="73"/>
      <c r="MB5" s="73"/>
      <c r="MC5" s="73"/>
      <c r="MD5" s="73"/>
      <c r="ME5" s="73"/>
      <c r="MF5" s="73"/>
      <c r="MG5" s="73"/>
      <c r="MH5" s="73"/>
      <c r="MI5" s="73"/>
      <c r="MJ5" s="73"/>
      <c r="MK5" s="73"/>
      <c r="ML5" s="73"/>
      <c r="MM5" s="73"/>
      <c r="MN5" s="73"/>
      <c r="MO5" s="73"/>
      <c r="MP5" s="73"/>
      <c r="MQ5" s="73"/>
      <c r="MR5" s="73"/>
      <c r="MS5" s="73"/>
      <c r="MT5" s="73"/>
      <c r="MU5" s="73"/>
      <c r="MV5" s="73"/>
      <c r="MW5" s="73"/>
      <c r="MX5" s="73"/>
      <c r="MY5" s="73"/>
      <c r="MZ5" s="73"/>
      <c r="NA5" s="73"/>
      <c r="NB5" s="73"/>
      <c r="NC5" s="73"/>
      <c r="ND5" s="73"/>
      <c r="NE5" s="73"/>
      <c r="NF5" s="73"/>
      <c r="NG5" s="73"/>
      <c r="NH5" s="73"/>
      <c r="NI5" s="73"/>
      <c r="NJ5" s="73"/>
      <c r="NK5" s="73"/>
      <c r="NL5" s="73"/>
      <c r="NM5" s="73"/>
      <c r="NN5" s="73"/>
      <c r="NO5" s="73"/>
      <c r="NP5" s="73"/>
      <c r="NQ5" s="73"/>
      <c r="NR5" s="73"/>
      <c r="NS5" s="73"/>
      <c r="NT5" s="73"/>
      <c r="NU5" s="73"/>
      <c r="NV5" s="73"/>
      <c r="NW5" s="73"/>
      <c r="NX5" s="73"/>
      <c r="NY5" s="73"/>
      <c r="NZ5" s="73"/>
      <c r="OA5" s="73"/>
      <c r="OB5" s="73"/>
      <c r="OC5" s="73"/>
      <c r="OD5" s="73"/>
      <c r="OE5" s="73"/>
      <c r="OF5" s="73"/>
      <c r="OG5" s="73"/>
      <c r="OH5" s="73"/>
      <c r="OI5" s="73"/>
      <c r="OJ5" s="73"/>
      <c r="OK5" s="73"/>
      <c r="OL5" s="73"/>
      <c r="OM5" s="73"/>
      <c r="ON5" s="73"/>
      <c r="OO5" s="73"/>
      <c r="OP5" s="73"/>
      <c r="OQ5" s="73"/>
      <c r="OR5" s="73"/>
      <c r="OS5" s="73"/>
      <c r="OT5" s="73"/>
      <c r="OU5" s="73"/>
      <c r="OV5" s="73"/>
      <c r="OW5" s="73"/>
      <c r="OX5" s="73"/>
      <c r="OY5" s="73"/>
      <c r="OZ5" s="73"/>
      <c r="PA5" s="73"/>
      <c r="PB5" s="73"/>
      <c r="PC5" s="73"/>
      <c r="PD5" s="73"/>
      <c r="PE5" s="73"/>
      <c r="PF5" s="73"/>
      <c r="PG5" s="73"/>
      <c r="PH5" s="73"/>
      <c r="PI5" s="73"/>
      <c r="PJ5" s="73"/>
      <c r="PK5" s="73"/>
      <c r="PL5" s="73"/>
      <c r="PM5" s="73"/>
      <c r="PN5" s="73"/>
      <c r="PO5" s="73"/>
      <c r="PP5" s="73"/>
      <c r="PQ5" s="73"/>
      <c r="PR5" s="73"/>
      <c r="PS5" s="73"/>
      <c r="PT5" s="73"/>
      <c r="PU5" s="73"/>
      <c r="PV5" s="73"/>
      <c r="PW5" s="73"/>
      <c r="PX5" s="73"/>
      <c r="PY5" s="73"/>
      <c r="PZ5" s="73"/>
      <c r="QA5" s="73"/>
      <c r="QB5" s="73"/>
      <c r="QC5" s="73"/>
      <c r="QD5" s="73"/>
      <c r="QE5" s="73"/>
      <c r="QF5" s="73"/>
      <c r="QG5" s="73"/>
      <c r="QH5" s="73"/>
      <c r="QI5" s="73"/>
      <c r="QJ5" s="73"/>
      <c r="QK5" s="73"/>
      <c r="QL5" s="73"/>
      <c r="QM5" s="73"/>
      <c r="QN5" s="73"/>
      <c r="QO5" s="73"/>
      <c r="QP5" s="73"/>
      <c r="QQ5" s="73"/>
      <c r="QR5" s="73"/>
      <c r="QS5" s="73"/>
      <c r="QT5" s="73"/>
      <c r="QU5" s="73"/>
      <c r="QV5" s="73"/>
      <c r="QW5" s="73"/>
      <c r="QX5" s="73"/>
      <c r="QY5" s="73"/>
      <c r="QZ5" s="73"/>
      <c r="RA5" s="73"/>
      <c r="RB5" s="73"/>
      <c r="RC5" s="73"/>
      <c r="RD5" s="73"/>
      <c r="RE5" s="73"/>
      <c r="RF5" s="73"/>
      <c r="RG5" s="73"/>
      <c r="RH5" s="73"/>
      <c r="RI5" s="73"/>
      <c r="RJ5" s="73"/>
      <c r="RK5" s="73"/>
      <c r="RL5" s="73"/>
      <c r="RM5" s="73"/>
      <c r="RN5" s="73"/>
      <c r="RO5" s="73"/>
      <c r="RP5" s="73"/>
      <c r="RQ5" s="73"/>
      <c r="RR5" s="73"/>
      <c r="RS5" s="73"/>
      <c r="RT5" s="73"/>
      <c r="RU5" s="73"/>
      <c r="RV5" s="73"/>
      <c r="RW5" s="73"/>
      <c r="RX5" s="73"/>
      <c r="RY5" s="73"/>
      <c r="RZ5" s="73"/>
      <c r="SA5" s="73"/>
      <c r="SB5" s="73"/>
      <c r="SC5" s="73"/>
      <c r="SD5" s="73"/>
      <c r="SE5" s="73"/>
      <c r="SF5" s="73"/>
      <c r="SG5" s="73"/>
      <c r="SH5" s="73"/>
      <c r="SI5" s="73"/>
      <c r="SJ5" s="73"/>
      <c r="SK5" s="73"/>
      <c r="SL5" s="73"/>
      <c r="SM5" s="73"/>
      <c r="SN5" s="73"/>
      <c r="SO5" s="73"/>
      <c r="SP5" s="73"/>
      <c r="SQ5" s="73"/>
      <c r="SR5" s="73"/>
      <c r="SS5" s="73"/>
      <c r="ST5" s="73"/>
      <c r="SU5" s="73"/>
      <c r="SV5" s="73"/>
      <c r="SW5" s="73"/>
      <c r="SX5" s="73"/>
      <c r="SY5" s="73"/>
      <c r="SZ5" s="73"/>
      <c r="TA5" s="73"/>
      <c r="TB5" s="73"/>
      <c r="TC5" s="73"/>
      <c r="TD5" s="73"/>
      <c r="TE5" s="73"/>
      <c r="TF5" s="73"/>
      <c r="TG5" s="73"/>
      <c r="TH5" s="73"/>
      <c r="TI5" s="73"/>
      <c r="TJ5" s="73"/>
      <c r="TK5" s="73"/>
      <c r="TL5" s="73"/>
      <c r="TM5" s="73"/>
      <c r="TN5" s="73"/>
      <c r="TO5" s="73"/>
      <c r="TP5" s="73"/>
      <c r="TQ5" s="73"/>
      <c r="TR5" s="73"/>
      <c r="TS5" s="73"/>
      <c r="TT5" s="73"/>
      <c r="TU5" s="73"/>
      <c r="TV5" s="73"/>
      <c r="TW5" s="73"/>
      <c r="TX5" s="73"/>
      <c r="TY5" s="73"/>
      <c r="TZ5" s="73"/>
      <c r="UA5" s="73"/>
      <c r="UB5" s="73"/>
      <c r="UC5" s="73"/>
      <c r="UD5" s="73"/>
      <c r="UE5" s="73"/>
      <c r="UF5" s="73"/>
      <c r="UG5" s="73"/>
      <c r="UH5" s="73"/>
      <c r="UI5" s="73"/>
      <c r="UJ5" s="73"/>
      <c r="UK5" s="73"/>
      <c r="UL5" s="73"/>
      <c r="UM5" s="73"/>
      <c r="UN5" s="73"/>
      <c r="UO5" s="73"/>
      <c r="UP5" s="73"/>
      <c r="UQ5" s="73"/>
      <c r="UR5" s="73"/>
      <c r="US5" s="73"/>
      <c r="UT5" s="73"/>
      <c r="UU5" s="73"/>
      <c r="UV5" s="73"/>
      <c r="UW5" s="73"/>
      <c r="UX5" s="73"/>
      <c r="UY5" s="73"/>
      <c r="UZ5" s="73"/>
      <c r="VA5" s="73"/>
      <c r="VB5" s="73"/>
      <c r="VC5" s="73"/>
      <c r="VD5" s="73"/>
      <c r="VE5" s="73"/>
      <c r="VF5" s="73"/>
      <c r="VG5" s="73"/>
      <c r="VH5" s="73"/>
      <c r="VI5" s="73"/>
      <c r="VJ5" s="73"/>
      <c r="VK5" s="73"/>
      <c r="VL5" s="73"/>
      <c r="VM5" s="73"/>
      <c r="VN5" s="73"/>
      <c r="VO5" s="73"/>
      <c r="VP5" s="73"/>
      <c r="VQ5" s="73"/>
      <c r="VR5" s="73"/>
      <c r="VS5" s="73"/>
      <c r="VT5" s="73"/>
      <c r="VU5" s="73"/>
      <c r="VV5" s="73"/>
      <c r="VW5" s="73"/>
      <c r="VX5" s="73"/>
      <c r="VY5" s="73"/>
      <c r="VZ5" s="73"/>
      <c r="WA5" s="73"/>
      <c r="WB5" s="73"/>
      <c r="WC5" s="73"/>
      <c r="WD5" s="73"/>
      <c r="WE5" s="73"/>
      <c r="WF5" s="73"/>
      <c r="WG5" s="73"/>
      <c r="WH5" s="73"/>
      <c r="WI5" s="73"/>
      <c r="WJ5" s="73"/>
      <c r="WK5" s="73"/>
      <c r="WL5" s="73"/>
      <c r="WM5" s="73"/>
      <c r="WN5" s="73"/>
      <c r="WO5" s="73"/>
      <c r="WP5" s="73"/>
      <c r="WQ5" s="73"/>
      <c r="WR5" s="73"/>
      <c r="WS5" s="73"/>
      <c r="WT5" s="73"/>
      <c r="WU5" s="73"/>
      <c r="WV5" s="73"/>
      <c r="WW5" s="73"/>
      <c r="WX5" s="73"/>
      <c r="WY5" s="73"/>
      <c r="WZ5" s="73"/>
      <c r="XA5" s="73"/>
      <c r="XB5" s="73"/>
      <c r="XC5" s="73"/>
      <c r="XD5" s="73"/>
      <c r="XE5" s="73"/>
      <c r="XF5" s="73"/>
      <c r="XG5" s="73"/>
      <c r="XH5" s="73"/>
      <c r="XI5" s="73"/>
      <c r="XJ5" s="73"/>
      <c r="XK5" s="73"/>
      <c r="XL5" s="73"/>
      <c r="XM5" s="73"/>
      <c r="XN5" s="73"/>
      <c r="XO5" s="73"/>
      <c r="XP5" s="73"/>
      <c r="XQ5" s="73"/>
      <c r="XR5" s="73"/>
      <c r="XS5" s="73"/>
      <c r="XT5" s="73"/>
      <c r="XU5" s="73"/>
      <c r="XV5" s="73"/>
      <c r="XW5" s="73"/>
      <c r="XX5" s="73"/>
      <c r="XY5" s="73"/>
      <c r="XZ5" s="73"/>
      <c r="YA5" s="73"/>
      <c r="YB5" s="73"/>
      <c r="YC5" s="73"/>
      <c r="YD5" s="73"/>
      <c r="YE5" s="73"/>
      <c r="YF5" s="73"/>
      <c r="YG5" s="73"/>
      <c r="YH5" s="73"/>
      <c r="YI5" s="73"/>
      <c r="YJ5" s="73"/>
      <c r="YK5" s="73"/>
      <c r="YL5" s="73"/>
      <c r="YM5" s="73"/>
      <c r="YN5" s="73"/>
      <c r="YO5" s="73"/>
      <c r="YP5" s="73"/>
      <c r="YQ5" s="73"/>
      <c r="YR5" s="73"/>
      <c r="YS5" s="73"/>
      <c r="YT5" s="73"/>
      <c r="YU5" s="73"/>
      <c r="YV5" s="73"/>
      <c r="YW5" s="73"/>
      <c r="YX5" s="73"/>
      <c r="YY5" s="73"/>
      <c r="YZ5" s="73"/>
      <c r="ZA5" s="73"/>
      <c r="ZB5" s="73"/>
      <c r="ZC5" s="73"/>
      <c r="ZD5" s="73"/>
      <c r="ZE5" s="73"/>
      <c r="ZF5" s="73"/>
      <c r="ZG5" s="73"/>
      <c r="ZH5" s="73"/>
      <c r="ZI5" s="73"/>
      <c r="ZJ5" s="73"/>
      <c r="ZK5" s="73"/>
      <c r="ZL5" s="73"/>
      <c r="ZM5" s="73"/>
      <c r="ZN5" s="73"/>
      <c r="ZO5" s="73"/>
      <c r="ZP5" s="73"/>
      <c r="ZQ5" s="73"/>
      <c r="ZR5" s="73"/>
      <c r="ZS5" s="73"/>
      <c r="ZT5" s="73"/>
      <c r="ZU5" s="73"/>
      <c r="ZV5" s="73"/>
      <c r="ZW5" s="73"/>
      <c r="ZX5" s="73"/>
      <c r="ZY5" s="73"/>
      <c r="ZZ5" s="73"/>
      <c r="AAA5" s="73"/>
      <c r="AAB5" s="73"/>
      <c r="AAC5" s="73"/>
      <c r="AAD5" s="73"/>
      <c r="AAE5" s="73"/>
      <c r="AAF5" s="73"/>
      <c r="AAG5" s="73"/>
      <c r="AAH5" s="73"/>
      <c r="AAI5" s="73"/>
      <c r="AAJ5" s="73"/>
      <c r="AAK5" s="73"/>
      <c r="AAL5" s="73"/>
      <c r="AAM5" s="73"/>
      <c r="AAN5" s="73"/>
      <c r="AAO5" s="73"/>
      <c r="AAP5" s="73"/>
      <c r="AAQ5" s="73"/>
      <c r="AAR5" s="73"/>
      <c r="AAS5" s="73"/>
      <c r="AAT5" s="73"/>
      <c r="AAU5" s="73"/>
      <c r="AAV5" s="73"/>
      <c r="AAW5" s="73"/>
      <c r="AAX5" s="73"/>
      <c r="AAY5" s="73"/>
      <c r="AAZ5" s="73"/>
      <c r="ABA5" s="73"/>
      <c r="ABB5" s="73"/>
      <c r="ABC5" s="73"/>
      <c r="ABD5" s="73"/>
      <c r="ABE5" s="73"/>
      <c r="ABF5" s="73"/>
      <c r="ABG5" s="73"/>
      <c r="ABH5" s="73"/>
      <c r="ABI5" s="73"/>
      <c r="ABJ5" s="73"/>
      <c r="ABK5" s="73"/>
      <c r="ABL5" s="73"/>
      <c r="ABM5" s="73"/>
      <c r="ABN5" s="73"/>
      <c r="ABO5" s="73"/>
      <c r="ABP5" s="73"/>
      <c r="ABQ5" s="73"/>
      <c r="ABR5" s="73"/>
      <c r="ABS5" s="73"/>
      <c r="ABT5" s="73"/>
      <c r="ABU5" s="73"/>
      <c r="ABV5" s="73"/>
      <c r="ABW5" s="73"/>
      <c r="ABX5" s="73"/>
      <c r="ABY5" s="73"/>
      <c r="ABZ5" s="73"/>
      <c r="ACA5" s="73"/>
      <c r="ACB5" s="73"/>
      <c r="ACC5" s="73"/>
      <c r="ACD5" s="73"/>
      <c r="ACE5" s="73"/>
      <c r="ACF5" s="73"/>
      <c r="ACG5" s="73"/>
      <c r="ACH5" s="73"/>
      <c r="ACI5" s="73"/>
      <c r="ACJ5" s="73"/>
      <c r="ACK5" s="73"/>
      <c r="ACL5" s="73"/>
      <c r="ACM5" s="73"/>
      <c r="ACN5" s="73"/>
      <c r="ACO5" s="73"/>
      <c r="ACP5" s="73"/>
      <c r="ACQ5" s="73"/>
      <c r="ACR5" s="73"/>
      <c r="ACS5" s="73"/>
      <c r="ACT5" s="73"/>
      <c r="ACU5" s="73"/>
      <c r="ACV5" s="73"/>
      <c r="ACW5" s="73"/>
      <c r="ACX5" s="73"/>
      <c r="ACY5" s="73"/>
      <c r="ACZ5" s="73"/>
      <c r="ADA5" s="73"/>
      <c r="ADB5" s="73"/>
      <c r="ADC5" s="73"/>
      <c r="ADD5" s="73"/>
      <c r="ADE5" s="73"/>
      <c r="ADF5" s="73"/>
      <c r="ADG5" s="73"/>
      <c r="ADH5" s="73"/>
      <c r="ADI5" s="73"/>
      <c r="ADJ5" s="73"/>
      <c r="ADK5" s="73"/>
      <c r="ADL5" s="73"/>
      <c r="ADM5" s="73"/>
      <c r="ADN5" s="73"/>
      <c r="ADO5" s="73"/>
      <c r="ADP5" s="73"/>
      <c r="ADQ5" s="73"/>
      <c r="ADR5" s="73"/>
      <c r="ADS5" s="73"/>
      <c r="ADT5" s="73"/>
      <c r="ADU5" s="73"/>
      <c r="ADV5" s="73"/>
      <c r="ADW5" s="73"/>
      <c r="ADX5" s="73"/>
      <c r="ADY5" s="73"/>
      <c r="ADZ5" s="73"/>
      <c r="AEA5" s="73"/>
      <c r="AEB5" s="73"/>
      <c r="AEC5" s="73"/>
      <c r="AED5" s="73"/>
      <c r="AEE5" s="73"/>
      <c r="AEF5" s="73"/>
      <c r="AEG5" s="73"/>
      <c r="AEH5" s="73"/>
      <c r="AEI5" s="73"/>
      <c r="AEJ5" s="73"/>
      <c r="AEK5" s="73"/>
      <c r="AEL5" s="73"/>
      <c r="AEM5" s="73"/>
      <c r="AEN5" s="73"/>
      <c r="AEO5" s="73"/>
      <c r="AEP5" s="73"/>
      <c r="AEQ5" s="73"/>
      <c r="AER5" s="73"/>
      <c r="AES5" s="73"/>
      <c r="AET5" s="73"/>
      <c r="AEU5" s="73"/>
      <c r="AEV5" s="73"/>
      <c r="AEW5" s="73"/>
      <c r="AEX5" s="73"/>
      <c r="AEY5" s="73"/>
      <c r="AEZ5" s="73"/>
      <c r="AFA5" s="73"/>
      <c r="AFB5" s="73"/>
      <c r="AFC5" s="73"/>
      <c r="AFD5" s="73"/>
      <c r="AFE5" s="73"/>
      <c r="AFF5" s="73"/>
      <c r="AFG5" s="73"/>
      <c r="AFH5" s="73"/>
      <c r="AFI5" s="73"/>
      <c r="AFJ5" s="73"/>
      <c r="AFK5" s="73"/>
      <c r="AFL5" s="73"/>
      <c r="AFM5" s="73"/>
      <c r="AFN5" s="73"/>
      <c r="AFO5" s="73"/>
      <c r="AFP5" s="73"/>
      <c r="AFQ5" s="73"/>
      <c r="AFR5" s="73"/>
      <c r="AFS5" s="73"/>
      <c r="AFT5" s="73"/>
      <c r="AFU5" s="73"/>
      <c r="AFV5" s="73"/>
      <c r="AFW5" s="73"/>
      <c r="AFX5" s="73"/>
      <c r="AFY5" s="73"/>
      <c r="AFZ5" s="73"/>
      <c r="AGA5" s="73"/>
      <c r="AGB5" s="73"/>
      <c r="AGC5" s="73"/>
      <c r="AGD5" s="73"/>
      <c r="AGE5" s="73"/>
      <c r="AGF5" s="73"/>
      <c r="AGG5" s="73"/>
      <c r="AGH5" s="73"/>
      <c r="AGI5" s="73"/>
      <c r="AGJ5" s="73"/>
      <c r="AGK5" s="73"/>
      <c r="AGL5" s="73"/>
      <c r="AGM5" s="73"/>
      <c r="AGN5" s="73"/>
      <c r="AGO5" s="73"/>
      <c r="AGP5" s="73"/>
      <c r="AGQ5" s="73"/>
      <c r="AGR5" s="73"/>
      <c r="AGS5" s="73"/>
      <c r="AGT5" s="73"/>
      <c r="AGU5" s="73"/>
      <c r="AGV5" s="73"/>
      <c r="AGW5" s="73"/>
      <c r="AGX5" s="73"/>
      <c r="AGY5" s="73"/>
      <c r="AGZ5" s="73"/>
      <c r="AHA5" s="73"/>
      <c r="AHB5" s="73"/>
      <c r="AHC5" s="73"/>
      <c r="AHD5" s="73"/>
      <c r="AHE5" s="73"/>
      <c r="AHF5" s="73"/>
      <c r="AHG5" s="73"/>
      <c r="AHH5" s="73"/>
      <c r="AHI5" s="73"/>
      <c r="AHJ5" s="73"/>
      <c r="AHK5" s="73"/>
      <c r="AHL5" s="73"/>
      <c r="AHM5" s="73"/>
      <c r="AHN5" s="73"/>
      <c r="AHO5" s="73"/>
      <c r="AHP5" s="73"/>
      <c r="AHQ5" s="73"/>
      <c r="AHR5" s="73"/>
      <c r="AHS5" s="73"/>
      <c r="AHT5" s="73"/>
      <c r="AHU5" s="73"/>
      <c r="AHV5" s="73"/>
      <c r="AHW5" s="73"/>
      <c r="AHX5" s="73"/>
      <c r="AHY5" s="73"/>
      <c r="AHZ5" s="73"/>
      <c r="AIA5" s="73"/>
      <c r="AIB5" s="73"/>
      <c r="AIC5" s="73"/>
      <c r="AID5" s="73"/>
      <c r="AIE5" s="73"/>
      <c r="AIF5" s="73"/>
      <c r="AIG5" s="73"/>
      <c r="AIH5" s="73"/>
      <c r="AII5" s="73"/>
      <c r="AIJ5" s="73"/>
      <c r="AIK5" s="73"/>
      <c r="AIL5" s="73"/>
      <c r="AIM5" s="73"/>
      <c r="AIN5" s="73"/>
      <c r="AIO5" s="73"/>
      <c r="AIP5" s="73"/>
      <c r="AIQ5" s="73"/>
      <c r="AIR5" s="73"/>
      <c r="AIS5" s="73"/>
      <c r="AIT5" s="73"/>
      <c r="AIU5" s="73"/>
      <c r="AIV5" s="73"/>
      <c r="AIW5" s="73"/>
      <c r="AIX5" s="73"/>
      <c r="AIY5" s="73"/>
      <c r="AIZ5" s="73"/>
      <c r="AJA5" s="73"/>
      <c r="AJB5" s="73"/>
      <c r="AJC5" s="73"/>
      <c r="AJD5" s="73"/>
      <c r="AJE5" s="73"/>
      <c r="AJF5" s="73"/>
      <c r="AJG5" s="73"/>
      <c r="AJH5" s="73"/>
      <c r="AJI5" s="73"/>
      <c r="AJJ5" s="73"/>
      <c r="AJK5" s="73"/>
      <c r="AJL5" s="73"/>
      <c r="AJM5" s="73"/>
      <c r="AJN5" s="73"/>
      <c r="AJO5" s="73"/>
      <c r="AJP5" s="73"/>
      <c r="AJQ5" s="73"/>
      <c r="AJR5" s="73"/>
      <c r="AJS5" s="73"/>
      <c r="AJT5" s="73"/>
      <c r="AJU5" s="73"/>
      <c r="AJV5" s="73"/>
      <c r="AJW5" s="73"/>
      <c r="AJX5" s="73"/>
      <c r="AJY5" s="73"/>
      <c r="AJZ5" s="73"/>
      <c r="AKA5" s="73"/>
      <c r="AKB5" s="73"/>
      <c r="AKC5" s="73"/>
      <c r="AKD5" s="73"/>
      <c r="AKE5" s="73"/>
      <c r="AKF5" s="73"/>
      <c r="AKG5" s="73"/>
      <c r="AKH5" s="73"/>
      <c r="AKI5" s="73"/>
      <c r="AKJ5" s="73"/>
      <c r="AKK5" s="73"/>
      <c r="AKL5" s="73"/>
      <c r="AKM5" s="73"/>
      <c r="AKN5" s="73"/>
      <c r="AKO5" s="73"/>
      <c r="AKP5" s="73"/>
      <c r="AKQ5" s="73"/>
      <c r="AKR5" s="73"/>
      <c r="AKS5" s="73"/>
      <c r="AKT5" s="73"/>
      <c r="AKU5" s="73"/>
      <c r="AKV5" s="73"/>
      <c r="AKW5" s="73"/>
      <c r="AKX5" s="73"/>
      <c r="AKY5" s="73"/>
      <c r="AKZ5" s="73"/>
      <c r="ALA5" s="73"/>
      <c r="ALB5" s="73"/>
      <c r="ALC5" s="73"/>
      <c r="ALD5" s="73"/>
      <c r="ALE5" s="73"/>
      <c r="ALF5" s="73"/>
      <c r="ALG5" s="73"/>
      <c r="ALH5" s="73"/>
      <c r="ALI5" s="73"/>
      <c r="ALJ5" s="73"/>
      <c r="ALK5" s="73"/>
      <c r="ALL5" s="73"/>
      <c r="ALM5" s="73"/>
      <c r="ALN5" s="73"/>
      <c r="ALO5" s="73"/>
      <c r="ALP5" s="73"/>
      <c r="ALQ5" s="73"/>
      <c r="ALR5" s="73"/>
      <c r="ALS5" s="73"/>
      <c r="ALT5" s="73"/>
      <c r="ALU5" s="73"/>
      <c r="ALV5" s="73"/>
      <c r="ALW5" s="73"/>
      <c r="ALX5" s="73"/>
      <c r="ALY5" s="73"/>
      <c r="ALZ5" s="73"/>
      <c r="AMA5" s="73"/>
      <c r="AMB5" s="73"/>
      <c r="AMC5" s="73"/>
      <c r="AMD5" s="73"/>
      <c r="AME5" s="73"/>
      <c r="AMF5" s="73"/>
      <c r="AMG5" s="73"/>
      <c r="AMH5" s="73"/>
      <c r="AMI5" s="73"/>
      <c r="AMJ5" s="73"/>
    </row>
    <row r="6" spans="1:1024">
      <c r="A6" s="205" t="s">
        <v>64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76"/>
      <c r="M6" s="76"/>
      <c r="N6" s="76"/>
    </row>
    <row r="7" spans="1:1024" s="60" customFormat="1">
      <c r="A7" s="18">
        <v>1</v>
      </c>
      <c r="B7" s="34" t="s">
        <v>216</v>
      </c>
      <c r="C7" s="63" t="s">
        <v>48</v>
      </c>
      <c r="D7" s="63">
        <v>3.1819999999999999</v>
      </c>
      <c r="E7" s="79" t="e">
        <f t="shared" ref="E7" si="0">D7+#REF!</f>
        <v>#REF!</v>
      </c>
      <c r="F7" s="65">
        <v>0</v>
      </c>
      <c r="G7" s="65">
        <v>0</v>
      </c>
      <c r="H7" s="64" t="e">
        <f t="shared" ref="H7:H22" si="1">E7-F7</f>
        <v>#REF!</v>
      </c>
      <c r="I7" s="65">
        <v>0</v>
      </c>
      <c r="J7" s="66">
        <f>1.05*25</f>
        <v>26.25</v>
      </c>
      <c r="K7" s="2" t="e">
        <f t="shared" ref="K7:K10" si="2">J7-H7-I7</f>
        <v>#REF!</v>
      </c>
      <c r="L7" s="82">
        <f>брянск!Y53</f>
        <v>-5.9166999999999987</v>
      </c>
      <c r="M7" s="18" t="s">
        <v>25</v>
      </c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  <c r="IO7" s="76"/>
      <c r="IP7" s="76"/>
      <c r="IQ7" s="76"/>
      <c r="IR7" s="76"/>
      <c r="IS7" s="76"/>
      <c r="IT7" s="76"/>
      <c r="IU7" s="76"/>
      <c r="IV7" s="76"/>
      <c r="IW7" s="76"/>
      <c r="IX7" s="76"/>
      <c r="IY7" s="76"/>
      <c r="IZ7" s="76"/>
      <c r="JA7" s="76"/>
      <c r="JB7" s="76"/>
      <c r="JC7" s="76"/>
      <c r="JD7" s="76"/>
      <c r="JE7" s="76"/>
      <c r="JF7" s="76"/>
      <c r="JG7" s="76"/>
      <c r="JH7" s="76"/>
      <c r="JI7" s="76"/>
      <c r="JJ7" s="76"/>
      <c r="JK7" s="76"/>
      <c r="JL7" s="76"/>
      <c r="JM7" s="76"/>
      <c r="JN7" s="76"/>
      <c r="JO7" s="76"/>
      <c r="JP7" s="76"/>
      <c r="JQ7" s="76"/>
      <c r="JR7" s="76"/>
      <c r="JS7" s="76"/>
      <c r="JT7" s="76"/>
      <c r="JU7" s="76"/>
      <c r="JV7" s="76"/>
      <c r="JW7" s="76"/>
      <c r="JX7" s="76"/>
      <c r="JY7" s="76"/>
      <c r="JZ7" s="76"/>
      <c r="KA7" s="76"/>
      <c r="KB7" s="76"/>
      <c r="KC7" s="76"/>
      <c r="KD7" s="76"/>
      <c r="KE7" s="76"/>
      <c r="KF7" s="76"/>
      <c r="KG7" s="76"/>
      <c r="KH7" s="76"/>
      <c r="KI7" s="76"/>
      <c r="KJ7" s="76"/>
      <c r="KK7" s="76"/>
      <c r="KL7" s="76"/>
      <c r="KM7" s="76"/>
      <c r="KN7" s="76"/>
      <c r="KO7" s="76"/>
      <c r="KP7" s="76"/>
      <c r="KQ7" s="76"/>
      <c r="KR7" s="76"/>
      <c r="KS7" s="76"/>
      <c r="KT7" s="76"/>
      <c r="KU7" s="76"/>
      <c r="KV7" s="76"/>
      <c r="KW7" s="76"/>
      <c r="KX7" s="76"/>
      <c r="KY7" s="76"/>
      <c r="KZ7" s="76"/>
      <c r="LA7" s="76"/>
      <c r="LB7" s="76"/>
      <c r="LC7" s="76"/>
      <c r="LD7" s="76"/>
      <c r="LE7" s="76"/>
      <c r="LF7" s="76"/>
      <c r="LG7" s="76"/>
      <c r="LH7" s="76"/>
      <c r="LI7" s="76"/>
      <c r="LJ7" s="76"/>
      <c r="LK7" s="76"/>
      <c r="LL7" s="76"/>
      <c r="LM7" s="76"/>
      <c r="LN7" s="76"/>
      <c r="LO7" s="76"/>
      <c r="LP7" s="76"/>
      <c r="LQ7" s="76"/>
      <c r="LR7" s="76"/>
      <c r="LS7" s="76"/>
      <c r="LT7" s="76"/>
      <c r="LU7" s="76"/>
      <c r="LV7" s="76"/>
      <c r="LW7" s="76"/>
      <c r="LX7" s="76"/>
      <c r="LY7" s="76"/>
      <c r="LZ7" s="76"/>
      <c r="MA7" s="76"/>
      <c r="MB7" s="76"/>
      <c r="MC7" s="76"/>
      <c r="MD7" s="76"/>
      <c r="ME7" s="76"/>
      <c r="MF7" s="76"/>
      <c r="MG7" s="76"/>
      <c r="MH7" s="76"/>
      <c r="MI7" s="76"/>
      <c r="MJ7" s="76"/>
      <c r="MK7" s="76"/>
      <c r="ML7" s="76"/>
      <c r="MM7" s="76"/>
      <c r="MN7" s="76"/>
      <c r="MO7" s="76"/>
      <c r="MP7" s="76"/>
      <c r="MQ7" s="76"/>
      <c r="MR7" s="76"/>
      <c r="MS7" s="76"/>
      <c r="MT7" s="76"/>
      <c r="MU7" s="76"/>
      <c r="MV7" s="76"/>
      <c r="MW7" s="76"/>
      <c r="MX7" s="76"/>
      <c r="MY7" s="76"/>
      <c r="MZ7" s="76"/>
      <c r="NA7" s="76"/>
      <c r="NB7" s="76"/>
      <c r="NC7" s="76"/>
      <c r="ND7" s="76"/>
      <c r="NE7" s="76"/>
      <c r="NF7" s="76"/>
      <c r="NG7" s="76"/>
      <c r="NH7" s="76"/>
      <c r="NI7" s="76"/>
      <c r="NJ7" s="76"/>
      <c r="NK7" s="76"/>
      <c r="NL7" s="76"/>
      <c r="NM7" s="76"/>
      <c r="NN7" s="76"/>
      <c r="NO7" s="76"/>
      <c r="NP7" s="76"/>
      <c r="NQ7" s="76"/>
      <c r="NR7" s="76"/>
      <c r="NS7" s="76"/>
      <c r="NT7" s="76"/>
      <c r="NU7" s="76"/>
      <c r="NV7" s="76"/>
      <c r="NW7" s="76"/>
      <c r="NX7" s="76"/>
      <c r="NY7" s="76"/>
      <c r="NZ7" s="76"/>
      <c r="OA7" s="76"/>
      <c r="OB7" s="76"/>
      <c r="OC7" s="76"/>
      <c r="OD7" s="76"/>
      <c r="OE7" s="76"/>
      <c r="OF7" s="76"/>
      <c r="OG7" s="76"/>
      <c r="OH7" s="76"/>
      <c r="OI7" s="76"/>
      <c r="OJ7" s="76"/>
      <c r="OK7" s="76"/>
      <c r="OL7" s="76"/>
      <c r="OM7" s="76"/>
      <c r="ON7" s="76"/>
      <c r="OO7" s="76"/>
      <c r="OP7" s="76"/>
      <c r="OQ7" s="76"/>
      <c r="OR7" s="76"/>
      <c r="OS7" s="76"/>
      <c r="OT7" s="76"/>
      <c r="OU7" s="76"/>
      <c r="OV7" s="76"/>
      <c r="OW7" s="76"/>
      <c r="OX7" s="76"/>
      <c r="OY7" s="76"/>
      <c r="OZ7" s="76"/>
      <c r="PA7" s="76"/>
      <c r="PB7" s="76"/>
      <c r="PC7" s="76"/>
      <c r="PD7" s="76"/>
      <c r="PE7" s="76"/>
      <c r="PF7" s="76"/>
      <c r="PG7" s="76"/>
      <c r="PH7" s="76"/>
      <c r="PI7" s="76"/>
      <c r="PJ7" s="76"/>
      <c r="PK7" s="76"/>
      <c r="PL7" s="76"/>
      <c r="PM7" s="76"/>
      <c r="PN7" s="76"/>
      <c r="PO7" s="76"/>
      <c r="PP7" s="76"/>
      <c r="PQ7" s="76"/>
      <c r="PR7" s="76"/>
      <c r="PS7" s="76"/>
      <c r="PT7" s="76"/>
      <c r="PU7" s="76"/>
      <c r="PV7" s="76"/>
      <c r="PW7" s="76"/>
      <c r="PX7" s="76"/>
      <c r="PY7" s="76"/>
      <c r="PZ7" s="76"/>
      <c r="QA7" s="76"/>
      <c r="QB7" s="76"/>
      <c r="QC7" s="76"/>
      <c r="QD7" s="76"/>
      <c r="QE7" s="76"/>
      <c r="QF7" s="76"/>
      <c r="QG7" s="76"/>
      <c r="QH7" s="76"/>
      <c r="QI7" s="76"/>
      <c r="QJ7" s="76"/>
      <c r="QK7" s="76"/>
      <c r="QL7" s="76"/>
      <c r="QM7" s="76"/>
      <c r="QN7" s="76"/>
      <c r="QO7" s="76"/>
      <c r="QP7" s="76"/>
      <c r="QQ7" s="76"/>
      <c r="QR7" s="76"/>
      <c r="QS7" s="76"/>
      <c r="QT7" s="76"/>
      <c r="QU7" s="76"/>
      <c r="QV7" s="76"/>
      <c r="QW7" s="76"/>
      <c r="QX7" s="76"/>
      <c r="QY7" s="76"/>
      <c r="QZ7" s="76"/>
      <c r="RA7" s="76"/>
      <c r="RB7" s="76"/>
      <c r="RC7" s="76"/>
      <c r="RD7" s="76"/>
      <c r="RE7" s="76"/>
      <c r="RF7" s="76"/>
      <c r="RG7" s="76"/>
      <c r="RH7" s="76"/>
      <c r="RI7" s="76"/>
      <c r="RJ7" s="76"/>
      <c r="RK7" s="76"/>
      <c r="RL7" s="76"/>
      <c r="RM7" s="76"/>
      <c r="RN7" s="76"/>
      <c r="RO7" s="76"/>
      <c r="RP7" s="76"/>
      <c r="RQ7" s="76"/>
      <c r="RR7" s="76"/>
      <c r="RS7" s="76"/>
      <c r="RT7" s="76"/>
      <c r="RU7" s="76"/>
      <c r="RV7" s="76"/>
      <c r="RW7" s="76"/>
      <c r="RX7" s="76"/>
      <c r="RY7" s="76"/>
      <c r="RZ7" s="76"/>
      <c r="SA7" s="76"/>
      <c r="SB7" s="76"/>
      <c r="SC7" s="76"/>
      <c r="SD7" s="76"/>
      <c r="SE7" s="76"/>
      <c r="SF7" s="76"/>
      <c r="SG7" s="76"/>
      <c r="SH7" s="76"/>
      <c r="SI7" s="76"/>
      <c r="SJ7" s="76"/>
      <c r="SK7" s="76"/>
      <c r="SL7" s="76"/>
      <c r="SM7" s="76"/>
      <c r="SN7" s="76"/>
      <c r="SO7" s="76"/>
      <c r="SP7" s="76"/>
      <c r="SQ7" s="76"/>
      <c r="SR7" s="76"/>
      <c r="SS7" s="76"/>
      <c r="ST7" s="76"/>
      <c r="SU7" s="76"/>
      <c r="SV7" s="76"/>
      <c r="SW7" s="76"/>
      <c r="SX7" s="76"/>
      <c r="SY7" s="76"/>
      <c r="SZ7" s="76"/>
      <c r="TA7" s="76"/>
      <c r="TB7" s="76"/>
      <c r="TC7" s="76"/>
      <c r="TD7" s="76"/>
      <c r="TE7" s="76"/>
      <c r="TF7" s="76"/>
      <c r="TG7" s="76"/>
      <c r="TH7" s="76"/>
      <c r="TI7" s="76"/>
      <c r="TJ7" s="76"/>
      <c r="TK7" s="76"/>
      <c r="TL7" s="76"/>
      <c r="TM7" s="76"/>
      <c r="TN7" s="76"/>
      <c r="TO7" s="76"/>
      <c r="TP7" s="76"/>
      <c r="TQ7" s="76"/>
      <c r="TR7" s="76"/>
      <c r="TS7" s="76"/>
      <c r="TT7" s="76"/>
      <c r="TU7" s="76"/>
      <c r="TV7" s="76"/>
      <c r="TW7" s="76"/>
      <c r="TX7" s="76"/>
      <c r="TY7" s="76"/>
      <c r="TZ7" s="76"/>
      <c r="UA7" s="76"/>
      <c r="UB7" s="76"/>
      <c r="UC7" s="76"/>
      <c r="UD7" s="76"/>
      <c r="UE7" s="76"/>
      <c r="UF7" s="76"/>
      <c r="UG7" s="76"/>
      <c r="UH7" s="76"/>
      <c r="UI7" s="76"/>
      <c r="UJ7" s="76"/>
      <c r="UK7" s="76"/>
      <c r="UL7" s="76"/>
      <c r="UM7" s="76"/>
      <c r="UN7" s="76"/>
      <c r="UO7" s="76"/>
      <c r="UP7" s="76"/>
      <c r="UQ7" s="76"/>
      <c r="UR7" s="76"/>
      <c r="US7" s="76"/>
      <c r="UT7" s="76"/>
      <c r="UU7" s="76"/>
      <c r="UV7" s="76"/>
      <c r="UW7" s="76"/>
      <c r="UX7" s="76"/>
      <c r="UY7" s="76"/>
      <c r="UZ7" s="76"/>
      <c r="VA7" s="76"/>
      <c r="VB7" s="76"/>
      <c r="VC7" s="76"/>
      <c r="VD7" s="76"/>
      <c r="VE7" s="76"/>
      <c r="VF7" s="76"/>
      <c r="VG7" s="76"/>
      <c r="VH7" s="76"/>
      <c r="VI7" s="76"/>
      <c r="VJ7" s="76"/>
      <c r="VK7" s="76"/>
      <c r="VL7" s="76"/>
      <c r="VM7" s="76"/>
      <c r="VN7" s="76"/>
      <c r="VO7" s="76"/>
      <c r="VP7" s="76"/>
      <c r="VQ7" s="76"/>
      <c r="VR7" s="76"/>
      <c r="VS7" s="76"/>
      <c r="VT7" s="76"/>
      <c r="VU7" s="76"/>
      <c r="VV7" s="76"/>
      <c r="VW7" s="76"/>
      <c r="VX7" s="76"/>
      <c r="VY7" s="76"/>
      <c r="VZ7" s="76"/>
      <c r="WA7" s="76"/>
      <c r="WB7" s="76"/>
      <c r="WC7" s="76"/>
      <c r="WD7" s="76"/>
      <c r="WE7" s="76"/>
      <c r="WF7" s="76"/>
      <c r="WG7" s="76"/>
      <c r="WH7" s="76"/>
      <c r="WI7" s="76"/>
      <c r="WJ7" s="76"/>
      <c r="WK7" s="76"/>
      <c r="WL7" s="76"/>
      <c r="WM7" s="76"/>
      <c r="WN7" s="76"/>
      <c r="WO7" s="76"/>
      <c r="WP7" s="76"/>
      <c r="WQ7" s="76"/>
      <c r="WR7" s="76"/>
      <c r="WS7" s="76"/>
      <c r="WT7" s="76"/>
      <c r="WU7" s="76"/>
      <c r="WV7" s="76"/>
      <c r="WW7" s="76"/>
      <c r="WX7" s="76"/>
      <c r="WY7" s="76"/>
      <c r="WZ7" s="76"/>
      <c r="XA7" s="76"/>
      <c r="XB7" s="76"/>
      <c r="XC7" s="76"/>
      <c r="XD7" s="76"/>
      <c r="XE7" s="76"/>
      <c r="XF7" s="76"/>
      <c r="XG7" s="76"/>
      <c r="XH7" s="76"/>
      <c r="XI7" s="76"/>
      <c r="XJ7" s="76"/>
      <c r="XK7" s="76"/>
      <c r="XL7" s="76"/>
      <c r="XM7" s="76"/>
      <c r="XN7" s="76"/>
      <c r="XO7" s="76"/>
      <c r="XP7" s="76"/>
      <c r="XQ7" s="76"/>
      <c r="XR7" s="76"/>
      <c r="XS7" s="76"/>
      <c r="XT7" s="76"/>
      <c r="XU7" s="76"/>
      <c r="XV7" s="76"/>
      <c r="XW7" s="76"/>
      <c r="XX7" s="76"/>
      <c r="XY7" s="76"/>
      <c r="XZ7" s="76"/>
      <c r="YA7" s="76"/>
      <c r="YB7" s="76"/>
      <c r="YC7" s="76"/>
      <c r="YD7" s="76"/>
      <c r="YE7" s="76"/>
      <c r="YF7" s="76"/>
      <c r="YG7" s="76"/>
      <c r="YH7" s="76"/>
      <c r="YI7" s="76"/>
      <c r="YJ7" s="76"/>
      <c r="YK7" s="76"/>
      <c r="YL7" s="76"/>
      <c r="YM7" s="76"/>
      <c r="YN7" s="76"/>
      <c r="YO7" s="76"/>
      <c r="YP7" s="76"/>
      <c r="YQ7" s="76"/>
      <c r="YR7" s="76"/>
      <c r="YS7" s="76"/>
      <c r="YT7" s="76"/>
      <c r="YU7" s="76"/>
      <c r="YV7" s="76"/>
      <c r="YW7" s="76"/>
      <c r="YX7" s="76"/>
      <c r="YY7" s="76"/>
      <c r="YZ7" s="76"/>
      <c r="ZA7" s="76"/>
      <c r="ZB7" s="76"/>
      <c r="ZC7" s="76"/>
      <c r="ZD7" s="76"/>
      <c r="ZE7" s="76"/>
      <c r="ZF7" s="76"/>
      <c r="ZG7" s="76"/>
      <c r="ZH7" s="76"/>
      <c r="ZI7" s="76"/>
      <c r="ZJ7" s="76"/>
      <c r="ZK7" s="76"/>
      <c r="ZL7" s="76"/>
      <c r="ZM7" s="76"/>
      <c r="ZN7" s="76"/>
      <c r="ZO7" s="76"/>
      <c r="ZP7" s="76"/>
      <c r="ZQ7" s="76"/>
      <c r="ZR7" s="76"/>
      <c r="ZS7" s="76"/>
      <c r="ZT7" s="76"/>
      <c r="ZU7" s="76"/>
      <c r="ZV7" s="76"/>
      <c r="ZW7" s="76"/>
      <c r="ZX7" s="76"/>
      <c r="ZY7" s="76"/>
      <c r="ZZ7" s="76"/>
      <c r="AAA7" s="76"/>
      <c r="AAB7" s="76"/>
      <c r="AAC7" s="76"/>
      <c r="AAD7" s="76"/>
      <c r="AAE7" s="76"/>
      <c r="AAF7" s="76"/>
      <c r="AAG7" s="76"/>
      <c r="AAH7" s="76"/>
      <c r="AAI7" s="76"/>
      <c r="AAJ7" s="76"/>
      <c r="AAK7" s="76"/>
      <c r="AAL7" s="76"/>
      <c r="AAM7" s="76"/>
      <c r="AAN7" s="76"/>
      <c r="AAO7" s="76"/>
      <c r="AAP7" s="76"/>
      <c r="AAQ7" s="76"/>
      <c r="AAR7" s="76"/>
      <c r="AAS7" s="76"/>
      <c r="AAT7" s="76"/>
      <c r="AAU7" s="76"/>
      <c r="AAV7" s="76"/>
      <c r="AAW7" s="76"/>
      <c r="AAX7" s="76"/>
      <c r="AAY7" s="76"/>
      <c r="AAZ7" s="76"/>
      <c r="ABA7" s="76"/>
      <c r="ABB7" s="76"/>
      <c r="ABC7" s="76"/>
      <c r="ABD7" s="76"/>
      <c r="ABE7" s="76"/>
      <c r="ABF7" s="76"/>
      <c r="ABG7" s="76"/>
      <c r="ABH7" s="76"/>
      <c r="ABI7" s="76"/>
      <c r="ABJ7" s="76"/>
      <c r="ABK7" s="76"/>
      <c r="ABL7" s="76"/>
      <c r="ABM7" s="76"/>
      <c r="ABN7" s="76"/>
      <c r="ABO7" s="76"/>
      <c r="ABP7" s="76"/>
      <c r="ABQ7" s="76"/>
      <c r="ABR7" s="76"/>
      <c r="ABS7" s="76"/>
      <c r="ABT7" s="76"/>
      <c r="ABU7" s="76"/>
      <c r="ABV7" s="76"/>
      <c r="ABW7" s="76"/>
      <c r="ABX7" s="76"/>
      <c r="ABY7" s="76"/>
      <c r="ABZ7" s="76"/>
      <c r="ACA7" s="76"/>
      <c r="ACB7" s="76"/>
      <c r="ACC7" s="76"/>
      <c r="ACD7" s="76"/>
      <c r="ACE7" s="76"/>
      <c r="ACF7" s="76"/>
      <c r="ACG7" s="76"/>
      <c r="ACH7" s="76"/>
      <c r="ACI7" s="76"/>
      <c r="ACJ7" s="76"/>
      <c r="ACK7" s="76"/>
      <c r="ACL7" s="76"/>
      <c r="ACM7" s="76"/>
      <c r="ACN7" s="76"/>
      <c r="ACO7" s="76"/>
      <c r="ACP7" s="76"/>
      <c r="ACQ7" s="76"/>
      <c r="ACR7" s="76"/>
      <c r="ACS7" s="76"/>
      <c r="ACT7" s="76"/>
      <c r="ACU7" s="76"/>
      <c r="ACV7" s="76"/>
      <c r="ACW7" s="76"/>
      <c r="ACX7" s="76"/>
      <c r="ACY7" s="76"/>
      <c r="ACZ7" s="76"/>
      <c r="ADA7" s="76"/>
      <c r="ADB7" s="76"/>
      <c r="ADC7" s="76"/>
      <c r="ADD7" s="76"/>
      <c r="ADE7" s="76"/>
      <c r="ADF7" s="76"/>
      <c r="ADG7" s="76"/>
      <c r="ADH7" s="76"/>
      <c r="ADI7" s="76"/>
      <c r="ADJ7" s="76"/>
      <c r="ADK7" s="76"/>
      <c r="ADL7" s="76"/>
      <c r="ADM7" s="76"/>
      <c r="ADN7" s="76"/>
      <c r="ADO7" s="76"/>
      <c r="ADP7" s="76"/>
      <c r="ADQ7" s="76"/>
      <c r="ADR7" s="76"/>
      <c r="ADS7" s="76"/>
      <c r="ADT7" s="76"/>
      <c r="ADU7" s="76"/>
      <c r="ADV7" s="76"/>
      <c r="ADW7" s="76"/>
      <c r="ADX7" s="76"/>
      <c r="ADY7" s="76"/>
      <c r="ADZ7" s="76"/>
      <c r="AEA7" s="76"/>
      <c r="AEB7" s="76"/>
      <c r="AEC7" s="76"/>
      <c r="AED7" s="76"/>
      <c r="AEE7" s="76"/>
      <c r="AEF7" s="76"/>
      <c r="AEG7" s="76"/>
      <c r="AEH7" s="76"/>
      <c r="AEI7" s="76"/>
      <c r="AEJ7" s="76"/>
      <c r="AEK7" s="76"/>
      <c r="AEL7" s="76"/>
      <c r="AEM7" s="76"/>
      <c r="AEN7" s="76"/>
      <c r="AEO7" s="76"/>
      <c r="AEP7" s="76"/>
      <c r="AEQ7" s="76"/>
      <c r="AER7" s="76"/>
      <c r="AES7" s="76"/>
      <c r="AET7" s="76"/>
      <c r="AEU7" s="76"/>
      <c r="AEV7" s="76"/>
      <c r="AEW7" s="76"/>
      <c r="AEX7" s="76"/>
      <c r="AEY7" s="76"/>
      <c r="AEZ7" s="76"/>
      <c r="AFA7" s="76"/>
      <c r="AFB7" s="76"/>
      <c r="AFC7" s="76"/>
      <c r="AFD7" s="76"/>
      <c r="AFE7" s="76"/>
      <c r="AFF7" s="76"/>
      <c r="AFG7" s="76"/>
      <c r="AFH7" s="76"/>
      <c r="AFI7" s="76"/>
      <c r="AFJ7" s="76"/>
      <c r="AFK7" s="76"/>
      <c r="AFL7" s="76"/>
      <c r="AFM7" s="76"/>
      <c r="AFN7" s="76"/>
      <c r="AFO7" s="76"/>
      <c r="AFP7" s="76"/>
      <c r="AFQ7" s="76"/>
      <c r="AFR7" s="76"/>
      <c r="AFS7" s="76"/>
      <c r="AFT7" s="76"/>
      <c r="AFU7" s="76"/>
      <c r="AFV7" s="76"/>
      <c r="AFW7" s="76"/>
      <c r="AFX7" s="76"/>
      <c r="AFY7" s="76"/>
      <c r="AFZ7" s="76"/>
      <c r="AGA7" s="76"/>
      <c r="AGB7" s="76"/>
      <c r="AGC7" s="76"/>
      <c r="AGD7" s="76"/>
      <c r="AGE7" s="76"/>
      <c r="AGF7" s="76"/>
      <c r="AGG7" s="76"/>
      <c r="AGH7" s="76"/>
      <c r="AGI7" s="76"/>
      <c r="AGJ7" s="76"/>
      <c r="AGK7" s="76"/>
      <c r="AGL7" s="76"/>
      <c r="AGM7" s="76"/>
      <c r="AGN7" s="76"/>
      <c r="AGO7" s="76"/>
      <c r="AGP7" s="76"/>
      <c r="AGQ7" s="76"/>
      <c r="AGR7" s="76"/>
      <c r="AGS7" s="76"/>
      <c r="AGT7" s="76"/>
      <c r="AGU7" s="76"/>
      <c r="AGV7" s="76"/>
      <c r="AGW7" s="76"/>
      <c r="AGX7" s="76"/>
      <c r="AGY7" s="76"/>
      <c r="AGZ7" s="76"/>
      <c r="AHA7" s="76"/>
      <c r="AHB7" s="76"/>
      <c r="AHC7" s="76"/>
      <c r="AHD7" s="76"/>
      <c r="AHE7" s="76"/>
      <c r="AHF7" s="76"/>
      <c r="AHG7" s="76"/>
      <c r="AHH7" s="76"/>
      <c r="AHI7" s="76"/>
      <c r="AHJ7" s="76"/>
      <c r="AHK7" s="76"/>
      <c r="AHL7" s="76"/>
      <c r="AHM7" s="76"/>
      <c r="AHN7" s="76"/>
      <c r="AHO7" s="76"/>
      <c r="AHP7" s="76"/>
      <c r="AHQ7" s="76"/>
      <c r="AHR7" s="76"/>
      <c r="AHS7" s="76"/>
      <c r="AHT7" s="76"/>
      <c r="AHU7" s="76"/>
      <c r="AHV7" s="76"/>
      <c r="AHW7" s="76"/>
      <c r="AHX7" s="76"/>
      <c r="AHY7" s="76"/>
      <c r="AHZ7" s="76"/>
      <c r="AIA7" s="76"/>
      <c r="AIB7" s="76"/>
      <c r="AIC7" s="76"/>
      <c r="AID7" s="76"/>
      <c r="AIE7" s="76"/>
      <c r="AIF7" s="76"/>
      <c r="AIG7" s="76"/>
      <c r="AIH7" s="76"/>
      <c r="AII7" s="76"/>
      <c r="AIJ7" s="76"/>
      <c r="AIK7" s="76"/>
      <c r="AIL7" s="76"/>
      <c r="AIM7" s="76"/>
      <c r="AIN7" s="76"/>
      <c r="AIO7" s="76"/>
      <c r="AIP7" s="76"/>
      <c r="AIQ7" s="76"/>
      <c r="AIR7" s="76"/>
      <c r="AIS7" s="76"/>
      <c r="AIT7" s="76"/>
      <c r="AIU7" s="76"/>
      <c r="AIV7" s="76"/>
      <c r="AIW7" s="76"/>
      <c r="AIX7" s="76"/>
      <c r="AIY7" s="76"/>
      <c r="AIZ7" s="76"/>
      <c r="AJA7" s="76"/>
      <c r="AJB7" s="76"/>
      <c r="AJC7" s="76"/>
      <c r="AJD7" s="76"/>
      <c r="AJE7" s="76"/>
      <c r="AJF7" s="76"/>
      <c r="AJG7" s="76"/>
      <c r="AJH7" s="76"/>
      <c r="AJI7" s="76"/>
      <c r="AJJ7" s="76"/>
      <c r="AJK7" s="76"/>
      <c r="AJL7" s="76"/>
      <c r="AJM7" s="76"/>
      <c r="AJN7" s="76"/>
      <c r="AJO7" s="76"/>
      <c r="AJP7" s="76"/>
      <c r="AJQ7" s="76"/>
      <c r="AJR7" s="76"/>
      <c r="AJS7" s="76"/>
      <c r="AJT7" s="76"/>
      <c r="AJU7" s="76"/>
      <c r="AJV7" s="76"/>
      <c r="AJW7" s="76"/>
      <c r="AJX7" s="76"/>
      <c r="AJY7" s="76"/>
      <c r="AJZ7" s="76"/>
      <c r="AKA7" s="76"/>
      <c r="AKB7" s="76"/>
      <c r="AKC7" s="76"/>
      <c r="AKD7" s="76"/>
      <c r="AKE7" s="76"/>
      <c r="AKF7" s="76"/>
      <c r="AKG7" s="76"/>
      <c r="AKH7" s="76"/>
      <c r="AKI7" s="76"/>
      <c r="AKJ7" s="76"/>
      <c r="AKK7" s="76"/>
      <c r="AKL7" s="76"/>
      <c r="AKM7" s="76"/>
      <c r="AKN7" s="76"/>
      <c r="AKO7" s="76"/>
      <c r="AKP7" s="76"/>
      <c r="AKQ7" s="76"/>
      <c r="AKR7" s="76"/>
      <c r="AKS7" s="76"/>
      <c r="AKT7" s="76"/>
      <c r="AKU7" s="76"/>
      <c r="AKV7" s="76"/>
      <c r="AKW7" s="76"/>
      <c r="AKX7" s="76"/>
      <c r="AKY7" s="76"/>
      <c r="AKZ7" s="76"/>
      <c r="ALA7" s="76"/>
      <c r="ALB7" s="76"/>
      <c r="ALC7" s="76"/>
      <c r="ALD7" s="76"/>
      <c r="ALE7" s="76"/>
      <c r="ALF7" s="76"/>
      <c r="ALG7" s="76"/>
      <c r="ALH7" s="76"/>
      <c r="ALI7" s="76"/>
      <c r="ALJ7" s="76"/>
      <c r="ALK7" s="76"/>
      <c r="ALL7" s="76"/>
      <c r="ALM7" s="76"/>
      <c r="ALN7" s="76"/>
      <c r="ALO7" s="76"/>
      <c r="ALP7" s="76"/>
      <c r="ALQ7" s="76"/>
      <c r="ALR7" s="76"/>
      <c r="ALS7" s="76"/>
      <c r="ALT7" s="76"/>
      <c r="ALU7" s="76"/>
      <c r="ALV7" s="76"/>
      <c r="ALW7" s="76"/>
      <c r="ALX7" s="76"/>
      <c r="ALY7" s="76"/>
      <c r="ALZ7" s="76"/>
      <c r="AMA7" s="76"/>
      <c r="AMB7" s="76"/>
      <c r="AMC7" s="76"/>
      <c r="AMD7" s="76"/>
      <c r="AME7" s="76"/>
      <c r="AMF7" s="76"/>
      <c r="AMG7" s="76"/>
      <c r="AMH7" s="76"/>
      <c r="AMI7" s="76"/>
      <c r="AMJ7" s="76"/>
    </row>
    <row r="8" spans="1:1024" s="60" customFormat="1" ht="15.75" customHeight="1">
      <c r="A8" s="18">
        <v>2</v>
      </c>
      <c r="B8" s="34" t="s">
        <v>217</v>
      </c>
      <c r="C8" s="63" t="s">
        <v>30</v>
      </c>
      <c r="D8" s="63">
        <v>0.80600000000000005</v>
      </c>
      <c r="E8" s="79" t="e">
        <f t="shared" ref="E8" si="3">D8+#REF!</f>
        <v>#REF!</v>
      </c>
      <c r="F8" s="65">
        <v>1.5</v>
      </c>
      <c r="G8" s="65" t="s">
        <v>61</v>
      </c>
      <c r="H8" s="64" t="e">
        <f t="shared" si="1"/>
        <v>#REF!</v>
      </c>
      <c r="I8" s="65">
        <v>0</v>
      </c>
      <c r="J8" s="66">
        <f>1.05*16</f>
        <v>16.8</v>
      </c>
      <c r="K8" s="2" t="e">
        <f t="shared" si="2"/>
        <v>#REF!</v>
      </c>
      <c r="L8" s="82">
        <f>брянск!Y55</f>
        <v>-11.142100000000003</v>
      </c>
      <c r="M8" s="18" t="s">
        <v>25</v>
      </c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  <c r="IP8" s="76"/>
      <c r="IQ8" s="76"/>
      <c r="IR8" s="76"/>
      <c r="IS8" s="76"/>
      <c r="IT8" s="76"/>
      <c r="IU8" s="76"/>
      <c r="IV8" s="76"/>
      <c r="IW8" s="76"/>
      <c r="IX8" s="76"/>
      <c r="IY8" s="76"/>
      <c r="IZ8" s="76"/>
      <c r="JA8" s="76"/>
      <c r="JB8" s="76"/>
      <c r="JC8" s="76"/>
      <c r="JD8" s="76"/>
      <c r="JE8" s="76"/>
      <c r="JF8" s="76"/>
      <c r="JG8" s="76"/>
      <c r="JH8" s="76"/>
      <c r="JI8" s="76"/>
      <c r="JJ8" s="76"/>
      <c r="JK8" s="76"/>
      <c r="JL8" s="76"/>
      <c r="JM8" s="76"/>
      <c r="JN8" s="76"/>
      <c r="JO8" s="76"/>
      <c r="JP8" s="76"/>
      <c r="JQ8" s="76"/>
      <c r="JR8" s="76"/>
      <c r="JS8" s="76"/>
      <c r="JT8" s="76"/>
      <c r="JU8" s="76"/>
      <c r="JV8" s="76"/>
      <c r="JW8" s="76"/>
      <c r="JX8" s="76"/>
      <c r="JY8" s="76"/>
      <c r="JZ8" s="76"/>
      <c r="KA8" s="76"/>
      <c r="KB8" s="76"/>
      <c r="KC8" s="76"/>
      <c r="KD8" s="76"/>
      <c r="KE8" s="76"/>
      <c r="KF8" s="76"/>
      <c r="KG8" s="76"/>
      <c r="KH8" s="76"/>
      <c r="KI8" s="76"/>
      <c r="KJ8" s="76"/>
      <c r="KK8" s="76"/>
      <c r="KL8" s="76"/>
      <c r="KM8" s="76"/>
      <c r="KN8" s="76"/>
      <c r="KO8" s="76"/>
      <c r="KP8" s="76"/>
      <c r="KQ8" s="76"/>
      <c r="KR8" s="76"/>
      <c r="KS8" s="76"/>
      <c r="KT8" s="76"/>
      <c r="KU8" s="76"/>
      <c r="KV8" s="76"/>
      <c r="KW8" s="76"/>
      <c r="KX8" s="76"/>
      <c r="KY8" s="76"/>
      <c r="KZ8" s="76"/>
      <c r="LA8" s="76"/>
      <c r="LB8" s="76"/>
      <c r="LC8" s="76"/>
      <c r="LD8" s="76"/>
      <c r="LE8" s="76"/>
      <c r="LF8" s="76"/>
      <c r="LG8" s="76"/>
      <c r="LH8" s="76"/>
      <c r="LI8" s="76"/>
      <c r="LJ8" s="76"/>
      <c r="LK8" s="76"/>
      <c r="LL8" s="76"/>
      <c r="LM8" s="76"/>
      <c r="LN8" s="76"/>
      <c r="LO8" s="76"/>
      <c r="LP8" s="76"/>
      <c r="LQ8" s="76"/>
      <c r="LR8" s="76"/>
      <c r="LS8" s="76"/>
      <c r="LT8" s="76"/>
      <c r="LU8" s="76"/>
      <c r="LV8" s="76"/>
      <c r="LW8" s="76"/>
      <c r="LX8" s="76"/>
      <c r="LY8" s="76"/>
      <c r="LZ8" s="76"/>
      <c r="MA8" s="76"/>
      <c r="MB8" s="76"/>
      <c r="MC8" s="76"/>
      <c r="MD8" s="76"/>
      <c r="ME8" s="76"/>
      <c r="MF8" s="76"/>
      <c r="MG8" s="76"/>
      <c r="MH8" s="76"/>
      <c r="MI8" s="76"/>
      <c r="MJ8" s="76"/>
      <c r="MK8" s="76"/>
      <c r="ML8" s="76"/>
      <c r="MM8" s="76"/>
      <c r="MN8" s="76"/>
      <c r="MO8" s="76"/>
      <c r="MP8" s="76"/>
      <c r="MQ8" s="76"/>
      <c r="MR8" s="76"/>
      <c r="MS8" s="76"/>
      <c r="MT8" s="76"/>
      <c r="MU8" s="76"/>
      <c r="MV8" s="76"/>
      <c r="MW8" s="76"/>
      <c r="MX8" s="76"/>
      <c r="MY8" s="76"/>
      <c r="MZ8" s="76"/>
      <c r="NA8" s="76"/>
      <c r="NB8" s="76"/>
      <c r="NC8" s="76"/>
      <c r="ND8" s="76"/>
      <c r="NE8" s="76"/>
      <c r="NF8" s="76"/>
      <c r="NG8" s="76"/>
      <c r="NH8" s="76"/>
      <c r="NI8" s="76"/>
      <c r="NJ8" s="76"/>
      <c r="NK8" s="76"/>
      <c r="NL8" s="76"/>
      <c r="NM8" s="76"/>
      <c r="NN8" s="76"/>
      <c r="NO8" s="76"/>
      <c r="NP8" s="76"/>
      <c r="NQ8" s="76"/>
      <c r="NR8" s="76"/>
      <c r="NS8" s="76"/>
      <c r="NT8" s="76"/>
      <c r="NU8" s="76"/>
      <c r="NV8" s="76"/>
      <c r="NW8" s="76"/>
      <c r="NX8" s="76"/>
      <c r="NY8" s="76"/>
      <c r="NZ8" s="76"/>
      <c r="OA8" s="76"/>
      <c r="OB8" s="76"/>
      <c r="OC8" s="76"/>
      <c r="OD8" s="76"/>
      <c r="OE8" s="76"/>
      <c r="OF8" s="76"/>
      <c r="OG8" s="76"/>
      <c r="OH8" s="76"/>
      <c r="OI8" s="76"/>
      <c r="OJ8" s="76"/>
      <c r="OK8" s="76"/>
      <c r="OL8" s="76"/>
      <c r="OM8" s="76"/>
      <c r="ON8" s="76"/>
      <c r="OO8" s="76"/>
      <c r="OP8" s="76"/>
      <c r="OQ8" s="76"/>
      <c r="OR8" s="76"/>
      <c r="OS8" s="76"/>
      <c r="OT8" s="76"/>
      <c r="OU8" s="76"/>
      <c r="OV8" s="76"/>
      <c r="OW8" s="76"/>
      <c r="OX8" s="76"/>
      <c r="OY8" s="76"/>
      <c r="OZ8" s="76"/>
      <c r="PA8" s="76"/>
      <c r="PB8" s="76"/>
      <c r="PC8" s="76"/>
      <c r="PD8" s="76"/>
      <c r="PE8" s="76"/>
      <c r="PF8" s="76"/>
      <c r="PG8" s="76"/>
      <c r="PH8" s="76"/>
      <c r="PI8" s="76"/>
      <c r="PJ8" s="76"/>
      <c r="PK8" s="76"/>
      <c r="PL8" s="76"/>
      <c r="PM8" s="76"/>
      <c r="PN8" s="76"/>
      <c r="PO8" s="76"/>
      <c r="PP8" s="76"/>
      <c r="PQ8" s="76"/>
      <c r="PR8" s="76"/>
      <c r="PS8" s="76"/>
      <c r="PT8" s="76"/>
      <c r="PU8" s="76"/>
      <c r="PV8" s="76"/>
      <c r="PW8" s="76"/>
      <c r="PX8" s="76"/>
      <c r="PY8" s="76"/>
      <c r="PZ8" s="76"/>
      <c r="QA8" s="76"/>
      <c r="QB8" s="76"/>
      <c r="QC8" s="76"/>
      <c r="QD8" s="76"/>
      <c r="QE8" s="76"/>
      <c r="QF8" s="76"/>
      <c r="QG8" s="76"/>
      <c r="QH8" s="76"/>
      <c r="QI8" s="76"/>
      <c r="QJ8" s="76"/>
      <c r="QK8" s="76"/>
      <c r="QL8" s="76"/>
      <c r="QM8" s="76"/>
      <c r="QN8" s="76"/>
      <c r="QO8" s="76"/>
      <c r="QP8" s="76"/>
      <c r="QQ8" s="76"/>
      <c r="QR8" s="76"/>
      <c r="QS8" s="76"/>
      <c r="QT8" s="76"/>
      <c r="QU8" s="76"/>
      <c r="QV8" s="76"/>
      <c r="QW8" s="76"/>
      <c r="QX8" s="76"/>
      <c r="QY8" s="76"/>
      <c r="QZ8" s="76"/>
      <c r="RA8" s="76"/>
      <c r="RB8" s="76"/>
      <c r="RC8" s="76"/>
      <c r="RD8" s="76"/>
      <c r="RE8" s="76"/>
      <c r="RF8" s="76"/>
      <c r="RG8" s="76"/>
      <c r="RH8" s="76"/>
      <c r="RI8" s="76"/>
      <c r="RJ8" s="76"/>
      <c r="RK8" s="76"/>
      <c r="RL8" s="76"/>
      <c r="RM8" s="76"/>
      <c r="RN8" s="76"/>
      <c r="RO8" s="76"/>
      <c r="RP8" s="76"/>
      <c r="RQ8" s="76"/>
      <c r="RR8" s="76"/>
      <c r="RS8" s="76"/>
      <c r="RT8" s="76"/>
      <c r="RU8" s="76"/>
      <c r="RV8" s="76"/>
      <c r="RW8" s="76"/>
      <c r="RX8" s="76"/>
      <c r="RY8" s="76"/>
      <c r="RZ8" s="76"/>
      <c r="SA8" s="76"/>
      <c r="SB8" s="76"/>
      <c r="SC8" s="76"/>
      <c r="SD8" s="76"/>
      <c r="SE8" s="76"/>
      <c r="SF8" s="76"/>
      <c r="SG8" s="76"/>
      <c r="SH8" s="76"/>
      <c r="SI8" s="76"/>
      <c r="SJ8" s="76"/>
      <c r="SK8" s="76"/>
      <c r="SL8" s="76"/>
      <c r="SM8" s="76"/>
      <c r="SN8" s="76"/>
      <c r="SO8" s="76"/>
      <c r="SP8" s="76"/>
      <c r="SQ8" s="76"/>
      <c r="SR8" s="76"/>
      <c r="SS8" s="76"/>
      <c r="ST8" s="76"/>
      <c r="SU8" s="76"/>
      <c r="SV8" s="76"/>
      <c r="SW8" s="76"/>
      <c r="SX8" s="76"/>
      <c r="SY8" s="76"/>
      <c r="SZ8" s="76"/>
      <c r="TA8" s="76"/>
      <c r="TB8" s="76"/>
      <c r="TC8" s="76"/>
      <c r="TD8" s="76"/>
      <c r="TE8" s="76"/>
      <c r="TF8" s="76"/>
      <c r="TG8" s="76"/>
      <c r="TH8" s="76"/>
      <c r="TI8" s="76"/>
      <c r="TJ8" s="76"/>
      <c r="TK8" s="76"/>
      <c r="TL8" s="76"/>
      <c r="TM8" s="76"/>
      <c r="TN8" s="76"/>
      <c r="TO8" s="76"/>
      <c r="TP8" s="76"/>
      <c r="TQ8" s="76"/>
      <c r="TR8" s="76"/>
      <c r="TS8" s="76"/>
      <c r="TT8" s="76"/>
      <c r="TU8" s="76"/>
      <c r="TV8" s="76"/>
      <c r="TW8" s="76"/>
      <c r="TX8" s="76"/>
      <c r="TY8" s="76"/>
      <c r="TZ8" s="76"/>
      <c r="UA8" s="76"/>
      <c r="UB8" s="76"/>
      <c r="UC8" s="76"/>
      <c r="UD8" s="76"/>
      <c r="UE8" s="76"/>
      <c r="UF8" s="76"/>
      <c r="UG8" s="76"/>
      <c r="UH8" s="76"/>
      <c r="UI8" s="76"/>
      <c r="UJ8" s="76"/>
      <c r="UK8" s="76"/>
      <c r="UL8" s="76"/>
      <c r="UM8" s="76"/>
      <c r="UN8" s="76"/>
      <c r="UO8" s="76"/>
      <c r="UP8" s="76"/>
      <c r="UQ8" s="76"/>
      <c r="UR8" s="76"/>
      <c r="US8" s="76"/>
      <c r="UT8" s="76"/>
      <c r="UU8" s="76"/>
      <c r="UV8" s="76"/>
      <c r="UW8" s="76"/>
      <c r="UX8" s="76"/>
      <c r="UY8" s="76"/>
      <c r="UZ8" s="76"/>
      <c r="VA8" s="76"/>
      <c r="VB8" s="76"/>
      <c r="VC8" s="76"/>
      <c r="VD8" s="76"/>
      <c r="VE8" s="76"/>
      <c r="VF8" s="76"/>
      <c r="VG8" s="76"/>
      <c r="VH8" s="76"/>
      <c r="VI8" s="76"/>
      <c r="VJ8" s="76"/>
      <c r="VK8" s="76"/>
      <c r="VL8" s="76"/>
      <c r="VM8" s="76"/>
      <c r="VN8" s="76"/>
      <c r="VO8" s="76"/>
      <c r="VP8" s="76"/>
      <c r="VQ8" s="76"/>
      <c r="VR8" s="76"/>
      <c r="VS8" s="76"/>
      <c r="VT8" s="76"/>
      <c r="VU8" s="76"/>
      <c r="VV8" s="76"/>
      <c r="VW8" s="76"/>
      <c r="VX8" s="76"/>
      <c r="VY8" s="76"/>
      <c r="VZ8" s="76"/>
      <c r="WA8" s="76"/>
      <c r="WB8" s="76"/>
      <c r="WC8" s="76"/>
      <c r="WD8" s="76"/>
      <c r="WE8" s="76"/>
      <c r="WF8" s="76"/>
      <c r="WG8" s="76"/>
      <c r="WH8" s="76"/>
      <c r="WI8" s="76"/>
      <c r="WJ8" s="76"/>
      <c r="WK8" s="76"/>
      <c r="WL8" s="76"/>
      <c r="WM8" s="76"/>
      <c r="WN8" s="76"/>
      <c r="WO8" s="76"/>
      <c r="WP8" s="76"/>
      <c r="WQ8" s="76"/>
      <c r="WR8" s="76"/>
      <c r="WS8" s="76"/>
      <c r="WT8" s="76"/>
      <c r="WU8" s="76"/>
      <c r="WV8" s="76"/>
      <c r="WW8" s="76"/>
      <c r="WX8" s="76"/>
      <c r="WY8" s="76"/>
      <c r="WZ8" s="76"/>
      <c r="XA8" s="76"/>
      <c r="XB8" s="76"/>
      <c r="XC8" s="76"/>
      <c r="XD8" s="76"/>
      <c r="XE8" s="76"/>
      <c r="XF8" s="76"/>
      <c r="XG8" s="76"/>
      <c r="XH8" s="76"/>
      <c r="XI8" s="76"/>
      <c r="XJ8" s="76"/>
      <c r="XK8" s="76"/>
      <c r="XL8" s="76"/>
      <c r="XM8" s="76"/>
      <c r="XN8" s="76"/>
      <c r="XO8" s="76"/>
      <c r="XP8" s="76"/>
      <c r="XQ8" s="76"/>
      <c r="XR8" s="76"/>
      <c r="XS8" s="76"/>
      <c r="XT8" s="76"/>
      <c r="XU8" s="76"/>
      <c r="XV8" s="76"/>
      <c r="XW8" s="76"/>
      <c r="XX8" s="76"/>
      <c r="XY8" s="76"/>
      <c r="XZ8" s="76"/>
      <c r="YA8" s="76"/>
      <c r="YB8" s="76"/>
      <c r="YC8" s="76"/>
      <c r="YD8" s="76"/>
      <c r="YE8" s="76"/>
      <c r="YF8" s="76"/>
      <c r="YG8" s="76"/>
      <c r="YH8" s="76"/>
      <c r="YI8" s="76"/>
      <c r="YJ8" s="76"/>
      <c r="YK8" s="76"/>
      <c r="YL8" s="76"/>
      <c r="YM8" s="76"/>
      <c r="YN8" s="76"/>
      <c r="YO8" s="76"/>
      <c r="YP8" s="76"/>
      <c r="YQ8" s="76"/>
      <c r="YR8" s="76"/>
      <c r="YS8" s="76"/>
      <c r="YT8" s="76"/>
      <c r="YU8" s="76"/>
      <c r="YV8" s="76"/>
      <c r="YW8" s="76"/>
      <c r="YX8" s="76"/>
      <c r="YY8" s="76"/>
      <c r="YZ8" s="76"/>
      <c r="ZA8" s="76"/>
      <c r="ZB8" s="76"/>
      <c r="ZC8" s="76"/>
      <c r="ZD8" s="76"/>
      <c r="ZE8" s="76"/>
      <c r="ZF8" s="76"/>
      <c r="ZG8" s="76"/>
      <c r="ZH8" s="76"/>
      <c r="ZI8" s="76"/>
      <c r="ZJ8" s="76"/>
      <c r="ZK8" s="76"/>
      <c r="ZL8" s="76"/>
      <c r="ZM8" s="76"/>
      <c r="ZN8" s="76"/>
      <c r="ZO8" s="76"/>
      <c r="ZP8" s="76"/>
      <c r="ZQ8" s="76"/>
      <c r="ZR8" s="76"/>
      <c r="ZS8" s="76"/>
      <c r="ZT8" s="76"/>
      <c r="ZU8" s="76"/>
      <c r="ZV8" s="76"/>
      <c r="ZW8" s="76"/>
      <c r="ZX8" s="76"/>
      <c r="ZY8" s="76"/>
      <c r="ZZ8" s="76"/>
      <c r="AAA8" s="76"/>
      <c r="AAB8" s="76"/>
      <c r="AAC8" s="76"/>
      <c r="AAD8" s="76"/>
      <c r="AAE8" s="76"/>
      <c r="AAF8" s="76"/>
      <c r="AAG8" s="76"/>
      <c r="AAH8" s="76"/>
      <c r="AAI8" s="76"/>
      <c r="AAJ8" s="76"/>
      <c r="AAK8" s="76"/>
      <c r="AAL8" s="76"/>
      <c r="AAM8" s="76"/>
      <c r="AAN8" s="76"/>
      <c r="AAO8" s="76"/>
      <c r="AAP8" s="76"/>
      <c r="AAQ8" s="76"/>
      <c r="AAR8" s="76"/>
      <c r="AAS8" s="76"/>
      <c r="AAT8" s="76"/>
      <c r="AAU8" s="76"/>
      <c r="AAV8" s="76"/>
      <c r="AAW8" s="76"/>
      <c r="AAX8" s="76"/>
      <c r="AAY8" s="76"/>
      <c r="AAZ8" s="76"/>
      <c r="ABA8" s="76"/>
      <c r="ABB8" s="76"/>
      <c r="ABC8" s="76"/>
      <c r="ABD8" s="76"/>
      <c r="ABE8" s="76"/>
      <c r="ABF8" s="76"/>
      <c r="ABG8" s="76"/>
      <c r="ABH8" s="76"/>
      <c r="ABI8" s="76"/>
      <c r="ABJ8" s="76"/>
      <c r="ABK8" s="76"/>
      <c r="ABL8" s="76"/>
      <c r="ABM8" s="76"/>
      <c r="ABN8" s="76"/>
      <c r="ABO8" s="76"/>
      <c r="ABP8" s="76"/>
      <c r="ABQ8" s="76"/>
      <c r="ABR8" s="76"/>
      <c r="ABS8" s="76"/>
      <c r="ABT8" s="76"/>
      <c r="ABU8" s="76"/>
      <c r="ABV8" s="76"/>
      <c r="ABW8" s="76"/>
      <c r="ABX8" s="76"/>
      <c r="ABY8" s="76"/>
      <c r="ABZ8" s="76"/>
      <c r="ACA8" s="76"/>
      <c r="ACB8" s="76"/>
      <c r="ACC8" s="76"/>
      <c r="ACD8" s="76"/>
      <c r="ACE8" s="76"/>
      <c r="ACF8" s="76"/>
      <c r="ACG8" s="76"/>
      <c r="ACH8" s="76"/>
      <c r="ACI8" s="76"/>
      <c r="ACJ8" s="76"/>
      <c r="ACK8" s="76"/>
      <c r="ACL8" s="76"/>
      <c r="ACM8" s="76"/>
      <c r="ACN8" s="76"/>
      <c r="ACO8" s="76"/>
      <c r="ACP8" s="76"/>
      <c r="ACQ8" s="76"/>
      <c r="ACR8" s="76"/>
      <c r="ACS8" s="76"/>
      <c r="ACT8" s="76"/>
      <c r="ACU8" s="76"/>
      <c r="ACV8" s="76"/>
      <c r="ACW8" s="76"/>
      <c r="ACX8" s="76"/>
      <c r="ACY8" s="76"/>
      <c r="ACZ8" s="76"/>
      <c r="ADA8" s="76"/>
      <c r="ADB8" s="76"/>
      <c r="ADC8" s="76"/>
      <c r="ADD8" s="76"/>
      <c r="ADE8" s="76"/>
      <c r="ADF8" s="76"/>
      <c r="ADG8" s="76"/>
      <c r="ADH8" s="76"/>
      <c r="ADI8" s="76"/>
      <c r="ADJ8" s="76"/>
      <c r="ADK8" s="76"/>
      <c r="ADL8" s="76"/>
      <c r="ADM8" s="76"/>
      <c r="ADN8" s="76"/>
      <c r="ADO8" s="76"/>
      <c r="ADP8" s="76"/>
      <c r="ADQ8" s="76"/>
      <c r="ADR8" s="76"/>
      <c r="ADS8" s="76"/>
      <c r="ADT8" s="76"/>
      <c r="ADU8" s="76"/>
      <c r="ADV8" s="76"/>
      <c r="ADW8" s="76"/>
      <c r="ADX8" s="76"/>
      <c r="ADY8" s="76"/>
      <c r="ADZ8" s="76"/>
      <c r="AEA8" s="76"/>
      <c r="AEB8" s="76"/>
      <c r="AEC8" s="76"/>
      <c r="AED8" s="76"/>
      <c r="AEE8" s="76"/>
      <c r="AEF8" s="76"/>
      <c r="AEG8" s="76"/>
      <c r="AEH8" s="76"/>
      <c r="AEI8" s="76"/>
      <c r="AEJ8" s="76"/>
      <c r="AEK8" s="76"/>
      <c r="AEL8" s="76"/>
      <c r="AEM8" s="76"/>
      <c r="AEN8" s="76"/>
      <c r="AEO8" s="76"/>
      <c r="AEP8" s="76"/>
      <c r="AEQ8" s="76"/>
      <c r="AER8" s="76"/>
      <c r="AES8" s="76"/>
      <c r="AET8" s="76"/>
      <c r="AEU8" s="76"/>
      <c r="AEV8" s="76"/>
      <c r="AEW8" s="76"/>
      <c r="AEX8" s="76"/>
      <c r="AEY8" s="76"/>
      <c r="AEZ8" s="76"/>
      <c r="AFA8" s="76"/>
      <c r="AFB8" s="76"/>
      <c r="AFC8" s="76"/>
      <c r="AFD8" s="76"/>
      <c r="AFE8" s="76"/>
      <c r="AFF8" s="76"/>
      <c r="AFG8" s="76"/>
      <c r="AFH8" s="76"/>
      <c r="AFI8" s="76"/>
      <c r="AFJ8" s="76"/>
      <c r="AFK8" s="76"/>
      <c r="AFL8" s="76"/>
      <c r="AFM8" s="76"/>
      <c r="AFN8" s="76"/>
      <c r="AFO8" s="76"/>
      <c r="AFP8" s="76"/>
      <c r="AFQ8" s="76"/>
      <c r="AFR8" s="76"/>
      <c r="AFS8" s="76"/>
      <c r="AFT8" s="76"/>
      <c r="AFU8" s="76"/>
      <c r="AFV8" s="76"/>
      <c r="AFW8" s="76"/>
      <c r="AFX8" s="76"/>
      <c r="AFY8" s="76"/>
      <c r="AFZ8" s="76"/>
      <c r="AGA8" s="76"/>
      <c r="AGB8" s="76"/>
      <c r="AGC8" s="76"/>
      <c r="AGD8" s="76"/>
      <c r="AGE8" s="76"/>
      <c r="AGF8" s="76"/>
      <c r="AGG8" s="76"/>
      <c r="AGH8" s="76"/>
      <c r="AGI8" s="76"/>
      <c r="AGJ8" s="76"/>
      <c r="AGK8" s="76"/>
      <c r="AGL8" s="76"/>
      <c r="AGM8" s="76"/>
      <c r="AGN8" s="76"/>
      <c r="AGO8" s="76"/>
      <c r="AGP8" s="76"/>
      <c r="AGQ8" s="76"/>
      <c r="AGR8" s="76"/>
      <c r="AGS8" s="76"/>
      <c r="AGT8" s="76"/>
      <c r="AGU8" s="76"/>
      <c r="AGV8" s="76"/>
      <c r="AGW8" s="76"/>
      <c r="AGX8" s="76"/>
      <c r="AGY8" s="76"/>
      <c r="AGZ8" s="76"/>
      <c r="AHA8" s="76"/>
      <c r="AHB8" s="76"/>
      <c r="AHC8" s="76"/>
      <c r="AHD8" s="76"/>
      <c r="AHE8" s="76"/>
      <c r="AHF8" s="76"/>
      <c r="AHG8" s="76"/>
      <c r="AHH8" s="76"/>
      <c r="AHI8" s="76"/>
      <c r="AHJ8" s="76"/>
      <c r="AHK8" s="76"/>
      <c r="AHL8" s="76"/>
      <c r="AHM8" s="76"/>
      <c r="AHN8" s="76"/>
      <c r="AHO8" s="76"/>
      <c r="AHP8" s="76"/>
      <c r="AHQ8" s="76"/>
      <c r="AHR8" s="76"/>
      <c r="AHS8" s="76"/>
      <c r="AHT8" s="76"/>
      <c r="AHU8" s="76"/>
      <c r="AHV8" s="76"/>
      <c r="AHW8" s="76"/>
      <c r="AHX8" s="76"/>
      <c r="AHY8" s="76"/>
      <c r="AHZ8" s="76"/>
      <c r="AIA8" s="76"/>
      <c r="AIB8" s="76"/>
      <c r="AIC8" s="76"/>
      <c r="AID8" s="76"/>
      <c r="AIE8" s="76"/>
      <c r="AIF8" s="76"/>
      <c r="AIG8" s="76"/>
      <c r="AIH8" s="76"/>
      <c r="AII8" s="76"/>
      <c r="AIJ8" s="76"/>
      <c r="AIK8" s="76"/>
      <c r="AIL8" s="76"/>
      <c r="AIM8" s="76"/>
      <c r="AIN8" s="76"/>
      <c r="AIO8" s="76"/>
      <c r="AIP8" s="76"/>
      <c r="AIQ8" s="76"/>
      <c r="AIR8" s="76"/>
      <c r="AIS8" s="76"/>
      <c r="AIT8" s="76"/>
      <c r="AIU8" s="76"/>
      <c r="AIV8" s="76"/>
      <c r="AIW8" s="76"/>
      <c r="AIX8" s="76"/>
      <c r="AIY8" s="76"/>
      <c r="AIZ8" s="76"/>
      <c r="AJA8" s="76"/>
      <c r="AJB8" s="76"/>
      <c r="AJC8" s="76"/>
      <c r="AJD8" s="76"/>
      <c r="AJE8" s="76"/>
      <c r="AJF8" s="76"/>
      <c r="AJG8" s="76"/>
      <c r="AJH8" s="76"/>
      <c r="AJI8" s="76"/>
      <c r="AJJ8" s="76"/>
      <c r="AJK8" s="76"/>
      <c r="AJL8" s="76"/>
      <c r="AJM8" s="76"/>
      <c r="AJN8" s="76"/>
      <c r="AJO8" s="76"/>
      <c r="AJP8" s="76"/>
      <c r="AJQ8" s="76"/>
      <c r="AJR8" s="76"/>
      <c r="AJS8" s="76"/>
      <c r="AJT8" s="76"/>
      <c r="AJU8" s="76"/>
      <c r="AJV8" s="76"/>
      <c r="AJW8" s="76"/>
      <c r="AJX8" s="76"/>
      <c r="AJY8" s="76"/>
      <c r="AJZ8" s="76"/>
      <c r="AKA8" s="76"/>
      <c r="AKB8" s="76"/>
      <c r="AKC8" s="76"/>
      <c r="AKD8" s="76"/>
      <c r="AKE8" s="76"/>
      <c r="AKF8" s="76"/>
      <c r="AKG8" s="76"/>
      <c r="AKH8" s="76"/>
      <c r="AKI8" s="76"/>
      <c r="AKJ8" s="76"/>
      <c r="AKK8" s="76"/>
      <c r="AKL8" s="76"/>
      <c r="AKM8" s="76"/>
      <c r="AKN8" s="76"/>
      <c r="AKO8" s="76"/>
      <c r="AKP8" s="76"/>
      <c r="AKQ8" s="76"/>
      <c r="AKR8" s="76"/>
      <c r="AKS8" s="76"/>
      <c r="AKT8" s="76"/>
      <c r="AKU8" s="76"/>
      <c r="AKV8" s="76"/>
      <c r="AKW8" s="76"/>
      <c r="AKX8" s="76"/>
      <c r="AKY8" s="76"/>
      <c r="AKZ8" s="76"/>
      <c r="ALA8" s="76"/>
      <c r="ALB8" s="76"/>
      <c r="ALC8" s="76"/>
      <c r="ALD8" s="76"/>
      <c r="ALE8" s="76"/>
      <c r="ALF8" s="76"/>
      <c r="ALG8" s="76"/>
      <c r="ALH8" s="76"/>
      <c r="ALI8" s="76"/>
      <c r="ALJ8" s="76"/>
      <c r="ALK8" s="76"/>
      <c r="ALL8" s="76"/>
      <c r="ALM8" s="76"/>
      <c r="ALN8" s="76"/>
      <c r="ALO8" s="76"/>
      <c r="ALP8" s="76"/>
      <c r="ALQ8" s="76"/>
      <c r="ALR8" s="76"/>
      <c r="ALS8" s="76"/>
      <c r="ALT8" s="76"/>
      <c r="ALU8" s="76"/>
      <c r="ALV8" s="76"/>
      <c r="ALW8" s="76"/>
      <c r="ALX8" s="76"/>
      <c r="ALY8" s="76"/>
      <c r="ALZ8" s="76"/>
      <c r="AMA8" s="76"/>
      <c r="AMB8" s="76"/>
      <c r="AMC8" s="76"/>
      <c r="AMD8" s="76"/>
      <c r="AME8" s="76"/>
      <c r="AMF8" s="76"/>
      <c r="AMG8" s="76"/>
      <c r="AMH8" s="76"/>
      <c r="AMI8" s="76"/>
      <c r="AMJ8" s="76"/>
    </row>
    <row r="9" spans="1:1024" s="60" customFormat="1">
      <c r="A9" s="65">
        <v>3</v>
      </c>
      <c r="B9" s="34" t="s">
        <v>224</v>
      </c>
      <c r="C9" s="63" t="s">
        <v>45</v>
      </c>
      <c r="D9" s="81">
        <f>0.412+0.096+0.016</f>
        <v>0.52400000000000002</v>
      </c>
      <c r="E9" s="82" t="e">
        <f t="shared" ref="E9" si="4">D9+#REF!</f>
        <v>#REF!</v>
      </c>
      <c r="F9" s="65">
        <v>0</v>
      </c>
      <c r="G9" s="65">
        <v>0</v>
      </c>
      <c r="H9" s="64" t="e">
        <f t="shared" si="1"/>
        <v>#REF!</v>
      </c>
      <c r="I9" s="65">
        <v>0</v>
      </c>
      <c r="J9" s="66">
        <f>1.05*4</f>
        <v>4.2</v>
      </c>
      <c r="K9" s="102" t="e">
        <f t="shared" si="2"/>
        <v>#REF!</v>
      </c>
      <c r="L9" s="82">
        <f>брянск!Y56</f>
        <v>-2.5926830000000001</v>
      </c>
      <c r="M9" s="65" t="s">
        <v>25</v>
      </c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  <c r="IR9" s="76"/>
      <c r="IS9" s="76"/>
      <c r="IT9" s="76"/>
      <c r="IU9" s="76"/>
      <c r="IV9" s="76"/>
      <c r="IW9" s="76"/>
      <c r="IX9" s="76"/>
      <c r="IY9" s="76"/>
      <c r="IZ9" s="76"/>
      <c r="JA9" s="76"/>
      <c r="JB9" s="76"/>
      <c r="JC9" s="76"/>
      <c r="JD9" s="76"/>
      <c r="JE9" s="76"/>
      <c r="JF9" s="76"/>
      <c r="JG9" s="76"/>
      <c r="JH9" s="76"/>
      <c r="JI9" s="76"/>
      <c r="JJ9" s="76"/>
      <c r="JK9" s="76"/>
      <c r="JL9" s="76"/>
      <c r="JM9" s="76"/>
      <c r="JN9" s="76"/>
      <c r="JO9" s="76"/>
      <c r="JP9" s="76"/>
      <c r="JQ9" s="76"/>
      <c r="JR9" s="76"/>
      <c r="JS9" s="76"/>
      <c r="JT9" s="76"/>
      <c r="JU9" s="76"/>
      <c r="JV9" s="76"/>
      <c r="JW9" s="76"/>
      <c r="JX9" s="76"/>
      <c r="JY9" s="76"/>
      <c r="JZ9" s="76"/>
      <c r="KA9" s="76"/>
      <c r="KB9" s="76"/>
      <c r="KC9" s="76"/>
      <c r="KD9" s="76"/>
      <c r="KE9" s="76"/>
      <c r="KF9" s="76"/>
      <c r="KG9" s="76"/>
      <c r="KH9" s="76"/>
      <c r="KI9" s="76"/>
      <c r="KJ9" s="76"/>
      <c r="KK9" s="76"/>
      <c r="KL9" s="76"/>
      <c r="KM9" s="76"/>
      <c r="KN9" s="76"/>
      <c r="KO9" s="76"/>
      <c r="KP9" s="76"/>
      <c r="KQ9" s="76"/>
      <c r="KR9" s="76"/>
      <c r="KS9" s="76"/>
      <c r="KT9" s="76"/>
      <c r="KU9" s="76"/>
      <c r="KV9" s="76"/>
      <c r="KW9" s="76"/>
      <c r="KX9" s="76"/>
      <c r="KY9" s="76"/>
      <c r="KZ9" s="76"/>
      <c r="LA9" s="76"/>
      <c r="LB9" s="76"/>
      <c r="LC9" s="76"/>
      <c r="LD9" s="76"/>
      <c r="LE9" s="76"/>
      <c r="LF9" s="76"/>
      <c r="LG9" s="76"/>
      <c r="LH9" s="76"/>
      <c r="LI9" s="76"/>
      <c r="LJ9" s="76"/>
      <c r="LK9" s="76"/>
      <c r="LL9" s="76"/>
      <c r="LM9" s="76"/>
      <c r="LN9" s="76"/>
      <c r="LO9" s="76"/>
      <c r="LP9" s="76"/>
      <c r="LQ9" s="76"/>
      <c r="LR9" s="76"/>
      <c r="LS9" s="76"/>
      <c r="LT9" s="76"/>
      <c r="LU9" s="76"/>
      <c r="LV9" s="76"/>
      <c r="LW9" s="76"/>
      <c r="LX9" s="76"/>
      <c r="LY9" s="76"/>
      <c r="LZ9" s="76"/>
      <c r="MA9" s="76"/>
      <c r="MB9" s="76"/>
      <c r="MC9" s="76"/>
      <c r="MD9" s="76"/>
      <c r="ME9" s="76"/>
      <c r="MF9" s="76"/>
      <c r="MG9" s="76"/>
      <c r="MH9" s="76"/>
      <c r="MI9" s="76"/>
      <c r="MJ9" s="76"/>
      <c r="MK9" s="76"/>
      <c r="ML9" s="76"/>
      <c r="MM9" s="76"/>
      <c r="MN9" s="76"/>
      <c r="MO9" s="76"/>
      <c r="MP9" s="76"/>
      <c r="MQ9" s="76"/>
      <c r="MR9" s="76"/>
      <c r="MS9" s="76"/>
      <c r="MT9" s="76"/>
      <c r="MU9" s="76"/>
      <c r="MV9" s="76"/>
      <c r="MW9" s="76"/>
      <c r="MX9" s="76"/>
      <c r="MY9" s="76"/>
      <c r="MZ9" s="76"/>
      <c r="NA9" s="76"/>
      <c r="NB9" s="76"/>
      <c r="NC9" s="76"/>
      <c r="ND9" s="76"/>
      <c r="NE9" s="76"/>
      <c r="NF9" s="76"/>
      <c r="NG9" s="76"/>
      <c r="NH9" s="76"/>
      <c r="NI9" s="76"/>
      <c r="NJ9" s="76"/>
      <c r="NK9" s="76"/>
      <c r="NL9" s="76"/>
      <c r="NM9" s="76"/>
      <c r="NN9" s="76"/>
      <c r="NO9" s="76"/>
      <c r="NP9" s="76"/>
      <c r="NQ9" s="76"/>
      <c r="NR9" s="76"/>
      <c r="NS9" s="76"/>
      <c r="NT9" s="76"/>
      <c r="NU9" s="76"/>
      <c r="NV9" s="76"/>
      <c r="NW9" s="76"/>
      <c r="NX9" s="76"/>
      <c r="NY9" s="76"/>
      <c r="NZ9" s="76"/>
      <c r="OA9" s="76"/>
      <c r="OB9" s="76"/>
      <c r="OC9" s="76"/>
      <c r="OD9" s="76"/>
      <c r="OE9" s="76"/>
      <c r="OF9" s="76"/>
      <c r="OG9" s="76"/>
      <c r="OH9" s="76"/>
      <c r="OI9" s="76"/>
      <c r="OJ9" s="76"/>
      <c r="OK9" s="76"/>
      <c r="OL9" s="76"/>
      <c r="OM9" s="76"/>
      <c r="ON9" s="76"/>
      <c r="OO9" s="76"/>
      <c r="OP9" s="76"/>
      <c r="OQ9" s="76"/>
      <c r="OR9" s="76"/>
      <c r="OS9" s="76"/>
      <c r="OT9" s="76"/>
      <c r="OU9" s="76"/>
      <c r="OV9" s="76"/>
      <c r="OW9" s="76"/>
      <c r="OX9" s="76"/>
      <c r="OY9" s="76"/>
      <c r="OZ9" s="76"/>
      <c r="PA9" s="76"/>
      <c r="PB9" s="76"/>
      <c r="PC9" s="76"/>
      <c r="PD9" s="76"/>
      <c r="PE9" s="76"/>
      <c r="PF9" s="76"/>
      <c r="PG9" s="76"/>
      <c r="PH9" s="76"/>
      <c r="PI9" s="76"/>
      <c r="PJ9" s="76"/>
      <c r="PK9" s="76"/>
      <c r="PL9" s="76"/>
      <c r="PM9" s="76"/>
      <c r="PN9" s="76"/>
      <c r="PO9" s="76"/>
      <c r="PP9" s="76"/>
      <c r="PQ9" s="76"/>
      <c r="PR9" s="76"/>
      <c r="PS9" s="76"/>
      <c r="PT9" s="76"/>
      <c r="PU9" s="76"/>
      <c r="PV9" s="76"/>
      <c r="PW9" s="76"/>
      <c r="PX9" s="76"/>
      <c r="PY9" s="76"/>
      <c r="PZ9" s="76"/>
      <c r="QA9" s="76"/>
      <c r="QB9" s="76"/>
      <c r="QC9" s="76"/>
      <c r="QD9" s="76"/>
      <c r="QE9" s="76"/>
      <c r="QF9" s="76"/>
      <c r="QG9" s="76"/>
      <c r="QH9" s="76"/>
      <c r="QI9" s="76"/>
      <c r="QJ9" s="76"/>
      <c r="QK9" s="76"/>
      <c r="QL9" s="76"/>
      <c r="QM9" s="76"/>
      <c r="QN9" s="76"/>
      <c r="QO9" s="76"/>
      <c r="QP9" s="76"/>
      <c r="QQ9" s="76"/>
      <c r="QR9" s="76"/>
      <c r="QS9" s="76"/>
      <c r="QT9" s="76"/>
      <c r="QU9" s="76"/>
      <c r="QV9" s="76"/>
      <c r="QW9" s="76"/>
      <c r="QX9" s="76"/>
      <c r="QY9" s="76"/>
      <c r="QZ9" s="76"/>
      <c r="RA9" s="76"/>
      <c r="RB9" s="76"/>
      <c r="RC9" s="76"/>
      <c r="RD9" s="76"/>
      <c r="RE9" s="76"/>
      <c r="RF9" s="76"/>
      <c r="RG9" s="76"/>
      <c r="RH9" s="76"/>
      <c r="RI9" s="76"/>
      <c r="RJ9" s="76"/>
      <c r="RK9" s="76"/>
      <c r="RL9" s="76"/>
      <c r="RM9" s="76"/>
      <c r="RN9" s="76"/>
      <c r="RO9" s="76"/>
      <c r="RP9" s="76"/>
      <c r="RQ9" s="76"/>
      <c r="RR9" s="76"/>
      <c r="RS9" s="76"/>
      <c r="RT9" s="76"/>
      <c r="RU9" s="76"/>
      <c r="RV9" s="76"/>
      <c r="RW9" s="76"/>
      <c r="RX9" s="76"/>
      <c r="RY9" s="76"/>
      <c r="RZ9" s="76"/>
      <c r="SA9" s="76"/>
      <c r="SB9" s="76"/>
      <c r="SC9" s="76"/>
      <c r="SD9" s="76"/>
      <c r="SE9" s="76"/>
      <c r="SF9" s="76"/>
      <c r="SG9" s="76"/>
      <c r="SH9" s="76"/>
      <c r="SI9" s="76"/>
      <c r="SJ9" s="76"/>
      <c r="SK9" s="76"/>
      <c r="SL9" s="76"/>
      <c r="SM9" s="76"/>
      <c r="SN9" s="76"/>
      <c r="SO9" s="76"/>
      <c r="SP9" s="76"/>
      <c r="SQ9" s="76"/>
      <c r="SR9" s="76"/>
      <c r="SS9" s="76"/>
      <c r="ST9" s="76"/>
      <c r="SU9" s="76"/>
      <c r="SV9" s="76"/>
      <c r="SW9" s="76"/>
      <c r="SX9" s="76"/>
      <c r="SY9" s="76"/>
      <c r="SZ9" s="76"/>
      <c r="TA9" s="76"/>
      <c r="TB9" s="76"/>
      <c r="TC9" s="76"/>
      <c r="TD9" s="76"/>
      <c r="TE9" s="76"/>
      <c r="TF9" s="76"/>
      <c r="TG9" s="76"/>
      <c r="TH9" s="76"/>
      <c r="TI9" s="76"/>
      <c r="TJ9" s="76"/>
      <c r="TK9" s="76"/>
      <c r="TL9" s="76"/>
      <c r="TM9" s="76"/>
      <c r="TN9" s="76"/>
      <c r="TO9" s="76"/>
      <c r="TP9" s="76"/>
      <c r="TQ9" s="76"/>
      <c r="TR9" s="76"/>
      <c r="TS9" s="76"/>
      <c r="TT9" s="76"/>
      <c r="TU9" s="76"/>
      <c r="TV9" s="76"/>
      <c r="TW9" s="76"/>
      <c r="TX9" s="76"/>
      <c r="TY9" s="76"/>
      <c r="TZ9" s="76"/>
      <c r="UA9" s="76"/>
      <c r="UB9" s="76"/>
      <c r="UC9" s="76"/>
      <c r="UD9" s="76"/>
      <c r="UE9" s="76"/>
      <c r="UF9" s="76"/>
      <c r="UG9" s="76"/>
      <c r="UH9" s="76"/>
      <c r="UI9" s="76"/>
      <c r="UJ9" s="76"/>
      <c r="UK9" s="76"/>
      <c r="UL9" s="76"/>
      <c r="UM9" s="76"/>
      <c r="UN9" s="76"/>
      <c r="UO9" s="76"/>
      <c r="UP9" s="76"/>
      <c r="UQ9" s="76"/>
      <c r="UR9" s="76"/>
      <c r="US9" s="76"/>
      <c r="UT9" s="76"/>
      <c r="UU9" s="76"/>
      <c r="UV9" s="76"/>
      <c r="UW9" s="76"/>
      <c r="UX9" s="76"/>
      <c r="UY9" s="76"/>
      <c r="UZ9" s="76"/>
      <c r="VA9" s="76"/>
      <c r="VB9" s="76"/>
      <c r="VC9" s="76"/>
      <c r="VD9" s="76"/>
      <c r="VE9" s="76"/>
      <c r="VF9" s="76"/>
      <c r="VG9" s="76"/>
      <c r="VH9" s="76"/>
      <c r="VI9" s="76"/>
      <c r="VJ9" s="76"/>
      <c r="VK9" s="76"/>
      <c r="VL9" s="76"/>
      <c r="VM9" s="76"/>
      <c r="VN9" s="76"/>
      <c r="VO9" s="76"/>
      <c r="VP9" s="76"/>
      <c r="VQ9" s="76"/>
      <c r="VR9" s="76"/>
      <c r="VS9" s="76"/>
      <c r="VT9" s="76"/>
      <c r="VU9" s="76"/>
      <c r="VV9" s="76"/>
      <c r="VW9" s="76"/>
      <c r="VX9" s="76"/>
      <c r="VY9" s="76"/>
      <c r="VZ9" s="76"/>
      <c r="WA9" s="76"/>
      <c r="WB9" s="76"/>
      <c r="WC9" s="76"/>
      <c r="WD9" s="76"/>
      <c r="WE9" s="76"/>
      <c r="WF9" s="76"/>
      <c r="WG9" s="76"/>
      <c r="WH9" s="76"/>
      <c r="WI9" s="76"/>
      <c r="WJ9" s="76"/>
      <c r="WK9" s="76"/>
      <c r="WL9" s="76"/>
      <c r="WM9" s="76"/>
      <c r="WN9" s="76"/>
      <c r="WO9" s="76"/>
      <c r="WP9" s="76"/>
      <c r="WQ9" s="76"/>
      <c r="WR9" s="76"/>
      <c r="WS9" s="76"/>
      <c r="WT9" s="76"/>
      <c r="WU9" s="76"/>
      <c r="WV9" s="76"/>
      <c r="WW9" s="76"/>
      <c r="WX9" s="76"/>
      <c r="WY9" s="76"/>
      <c r="WZ9" s="76"/>
      <c r="XA9" s="76"/>
      <c r="XB9" s="76"/>
      <c r="XC9" s="76"/>
      <c r="XD9" s="76"/>
      <c r="XE9" s="76"/>
      <c r="XF9" s="76"/>
      <c r="XG9" s="76"/>
      <c r="XH9" s="76"/>
      <c r="XI9" s="76"/>
      <c r="XJ9" s="76"/>
      <c r="XK9" s="76"/>
      <c r="XL9" s="76"/>
      <c r="XM9" s="76"/>
      <c r="XN9" s="76"/>
      <c r="XO9" s="76"/>
      <c r="XP9" s="76"/>
      <c r="XQ9" s="76"/>
      <c r="XR9" s="76"/>
      <c r="XS9" s="76"/>
      <c r="XT9" s="76"/>
      <c r="XU9" s="76"/>
      <c r="XV9" s="76"/>
      <c r="XW9" s="76"/>
      <c r="XX9" s="76"/>
      <c r="XY9" s="76"/>
      <c r="XZ9" s="76"/>
      <c r="YA9" s="76"/>
      <c r="YB9" s="76"/>
      <c r="YC9" s="76"/>
      <c r="YD9" s="76"/>
      <c r="YE9" s="76"/>
      <c r="YF9" s="76"/>
      <c r="YG9" s="76"/>
      <c r="YH9" s="76"/>
      <c r="YI9" s="76"/>
      <c r="YJ9" s="76"/>
      <c r="YK9" s="76"/>
      <c r="YL9" s="76"/>
      <c r="YM9" s="76"/>
      <c r="YN9" s="76"/>
      <c r="YO9" s="76"/>
      <c r="YP9" s="76"/>
      <c r="YQ9" s="76"/>
      <c r="YR9" s="76"/>
      <c r="YS9" s="76"/>
      <c r="YT9" s="76"/>
      <c r="YU9" s="76"/>
      <c r="YV9" s="76"/>
      <c r="YW9" s="76"/>
      <c r="YX9" s="76"/>
      <c r="YY9" s="76"/>
      <c r="YZ9" s="76"/>
      <c r="ZA9" s="76"/>
      <c r="ZB9" s="76"/>
      <c r="ZC9" s="76"/>
      <c r="ZD9" s="76"/>
      <c r="ZE9" s="76"/>
      <c r="ZF9" s="76"/>
      <c r="ZG9" s="76"/>
      <c r="ZH9" s="76"/>
      <c r="ZI9" s="76"/>
      <c r="ZJ9" s="76"/>
      <c r="ZK9" s="76"/>
      <c r="ZL9" s="76"/>
      <c r="ZM9" s="76"/>
      <c r="ZN9" s="76"/>
      <c r="ZO9" s="76"/>
      <c r="ZP9" s="76"/>
      <c r="ZQ9" s="76"/>
      <c r="ZR9" s="76"/>
      <c r="ZS9" s="76"/>
      <c r="ZT9" s="76"/>
      <c r="ZU9" s="76"/>
      <c r="ZV9" s="76"/>
      <c r="ZW9" s="76"/>
      <c r="ZX9" s="76"/>
      <c r="ZY9" s="76"/>
      <c r="ZZ9" s="76"/>
      <c r="AAA9" s="76"/>
      <c r="AAB9" s="76"/>
      <c r="AAC9" s="76"/>
      <c r="AAD9" s="76"/>
      <c r="AAE9" s="76"/>
      <c r="AAF9" s="76"/>
      <c r="AAG9" s="76"/>
      <c r="AAH9" s="76"/>
      <c r="AAI9" s="76"/>
      <c r="AAJ9" s="76"/>
      <c r="AAK9" s="76"/>
      <c r="AAL9" s="76"/>
      <c r="AAM9" s="76"/>
      <c r="AAN9" s="76"/>
      <c r="AAO9" s="76"/>
      <c r="AAP9" s="76"/>
      <c r="AAQ9" s="76"/>
      <c r="AAR9" s="76"/>
      <c r="AAS9" s="76"/>
      <c r="AAT9" s="76"/>
      <c r="AAU9" s="76"/>
      <c r="AAV9" s="76"/>
      <c r="AAW9" s="76"/>
      <c r="AAX9" s="76"/>
      <c r="AAY9" s="76"/>
      <c r="AAZ9" s="76"/>
      <c r="ABA9" s="76"/>
      <c r="ABB9" s="76"/>
      <c r="ABC9" s="76"/>
      <c r="ABD9" s="76"/>
      <c r="ABE9" s="76"/>
      <c r="ABF9" s="76"/>
      <c r="ABG9" s="76"/>
      <c r="ABH9" s="76"/>
      <c r="ABI9" s="76"/>
      <c r="ABJ9" s="76"/>
      <c r="ABK9" s="76"/>
      <c r="ABL9" s="76"/>
      <c r="ABM9" s="76"/>
      <c r="ABN9" s="76"/>
      <c r="ABO9" s="76"/>
      <c r="ABP9" s="76"/>
      <c r="ABQ9" s="76"/>
      <c r="ABR9" s="76"/>
      <c r="ABS9" s="76"/>
      <c r="ABT9" s="76"/>
      <c r="ABU9" s="76"/>
      <c r="ABV9" s="76"/>
      <c r="ABW9" s="76"/>
      <c r="ABX9" s="76"/>
      <c r="ABY9" s="76"/>
      <c r="ABZ9" s="76"/>
      <c r="ACA9" s="76"/>
      <c r="ACB9" s="76"/>
      <c r="ACC9" s="76"/>
      <c r="ACD9" s="76"/>
      <c r="ACE9" s="76"/>
      <c r="ACF9" s="76"/>
      <c r="ACG9" s="76"/>
      <c r="ACH9" s="76"/>
      <c r="ACI9" s="76"/>
      <c r="ACJ9" s="76"/>
      <c r="ACK9" s="76"/>
      <c r="ACL9" s="76"/>
      <c r="ACM9" s="76"/>
      <c r="ACN9" s="76"/>
      <c r="ACO9" s="76"/>
      <c r="ACP9" s="76"/>
      <c r="ACQ9" s="76"/>
      <c r="ACR9" s="76"/>
      <c r="ACS9" s="76"/>
      <c r="ACT9" s="76"/>
      <c r="ACU9" s="76"/>
      <c r="ACV9" s="76"/>
      <c r="ACW9" s="76"/>
      <c r="ACX9" s="76"/>
      <c r="ACY9" s="76"/>
      <c r="ACZ9" s="76"/>
      <c r="ADA9" s="76"/>
      <c r="ADB9" s="76"/>
      <c r="ADC9" s="76"/>
      <c r="ADD9" s="76"/>
      <c r="ADE9" s="76"/>
      <c r="ADF9" s="76"/>
      <c r="ADG9" s="76"/>
      <c r="ADH9" s="76"/>
      <c r="ADI9" s="76"/>
      <c r="ADJ9" s="76"/>
      <c r="ADK9" s="76"/>
      <c r="ADL9" s="76"/>
      <c r="ADM9" s="76"/>
      <c r="ADN9" s="76"/>
      <c r="ADO9" s="76"/>
      <c r="ADP9" s="76"/>
      <c r="ADQ9" s="76"/>
      <c r="ADR9" s="76"/>
      <c r="ADS9" s="76"/>
      <c r="ADT9" s="76"/>
      <c r="ADU9" s="76"/>
      <c r="ADV9" s="76"/>
      <c r="ADW9" s="76"/>
      <c r="ADX9" s="76"/>
      <c r="ADY9" s="76"/>
      <c r="ADZ9" s="76"/>
      <c r="AEA9" s="76"/>
      <c r="AEB9" s="76"/>
      <c r="AEC9" s="76"/>
      <c r="AED9" s="76"/>
      <c r="AEE9" s="76"/>
      <c r="AEF9" s="76"/>
      <c r="AEG9" s="76"/>
      <c r="AEH9" s="76"/>
      <c r="AEI9" s="76"/>
      <c r="AEJ9" s="76"/>
      <c r="AEK9" s="76"/>
      <c r="AEL9" s="76"/>
      <c r="AEM9" s="76"/>
      <c r="AEN9" s="76"/>
      <c r="AEO9" s="76"/>
      <c r="AEP9" s="76"/>
      <c r="AEQ9" s="76"/>
      <c r="AER9" s="76"/>
      <c r="AES9" s="76"/>
      <c r="AET9" s="76"/>
      <c r="AEU9" s="76"/>
      <c r="AEV9" s="76"/>
      <c r="AEW9" s="76"/>
      <c r="AEX9" s="76"/>
      <c r="AEY9" s="76"/>
      <c r="AEZ9" s="76"/>
      <c r="AFA9" s="76"/>
      <c r="AFB9" s="76"/>
      <c r="AFC9" s="76"/>
      <c r="AFD9" s="76"/>
      <c r="AFE9" s="76"/>
      <c r="AFF9" s="76"/>
      <c r="AFG9" s="76"/>
      <c r="AFH9" s="76"/>
      <c r="AFI9" s="76"/>
      <c r="AFJ9" s="76"/>
      <c r="AFK9" s="76"/>
      <c r="AFL9" s="76"/>
      <c r="AFM9" s="76"/>
      <c r="AFN9" s="76"/>
      <c r="AFO9" s="76"/>
      <c r="AFP9" s="76"/>
      <c r="AFQ9" s="76"/>
      <c r="AFR9" s="76"/>
      <c r="AFS9" s="76"/>
      <c r="AFT9" s="76"/>
      <c r="AFU9" s="76"/>
      <c r="AFV9" s="76"/>
      <c r="AFW9" s="76"/>
      <c r="AFX9" s="76"/>
      <c r="AFY9" s="76"/>
      <c r="AFZ9" s="76"/>
      <c r="AGA9" s="76"/>
      <c r="AGB9" s="76"/>
      <c r="AGC9" s="76"/>
      <c r="AGD9" s="76"/>
      <c r="AGE9" s="76"/>
      <c r="AGF9" s="76"/>
      <c r="AGG9" s="76"/>
      <c r="AGH9" s="76"/>
      <c r="AGI9" s="76"/>
      <c r="AGJ9" s="76"/>
      <c r="AGK9" s="76"/>
      <c r="AGL9" s="76"/>
      <c r="AGM9" s="76"/>
      <c r="AGN9" s="76"/>
      <c r="AGO9" s="76"/>
      <c r="AGP9" s="76"/>
      <c r="AGQ9" s="76"/>
      <c r="AGR9" s="76"/>
      <c r="AGS9" s="76"/>
      <c r="AGT9" s="76"/>
      <c r="AGU9" s="76"/>
      <c r="AGV9" s="76"/>
      <c r="AGW9" s="76"/>
      <c r="AGX9" s="76"/>
      <c r="AGY9" s="76"/>
      <c r="AGZ9" s="76"/>
      <c r="AHA9" s="76"/>
      <c r="AHB9" s="76"/>
      <c r="AHC9" s="76"/>
      <c r="AHD9" s="76"/>
      <c r="AHE9" s="76"/>
      <c r="AHF9" s="76"/>
      <c r="AHG9" s="76"/>
      <c r="AHH9" s="76"/>
      <c r="AHI9" s="76"/>
      <c r="AHJ9" s="76"/>
      <c r="AHK9" s="76"/>
      <c r="AHL9" s="76"/>
      <c r="AHM9" s="76"/>
      <c r="AHN9" s="76"/>
      <c r="AHO9" s="76"/>
      <c r="AHP9" s="76"/>
      <c r="AHQ9" s="76"/>
      <c r="AHR9" s="76"/>
      <c r="AHS9" s="76"/>
      <c r="AHT9" s="76"/>
      <c r="AHU9" s="76"/>
      <c r="AHV9" s="76"/>
      <c r="AHW9" s="76"/>
      <c r="AHX9" s="76"/>
      <c r="AHY9" s="76"/>
      <c r="AHZ9" s="76"/>
      <c r="AIA9" s="76"/>
      <c r="AIB9" s="76"/>
      <c r="AIC9" s="76"/>
      <c r="AID9" s="76"/>
      <c r="AIE9" s="76"/>
      <c r="AIF9" s="76"/>
      <c r="AIG9" s="76"/>
      <c r="AIH9" s="76"/>
      <c r="AII9" s="76"/>
      <c r="AIJ9" s="76"/>
      <c r="AIK9" s="76"/>
      <c r="AIL9" s="76"/>
      <c r="AIM9" s="76"/>
      <c r="AIN9" s="76"/>
      <c r="AIO9" s="76"/>
      <c r="AIP9" s="76"/>
      <c r="AIQ9" s="76"/>
      <c r="AIR9" s="76"/>
      <c r="AIS9" s="76"/>
      <c r="AIT9" s="76"/>
      <c r="AIU9" s="76"/>
      <c r="AIV9" s="76"/>
      <c r="AIW9" s="76"/>
      <c r="AIX9" s="76"/>
      <c r="AIY9" s="76"/>
      <c r="AIZ9" s="76"/>
      <c r="AJA9" s="76"/>
      <c r="AJB9" s="76"/>
      <c r="AJC9" s="76"/>
      <c r="AJD9" s="76"/>
      <c r="AJE9" s="76"/>
      <c r="AJF9" s="76"/>
      <c r="AJG9" s="76"/>
      <c r="AJH9" s="76"/>
      <c r="AJI9" s="76"/>
      <c r="AJJ9" s="76"/>
      <c r="AJK9" s="76"/>
      <c r="AJL9" s="76"/>
      <c r="AJM9" s="76"/>
      <c r="AJN9" s="76"/>
      <c r="AJO9" s="76"/>
      <c r="AJP9" s="76"/>
      <c r="AJQ9" s="76"/>
      <c r="AJR9" s="76"/>
      <c r="AJS9" s="76"/>
      <c r="AJT9" s="76"/>
      <c r="AJU9" s="76"/>
      <c r="AJV9" s="76"/>
      <c r="AJW9" s="76"/>
      <c r="AJX9" s="76"/>
      <c r="AJY9" s="76"/>
      <c r="AJZ9" s="76"/>
      <c r="AKA9" s="76"/>
      <c r="AKB9" s="76"/>
      <c r="AKC9" s="76"/>
      <c r="AKD9" s="76"/>
      <c r="AKE9" s="76"/>
      <c r="AKF9" s="76"/>
      <c r="AKG9" s="76"/>
      <c r="AKH9" s="76"/>
      <c r="AKI9" s="76"/>
      <c r="AKJ9" s="76"/>
      <c r="AKK9" s="76"/>
      <c r="AKL9" s="76"/>
      <c r="AKM9" s="76"/>
      <c r="AKN9" s="76"/>
      <c r="AKO9" s="76"/>
      <c r="AKP9" s="76"/>
      <c r="AKQ9" s="76"/>
      <c r="AKR9" s="76"/>
      <c r="AKS9" s="76"/>
      <c r="AKT9" s="76"/>
      <c r="AKU9" s="76"/>
      <c r="AKV9" s="76"/>
      <c r="AKW9" s="76"/>
      <c r="AKX9" s="76"/>
      <c r="AKY9" s="76"/>
      <c r="AKZ9" s="76"/>
      <c r="ALA9" s="76"/>
      <c r="ALB9" s="76"/>
      <c r="ALC9" s="76"/>
      <c r="ALD9" s="76"/>
      <c r="ALE9" s="76"/>
      <c r="ALF9" s="76"/>
      <c r="ALG9" s="76"/>
      <c r="ALH9" s="76"/>
      <c r="ALI9" s="76"/>
      <c r="ALJ9" s="76"/>
      <c r="ALK9" s="76"/>
      <c r="ALL9" s="76"/>
      <c r="ALM9" s="76"/>
      <c r="ALN9" s="76"/>
      <c r="ALO9" s="76"/>
      <c r="ALP9" s="76"/>
      <c r="ALQ9" s="76"/>
      <c r="ALR9" s="76"/>
      <c r="ALS9" s="76"/>
      <c r="ALT9" s="76"/>
      <c r="ALU9" s="76"/>
      <c r="ALV9" s="76"/>
      <c r="ALW9" s="76"/>
      <c r="ALX9" s="76"/>
      <c r="ALY9" s="76"/>
      <c r="ALZ9" s="76"/>
      <c r="AMA9" s="76"/>
      <c r="AMB9" s="76"/>
      <c r="AMC9" s="76"/>
      <c r="AMD9" s="76"/>
      <c r="AME9" s="76"/>
      <c r="AMF9" s="76"/>
      <c r="AMG9" s="76"/>
      <c r="AMH9" s="76"/>
      <c r="AMI9" s="76"/>
      <c r="AMJ9" s="76"/>
    </row>
    <row r="10" spans="1:1024" s="60" customFormat="1">
      <c r="A10" s="139">
        <v>4</v>
      </c>
      <c r="B10" s="34" t="s">
        <v>225</v>
      </c>
      <c r="C10" s="63" t="s">
        <v>62</v>
      </c>
      <c r="D10" s="81">
        <v>3.226</v>
      </c>
      <c r="E10" s="82">
        <v>42.735999999999997</v>
      </c>
      <c r="F10" s="65">
        <f>F11+F12</f>
        <v>0</v>
      </c>
      <c r="G10" s="65">
        <v>0</v>
      </c>
      <c r="H10" s="64">
        <f t="shared" si="1"/>
        <v>42.735999999999997</v>
      </c>
      <c r="I10" s="65">
        <v>0</v>
      </c>
      <c r="J10" s="66">
        <f>1.05*40</f>
        <v>42</v>
      </c>
      <c r="K10" s="53">
        <f t="shared" si="2"/>
        <v>-0.7359999999999971</v>
      </c>
      <c r="L10" s="193">
        <f>брянск!Y57</f>
        <v>-12.414321000000001</v>
      </c>
      <c r="M10" s="206" t="s">
        <v>25</v>
      </c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  <c r="IR10" s="76"/>
      <c r="IS10" s="76"/>
      <c r="IT10" s="76"/>
      <c r="IU10" s="76"/>
      <c r="IV10" s="76"/>
      <c r="IW10" s="76"/>
      <c r="IX10" s="76"/>
      <c r="IY10" s="76"/>
      <c r="IZ10" s="76"/>
      <c r="JA10" s="76"/>
      <c r="JB10" s="76"/>
      <c r="JC10" s="76"/>
      <c r="JD10" s="76"/>
      <c r="JE10" s="76"/>
      <c r="JF10" s="76"/>
      <c r="JG10" s="76"/>
      <c r="JH10" s="76"/>
      <c r="JI10" s="76"/>
      <c r="JJ10" s="76"/>
      <c r="JK10" s="76"/>
      <c r="JL10" s="76"/>
      <c r="JM10" s="76"/>
      <c r="JN10" s="76"/>
      <c r="JO10" s="76"/>
      <c r="JP10" s="76"/>
      <c r="JQ10" s="76"/>
      <c r="JR10" s="76"/>
      <c r="JS10" s="76"/>
      <c r="JT10" s="76"/>
      <c r="JU10" s="76"/>
      <c r="JV10" s="76"/>
      <c r="JW10" s="76"/>
      <c r="JX10" s="76"/>
      <c r="JY10" s="76"/>
      <c r="JZ10" s="76"/>
      <c r="KA10" s="76"/>
      <c r="KB10" s="76"/>
      <c r="KC10" s="76"/>
      <c r="KD10" s="76"/>
      <c r="KE10" s="76"/>
      <c r="KF10" s="76"/>
      <c r="KG10" s="76"/>
      <c r="KH10" s="76"/>
      <c r="KI10" s="76"/>
      <c r="KJ10" s="76"/>
      <c r="KK10" s="76"/>
      <c r="KL10" s="76"/>
      <c r="KM10" s="76"/>
      <c r="KN10" s="76"/>
      <c r="KO10" s="76"/>
      <c r="KP10" s="76"/>
      <c r="KQ10" s="76"/>
      <c r="KR10" s="76"/>
      <c r="KS10" s="76"/>
      <c r="KT10" s="76"/>
      <c r="KU10" s="76"/>
      <c r="KV10" s="76"/>
      <c r="KW10" s="76"/>
      <c r="KX10" s="76"/>
      <c r="KY10" s="76"/>
      <c r="KZ10" s="76"/>
      <c r="LA10" s="76"/>
      <c r="LB10" s="76"/>
      <c r="LC10" s="76"/>
      <c r="LD10" s="76"/>
      <c r="LE10" s="76"/>
      <c r="LF10" s="76"/>
      <c r="LG10" s="76"/>
      <c r="LH10" s="76"/>
      <c r="LI10" s="76"/>
      <c r="LJ10" s="76"/>
      <c r="LK10" s="76"/>
      <c r="LL10" s="76"/>
      <c r="LM10" s="76"/>
      <c r="LN10" s="76"/>
      <c r="LO10" s="76"/>
      <c r="LP10" s="76"/>
      <c r="LQ10" s="76"/>
      <c r="LR10" s="76"/>
      <c r="LS10" s="76"/>
      <c r="LT10" s="76"/>
      <c r="LU10" s="76"/>
      <c r="LV10" s="76"/>
      <c r="LW10" s="76"/>
      <c r="LX10" s="76"/>
      <c r="LY10" s="76"/>
      <c r="LZ10" s="76"/>
      <c r="MA10" s="76"/>
      <c r="MB10" s="76"/>
      <c r="MC10" s="76"/>
      <c r="MD10" s="76"/>
      <c r="ME10" s="76"/>
      <c r="MF10" s="76"/>
      <c r="MG10" s="76"/>
      <c r="MH10" s="76"/>
      <c r="MI10" s="76"/>
      <c r="MJ10" s="76"/>
      <c r="MK10" s="76"/>
      <c r="ML10" s="76"/>
      <c r="MM10" s="76"/>
      <c r="MN10" s="76"/>
      <c r="MO10" s="76"/>
      <c r="MP10" s="76"/>
      <c r="MQ10" s="76"/>
      <c r="MR10" s="76"/>
      <c r="MS10" s="76"/>
      <c r="MT10" s="76"/>
      <c r="MU10" s="76"/>
      <c r="MV10" s="76"/>
      <c r="MW10" s="76"/>
      <c r="MX10" s="76"/>
      <c r="MY10" s="76"/>
      <c r="MZ10" s="76"/>
      <c r="NA10" s="76"/>
      <c r="NB10" s="76"/>
      <c r="NC10" s="76"/>
      <c r="ND10" s="76"/>
      <c r="NE10" s="76"/>
      <c r="NF10" s="76"/>
      <c r="NG10" s="76"/>
      <c r="NH10" s="76"/>
      <c r="NI10" s="76"/>
      <c r="NJ10" s="76"/>
      <c r="NK10" s="76"/>
      <c r="NL10" s="76"/>
      <c r="NM10" s="76"/>
      <c r="NN10" s="76"/>
      <c r="NO10" s="76"/>
      <c r="NP10" s="76"/>
      <c r="NQ10" s="76"/>
      <c r="NR10" s="76"/>
      <c r="NS10" s="76"/>
      <c r="NT10" s="76"/>
      <c r="NU10" s="76"/>
      <c r="NV10" s="76"/>
      <c r="NW10" s="76"/>
      <c r="NX10" s="76"/>
      <c r="NY10" s="76"/>
      <c r="NZ10" s="76"/>
      <c r="OA10" s="76"/>
      <c r="OB10" s="76"/>
      <c r="OC10" s="76"/>
      <c r="OD10" s="76"/>
      <c r="OE10" s="76"/>
      <c r="OF10" s="76"/>
      <c r="OG10" s="76"/>
      <c r="OH10" s="76"/>
      <c r="OI10" s="76"/>
      <c r="OJ10" s="76"/>
      <c r="OK10" s="76"/>
      <c r="OL10" s="76"/>
      <c r="OM10" s="76"/>
      <c r="ON10" s="76"/>
      <c r="OO10" s="76"/>
      <c r="OP10" s="76"/>
      <c r="OQ10" s="76"/>
      <c r="OR10" s="76"/>
      <c r="OS10" s="76"/>
      <c r="OT10" s="76"/>
      <c r="OU10" s="76"/>
      <c r="OV10" s="76"/>
      <c r="OW10" s="76"/>
      <c r="OX10" s="76"/>
      <c r="OY10" s="76"/>
      <c r="OZ10" s="76"/>
      <c r="PA10" s="76"/>
      <c r="PB10" s="76"/>
      <c r="PC10" s="76"/>
      <c r="PD10" s="76"/>
      <c r="PE10" s="76"/>
      <c r="PF10" s="76"/>
      <c r="PG10" s="76"/>
      <c r="PH10" s="76"/>
      <c r="PI10" s="76"/>
      <c r="PJ10" s="76"/>
      <c r="PK10" s="76"/>
      <c r="PL10" s="76"/>
      <c r="PM10" s="76"/>
      <c r="PN10" s="76"/>
      <c r="PO10" s="76"/>
      <c r="PP10" s="76"/>
      <c r="PQ10" s="76"/>
      <c r="PR10" s="76"/>
      <c r="PS10" s="76"/>
      <c r="PT10" s="76"/>
      <c r="PU10" s="76"/>
      <c r="PV10" s="76"/>
      <c r="PW10" s="76"/>
      <c r="PX10" s="76"/>
      <c r="PY10" s="76"/>
      <c r="PZ10" s="76"/>
      <c r="QA10" s="76"/>
      <c r="QB10" s="76"/>
      <c r="QC10" s="76"/>
      <c r="QD10" s="76"/>
      <c r="QE10" s="76"/>
      <c r="QF10" s="76"/>
      <c r="QG10" s="76"/>
      <c r="QH10" s="76"/>
      <c r="QI10" s="76"/>
      <c r="QJ10" s="76"/>
      <c r="QK10" s="76"/>
      <c r="QL10" s="76"/>
      <c r="QM10" s="76"/>
      <c r="QN10" s="76"/>
      <c r="QO10" s="76"/>
      <c r="QP10" s="76"/>
      <c r="QQ10" s="76"/>
      <c r="QR10" s="76"/>
      <c r="QS10" s="76"/>
      <c r="QT10" s="76"/>
      <c r="QU10" s="76"/>
      <c r="QV10" s="76"/>
      <c r="QW10" s="76"/>
      <c r="QX10" s="76"/>
      <c r="QY10" s="76"/>
      <c r="QZ10" s="76"/>
      <c r="RA10" s="76"/>
      <c r="RB10" s="76"/>
      <c r="RC10" s="76"/>
      <c r="RD10" s="76"/>
      <c r="RE10" s="76"/>
      <c r="RF10" s="76"/>
      <c r="RG10" s="76"/>
      <c r="RH10" s="76"/>
      <c r="RI10" s="76"/>
      <c r="RJ10" s="76"/>
      <c r="RK10" s="76"/>
      <c r="RL10" s="76"/>
      <c r="RM10" s="76"/>
      <c r="RN10" s="76"/>
      <c r="RO10" s="76"/>
      <c r="RP10" s="76"/>
      <c r="RQ10" s="76"/>
      <c r="RR10" s="76"/>
      <c r="RS10" s="76"/>
      <c r="RT10" s="76"/>
      <c r="RU10" s="76"/>
      <c r="RV10" s="76"/>
      <c r="RW10" s="76"/>
      <c r="RX10" s="76"/>
      <c r="RY10" s="76"/>
      <c r="RZ10" s="76"/>
      <c r="SA10" s="76"/>
      <c r="SB10" s="76"/>
      <c r="SC10" s="76"/>
      <c r="SD10" s="76"/>
      <c r="SE10" s="76"/>
      <c r="SF10" s="76"/>
      <c r="SG10" s="76"/>
      <c r="SH10" s="76"/>
      <c r="SI10" s="76"/>
      <c r="SJ10" s="76"/>
      <c r="SK10" s="76"/>
      <c r="SL10" s="76"/>
      <c r="SM10" s="76"/>
      <c r="SN10" s="76"/>
      <c r="SO10" s="76"/>
      <c r="SP10" s="76"/>
      <c r="SQ10" s="76"/>
      <c r="SR10" s="76"/>
      <c r="SS10" s="76"/>
      <c r="ST10" s="76"/>
      <c r="SU10" s="76"/>
      <c r="SV10" s="76"/>
      <c r="SW10" s="76"/>
      <c r="SX10" s="76"/>
      <c r="SY10" s="76"/>
      <c r="SZ10" s="76"/>
      <c r="TA10" s="76"/>
      <c r="TB10" s="76"/>
      <c r="TC10" s="76"/>
      <c r="TD10" s="76"/>
      <c r="TE10" s="76"/>
      <c r="TF10" s="76"/>
      <c r="TG10" s="76"/>
      <c r="TH10" s="76"/>
      <c r="TI10" s="76"/>
      <c r="TJ10" s="76"/>
      <c r="TK10" s="76"/>
      <c r="TL10" s="76"/>
      <c r="TM10" s="76"/>
      <c r="TN10" s="76"/>
      <c r="TO10" s="76"/>
      <c r="TP10" s="76"/>
      <c r="TQ10" s="76"/>
      <c r="TR10" s="76"/>
      <c r="TS10" s="76"/>
      <c r="TT10" s="76"/>
      <c r="TU10" s="76"/>
      <c r="TV10" s="76"/>
      <c r="TW10" s="76"/>
      <c r="TX10" s="76"/>
      <c r="TY10" s="76"/>
      <c r="TZ10" s="76"/>
      <c r="UA10" s="76"/>
      <c r="UB10" s="76"/>
      <c r="UC10" s="76"/>
      <c r="UD10" s="76"/>
      <c r="UE10" s="76"/>
      <c r="UF10" s="76"/>
      <c r="UG10" s="76"/>
      <c r="UH10" s="76"/>
      <c r="UI10" s="76"/>
      <c r="UJ10" s="76"/>
      <c r="UK10" s="76"/>
      <c r="UL10" s="76"/>
      <c r="UM10" s="76"/>
      <c r="UN10" s="76"/>
      <c r="UO10" s="76"/>
      <c r="UP10" s="76"/>
      <c r="UQ10" s="76"/>
      <c r="UR10" s="76"/>
      <c r="US10" s="76"/>
      <c r="UT10" s="76"/>
      <c r="UU10" s="76"/>
      <c r="UV10" s="76"/>
      <c r="UW10" s="76"/>
      <c r="UX10" s="76"/>
      <c r="UY10" s="76"/>
      <c r="UZ10" s="76"/>
      <c r="VA10" s="76"/>
      <c r="VB10" s="76"/>
      <c r="VC10" s="76"/>
      <c r="VD10" s="76"/>
      <c r="VE10" s="76"/>
      <c r="VF10" s="76"/>
      <c r="VG10" s="76"/>
      <c r="VH10" s="76"/>
      <c r="VI10" s="76"/>
      <c r="VJ10" s="76"/>
      <c r="VK10" s="76"/>
      <c r="VL10" s="76"/>
      <c r="VM10" s="76"/>
      <c r="VN10" s="76"/>
      <c r="VO10" s="76"/>
      <c r="VP10" s="76"/>
      <c r="VQ10" s="76"/>
      <c r="VR10" s="76"/>
      <c r="VS10" s="76"/>
      <c r="VT10" s="76"/>
      <c r="VU10" s="76"/>
      <c r="VV10" s="76"/>
      <c r="VW10" s="76"/>
      <c r="VX10" s="76"/>
      <c r="VY10" s="76"/>
      <c r="VZ10" s="76"/>
      <c r="WA10" s="76"/>
      <c r="WB10" s="76"/>
      <c r="WC10" s="76"/>
      <c r="WD10" s="76"/>
      <c r="WE10" s="76"/>
      <c r="WF10" s="76"/>
      <c r="WG10" s="76"/>
      <c r="WH10" s="76"/>
      <c r="WI10" s="76"/>
      <c r="WJ10" s="76"/>
      <c r="WK10" s="76"/>
      <c r="WL10" s="76"/>
      <c r="WM10" s="76"/>
      <c r="WN10" s="76"/>
      <c r="WO10" s="76"/>
      <c r="WP10" s="76"/>
      <c r="WQ10" s="76"/>
      <c r="WR10" s="76"/>
      <c r="WS10" s="76"/>
      <c r="WT10" s="76"/>
      <c r="WU10" s="76"/>
      <c r="WV10" s="76"/>
      <c r="WW10" s="76"/>
      <c r="WX10" s="76"/>
      <c r="WY10" s="76"/>
      <c r="WZ10" s="76"/>
      <c r="XA10" s="76"/>
      <c r="XB10" s="76"/>
      <c r="XC10" s="76"/>
      <c r="XD10" s="76"/>
      <c r="XE10" s="76"/>
      <c r="XF10" s="76"/>
      <c r="XG10" s="76"/>
      <c r="XH10" s="76"/>
      <c r="XI10" s="76"/>
      <c r="XJ10" s="76"/>
      <c r="XK10" s="76"/>
      <c r="XL10" s="76"/>
      <c r="XM10" s="76"/>
      <c r="XN10" s="76"/>
      <c r="XO10" s="76"/>
      <c r="XP10" s="76"/>
      <c r="XQ10" s="76"/>
      <c r="XR10" s="76"/>
      <c r="XS10" s="76"/>
      <c r="XT10" s="76"/>
      <c r="XU10" s="76"/>
      <c r="XV10" s="76"/>
      <c r="XW10" s="76"/>
      <c r="XX10" s="76"/>
      <c r="XY10" s="76"/>
      <c r="XZ10" s="76"/>
      <c r="YA10" s="76"/>
      <c r="YB10" s="76"/>
      <c r="YC10" s="76"/>
      <c r="YD10" s="76"/>
      <c r="YE10" s="76"/>
      <c r="YF10" s="76"/>
      <c r="YG10" s="76"/>
      <c r="YH10" s="76"/>
      <c r="YI10" s="76"/>
      <c r="YJ10" s="76"/>
      <c r="YK10" s="76"/>
      <c r="YL10" s="76"/>
      <c r="YM10" s="76"/>
      <c r="YN10" s="76"/>
      <c r="YO10" s="76"/>
      <c r="YP10" s="76"/>
      <c r="YQ10" s="76"/>
      <c r="YR10" s="76"/>
      <c r="YS10" s="76"/>
      <c r="YT10" s="76"/>
      <c r="YU10" s="76"/>
      <c r="YV10" s="76"/>
      <c r="YW10" s="76"/>
      <c r="YX10" s="76"/>
      <c r="YY10" s="76"/>
      <c r="YZ10" s="76"/>
      <c r="ZA10" s="76"/>
      <c r="ZB10" s="76"/>
      <c r="ZC10" s="76"/>
      <c r="ZD10" s="76"/>
      <c r="ZE10" s="76"/>
      <c r="ZF10" s="76"/>
      <c r="ZG10" s="76"/>
      <c r="ZH10" s="76"/>
      <c r="ZI10" s="76"/>
      <c r="ZJ10" s="76"/>
      <c r="ZK10" s="76"/>
      <c r="ZL10" s="76"/>
      <c r="ZM10" s="76"/>
      <c r="ZN10" s="76"/>
      <c r="ZO10" s="76"/>
      <c r="ZP10" s="76"/>
      <c r="ZQ10" s="76"/>
      <c r="ZR10" s="76"/>
      <c r="ZS10" s="76"/>
      <c r="ZT10" s="76"/>
      <c r="ZU10" s="76"/>
      <c r="ZV10" s="76"/>
      <c r="ZW10" s="76"/>
      <c r="ZX10" s="76"/>
      <c r="ZY10" s="76"/>
      <c r="ZZ10" s="76"/>
      <c r="AAA10" s="76"/>
      <c r="AAB10" s="76"/>
      <c r="AAC10" s="76"/>
      <c r="AAD10" s="76"/>
      <c r="AAE10" s="76"/>
      <c r="AAF10" s="76"/>
      <c r="AAG10" s="76"/>
      <c r="AAH10" s="76"/>
      <c r="AAI10" s="76"/>
      <c r="AAJ10" s="76"/>
      <c r="AAK10" s="76"/>
      <c r="AAL10" s="76"/>
      <c r="AAM10" s="76"/>
      <c r="AAN10" s="76"/>
      <c r="AAO10" s="76"/>
      <c r="AAP10" s="76"/>
      <c r="AAQ10" s="76"/>
      <c r="AAR10" s="76"/>
      <c r="AAS10" s="76"/>
      <c r="AAT10" s="76"/>
      <c r="AAU10" s="76"/>
      <c r="AAV10" s="76"/>
      <c r="AAW10" s="76"/>
      <c r="AAX10" s="76"/>
      <c r="AAY10" s="76"/>
      <c r="AAZ10" s="76"/>
      <c r="ABA10" s="76"/>
      <c r="ABB10" s="76"/>
      <c r="ABC10" s="76"/>
      <c r="ABD10" s="76"/>
      <c r="ABE10" s="76"/>
      <c r="ABF10" s="76"/>
      <c r="ABG10" s="76"/>
      <c r="ABH10" s="76"/>
      <c r="ABI10" s="76"/>
      <c r="ABJ10" s="76"/>
      <c r="ABK10" s="76"/>
      <c r="ABL10" s="76"/>
      <c r="ABM10" s="76"/>
      <c r="ABN10" s="76"/>
      <c r="ABO10" s="76"/>
      <c r="ABP10" s="76"/>
      <c r="ABQ10" s="76"/>
      <c r="ABR10" s="76"/>
      <c r="ABS10" s="76"/>
      <c r="ABT10" s="76"/>
      <c r="ABU10" s="76"/>
      <c r="ABV10" s="76"/>
      <c r="ABW10" s="76"/>
      <c r="ABX10" s="76"/>
      <c r="ABY10" s="76"/>
      <c r="ABZ10" s="76"/>
      <c r="ACA10" s="76"/>
      <c r="ACB10" s="76"/>
      <c r="ACC10" s="76"/>
      <c r="ACD10" s="76"/>
      <c r="ACE10" s="76"/>
      <c r="ACF10" s="76"/>
      <c r="ACG10" s="76"/>
      <c r="ACH10" s="76"/>
      <c r="ACI10" s="76"/>
      <c r="ACJ10" s="76"/>
      <c r="ACK10" s="76"/>
      <c r="ACL10" s="76"/>
      <c r="ACM10" s="76"/>
      <c r="ACN10" s="76"/>
      <c r="ACO10" s="76"/>
      <c r="ACP10" s="76"/>
      <c r="ACQ10" s="76"/>
      <c r="ACR10" s="76"/>
      <c r="ACS10" s="76"/>
      <c r="ACT10" s="76"/>
      <c r="ACU10" s="76"/>
      <c r="ACV10" s="76"/>
      <c r="ACW10" s="76"/>
      <c r="ACX10" s="76"/>
      <c r="ACY10" s="76"/>
      <c r="ACZ10" s="76"/>
      <c r="ADA10" s="76"/>
      <c r="ADB10" s="76"/>
      <c r="ADC10" s="76"/>
      <c r="ADD10" s="76"/>
      <c r="ADE10" s="76"/>
      <c r="ADF10" s="76"/>
      <c r="ADG10" s="76"/>
      <c r="ADH10" s="76"/>
      <c r="ADI10" s="76"/>
      <c r="ADJ10" s="76"/>
      <c r="ADK10" s="76"/>
      <c r="ADL10" s="76"/>
      <c r="ADM10" s="76"/>
      <c r="ADN10" s="76"/>
      <c r="ADO10" s="76"/>
      <c r="ADP10" s="76"/>
      <c r="ADQ10" s="76"/>
      <c r="ADR10" s="76"/>
      <c r="ADS10" s="76"/>
      <c r="ADT10" s="76"/>
      <c r="ADU10" s="76"/>
      <c r="ADV10" s="76"/>
      <c r="ADW10" s="76"/>
      <c r="ADX10" s="76"/>
      <c r="ADY10" s="76"/>
      <c r="ADZ10" s="76"/>
      <c r="AEA10" s="76"/>
      <c r="AEB10" s="76"/>
      <c r="AEC10" s="76"/>
      <c r="AED10" s="76"/>
      <c r="AEE10" s="76"/>
      <c r="AEF10" s="76"/>
      <c r="AEG10" s="76"/>
      <c r="AEH10" s="76"/>
      <c r="AEI10" s="76"/>
      <c r="AEJ10" s="76"/>
      <c r="AEK10" s="76"/>
      <c r="AEL10" s="76"/>
      <c r="AEM10" s="76"/>
      <c r="AEN10" s="76"/>
      <c r="AEO10" s="76"/>
      <c r="AEP10" s="76"/>
      <c r="AEQ10" s="76"/>
      <c r="AER10" s="76"/>
      <c r="AES10" s="76"/>
      <c r="AET10" s="76"/>
      <c r="AEU10" s="76"/>
      <c r="AEV10" s="76"/>
      <c r="AEW10" s="76"/>
      <c r="AEX10" s="76"/>
      <c r="AEY10" s="76"/>
      <c r="AEZ10" s="76"/>
      <c r="AFA10" s="76"/>
      <c r="AFB10" s="76"/>
      <c r="AFC10" s="76"/>
      <c r="AFD10" s="76"/>
      <c r="AFE10" s="76"/>
      <c r="AFF10" s="76"/>
      <c r="AFG10" s="76"/>
      <c r="AFH10" s="76"/>
      <c r="AFI10" s="76"/>
      <c r="AFJ10" s="76"/>
      <c r="AFK10" s="76"/>
      <c r="AFL10" s="76"/>
      <c r="AFM10" s="76"/>
      <c r="AFN10" s="76"/>
      <c r="AFO10" s="76"/>
      <c r="AFP10" s="76"/>
      <c r="AFQ10" s="76"/>
      <c r="AFR10" s="76"/>
      <c r="AFS10" s="76"/>
      <c r="AFT10" s="76"/>
      <c r="AFU10" s="76"/>
      <c r="AFV10" s="76"/>
      <c r="AFW10" s="76"/>
      <c r="AFX10" s="76"/>
      <c r="AFY10" s="76"/>
      <c r="AFZ10" s="76"/>
      <c r="AGA10" s="76"/>
      <c r="AGB10" s="76"/>
      <c r="AGC10" s="76"/>
      <c r="AGD10" s="76"/>
      <c r="AGE10" s="76"/>
      <c r="AGF10" s="76"/>
      <c r="AGG10" s="76"/>
      <c r="AGH10" s="76"/>
      <c r="AGI10" s="76"/>
      <c r="AGJ10" s="76"/>
      <c r="AGK10" s="76"/>
      <c r="AGL10" s="76"/>
      <c r="AGM10" s="76"/>
      <c r="AGN10" s="76"/>
      <c r="AGO10" s="76"/>
      <c r="AGP10" s="76"/>
      <c r="AGQ10" s="76"/>
      <c r="AGR10" s="76"/>
      <c r="AGS10" s="76"/>
      <c r="AGT10" s="76"/>
      <c r="AGU10" s="76"/>
      <c r="AGV10" s="76"/>
      <c r="AGW10" s="76"/>
      <c r="AGX10" s="76"/>
      <c r="AGY10" s="76"/>
      <c r="AGZ10" s="76"/>
      <c r="AHA10" s="76"/>
      <c r="AHB10" s="76"/>
      <c r="AHC10" s="76"/>
      <c r="AHD10" s="76"/>
      <c r="AHE10" s="76"/>
      <c r="AHF10" s="76"/>
      <c r="AHG10" s="76"/>
      <c r="AHH10" s="76"/>
      <c r="AHI10" s="76"/>
      <c r="AHJ10" s="76"/>
      <c r="AHK10" s="76"/>
      <c r="AHL10" s="76"/>
      <c r="AHM10" s="76"/>
      <c r="AHN10" s="76"/>
      <c r="AHO10" s="76"/>
      <c r="AHP10" s="76"/>
      <c r="AHQ10" s="76"/>
      <c r="AHR10" s="76"/>
      <c r="AHS10" s="76"/>
      <c r="AHT10" s="76"/>
      <c r="AHU10" s="76"/>
      <c r="AHV10" s="76"/>
      <c r="AHW10" s="76"/>
      <c r="AHX10" s="76"/>
      <c r="AHY10" s="76"/>
      <c r="AHZ10" s="76"/>
      <c r="AIA10" s="76"/>
      <c r="AIB10" s="76"/>
      <c r="AIC10" s="76"/>
      <c r="AID10" s="76"/>
      <c r="AIE10" s="76"/>
      <c r="AIF10" s="76"/>
      <c r="AIG10" s="76"/>
      <c r="AIH10" s="76"/>
      <c r="AII10" s="76"/>
      <c r="AIJ10" s="76"/>
      <c r="AIK10" s="76"/>
      <c r="AIL10" s="76"/>
      <c r="AIM10" s="76"/>
      <c r="AIN10" s="76"/>
      <c r="AIO10" s="76"/>
      <c r="AIP10" s="76"/>
      <c r="AIQ10" s="76"/>
      <c r="AIR10" s="76"/>
      <c r="AIS10" s="76"/>
      <c r="AIT10" s="76"/>
      <c r="AIU10" s="76"/>
      <c r="AIV10" s="76"/>
      <c r="AIW10" s="76"/>
      <c r="AIX10" s="76"/>
      <c r="AIY10" s="76"/>
      <c r="AIZ10" s="76"/>
      <c r="AJA10" s="76"/>
      <c r="AJB10" s="76"/>
      <c r="AJC10" s="76"/>
      <c r="AJD10" s="76"/>
      <c r="AJE10" s="76"/>
      <c r="AJF10" s="76"/>
      <c r="AJG10" s="76"/>
      <c r="AJH10" s="76"/>
      <c r="AJI10" s="76"/>
      <c r="AJJ10" s="76"/>
      <c r="AJK10" s="76"/>
      <c r="AJL10" s="76"/>
      <c r="AJM10" s="76"/>
      <c r="AJN10" s="76"/>
      <c r="AJO10" s="76"/>
      <c r="AJP10" s="76"/>
      <c r="AJQ10" s="76"/>
      <c r="AJR10" s="76"/>
      <c r="AJS10" s="76"/>
      <c r="AJT10" s="76"/>
      <c r="AJU10" s="76"/>
      <c r="AJV10" s="76"/>
      <c r="AJW10" s="76"/>
      <c r="AJX10" s="76"/>
      <c r="AJY10" s="76"/>
      <c r="AJZ10" s="76"/>
      <c r="AKA10" s="76"/>
      <c r="AKB10" s="76"/>
      <c r="AKC10" s="76"/>
      <c r="AKD10" s="76"/>
      <c r="AKE10" s="76"/>
      <c r="AKF10" s="76"/>
      <c r="AKG10" s="76"/>
      <c r="AKH10" s="76"/>
      <c r="AKI10" s="76"/>
      <c r="AKJ10" s="76"/>
      <c r="AKK10" s="76"/>
      <c r="AKL10" s="76"/>
      <c r="AKM10" s="76"/>
      <c r="AKN10" s="76"/>
      <c r="AKO10" s="76"/>
      <c r="AKP10" s="76"/>
      <c r="AKQ10" s="76"/>
      <c r="AKR10" s="76"/>
      <c r="AKS10" s="76"/>
      <c r="AKT10" s="76"/>
      <c r="AKU10" s="76"/>
      <c r="AKV10" s="76"/>
      <c r="AKW10" s="76"/>
      <c r="AKX10" s="76"/>
      <c r="AKY10" s="76"/>
      <c r="AKZ10" s="76"/>
      <c r="ALA10" s="76"/>
      <c r="ALB10" s="76"/>
      <c r="ALC10" s="76"/>
      <c r="ALD10" s="76"/>
      <c r="ALE10" s="76"/>
      <c r="ALF10" s="76"/>
      <c r="ALG10" s="76"/>
      <c r="ALH10" s="76"/>
      <c r="ALI10" s="76"/>
      <c r="ALJ10" s="76"/>
      <c r="ALK10" s="76"/>
      <c r="ALL10" s="76"/>
      <c r="ALM10" s="76"/>
      <c r="ALN10" s="76"/>
      <c r="ALO10" s="76"/>
      <c r="ALP10" s="76"/>
      <c r="ALQ10" s="76"/>
      <c r="ALR10" s="76"/>
      <c r="ALS10" s="76"/>
      <c r="ALT10" s="76"/>
      <c r="ALU10" s="76"/>
      <c r="ALV10" s="76"/>
      <c r="ALW10" s="76"/>
      <c r="ALX10" s="76"/>
      <c r="ALY10" s="76"/>
      <c r="ALZ10" s="76"/>
      <c r="AMA10" s="76"/>
      <c r="AMB10" s="76"/>
      <c r="AMC10" s="76"/>
      <c r="AMD10" s="76"/>
      <c r="AME10" s="76"/>
      <c r="AMF10" s="76"/>
      <c r="AMG10" s="76"/>
      <c r="AMH10" s="76"/>
      <c r="AMI10" s="76"/>
      <c r="AMJ10" s="76"/>
    </row>
    <row r="11" spans="1:1024" s="60" customFormat="1">
      <c r="A11" s="140"/>
      <c r="B11" s="67" t="s">
        <v>57</v>
      </c>
      <c r="C11" s="63" t="s">
        <v>62</v>
      </c>
      <c r="D11" s="63"/>
      <c r="E11" s="82" t="e">
        <f t="shared" ref="E11" si="5">D11+#REF!</f>
        <v>#REF!</v>
      </c>
      <c r="F11" s="65">
        <v>0</v>
      </c>
      <c r="G11" s="65">
        <v>0</v>
      </c>
      <c r="H11" s="64" t="e">
        <f t="shared" si="1"/>
        <v>#REF!</v>
      </c>
      <c r="I11" s="65">
        <v>0</v>
      </c>
      <c r="J11" s="66">
        <f>1.05*40</f>
        <v>42</v>
      </c>
      <c r="K11" s="53" t="e">
        <f>J11-E11</f>
        <v>#REF!</v>
      </c>
      <c r="L11" s="194"/>
      <c r="M11" s="207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  <c r="IR11" s="76"/>
      <c r="IS11" s="76"/>
      <c r="IT11" s="76"/>
      <c r="IU11" s="76"/>
      <c r="IV11" s="76"/>
      <c r="IW11" s="76"/>
      <c r="IX11" s="76"/>
      <c r="IY11" s="76"/>
      <c r="IZ11" s="76"/>
      <c r="JA11" s="76"/>
      <c r="JB11" s="76"/>
      <c r="JC11" s="76"/>
      <c r="JD11" s="76"/>
      <c r="JE11" s="76"/>
      <c r="JF11" s="76"/>
      <c r="JG11" s="76"/>
      <c r="JH11" s="76"/>
      <c r="JI11" s="76"/>
      <c r="JJ11" s="76"/>
      <c r="JK11" s="76"/>
      <c r="JL11" s="76"/>
      <c r="JM11" s="76"/>
      <c r="JN11" s="76"/>
      <c r="JO11" s="76"/>
      <c r="JP11" s="76"/>
      <c r="JQ11" s="76"/>
      <c r="JR11" s="76"/>
      <c r="JS11" s="76"/>
      <c r="JT11" s="76"/>
      <c r="JU11" s="76"/>
      <c r="JV11" s="76"/>
      <c r="JW11" s="76"/>
      <c r="JX11" s="76"/>
      <c r="JY11" s="76"/>
      <c r="JZ11" s="76"/>
      <c r="KA11" s="76"/>
      <c r="KB11" s="76"/>
      <c r="KC11" s="76"/>
      <c r="KD11" s="76"/>
      <c r="KE11" s="76"/>
      <c r="KF11" s="76"/>
      <c r="KG11" s="76"/>
      <c r="KH11" s="76"/>
      <c r="KI11" s="76"/>
      <c r="KJ11" s="76"/>
      <c r="KK11" s="76"/>
      <c r="KL11" s="76"/>
      <c r="KM11" s="76"/>
      <c r="KN11" s="76"/>
      <c r="KO11" s="76"/>
      <c r="KP11" s="76"/>
      <c r="KQ11" s="76"/>
      <c r="KR11" s="76"/>
      <c r="KS11" s="76"/>
      <c r="KT11" s="76"/>
      <c r="KU11" s="76"/>
      <c r="KV11" s="76"/>
      <c r="KW11" s="76"/>
      <c r="KX11" s="76"/>
      <c r="KY11" s="76"/>
      <c r="KZ11" s="76"/>
      <c r="LA11" s="76"/>
      <c r="LB11" s="76"/>
      <c r="LC11" s="76"/>
      <c r="LD11" s="76"/>
      <c r="LE11" s="76"/>
      <c r="LF11" s="76"/>
      <c r="LG11" s="76"/>
      <c r="LH11" s="76"/>
      <c r="LI11" s="76"/>
      <c r="LJ11" s="76"/>
      <c r="LK11" s="76"/>
      <c r="LL11" s="76"/>
      <c r="LM11" s="76"/>
      <c r="LN11" s="76"/>
      <c r="LO11" s="76"/>
      <c r="LP11" s="76"/>
      <c r="LQ11" s="76"/>
      <c r="LR11" s="76"/>
      <c r="LS11" s="76"/>
      <c r="LT11" s="76"/>
      <c r="LU11" s="76"/>
      <c r="LV11" s="76"/>
      <c r="LW11" s="76"/>
      <c r="LX11" s="76"/>
      <c r="LY11" s="76"/>
      <c r="LZ11" s="76"/>
      <c r="MA11" s="76"/>
      <c r="MB11" s="76"/>
      <c r="MC11" s="76"/>
      <c r="MD11" s="76"/>
      <c r="ME11" s="76"/>
      <c r="MF11" s="76"/>
      <c r="MG11" s="76"/>
      <c r="MH11" s="76"/>
      <c r="MI11" s="76"/>
      <c r="MJ11" s="76"/>
      <c r="MK11" s="76"/>
      <c r="ML11" s="76"/>
      <c r="MM11" s="76"/>
      <c r="MN11" s="76"/>
      <c r="MO11" s="76"/>
      <c r="MP11" s="76"/>
      <c r="MQ11" s="76"/>
      <c r="MR11" s="76"/>
      <c r="MS11" s="76"/>
      <c r="MT11" s="76"/>
      <c r="MU11" s="76"/>
      <c r="MV11" s="76"/>
      <c r="MW11" s="76"/>
      <c r="MX11" s="76"/>
      <c r="MY11" s="76"/>
      <c r="MZ11" s="76"/>
      <c r="NA11" s="76"/>
      <c r="NB11" s="76"/>
      <c r="NC11" s="76"/>
      <c r="ND11" s="76"/>
      <c r="NE11" s="76"/>
      <c r="NF11" s="76"/>
      <c r="NG11" s="76"/>
      <c r="NH11" s="76"/>
      <c r="NI11" s="76"/>
      <c r="NJ11" s="76"/>
      <c r="NK11" s="76"/>
      <c r="NL11" s="76"/>
      <c r="NM11" s="76"/>
      <c r="NN11" s="76"/>
      <c r="NO11" s="76"/>
      <c r="NP11" s="76"/>
      <c r="NQ11" s="76"/>
      <c r="NR11" s="76"/>
      <c r="NS11" s="76"/>
      <c r="NT11" s="76"/>
      <c r="NU11" s="76"/>
      <c r="NV11" s="76"/>
      <c r="NW11" s="76"/>
      <c r="NX11" s="76"/>
      <c r="NY11" s="76"/>
      <c r="NZ11" s="76"/>
      <c r="OA11" s="76"/>
      <c r="OB11" s="76"/>
      <c r="OC11" s="76"/>
      <c r="OD11" s="76"/>
      <c r="OE11" s="76"/>
      <c r="OF11" s="76"/>
      <c r="OG11" s="76"/>
      <c r="OH11" s="76"/>
      <c r="OI11" s="76"/>
      <c r="OJ11" s="76"/>
      <c r="OK11" s="76"/>
      <c r="OL11" s="76"/>
      <c r="OM11" s="76"/>
      <c r="ON11" s="76"/>
      <c r="OO11" s="76"/>
      <c r="OP11" s="76"/>
      <c r="OQ11" s="76"/>
      <c r="OR11" s="76"/>
      <c r="OS11" s="76"/>
      <c r="OT11" s="76"/>
      <c r="OU11" s="76"/>
      <c r="OV11" s="76"/>
      <c r="OW11" s="76"/>
      <c r="OX11" s="76"/>
      <c r="OY11" s="76"/>
      <c r="OZ11" s="76"/>
      <c r="PA11" s="76"/>
      <c r="PB11" s="76"/>
      <c r="PC11" s="76"/>
      <c r="PD11" s="76"/>
      <c r="PE11" s="76"/>
      <c r="PF11" s="76"/>
      <c r="PG11" s="76"/>
      <c r="PH11" s="76"/>
      <c r="PI11" s="76"/>
      <c r="PJ11" s="76"/>
      <c r="PK11" s="76"/>
      <c r="PL11" s="76"/>
      <c r="PM11" s="76"/>
      <c r="PN11" s="76"/>
      <c r="PO11" s="76"/>
      <c r="PP11" s="76"/>
      <c r="PQ11" s="76"/>
      <c r="PR11" s="76"/>
      <c r="PS11" s="76"/>
      <c r="PT11" s="76"/>
      <c r="PU11" s="76"/>
      <c r="PV11" s="76"/>
      <c r="PW11" s="76"/>
      <c r="PX11" s="76"/>
      <c r="PY11" s="76"/>
      <c r="PZ11" s="76"/>
      <c r="QA11" s="76"/>
      <c r="QB11" s="76"/>
      <c r="QC11" s="76"/>
      <c r="QD11" s="76"/>
      <c r="QE11" s="76"/>
      <c r="QF11" s="76"/>
      <c r="QG11" s="76"/>
      <c r="QH11" s="76"/>
      <c r="QI11" s="76"/>
      <c r="QJ11" s="76"/>
      <c r="QK11" s="76"/>
      <c r="QL11" s="76"/>
      <c r="QM11" s="76"/>
      <c r="QN11" s="76"/>
      <c r="QO11" s="76"/>
      <c r="QP11" s="76"/>
      <c r="QQ11" s="76"/>
      <c r="QR11" s="76"/>
      <c r="QS11" s="76"/>
      <c r="QT11" s="76"/>
      <c r="QU11" s="76"/>
      <c r="QV11" s="76"/>
      <c r="QW11" s="76"/>
      <c r="QX11" s="76"/>
      <c r="QY11" s="76"/>
      <c r="QZ11" s="76"/>
      <c r="RA11" s="76"/>
      <c r="RB11" s="76"/>
      <c r="RC11" s="76"/>
      <c r="RD11" s="76"/>
      <c r="RE11" s="76"/>
      <c r="RF11" s="76"/>
      <c r="RG11" s="76"/>
      <c r="RH11" s="76"/>
      <c r="RI11" s="76"/>
      <c r="RJ11" s="76"/>
      <c r="RK11" s="76"/>
      <c r="RL11" s="76"/>
      <c r="RM11" s="76"/>
      <c r="RN11" s="76"/>
      <c r="RO11" s="76"/>
      <c r="RP11" s="76"/>
      <c r="RQ11" s="76"/>
      <c r="RR11" s="76"/>
      <c r="RS11" s="76"/>
      <c r="RT11" s="76"/>
      <c r="RU11" s="76"/>
      <c r="RV11" s="76"/>
      <c r="RW11" s="76"/>
      <c r="RX11" s="76"/>
      <c r="RY11" s="76"/>
      <c r="RZ11" s="76"/>
      <c r="SA11" s="76"/>
      <c r="SB11" s="76"/>
      <c r="SC11" s="76"/>
      <c r="SD11" s="76"/>
      <c r="SE11" s="76"/>
      <c r="SF11" s="76"/>
      <c r="SG11" s="76"/>
      <c r="SH11" s="76"/>
      <c r="SI11" s="76"/>
      <c r="SJ11" s="76"/>
      <c r="SK11" s="76"/>
      <c r="SL11" s="76"/>
      <c r="SM11" s="76"/>
      <c r="SN11" s="76"/>
      <c r="SO11" s="76"/>
      <c r="SP11" s="76"/>
      <c r="SQ11" s="76"/>
      <c r="SR11" s="76"/>
      <c r="SS11" s="76"/>
      <c r="ST11" s="76"/>
      <c r="SU11" s="76"/>
      <c r="SV11" s="76"/>
      <c r="SW11" s="76"/>
      <c r="SX11" s="76"/>
      <c r="SY11" s="76"/>
      <c r="SZ11" s="76"/>
      <c r="TA11" s="76"/>
      <c r="TB11" s="76"/>
      <c r="TC11" s="76"/>
      <c r="TD11" s="76"/>
      <c r="TE11" s="76"/>
      <c r="TF11" s="76"/>
      <c r="TG11" s="76"/>
      <c r="TH11" s="76"/>
      <c r="TI11" s="76"/>
      <c r="TJ11" s="76"/>
      <c r="TK11" s="76"/>
      <c r="TL11" s="76"/>
      <c r="TM11" s="76"/>
      <c r="TN11" s="76"/>
      <c r="TO11" s="76"/>
      <c r="TP11" s="76"/>
      <c r="TQ11" s="76"/>
      <c r="TR11" s="76"/>
      <c r="TS11" s="76"/>
      <c r="TT11" s="76"/>
      <c r="TU11" s="76"/>
      <c r="TV11" s="76"/>
      <c r="TW11" s="76"/>
      <c r="TX11" s="76"/>
      <c r="TY11" s="76"/>
      <c r="TZ11" s="76"/>
      <c r="UA11" s="76"/>
      <c r="UB11" s="76"/>
      <c r="UC11" s="76"/>
      <c r="UD11" s="76"/>
      <c r="UE11" s="76"/>
      <c r="UF11" s="76"/>
      <c r="UG11" s="76"/>
      <c r="UH11" s="76"/>
      <c r="UI11" s="76"/>
      <c r="UJ11" s="76"/>
      <c r="UK11" s="76"/>
      <c r="UL11" s="76"/>
      <c r="UM11" s="76"/>
      <c r="UN11" s="76"/>
      <c r="UO11" s="76"/>
      <c r="UP11" s="76"/>
      <c r="UQ11" s="76"/>
      <c r="UR11" s="76"/>
      <c r="US11" s="76"/>
      <c r="UT11" s="76"/>
      <c r="UU11" s="76"/>
      <c r="UV11" s="76"/>
      <c r="UW11" s="76"/>
      <c r="UX11" s="76"/>
      <c r="UY11" s="76"/>
      <c r="UZ11" s="76"/>
      <c r="VA11" s="76"/>
      <c r="VB11" s="76"/>
      <c r="VC11" s="76"/>
      <c r="VD11" s="76"/>
      <c r="VE11" s="76"/>
      <c r="VF11" s="76"/>
      <c r="VG11" s="76"/>
      <c r="VH11" s="76"/>
      <c r="VI11" s="76"/>
      <c r="VJ11" s="76"/>
      <c r="VK11" s="76"/>
      <c r="VL11" s="76"/>
      <c r="VM11" s="76"/>
      <c r="VN11" s="76"/>
      <c r="VO11" s="76"/>
      <c r="VP11" s="76"/>
      <c r="VQ11" s="76"/>
      <c r="VR11" s="76"/>
      <c r="VS11" s="76"/>
      <c r="VT11" s="76"/>
      <c r="VU11" s="76"/>
      <c r="VV11" s="76"/>
      <c r="VW11" s="76"/>
      <c r="VX11" s="76"/>
      <c r="VY11" s="76"/>
      <c r="VZ11" s="76"/>
      <c r="WA11" s="76"/>
      <c r="WB11" s="76"/>
      <c r="WC11" s="76"/>
      <c r="WD11" s="76"/>
      <c r="WE11" s="76"/>
      <c r="WF11" s="76"/>
      <c r="WG11" s="76"/>
      <c r="WH11" s="76"/>
      <c r="WI11" s="76"/>
      <c r="WJ11" s="76"/>
      <c r="WK11" s="76"/>
      <c r="WL11" s="76"/>
      <c r="WM11" s="76"/>
      <c r="WN11" s="76"/>
      <c r="WO11" s="76"/>
      <c r="WP11" s="76"/>
      <c r="WQ11" s="76"/>
      <c r="WR11" s="76"/>
      <c r="WS11" s="76"/>
      <c r="WT11" s="76"/>
      <c r="WU11" s="76"/>
      <c r="WV11" s="76"/>
      <c r="WW11" s="76"/>
      <c r="WX11" s="76"/>
      <c r="WY11" s="76"/>
      <c r="WZ11" s="76"/>
      <c r="XA11" s="76"/>
      <c r="XB11" s="76"/>
      <c r="XC11" s="76"/>
      <c r="XD11" s="76"/>
      <c r="XE11" s="76"/>
      <c r="XF11" s="76"/>
      <c r="XG11" s="76"/>
      <c r="XH11" s="76"/>
      <c r="XI11" s="76"/>
      <c r="XJ11" s="76"/>
      <c r="XK11" s="76"/>
      <c r="XL11" s="76"/>
      <c r="XM11" s="76"/>
      <c r="XN11" s="76"/>
      <c r="XO11" s="76"/>
      <c r="XP11" s="76"/>
      <c r="XQ11" s="76"/>
      <c r="XR11" s="76"/>
      <c r="XS11" s="76"/>
      <c r="XT11" s="76"/>
      <c r="XU11" s="76"/>
      <c r="XV11" s="76"/>
      <c r="XW11" s="76"/>
      <c r="XX11" s="76"/>
      <c r="XY11" s="76"/>
      <c r="XZ11" s="76"/>
      <c r="YA11" s="76"/>
      <c r="YB11" s="76"/>
      <c r="YC11" s="76"/>
      <c r="YD11" s="76"/>
      <c r="YE11" s="76"/>
      <c r="YF11" s="76"/>
      <c r="YG11" s="76"/>
      <c r="YH11" s="76"/>
      <c r="YI11" s="76"/>
      <c r="YJ11" s="76"/>
      <c r="YK11" s="76"/>
      <c r="YL11" s="76"/>
      <c r="YM11" s="76"/>
      <c r="YN11" s="76"/>
      <c r="YO11" s="76"/>
      <c r="YP11" s="76"/>
      <c r="YQ11" s="76"/>
      <c r="YR11" s="76"/>
      <c r="YS11" s="76"/>
      <c r="YT11" s="76"/>
      <c r="YU11" s="76"/>
      <c r="YV11" s="76"/>
      <c r="YW11" s="76"/>
      <c r="YX11" s="76"/>
      <c r="YY11" s="76"/>
      <c r="YZ11" s="76"/>
      <c r="ZA11" s="76"/>
      <c r="ZB11" s="76"/>
      <c r="ZC11" s="76"/>
      <c r="ZD11" s="76"/>
      <c r="ZE11" s="76"/>
      <c r="ZF11" s="76"/>
      <c r="ZG11" s="76"/>
      <c r="ZH11" s="76"/>
      <c r="ZI11" s="76"/>
      <c r="ZJ11" s="76"/>
      <c r="ZK11" s="76"/>
      <c r="ZL11" s="76"/>
      <c r="ZM11" s="76"/>
      <c r="ZN11" s="76"/>
      <c r="ZO11" s="76"/>
      <c r="ZP11" s="76"/>
      <c r="ZQ11" s="76"/>
      <c r="ZR11" s="76"/>
      <c r="ZS11" s="76"/>
      <c r="ZT11" s="76"/>
      <c r="ZU11" s="76"/>
      <c r="ZV11" s="76"/>
      <c r="ZW11" s="76"/>
      <c r="ZX11" s="76"/>
      <c r="ZY11" s="76"/>
      <c r="ZZ11" s="76"/>
      <c r="AAA11" s="76"/>
      <c r="AAB11" s="76"/>
      <c r="AAC11" s="76"/>
      <c r="AAD11" s="76"/>
      <c r="AAE11" s="76"/>
      <c r="AAF11" s="76"/>
      <c r="AAG11" s="76"/>
      <c r="AAH11" s="76"/>
      <c r="AAI11" s="76"/>
      <c r="AAJ11" s="76"/>
      <c r="AAK11" s="76"/>
      <c r="AAL11" s="76"/>
      <c r="AAM11" s="76"/>
      <c r="AAN11" s="76"/>
      <c r="AAO11" s="76"/>
      <c r="AAP11" s="76"/>
      <c r="AAQ11" s="76"/>
      <c r="AAR11" s="76"/>
      <c r="AAS11" s="76"/>
      <c r="AAT11" s="76"/>
      <c r="AAU11" s="76"/>
      <c r="AAV11" s="76"/>
      <c r="AAW11" s="76"/>
      <c r="AAX11" s="76"/>
      <c r="AAY11" s="76"/>
      <c r="AAZ11" s="76"/>
      <c r="ABA11" s="76"/>
      <c r="ABB11" s="76"/>
      <c r="ABC11" s="76"/>
      <c r="ABD11" s="76"/>
      <c r="ABE11" s="76"/>
      <c r="ABF11" s="76"/>
      <c r="ABG11" s="76"/>
      <c r="ABH11" s="76"/>
      <c r="ABI11" s="76"/>
      <c r="ABJ11" s="76"/>
      <c r="ABK11" s="76"/>
      <c r="ABL11" s="76"/>
      <c r="ABM11" s="76"/>
      <c r="ABN11" s="76"/>
      <c r="ABO11" s="76"/>
      <c r="ABP11" s="76"/>
      <c r="ABQ11" s="76"/>
      <c r="ABR11" s="76"/>
      <c r="ABS11" s="76"/>
      <c r="ABT11" s="76"/>
      <c r="ABU11" s="76"/>
      <c r="ABV11" s="76"/>
      <c r="ABW11" s="76"/>
      <c r="ABX11" s="76"/>
      <c r="ABY11" s="76"/>
      <c r="ABZ11" s="76"/>
      <c r="ACA11" s="76"/>
      <c r="ACB11" s="76"/>
      <c r="ACC11" s="76"/>
      <c r="ACD11" s="76"/>
      <c r="ACE11" s="76"/>
      <c r="ACF11" s="76"/>
      <c r="ACG11" s="76"/>
      <c r="ACH11" s="76"/>
      <c r="ACI11" s="76"/>
      <c r="ACJ11" s="76"/>
      <c r="ACK11" s="76"/>
      <c r="ACL11" s="76"/>
      <c r="ACM11" s="76"/>
      <c r="ACN11" s="76"/>
      <c r="ACO11" s="76"/>
      <c r="ACP11" s="76"/>
      <c r="ACQ11" s="76"/>
      <c r="ACR11" s="76"/>
      <c r="ACS11" s="76"/>
      <c r="ACT11" s="76"/>
      <c r="ACU11" s="76"/>
      <c r="ACV11" s="76"/>
      <c r="ACW11" s="76"/>
      <c r="ACX11" s="76"/>
      <c r="ACY11" s="76"/>
      <c r="ACZ11" s="76"/>
      <c r="ADA11" s="76"/>
      <c r="ADB11" s="76"/>
      <c r="ADC11" s="76"/>
      <c r="ADD11" s="76"/>
      <c r="ADE11" s="76"/>
      <c r="ADF11" s="76"/>
      <c r="ADG11" s="76"/>
      <c r="ADH11" s="76"/>
      <c r="ADI11" s="76"/>
      <c r="ADJ11" s="76"/>
      <c r="ADK11" s="76"/>
      <c r="ADL11" s="76"/>
      <c r="ADM11" s="76"/>
      <c r="ADN11" s="76"/>
      <c r="ADO11" s="76"/>
      <c r="ADP11" s="76"/>
      <c r="ADQ11" s="76"/>
      <c r="ADR11" s="76"/>
      <c r="ADS11" s="76"/>
      <c r="ADT11" s="76"/>
      <c r="ADU11" s="76"/>
      <c r="ADV11" s="76"/>
      <c r="ADW11" s="76"/>
      <c r="ADX11" s="76"/>
      <c r="ADY11" s="76"/>
      <c r="ADZ11" s="76"/>
      <c r="AEA11" s="76"/>
      <c r="AEB11" s="76"/>
      <c r="AEC11" s="76"/>
      <c r="AED11" s="76"/>
      <c r="AEE11" s="76"/>
      <c r="AEF11" s="76"/>
      <c r="AEG11" s="76"/>
      <c r="AEH11" s="76"/>
      <c r="AEI11" s="76"/>
      <c r="AEJ11" s="76"/>
      <c r="AEK11" s="76"/>
      <c r="AEL11" s="76"/>
      <c r="AEM11" s="76"/>
      <c r="AEN11" s="76"/>
      <c r="AEO11" s="76"/>
      <c r="AEP11" s="76"/>
      <c r="AEQ11" s="76"/>
      <c r="AER11" s="76"/>
      <c r="AES11" s="76"/>
      <c r="AET11" s="76"/>
      <c r="AEU11" s="76"/>
      <c r="AEV11" s="76"/>
      <c r="AEW11" s="76"/>
      <c r="AEX11" s="76"/>
      <c r="AEY11" s="76"/>
      <c r="AEZ11" s="76"/>
      <c r="AFA11" s="76"/>
      <c r="AFB11" s="76"/>
      <c r="AFC11" s="76"/>
      <c r="AFD11" s="76"/>
      <c r="AFE11" s="76"/>
      <c r="AFF11" s="76"/>
      <c r="AFG11" s="76"/>
      <c r="AFH11" s="76"/>
      <c r="AFI11" s="76"/>
      <c r="AFJ11" s="76"/>
      <c r="AFK11" s="76"/>
      <c r="AFL11" s="76"/>
      <c r="AFM11" s="76"/>
      <c r="AFN11" s="76"/>
      <c r="AFO11" s="76"/>
      <c r="AFP11" s="76"/>
      <c r="AFQ11" s="76"/>
      <c r="AFR11" s="76"/>
      <c r="AFS11" s="76"/>
      <c r="AFT11" s="76"/>
      <c r="AFU11" s="76"/>
      <c r="AFV11" s="76"/>
      <c r="AFW11" s="76"/>
      <c r="AFX11" s="76"/>
      <c r="AFY11" s="76"/>
      <c r="AFZ11" s="76"/>
      <c r="AGA11" s="76"/>
      <c r="AGB11" s="76"/>
      <c r="AGC11" s="76"/>
      <c r="AGD11" s="76"/>
      <c r="AGE11" s="76"/>
      <c r="AGF11" s="76"/>
      <c r="AGG11" s="76"/>
      <c r="AGH11" s="76"/>
      <c r="AGI11" s="76"/>
      <c r="AGJ11" s="76"/>
      <c r="AGK11" s="76"/>
      <c r="AGL11" s="76"/>
      <c r="AGM11" s="76"/>
      <c r="AGN11" s="76"/>
      <c r="AGO11" s="76"/>
      <c r="AGP11" s="76"/>
      <c r="AGQ11" s="76"/>
      <c r="AGR11" s="76"/>
      <c r="AGS11" s="76"/>
      <c r="AGT11" s="76"/>
      <c r="AGU11" s="76"/>
      <c r="AGV11" s="76"/>
      <c r="AGW11" s="76"/>
      <c r="AGX11" s="76"/>
      <c r="AGY11" s="76"/>
      <c r="AGZ11" s="76"/>
      <c r="AHA11" s="76"/>
      <c r="AHB11" s="76"/>
      <c r="AHC11" s="76"/>
      <c r="AHD11" s="76"/>
      <c r="AHE11" s="76"/>
      <c r="AHF11" s="76"/>
      <c r="AHG11" s="76"/>
      <c r="AHH11" s="76"/>
      <c r="AHI11" s="76"/>
      <c r="AHJ11" s="76"/>
      <c r="AHK11" s="76"/>
      <c r="AHL11" s="76"/>
      <c r="AHM11" s="76"/>
      <c r="AHN11" s="76"/>
      <c r="AHO11" s="76"/>
      <c r="AHP11" s="76"/>
      <c r="AHQ11" s="76"/>
      <c r="AHR11" s="76"/>
      <c r="AHS11" s="76"/>
      <c r="AHT11" s="76"/>
      <c r="AHU11" s="76"/>
      <c r="AHV11" s="76"/>
      <c r="AHW11" s="76"/>
      <c r="AHX11" s="76"/>
      <c r="AHY11" s="76"/>
      <c r="AHZ11" s="76"/>
      <c r="AIA11" s="76"/>
      <c r="AIB11" s="76"/>
      <c r="AIC11" s="76"/>
      <c r="AID11" s="76"/>
      <c r="AIE11" s="76"/>
      <c r="AIF11" s="76"/>
      <c r="AIG11" s="76"/>
      <c r="AIH11" s="76"/>
      <c r="AII11" s="76"/>
      <c r="AIJ11" s="76"/>
      <c r="AIK11" s="76"/>
      <c r="AIL11" s="76"/>
      <c r="AIM11" s="76"/>
      <c r="AIN11" s="76"/>
      <c r="AIO11" s="76"/>
      <c r="AIP11" s="76"/>
      <c r="AIQ11" s="76"/>
      <c r="AIR11" s="76"/>
      <c r="AIS11" s="76"/>
      <c r="AIT11" s="76"/>
      <c r="AIU11" s="76"/>
      <c r="AIV11" s="76"/>
      <c r="AIW11" s="76"/>
      <c r="AIX11" s="76"/>
      <c r="AIY11" s="76"/>
      <c r="AIZ11" s="76"/>
      <c r="AJA11" s="76"/>
      <c r="AJB11" s="76"/>
      <c r="AJC11" s="76"/>
      <c r="AJD11" s="76"/>
      <c r="AJE11" s="76"/>
      <c r="AJF11" s="76"/>
      <c r="AJG11" s="76"/>
      <c r="AJH11" s="76"/>
      <c r="AJI11" s="76"/>
      <c r="AJJ11" s="76"/>
      <c r="AJK11" s="76"/>
      <c r="AJL11" s="76"/>
      <c r="AJM11" s="76"/>
      <c r="AJN11" s="76"/>
      <c r="AJO11" s="76"/>
      <c r="AJP11" s="76"/>
      <c r="AJQ11" s="76"/>
      <c r="AJR11" s="76"/>
      <c r="AJS11" s="76"/>
      <c r="AJT11" s="76"/>
      <c r="AJU11" s="76"/>
      <c r="AJV11" s="76"/>
      <c r="AJW11" s="76"/>
      <c r="AJX11" s="76"/>
      <c r="AJY11" s="76"/>
      <c r="AJZ11" s="76"/>
      <c r="AKA11" s="76"/>
      <c r="AKB11" s="76"/>
      <c r="AKC11" s="76"/>
      <c r="AKD11" s="76"/>
      <c r="AKE11" s="76"/>
      <c r="AKF11" s="76"/>
      <c r="AKG11" s="76"/>
      <c r="AKH11" s="76"/>
      <c r="AKI11" s="76"/>
      <c r="AKJ11" s="76"/>
      <c r="AKK11" s="76"/>
      <c r="AKL11" s="76"/>
      <c r="AKM11" s="76"/>
      <c r="AKN11" s="76"/>
      <c r="AKO11" s="76"/>
      <c r="AKP11" s="76"/>
      <c r="AKQ11" s="76"/>
      <c r="AKR11" s="76"/>
      <c r="AKS11" s="76"/>
      <c r="AKT11" s="76"/>
      <c r="AKU11" s="76"/>
      <c r="AKV11" s="76"/>
      <c r="AKW11" s="76"/>
      <c r="AKX11" s="76"/>
      <c r="AKY11" s="76"/>
      <c r="AKZ11" s="76"/>
      <c r="ALA11" s="76"/>
      <c r="ALB11" s="76"/>
      <c r="ALC11" s="76"/>
      <c r="ALD11" s="76"/>
      <c r="ALE11" s="76"/>
      <c r="ALF11" s="76"/>
      <c r="ALG11" s="76"/>
      <c r="ALH11" s="76"/>
      <c r="ALI11" s="76"/>
      <c r="ALJ11" s="76"/>
      <c r="ALK11" s="76"/>
      <c r="ALL11" s="76"/>
      <c r="ALM11" s="76"/>
      <c r="ALN11" s="76"/>
      <c r="ALO11" s="76"/>
      <c r="ALP11" s="76"/>
      <c r="ALQ11" s="76"/>
      <c r="ALR11" s="76"/>
      <c r="ALS11" s="76"/>
      <c r="ALT11" s="76"/>
      <c r="ALU11" s="76"/>
      <c r="ALV11" s="76"/>
      <c r="ALW11" s="76"/>
      <c r="ALX11" s="76"/>
      <c r="ALY11" s="76"/>
      <c r="ALZ11" s="76"/>
      <c r="AMA11" s="76"/>
      <c r="AMB11" s="76"/>
      <c r="AMC11" s="76"/>
      <c r="AMD11" s="76"/>
      <c r="AME11" s="76"/>
      <c r="AMF11" s="76"/>
      <c r="AMG11" s="76"/>
      <c r="AMH11" s="76"/>
      <c r="AMI11" s="76"/>
      <c r="AMJ11" s="76"/>
    </row>
    <row r="12" spans="1:1024" s="60" customFormat="1">
      <c r="A12" s="141"/>
      <c r="B12" s="67" t="s">
        <v>44</v>
      </c>
      <c r="C12" s="63" t="s">
        <v>62</v>
      </c>
      <c r="D12" s="81">
        <v>3.226</v>
      </c>
      <c r="E12" s="82" t="e">
        <f t="shared" ref="E12" si="6">D12+#REF!</f>
        <v>#REF!</v>
      </c>
      <c r="F12" s="65">
        <v>0</v>
      </c>
      <c r="G12" s="65">
        <v>0</v>
      </c>
      <c r="H12" s="64" t="e">
        <f t="shared" si="1"/>
        <v>#REF!</v>
      </c>
      <c r="I12" s="65">
        <v>0</v>
      </c>
      <c r="J12" s="66">
        <f>1.05*40</f>
        <v>42</v>
      </c>
      <c r="K12" s="53" t="e">
        <f>J12-H12-I12</f>
        <v>#REF!</v>
      </c>
      <c r="L12" s="195"/>
      <c r="M12" s="208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  <c r="IR12" s="76"/>
      <c r="IS12" s="76"/>
      <c r="IT12" s="76"/>
      <c r="IU12" s="76"/>
      <c r="IV12" s="76"/>
      <c r="IW12" s="76"/>
      <c r="IX12" s="76"/>
      <c r="IY12" s="76"/>
      <c r="IZ12" s="76"/>
      <c r="JA12" s="76"/>
      <c r="JB12" s="76"/>
      <c r="JC12" s="76"/>
      <c r="JD12" s="76"/>
      <c r="JE12" s="76"/>
      <c r="JF12" s="76"/>
      <c r="JG12" s="76"/>
      <c r="JH12" s="76"/>
      <c r="JI12" s="76"/>
      <c r="JJ12" s="76"/>
      <c r="JK12" s="76"/>
      <c r="JL12" s="76"/>
      <c r="JM12" s="76"/>
      <c r="JN12" s="76"/>
      <c r="JO12" s="76"/>
      <c r="JP12" s="76"/>
      <c r="JQ12" s="76"/>
      <c r="JR12" s="76"/>
      <c r="JS12" s="76"/>
      <c r="JT12" s="76"/>
      <c r="JU12" s="76"/>
      <c r="JV12" s="76"/>
      <c r="JW12" s="76"/>
      <c r="JX12" s="76"/>
      <c r="JY12" s="76"/>
      <c r="JZ12" s="76"/>
      <c r="KA12" s="76"/>
      <c r="KB12" s="76"/>
      <c r="KC12" s="76"/>
      <c r="KD12" s="76"/>
      <c r="KE12" s="76"/>
      <c r="KF12" s="76"/>
      <c r="KG12" s="76"/>
      <c r="KH12" s="76"/>
      <c r="KI12" s="76"/>
      <c r="KJ12" s="76"/>
      <c r="KK12" s="76"/>
      <c r="KL12" s="76"/>
      <c r="KM12" s="76"/>
      <c r="KN12" s="76"/>
      <c r="KO12" s="76"/>
      <c r="KP12" s="76"/>
      <c r="KQ12" s="76"/>
      <c r="KR12" s="76"/>
      <c r="KS12" s="76"/>
      <c r="KT12" s="76"/>
      <c r="KU12" s="76"/>
      <c r="KV12" s="76"/>
      <c r="KW12" s="76"/>
      <c r="KX12" s="76"/>
      <c r="KY12" s="76"/>
      <c r="KZ12" s="76"/>
      <c r="LA12" s="76"/>
      <c r="LB12" s="76"/>
      <c r="LC12" s="76"/>
      <c r="LD12" s="76"/>
      <c r="LE12" s="76"/>
      <c r="LF12" s="76"/>
      <c r="LG12" s="76"/>
      <c r="LH12" s="76"/>
      <c r="LI12" s="76"/>
      <c r="LJ12" s="76"/>
      <c r="LK12" s="76"/>
      <c r="LL12" s="76"/>
      <c r="LM12" s="76"/>
      <c r="LN12" s="76"/>
      <c r="LO12" s="76"/>
      <c r="LP12" s="76"/>
      <c r="LQ12" s="76"/>
      <c r="LR12" s="76"/>
      <c r="LS12" s="76"/>
      <c r="LT12" s="76"/>
      <c r="LU12" s="76"/>
      <c r="LV12" s="76"/>
      <c r="LW12" s="76"/>
      <c r="LX12" s="76"/>
      <c r="LY12" s="76"/>
      <c r="LZ12" s="76"/>
      <c r="MA12" s="76"/>
      <c r="MB12" s="76"/>
      <c r="MC12" s="76"/>
      <c r="MD12" s="76"/>
      <c r="ME12" s="76"/>
      <c r="MF12" s="76"/>
      <c r="MG12" s="76"/>
      <c r="MH12" s="76"/>
      <c r="MI12" s="76"/>
      <c r="MJ12" s="76"/>
      <c r="MK12" s="76"/>
      <c r="ML12" s="76"/>
      <c r="MM12" s="76"/>
      <c r="MN12" s="76"/>
      <c r="MO12" s="76"/>
      <c r="MP12" s="76"/>
      <c r="MQ12" s="76"/>
      <c r="MR12" s="76"/>
      <c r="MS12" s="76"/>
      <c r="MT12" s="76"/>
      <c r="MU12" s="76"/>
      <c r="MV12" s="76"/>
      <c r="MW12" s="76"/>
      <c r="MX12" s="76"/>
      <c r="MY12" s="76"/>
      <c r="MZ12" s="76"/>
      <c r="NA12" s="76"/>
      <c r="NB12" s="76"/>
      <c r="NC12" s="76"/>
      <c r="ND12" s="76"/>
      <c r="NE12" s="76"/>
      <c r="NF12" s="76"/>
      <c r="NG12" s="76"/>
      <c r="NH12" s="76"/>
      <c r="NI12" s="76"/>
      <c r="NJ12" s="76"/>
      <c r="NK12" s="76"/>
      <c r="NL12" s="76"/>
      <c r="NM12" s="76"/>
      <c r="NN12" s="76"/>
      <c r="NO12" s="76"/>
      <c r="NP12" s="76"/>
      <c r="NQ12" s="76"/>
      <c r="NR12" s="76"/>
      <c r="NS12" s="76"/>
      <c r="NT12" s="76"/>
      <c r="NU12" s="76"/>
      <c r="NV12" s="76"/>
      <c r="NW12" s="76"/>
      <c r="NX12" s="76"/>
      <c r="NY12" s="76"/>
      <c r="NZ12" s="76"/>
      <c r="OA12" s="76"/>
      <c r="OB12" s="76"/>
      <c r="OC12" s="76"/>
      <c r="OD12" s="76"/>
      <c r="OE12" s="76"/>
      <c r="OF12" s="76"/>
      <c r="OG12" s="76"/>
      <c r="OH12" s="76"/>
      <c r="OI12" s="76"/>
      <c r="OJ12" s="76"/>
      <c r="OK12" s="76"/>
      <c r="OL12" s="76"/>
      <c r="OM12" s="76"/>
      <c r="ON12" s="76"/>
      <c r="OO12" s="76"/>
      <c r="OP12" s="76"/>
      <c r="OQ12" s="76"/>
      <c r="OR12" s="76"/>
      <c r="OS12" s="76"/>
      <c r="OT12" s="76"/>
      <c r="OU12" s="76"/>
      <c r="OV12" s="76"/>
      <c r="OW12" s="76"/>
      <c r="OX12" s="76"/>
      <c r="OY12" s="76"/>
      <c r="OZ12" s="76"/>
      <c r="PA12" s="76"/>
      <c r="PB12" s="76"/>
      <c r="PC12" s="76"/>
      <c r="PD12" s="76"/>
      <c r="PE12" s="76"/>
      <c r="PF12" s="76"/>
      <c r="PG12" s="76"/>
      <c r="PH12" s="76"/>
      <c r="PI12" s="76"/>
      <c r="PJ12" s="76"/>
      <c r="PK12" s="76"/>
      <c r="PL12" s="76"/>
      <c r="PM12" s="76"/>
      <c r="PN12" s="76"/>
      <c r="PO12" s="76"/>
      <c r="PP12" s="76"/>
      <c r="PQ12" s="76"/>
      <c r="PR12" s="76"/>
      <c r="PS12" s="76"/>
      <c r="PT12" s="76"/>
      <c r="PU12" s="76"/>
      <c r="PV12" s="76"/>
      <c r="PW12" s="76"/>
      <c r="PX12" s="76"/>
      <c r="PY12" s="76"/>
      <c r="PZ12" s="76"/>
      <c r="QA12" s="76"/>
      <c r="QB12" s="76"/>
      <c r="QC12" s="76"/>
      <c r="QD12" s="76"/>
      <c r="QE12" s="76"/>
      <c r="QF12" s="76"/>
      <c r="QG12" s="76"/>
      <c r="QH12" s="76"/>
      <c r="QI12" s="76"/>
      <c r="QJ12" s="76"/>
      <c r="QK12" s="76"/>
      <c r="QL12" s="76"/>
      <c r="QM12" s="76"/>
      <c r="QN12" s="76"/>
      <c r="QO12" s="76"/>
      <c r="QP12" s="76"/>
      <c r="QQ12" s="76"/>
      <c r="QR12" s="76"/>
      <c r="QS12" s="76"/>
      <c r="QT12" s="76"/>
      <c r="QU12" s="76"/>
      <c r="QV12" s="76"/>
      <c r="QW12" s="76"/>
      <c r="QX12" s="76"/>
      <c r="QY12" s="76"/>
      <c r="QZ12" s="76"/>
      <c r="RA12" s="76"/>
      <c r="RB12" s="76"/>
      <c r="RC12" s="76"/>
      <c r="RD12" s="76"/>
      <c r="RE12" s="76"/>
      <c r="RF12" s="76"/>
      <c r="RG12" s="76"/>
      <c r="RH12" s="76"/>
      <c r="RI12" s="76"/>
      <c r="RJ12" s="76"/>
      <c r="RK12" s="76"/>
      <c r="RL12" s="76"/>
      <c r="RM12" s="76"/>
      <c r="RN12" s="76"/>
      <c r="RO12" s="76"/>
      <c r="RP12" s="76"/>
      <c r="RQ12" s="76"/>
      <c r="RR12" s="76"/>
      <c r="RS12" s="76"/>
      <c r="RT12" s="76"/>
      <c r="RU12" s="76"/>
      <c r="RV12" s="76"/>
      <c r="RW12" s="76"/>
      <c r="RX12" s="76"/>
      <c r="RY12" s="76"/>
      <c r="RZ12" s="76"/>
      <c r="SA12" s="76"/>
      <c r="SB12" s="76"/>
      <c r="SC12" s="76"/>
      <c r="SD12" s="76"/>
      <c r="SE12" s="76"/>
      <c r="SF12" s="76"/>
      <c r="SG12" s="76"/>
      <c r="SH12" s="76"/>
      <c r="SI12" s="76"/>
      <c r="SJ12" s="76"/>
      <c r="SK12" s="76"/>
      <c r="SL12" s="76"/>
      <c r="SM12" s="76"/>
      <c r="SN12" s="76"/>
      <c r="SO12" s="76"/>
      <c r="SP12" s="76"/>
      <c r="SQ12" s="76"/>
      <c r="SR12" s="76"/>
      <c r="SS12" s="76"/>
      <c r="ST12" s="76"/>
      <c r="SU12" s="76"/>
      <c r="SV12" s="76"/>
      <c r="SW12" s="76"/>
      <c r="SX12" s="76"/>
      <c r="SY12" s="76"/>
      <c r="SZ12" s="76"/>
      <c r="TA12" s="76"/>
      <c r="TB12" s="76"/>
      <c r="TC12" s="76"/>
      <c r="TD12" s="76"/>
      <c r="TE12" s="76"/>
      <c r="TF12" s="76"/>
      <c r="TG12" s="76"/>
      <c r="TH12" s="76"/>
      <c r="TI12" s="76"/>
      <c r="TJ12" s="76"/>
      <c r="TK12" s="76"/>
      <c r="TL12" s="76"/>
      <c r="TM12" s="76"/>
      <c r="TN12" s="76"/>
      <c r="TO12" s="76"/>
      <c r="TP12" s="76"/>
      <c r="TQ12" s="76"/>
      <c r="TR12" s="76"/>
      <c r="TS12" s="76"/>
      <c r="TT12" s="76"/>
      <c r="TU12" s="76"/>
      <c r="TV12" s="76"/>
      <c r="TW12" s="76"/>
      <c r="TX12" s="76"/>
      <c r="TY12" s="76"/>
      <c r="TZ12" s="76"/>
      <c r="UA12" s="76"/>
      <c r="UB12" s="76"/>
      <c r="UC12" s="76"/>
      <c r="UD12" s="76"/>
      <c r="UE12" s="76"/>
      <c r="UF12" s="76"/>
      <c r="UG12" s="76"/>
      <c r="UH12" s="76"/>
      <c r="UI12" s="76"/>
      <c r="UJ12" s="76"/>
      <c r="UK12" s="76"/>
      <c r="UL12" s="76"/>
      <c r="UM12" s="76"/>
      <c r="UN12" s="76"/>
      <c r="UO12" s="76"/>
      <c r="UP12" s="76"/>
      <c r="UQ12" s="76"/>
      <c r="UR12" s="76"/>
      <c r="US12" s="76"/>
      <c r="UT12" s="76"/>
      <c r="UU12" s="76"/>
      <c r="UV12" s="76"/>
      <c r="UW12" s="76"/>
      <c r="UX12" s="76"/>
      <c r="UY12" s="76"/>
      <c r="UZ12" s="76"/>
      <c r="VA12" s="76"/>
      <c r="VB12" s="76"/>
      <c r="VC12" s="76"/>
      <c r="VD12" s="76"/>
      <c r="VE12" s="76"/>
      <c r="VF12" s="76"/>
      <c r="VG12" s="76"/>
      <c r="VH12" s="76"/>
      <c r="VI12" s="76"/>
      <c r="VJ12" s="76"/>
      <c r="VK12" s="76"/>
      <c r="VL12" s="76"/>
      <c r="VM12" s="76"/>
      <c r="VN12" s="76"/>
      <c r="VO12" s="76"/>
      <c r="VP12" s="76"/>
      <c r="VQ12" s="76"/>
      <c r="VR12" s="76"/>
      <c r="VS12" s="76"/>
      <c r="VT12" s="76"/>
      <c r="VU12" s="76"/>
      <c r="VV12" s="76"/>
      <c r="VW12" s="76"/>
      <c r="VX12" s="76"/>
      <c r="VY12" s="76"/>
      <c r="VZ12" s="76"/>
      <c r="WA12" s="76"/>
      <c r="WB12" s="76"/>
      <c r="WC12" s="76"/>
      <c r="WD12" s="76"/>
      <c r="WE12" s="76"/>
      <c r="WF12" s="76"/>
      <c r="WG12" s="76"/>
      <c r="WH12" s="76"/>
      <c r="WI12" s="76"/>
      <c r="WJ12" s="76"/>
      <c r="WK12" s="76"/>
      <c r="WL12" s="76"/>
      <c r="WM12" s="76"/>
      <c r="WN12" s="76"/>
      <c r="WO12" s="76"/>
      <c r="WP12" s="76"/>
      <c r="WQ12" s="76"/>
      <c r="WR12" s="76"/>
      <c r="WS12" s="76"/>
      <c r="WT12" s="76"/>
      <c r="WU12" s="76"/>
      <c r="WV12" s="76"/>
      <c r="WW12" s="76"/>
      <c r="WX12" s="76"/>
      <c r="WY12" s="76"/>
      <c r="WZ12" s="76"/>
      <c r="XA12" s="76"/>
      <c r="XB12" s="76"/>
      <c r="XC12" s="76"/>
      <c r="XD12" s="76"/>
      <c r="XE12" s="76"/>
      <c r="XF12" s="76"/>
      <c r="XG12" s="76"/>
      <c r="XH12" s="76"/>
      <c r="XI12" s="76"/>
      <c r="XJ12" s="76"/>
      <c r="XK12" s="76"/>
      <c r="XL12" s="76"/>
      <c r="XM12" s="76"/>
      <c r="XN12" s="76"/>
      <c r="XO12" s="76"/>
      <c r="XP12" s="76"/>
      <c r="XQ12" s="76"/>
      <c r="XR12" s="76"/>
      <c r="XS12" s="76"/>
      <c r="XT12" s="76"/>
      <c r="XU12" s="76"/>
      <c r="XV12" s="76"/>
      <c r="XW12" s="76"/>
      <c r="XX12" s="76"/>
      <c r="XY12" s="76"/>
      <c r="XZ12" s="76"/>
      <c r="YA12" s="76"/>
      <c r="YB12" s="76"/>
      <c r="YC12" s="76"/>
      <c r="YD12" s="76"/>
      <c r="YE12" s="76"/>
      <c r="YF12" s="76"/>
      <c r="YG12" s="76"/>
      <c r="YH12" s="76"/>
      <c r="YI12" s="76"/>
      <c r="YJ12" s="76"/>
      <c r="YK12" s="76"/>
      <c r="YL12" s="76"/>
      <c r="YM12" s="76"/>
      <c r="YN12" s="76"/>
      <c r="YO12" s="76"/>
      <c r="YP12" s="76"/>
      <c r="YQ12" s="76"/>
      <c r="YR12" s="76"/>
      <c r="YS12" s="76"/>
      <c r="YT12" s="76"/>
      <c r="YU12" s="76"/>
      <c r="YV12" s="76"/>
      <c r="YW12" s="76"/>
      <c r="YX12" s="76"/>
      <c r="YY12" s="76"/>
      <c r="YZ12" s="76"/>
      <c r="ZA12" s="76"/>
      <c r="ZB12" s="76"/>
      <c r="ZC12" s="76"/>
      <c r="ZD12" s="76"/>
      <c r="ZE12" s="76"/>
      <c r="ZF12" s="76"/>
      <c r="ZG12" s="76"/>
      <c r="ZH12" s="76"/>
      <c r="ZI12" s="76"/>
      <c r="ZJ12" s="76"/>
      <c r="ZK12" s="76"/>
      <c r="ZL12" s="76"/>
      <c r="ZM12" s="76"/>
      <c r="ZN12" s="76"/>
      <c r="ZO12" s="76"/>
      <c r="ZP12" s="76"/>
      <c r="ZQ12" s="76"/>
      <c r="ZR12" s="76"/>
      <c r="ZS12" s="76"/>
      <c r="ZT12" s="76"/>
      <c r="ZU12" s="76"/>
      <c r="ZV12" s="76"/>
      <c r="ZW12" s="76"/>
      <c r="ZX12" s="76"/>
      <c r="ZY12" s="76"/>
      <c r="ZZ12" s="76"/>
      <c r="AAA12" s="76"/>
      <c r="AAB12" s="76"/>
      <c r="AAC12" s="76"/>
      <c r="AAD12" s="76"/>
      <c r="AAE12" s="76"/>
      <c r="AAF12" s="76"/>
      <c r="AAG12" s="76"/>
      <c r="AAH12" s="76"/>
      <c r="AAI12" s="76"/>
      <c r="AAJ12" s="76"/>
      <c r="AAK12" s="76"/>
      <c r="AAL12" s="76"/>
      <c r="AAM12" s="76"/>
      <c r="AAN12" s="76"/>
      <c r="AAO12" s="76"/>
      <c r="AAP12" s="76"/>
      <c r="AAQ12" s="76"/>
      <c r="AAR12" s="76"/>
      <c r="AAS12" s="76"/>
      <c r="AAT12" s="76"/>
      <c r="AAU12" s="76"/>
      <c r="AAV12" s="76"/>
      <c r="AAW12" s="76"/>
      <c r="AAX12" s="76"/>
      <c r="AAY12" s="76"/>
      <c r="AAZ12" s="76"/>
      <c r="ABA12" s="76"/>
      <c r="ABB12" s="76"/>
      <c r="ABC12" s="76"/>
      <c r="ABD12" s="76"/>
      <c r="ABE12" s="76"/>
      <c r="ABF12" s="76"/>
      <c r="ABG12" s="76"/>
      <c r="ABH12" s="76"/>
      <c r="ABI12" s="76"/>
      <c r="ABJ12" s="76"/>
      <c r="ABK12" s="76"/>
      <c r="ABL12" s="76"/>
      <c r="ABM12" s="76"/>
      <c r="ABN12" s="76"/>
      <c r="ABO12" s="76"/>
      <c r="ABP12" s="76"/>
      <c r="ABQ12" s="76"/>
      <c r="ABR12" s="76"/>
      <c r="ABS12" s="76"/>
      <c r="ABT12" s="76"/>
      <c r="ABU12" s="76"/>
      <c r="ABV12" s="76"/>
      <c r="ABW12" s="76"/>
      <c r="ABX12" s="76"/>
      <c r="ABY12" s="76"/>
      <c r="ABZ12" s="76"/>
      <c r="ACA12" s="76"/>
      <c r="ACB12" s="76"/>
      <c r="ACC12" s="76"/>
      <c r="ACD12" s="76"/>
      <c r="ACE12" s="76"/>
      <c r="ACF12" s="76"/>
      <c r="ACG12" s="76"/>
      <c r="ACH12" s="76"/>
      <c r="ACI12" s="76"/>
      <c r="ACJ12" s="76"/>
      <c r="ACK12" s="76"/>
      <c r="ACL12" s="76"/>
      <c r="ACM12" s="76"/>
      <c r="ACN12" s="76"/>
      <c r="ACO12" s="76"/>
      <c r="ACP12" s="76"/>
      <c r="ACQ12" s="76"/>
      <c r="ACR12" s="76"/>
      <c r="ACS12" s="76"/>
      <c r="ACT12" s="76"/>
      <c r="ACU12" s="76"/>
      <c r="ACV12" s="76"/>
      <c r="ACW12" s="76"/>
      <c r="ACX12" s="76"/>
      <c r="ACY12" s="76"/>
      <c r="ACZ12" s="76"/>
      <c r="ADA12" s="76"/>
      <c r="ADB12" s="76"/>
      <c r="ADC12" s="76"/>
      <c r="ADD12" s="76"/>
      <c r="ADE12" s="76"/>
      <c r="ADF12" s="76"/>
      <c r="ADG12" s="76"/>
      <c r="ADH12" s="76"/>
      <c r="ADI12" s="76"/>
      <c r="ADJ12" s="76"/>
      <c r="ADK12" s="76"/>
      <c r="ADL12" s="76"/>
      <c r="ADM12" s="76"/>
      <c r="ADN12" s="76"/>
      <c r="ADO12" s="76"/>
      <c r="ADP12" s="76"/>
      <c r="ADQ12" s="76"/>
      <c r="ADR12" s="76"/>
      <c r="ADS12" s="76"/>
      <c r="ADT12" s="76"/>
      <c r="ADU12" s="76"/>
      <c r="ADV12" s="76"/>
      <c r="ADW12" s="76"/>
      <c r="ADX12" s="76"/>
      <c r="ADY12" s="76"/>
      <c r="ADZ12" s="76"/>
      <c r="AEA12" s="76"/>
      <c r="AEB12" s="76"/>
      <c r="AEC12" s="76"/>
      <c r="AED12" s="76"/>
      <c r="AEE12" s="76"/>
      <c r="AEF12" s="76"/>
      <c r="AEG12" s="76"/>
      <c r="AEH12" s="76"/>
      <c r="AEI12" s="76"/>
      <c r="AEJ12" s="76"/>
      <c r="AEK12" s="76"/>
      <c r="AEL12" s="76"/>
      <c r="AEM12" s="76"/>
      <c r="AEN12" s="76"/>
      <c r="AEO12" s="76"/>
      <c r="AEP12" s="76"/>
      <c r="AEQ12" s="76"/>
      <c r="AER12" s="76"/>
      <c r="AES12" s="76"/>
      <c r="AET12" s="76"/>
      <c r="AEU12" s="76"/>
      <c r="AEV12" s="76"/>
      <c r="AEW12" s="76"/>
      <c r="AEX12" s="76"/>
      <c r="AEY12" s="76"/>
      <c r="AEZ12" s="76"/>
      <c r="AFA12" s="76"/>
      <c r="AFB12" s="76"/>
      <c r="AFC12" s="76"/>
      <c r="AFD12" s="76"/>
      <c r="AFE12" s="76"/>
      <c r="AFF12" s="76"/>
      <c r="AFG12" s="76"/>
      <c r="AFH12" s="76"/>
      <c r="AFI12" s="76"/>
      <c r="AFJ12" s="76"/>
      <c r="AFK12" s="76"/>
      <c r="AFL12" s="76"/>
      <c r="AFM12" s="76"/>
      <c r="AFN12" s="76"/>
      <c r="AFO12" s="76"/>
      <c r="AFP12" s="76"/>
      <c r="AFQ12" s="76"/>
      <c r="AFR12" s="76"/>
      <c r="AFS12" s="76"/>
      <c r="AFT12" s="76"/>
      <c r="AFU12" s="76"/>
      <c r="AFV12" s="76"/>
      <c r="AFW12" s="76"/>
      <c r="AFX12" s="76"/>
      <c r="AFY12" s="76"/>
      <c r="AFZ12" s="76"/>
      <c r="AGA12" s="76"/>
      <c r="AGB12" s="76"/>
      <c r="AGC12" s="76"/>
      <c r="AGD12" s="76"/>
      <c r="AGE12" s="76"/>
      <c r="AGF12" s="76"/>
      <c r="AGG12" s="76"/>
      <c r="AGH12" s="76"/>
      <c r="AGI12" s="76"/>
      <c r="AGJ12" s="76"/>
      <c r="AGK12" s="76"/>
      <c r="AGL12" s="76"/>
      <c r="AGM12" s="76"/>
      <c r="AGN12" s="76"/>
      <c r="AGO12" s="76"/>
      <c r="AGP12" s="76"/>
      <c r="AGQ12" s="76"/>
      <c r="AGR12" s="76"/>
      <c r="AGS12" s="76"/>
      <c r="AGT12" s="76"/>
      <c r="AGU12" s="76"/>
      <c r="AGV12" s="76"/>
      <c r="AGW12" s="76"/>
      <c r="AGX12" s="76"/>
      <c r="AGY12" s="76"/>
      <c r="AGZ12" s="76"/>
      <c r="AHA12" s="76"/>
      <c r="AHB12" s="76"/>
      <c r="AHC12" s="76"/>
      <c r="AHD12" s="76"/>
      <c r="AHE12" s="76"/>
      <c r="AHF12" s="76"/>
      <c r="AHG12" s="76"/>
      <c r="AHH12" s="76"/>
      <c r="AHI12" s="76"/>
      <c r="AHJ12" s="76"/>
      <c r="AHK12" s="76"/>
      <c r="AHL12" s="76"/>
      <c r="AHM12" s="76"/>
      <c r="AHN12" s="76"/>
      <c r="AHO12" s="76"/>
      <c r="AHP12" s="76"/>
      <c r="AHQ12" s="76"/>
      <c r="AHR12" s="76"/>
      <c r="AHS12" s="76"/>
      <c r="AHT12" s="76"/>
      <c r="AHU12" s="76"/>
      <c r="AHV12" s="76"/>
      <c r="AHW12" s="76"/>
      <c r="AHX12" s="76"/>
      <c r="AHY12" s="76"/>
      <c r="AHZ12" s="76"/>
      <c r="AIA12" s="76"/>
      <c r="AIB12" s="76"/>
      <c r="AIC12" s="76"/>
      <c r="AID12" s="76"/>
      <c r="AIE12" s="76"/>
      <c r="AIF12" s="76"/>
      <c r="AIG12" s="76"/>
      <c r="AIH12" s="76"/>
      <c r="AII12" s="76"/>
      <c r="AIJ12" s="76"/>
      <c r="AIK12" s="76"/>
      <c r="AIL12" s="76"/>
      <c r="AIM12" s="76"/>
      <c r="AIN12" s="76"/>
      <c r="AIO12" s="76"/>
      <c r="AIP12" s="76"/>
      <c r="AIQ12" s="76"/>
      <c r="AIR12" s="76"/>
      <c r="AIS12" s="76"/>
      <c r="AIT12" s="76"/>
      <c r="AIU12" s="76"/>
      <c r="AIV12" s="76"/>
      <c r="AIW12" s="76"/>
      <c r="AIX12" s="76"/>
      <c r="AIY12" s="76"/>
      <c r="AIZ12" s="76"/>
      <c r="AJA12" s="76"/>
      <c r="AJB12" s="76"/>
      <c r="AJC12" s="76"/>
      <c r="AJD12" s="76"/>
      <c r="AJE12" s="76"/>
      <c r="AJF12" s="76"/>
      <c r="AJG12" s="76"/>
      <c r="AJH12" s="76"/>
      <c r="AJI12" s="76"/>
      <c r="AJJ12" s="76"/>
      <c r="AJK12" s="76"/>
      <c r="AJL12" s="76"/>
      <c r="AJM12" s="76"/>
      <c r="AJN12" s="76"/>
      <c r="AJO12" s="76"/>
      <c r="AJP12" s="76"/>
      <c r="AJQ12" s="76"/>
      <c r="AJR12" s="76"/>
      <c r="AJS12" s="76"/>
      <c r="AJT12" s="76"/>
      <c r="AJU12" s="76"/>
      <c r="AJV12" s="76"/>
      <c r="AJW12" s="76"/>
      <c r="AJX12" s="76"/>
      <c r="AJY12" s="76"/>
      <c r="AJZ12" s="76"/>
      <c r="AKA12" s="76"/>
      <c r="AKB12" s="76"/>
      <c r="AKC12" s="76"/>
      <c r="AKD12" s="76"/>
      <c r="AKE12" s="76"/>
      <c r="AKF12" s="76"/>
      <c r="AKG12" s="76"/>
      <c r="AKH12" s="76"/>
      <c r="AKI12" s="76"/>
      <c r="AKJ12" s="76"/>
      <c r="AKK12" s="76"/>
      <c r="AKL12" s="76"/>
      <c r="AKM12" s="76"/>
      <c r="AKN12" s="76"/>
      <c r="AKO12" s="76"/>
      <c r="AKP12" s="76"/>
      <c r="AKQ12" s="76"/>
      <c r="AKR12" s="76"/>
      <c r="AKS12" s="76"/>
      <c r="AKT12" s="76"/>
      <c r="AKU12" s="76"/>
      <c r="AKV12" s="76"/>
      <c r="AKW12" s="76"/>
      <c r="AKX12" s="76"/>
      <c r="AKY12" s="76"/>
      <c r="AKZ12" s="76"/>
      <c r="ALA12" s="76"/>
      <c r="ALB12" s="76"/>
      <c r="ALC12" s="76"/>
      <c r="ALD12" s="76"/>
      <c r="ALE12" s="76"/>
      <c r="ALF12" s="76"/>
      <c r="ALG12" s="76"/>
      <c r="ALH12" s="76"/>
      <c r="ALI12" s="76"/>
      <c r="ALJ12" s="76"/>
      <c r="ALK12" s="76"/>
      <c r="ALL12" s="76"/>
      <c r="ALM12" s="76"/>
      <c r="ALN12" s="76"/>
      <c r="ALO12" s="76"/>
      <c r="ALP12" s="76"/>
      <c r="ALQ12" s="76"/>
      <c r="ALR12" s="76"/>
      <c r="ALS12" s="76"/>
      <c r="ALT12" s="76"/>
      <c r="ALU12" s="76"/>
      <c r="ALV12" s="76"/>
      <c r="ALW12" s="76"/>
      <c r="ALX12" s="76"/>
      <c r="ALY12" s="76"/>
      <c r="ALZ12" s="76"/>
      <c r="AMA12" s="76"/>
      <c r="AMB12" s="76"/>
      <c r="AMC12" s="76"/>
      <c r="AMD12" s="76"/>
      <c r="AME12" s="76"/>
      <c r="AMF12" s="76"/>
      <c r="AMG12" s="76"/>
      <c r="AMH12" s="76"/>
      <c r="AMI12" s="76"/>
      <c r="AMJ12" s="76"/>
    </row>
    <row r="13" spans="1:1024" s="60" customFormat="1">
      <c r="A13" s="139">
        <v>5</v>
      </c>
      <c r="B13" s="34" t="s">
        <v>219</v>
      </c>
      <c r="C13" s="63" t="s">
        <v>31</v>
      </c>
      <c r="D13" s="63">
        <v>0</v>
      </c>
      <c r="E13" s="79">
        <v>36.72</v>
      </c>
      <c r="F13" s="65">
        <f>F14+F15</f>
        <v>8.9</v>
      </c>
      <c r="G13" s="65" t="s">
        <v>61</v>
      </c>
      <c r="H13" s="64">
        <f t="shared" si="1"/>
        <v>27.82</v>
      </c>
      <c r="I13" s="65">
        <v>0</v>
      </c>
      <c r="J13" s="66">
        <f>1.05*25</f>
        <v>26.25</v>
      </c>
      <c r="K13" s="53">
        <f>J13-H13-I13</f>
        <v>-1.5700000000000003</v>
      </c>
      <c r="L13" s="193">
        <f>брянск!Y63</f>
        <v>-2.7945770000000039</v>
      </c>
      <c r="M13" s="139" t="s">
        <v>25</v>
      </c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  <c r="IR13" s="76"/>
      <c r="IS13" s="76"/>
      <c r="IT13" s="76"/>
      <c r="IU13" s="76"/>
      <c r="IV13" s="76"/>
      <c r="IW13" s="76"/>
      <c r="IX13" s="76"/>
      <c r="IY13" s="76"/>
      <c r="IZ13" s="76"/>
      <c r="JA13" s="76"/>
      <c r="JB13" s="76"/>
      <c r="JC13" s="76"/>
      <c r="JD13" s="76"/>
      <c r="JE13" s="76"/>
      <c r="JF13" s="76"/>
      <c r="JG13" s="76"/>
      <c r="JH13" s="76"/>
      <c r="JI13" s="76"/>
      <c r="JJ13" s="76"/>
      <c r="JK13" s="76"/>
      <c r="JL13" s="76"/>
      <c r="JM13" s="76"/>
      <c r="JN13" s="76"/>
      <c r="JO13" s="76"/>
      <c r="JP13" s="76"/>
      <c r="JQ13" s="76"/>
      <c r="JR13" s="76"/>
      <c r="JS13" s="76"/>
      <c r="JT13" s="76"/>
      <c r="JU13" s="76"/>
      <c r="JV13" s="76"/>
      <c r="JW13" s="76"/>
      <c r="JX13" s="76"/>
      <c r="JY13" s="76"/>
      <c r="JZ13" s="76"/>
      <c r="KA13" s="76"/>
      <c r="KB13" s="76"/>
      <c r="KC13" s="76"/>
      <c r="KD13" s="76"/>
      <c r="KE13" s="76"/>
      <c r="KF13" s="76"/>
      <c r="KG13" s="76"/>
      <c r="KH13" s="76"/>
      <c r="KI13" s="76"/>
      <c r="KJ13" s="76"/>
      <c r="KK13" s="76"/>
      <c r="KL13" s="76"/>
      <c r="KM13" s="76"/>
      <c r="KN13" s="76"/>
      <c r="KO13" s="76"/>
      <c r="KP13" s="76"/>
      <c r="KQ13" s="76"/>
      <c r="KR13" s="76"/>
      <c r="KS13" s="76"/>
      <c r="KT13" s="76"/>
      <c r="KU13" s="76"/>
      <c r="KV13" s="76"/>
      <c r="KW13" s="76"/>
      <c r="KX13" s="76"/>
      <c r="KY13" s="76"/>
      <c r="KZ13" s="76"/>
      <c r="LA13" s="76"/>
      <c r="LB13" s="76"/>
      <c r="LC13" s="76"/>
      <c r="LD13" s="76"/>
      <c r="LE13" s="76"/>
      <c r="LF13" s="76"/>
      <c r="LG13" s="76"/>
      <c r="LH13" s="76"/>
      <c r="LI13" s="76"/>
      <c r="LJ13" s="76"/>
      <c r="LK13" s="76"/>
      <c r="LL13" s="76"/>
      <c r="LM13" s="76"/>
      <c r="LN13" s="76"/>
      <c r="LO13" s="76"/>
      <c r="LP13" s="76"/>
      <c r="LQ13" s="76"/>
      <c r="LR13" s="76"/>
      <c r="LS13" s="76"/>
      <c r="LT13" s="76"/>
      <c r="LU13" s="76"/>
      <c r="LV13" s="76"/>
      <c r="LW13" s="76"/>
      <c r="LX13" s="76"/>
      <c r="LY13" s="76"/>
      <c r="LZ13" s="76"/>
      <c r="MA13" s="76"/>
      <c r="MB13" s="76"/>
      <c r="MC13" s="76"/>
      <c r="MD13" s="76"/>
      <c r="ME13" s="76"/>
      <c r="MF13" s="76"/>
      <c r="MG13" s="76"/>
      <c r="MH13" s="76"/>
      <c r="MI13" s="76"/>
      <c r="MJ13" s="76"/>
      <c r="MK13" s="76"/>
      <c r="ML13" s="76"/>
      <c r="MM13" s="76"/>
      <c r="MN13" s="76"/>
      <c r="MO13" s="76"/>
      <c r="MP13" s="76"/>
      <c r="MQ13" s="76"/>
      <c r="MR13" s="76"/>
      <c r="MS13" s="76"/>
      <c r="MT13" s="76"/>
      <c r="MU13" s="76"/>
      <c r="MV13" s="76"/>
      <c r="MW13" s="76"/>
      <c r="MX13" s="76"/>
      <c r="MY13" s="76"/>
      <c r="MZ13" s="76"/>
      <c r="NA13" s="76"/>
      <c r="NB13" s="76"/>
      <c r="NC13" s="76"/>
      <c r="ND13" s="76"/>
      <c r="NE13" s="76"/>
      <c r="NF13" s="76"/>
      <c r="NG13" s="76"/>
      <c r="NH13" s="76"/>
      <c r="NI13" s="76"/>
      <c r="NJ13" s="76"/>
      <c r="NK13" s="76"/>
      <c r="NL13" s="76"/>
      <c r="NM13" s="76"/>
      <c r="NN13" s="76"/>
      <c r="NO13" s="76"/>
      <c r="NP13" s="76"/>
      <c r="NQ13" s="76"/>
      <c r="NR13" s="76"/>
      <c r="NS13" s="76"/>
      <c r="NT13" s="76"/>
      <c r="NU13" s="76"/>
      <c r="NV13" s="76"/>
      <c r="NW13" s="76"/>
      <c r="NX13" s="76"/>
      <c r="NY13" s="76"/>
      <c r="NZ13" s="76"/>
      <c r="OA13" s="76"/>
      <c r="OB13" s="76"/>
      <c r="OC13" s="76"/>
      <c r="OD13" s="76"/>
      <c r="OE13" s="76"/>
      <c r="OF13" s="76"/>
      <c r="OG13" s="76"/>
      <c r="OH13" s="76"/>
      <c r="OI13" s="76"/>
      <c r="OJ13" s="76"/>
      <c r="OK13" s="76"/>
      <c r="OL13" s="76"/>
      <c r="OM13" s="76"/>
      <c r="ON13" s="76"/>
      <c r="OO13" s="76"/>
      <c r="OP13" s="76"/>
      <c r="OQ13" s="76"/>
      <c r="OR13" s="76"/>
      <c r="OS13" s="76"/>
      <c r="OT13" s="76"/>
      <c r="OU13" s="76"/>
      <c r="OV13" s="76"/>
      <c r="OW13" s="76"/>
      <c r="OX13" s="76"/>
      <c r="OY13" s="76"/>
      <c r="OZ13" s="76"/>
      <c r="PA13" s="76"/>
      <c r="PB13" s="76"/>
      <c r="PC13" s="76"/>
      <c r="PD13" s="76"/>
      <c r="PE13" s="76"/>
      <c r="PF13" s="76"/>
      <c r="PG13" s="76"/>
      <c r="PH13" s="76"/>
      <c r="PI13" s="76"/>
      <c r="PJ13" s="76"/>
      <c r="PK13" s="76"/>
      <c r="PL13" s="76"/>
      <c r="PM13" s="76"/>
      <c r="PN13" s="76"/>
      <c r="PO13" s="76"/>
      <c r="PP13" s="76"/>
      <c r="PQ13" s="76"/>
      <c r="PR13" s="76"/>
      <c r="PS13" s="76"/>
      <c r="PT13" s="76"/>
      <c r="PU13" s="76"/>
      <c r="PV13" s="76"/>
      <c r="PW13" s="76"/>
      <c r="PX13" s="76"/>
      <c r="PY13" s="76"/>
      <c r="PZ13" s="76"/>
      <c r="QA13" s="76"/>
      <c r="QB13" s="76"/>
      <c r="QC13" s="76"/>
      <c r="QD13" s="76"/>
      <c r="QE13" s="76"/>
      <c r="QF13" s="76"/>
      <c r="QG13" s="76"/>
      <c r="QH13" s="76"/>
      <c r="QI13" s="76"/>
      <c r="QJ13" s="76"/>
      <c r="QK13" s="76"/>
      <c r="QL13" s="76"/>
      <c r="QM13" s="76"/>
      <c r="QN13" s="76"/>
      <c r="QO13" s="76"/>
      <c r="QP13" s="76"/>
      <c r="QQ13" s="76"/>
      <c r="QR13" s="76"/>
      <c r="QS13" s="76"/>
      <c r="QT13" s="76"/>
      <c r="QU13" s="76"/>
      <c r="QV13" s="76"/>
      <c r="QW13" s="76"/>
      <c r="QX13" s="76"/>
      <c r="QY13" s="76"/>
      <c r="QZ13" s="76"/>
      <c r="RA13" s="76"/>
      <c r="RB13" s="76"/>
      <c r="RC13" s="76"/>
      <c r="RD13" s="76"/>
      <c r="RE13" s="76"/>
      <c r="RF13" s="76"/>
      <c r="RG13" s="76"/>
      <c r="RH13" s="76"/>
      <c r="RI13" s="76"/>
      <c r="RJ13" s="76"/>
      <c r="RK13" s="76"/>
      <c r="RL13" s="76"/>
      <c r="RM13" s="76"/>
      <c r="RN13" s="76"/>
      <c r="RO13" s="76"/>
      <c r="RP13" s="76"/>
      <c r="RQ13" s="76"/>
      <c r="RR13" s="76"/>
      <c r="RS13" s="76"/>
      <c r="RT13" s="76"/>
      <c r="RU13" s="76"/>
      <c r="RV13" s="76"/>
      <c r="RW13" s="76"/>
      <c r="RX13" s="76"/>
      <c r="RY13" s="76"/>
      <c r="RZ13" s="76"/>
      <c r="SA13" s="76"/>
      <c r="SB13" s="76"/>
      <c r="SC13" s="76"/>
      <c r="SD13" s="76"/>
      <c r="SE13" s="76"/>
      <c r="SF13" s="76"/>
      <c r="SG13" s="76"/>
      <c r="SH13" s="76"/>
      <c r="SI13" s="76"/>
      <c r="SJ13" s="76"/>
      <c r="SK13" s="76"/>
      <c r="SL13" s="76"/>
      <c r="SM13" s="76"/>
      <c r="SN13" s="76"/>
      <c r="SO13" s="76"/>
      <c r="SP13" s="76"/>
      <c r="SQ13" s="76"/>
      <c r="SR13" s="76"/>
      <c r="SS13" s="76"/>
      <c r="ST13" s="76"/>
      <c r="SU13" s="76"/>
      <c r="SV13" s="76"/>
      <c r="SW13" s="76"/>
      <c r="SX13" s="76"/>
      <c r="SY13" s="76"/>
      <c r="SZ13" s="76"/>
      <c r="TA13" s="76"/>
      <c r="TB13" s="76"/>
      <c r="TC13" s="76"/>
      <c r="TD13" s="76"/>
      <c r="TE13" s="76"/>
      <c r="TF13" s="76"/>
      <c r="TG13" s="76"/>
      <c r="TH13" s="76"/>
      <c r="TI13" s="76"/>
      <c r="TJ13" s="76"/>
      <c r="TK13" s="76"/>
      <c r="TL13" s="76"/>
      <c r="TM13" s="76"/>
      <c r="TN13" s="76"/>
      <c r="TO13" s="76"/>
      <c r="TP13" s="76"/>
      <c r="TQ13" s="76"/>
      <c r="TR13" s="76"/>
      <c r="TS13" s="76"/>
      <c r="TT13" s="76"/>
      <c r="TU13" s="76"/>
      <c r="TV13" s="76"/>
      <c r="TW13" s="76"/>
      <c r="TX13" s="76"/>
      <c r="TY13" s="76"/>
      <c r="TZ13" s="76"/>
      <c r="UA13" s="76"/>
      <c r="UB13" s="76"/>
      <c r="UC13" s="76"/>
      <c r="UD13" s="76"/>
      <c r="UE13" s="76"/>
      <c r="UF13" s="76"/>
      <c r="UG13" s="76"/>
      <c r="UH13" s="76"/>
      <c r="UI13" s="76"/>
      <c r="UJ13" s="76"/>
      <c r="UK13" s="76"/>
      <c r="UL13" s="76"/>
      <c r="UM13" s="76"/>
      <c r="UN13" s="76"/>
      <c r="UO13" s="76"/>
      <c r="UP13" s="76"/>
      <c r="UQ13" s="76"/>
      <c r="UR13" s="76"/>
      <c r="US13" s="76"/>
      <c r="UT13" s="76"/>
      <c r="UU13" s="76"/>
      <c r="UV13" s="76"/>
      <c r="UW13" s="76"/>
      <c r="UX13" s="76"/>
      <c r="UY13" s="76"/>
      <c r="UZ13" s="76"/>
      <c r="VA13" s="76"/>
      <c r="VB13" s="76"/>
      <c r="VC13" s="76"/>
      <c r="VD13" s="76"/>
      <c r="VE13" s="76"/>
      <c r="VF13" s="76"/>
      <c r="VG13" s="76"/>
      <c r="VH13" s="76"/>
      <c r="VI13" s="76"/>
      <c r="VJ13" s="76"/>
      <c r="VK13" s="76"/>
      <c r="VL13" s="76"/>
      <c r="VM13" s="76"/>
      <c r="VN13" s="76"/>
      <c r="VO13" s="76"/>
      <c r="VP13" s="76"/>
      <c r="VQ13" s="76"/>
      <c r="VR13" s="76"/>
      <c r="VS13" s="76"/>
      <c r="VT13" s="76"/>
      <c r="VU13" s="76"/>
      <c r="VV13" s="76"/>
      <c r="VW13" s="76"/>
      <c r="VX13" s="76"/>
      <c r="VY13" s="76"/>
      <c r="VZ13" s="76"/>
      <c r="WA13" s="76"/>
      <c r="WB13" s="76"/>
      <c r="WC13" s="76"/>
      <c r="WD13" s="76"/>
      <c r="WE13" s="76"/>
      <c r="WF13" s="76"/>
      <c r="WG13" s="76"/>
      <c r="WH13" s="76"/>
      <c r="WI13" s="76"/>
      <c r="WJ13" s="76"/>
      <c r="WK13" s="76"/>
      <c r="WL13" s="76"/>
      <c r="WM13" s="76"/>
      <c r="WN13" s="76"/>
      <c r="WO13" s="76"/>
      <c r="WP13" s="76"/>
      <c r="WQ13" s="76"/>
      <c r="WR13" s="76"/>
      <c r="WS13" s="76"/>
      <c r="WT13" s="76"/>
      <c r="WU13" s="76"/>
      <c r="WV13" s="76"/>
      <c r="WW13" s="76"/>
      <c r="WX13" s="76"/>
      <c r="WY13" s="76"/>
      <c r="WZ13" s="76"/>
      <c r="XA13" s="76"/>
      <c r="XB13" s="76"/>
      <c r="XC13" s="76"/>
      <c r="XD13" s="76"/>
      <c r="XE13" s="76"/>
      <c r="XF13" s="76"/>
      <c r="XG13" s="76"/>
      <c r="XH13" s="76"/>
      <c r="XI13" s="76"/>
      <c r="XJ13" s="76"/>
      <c r="XK13" s="76"/>
      <c r="XL13" s="76"/>
      <c r="XM13" s="76"/>
      <c r="XN13" s="76"/>
      <c r="XO13" s="76"/>
      <c r="XP13" s="76"/>
      <c r="XQ13" s="76"/>
      <c r="XR13" s="76"/>
      <c r="XS13" s="76"/>
      <c r="XT13" s="76"/>
      <c r="XU13" s="76"/>
      <c r="XV13" s="76"/>
      <c r="XW13" s="76"/>
      <c r="XX13" s="76"/>
      <c r="XY13" s="76"/>
      <c r="XZ13" s="76"/>
      <c r="YA13" s="76"/>
      <c r="YB13" s="76"/>
      <c r="YC13" s="76"/>
      <c r="YD13" s="76"/>
      <c r="YE13" s="76"/>
      <c r="YF13" s="76"/>
      <c r="YG13" s="76"/>
      <c r="YH13" s="76"/>
      <c r="YI13" s="76"/>
      <c r="YJ13" s="76"/>
      <c r="YK13" s="76"/>
      <c r="YL13" s="76"/>
      <c r="YM13" s="76"/>
      <c r="YN13" s="76"/>
      <c r="YO13" s="76"/>
      <c r="YP13" s="76"/>
      <c r="YQ13" s="76"/>
      <c r="YR13" s="76"/>
      <c r="YS13" s="76"/>
      <c r="YT13" s="76"/>
      <c r="YU13" s="76"/>
      <c r="YV13" s="76"/>
      <c r="YW13" s="76"/>
      <c r="YX13" s="76"/>
      <c r="YY13" s="76"/>
      <c r="YZ13" s="76"/>
      <c r="ZA13" s="76"/>
      <c r="ZB13" s="76"/>
      <c r="ZC13" s="76"/>
      <c r="ZD13" s="76"/>
      <c r="ZE13" s="76"/>
      <c r="ZF13" s="76"/>
      <c r="ZG13" s="76"/>
      <c r="ZH13" s="76"/>
      <c r="ZI13" s="76"/>
      <c r="ZJ13" s="76"/>
      <c r="ZK13" s="76"/>
      <c r="ZL13" s="76"/>
      <c r="ZM13" s="76"/>
      <c r="ZN13" s="76"/>
      <c r="ZO13" s="76"/>
      <c r="ZP13" s="76"/>
      <c r="ZQ13" s="76"/>
      <c r="ZR13" s="76"/>
      <c r="ZS13" s="76"/>
      <c r="ZT13" s="76"/>
      <c r="ZU13" s="76"/>
      <c r="ZV13" s="76"/>
      <c r="ZW13" s="76"/>
      <c r="ZX13" s="76"/>
      <c r="ZY13" s="76"/>
      <c r="ZZ13" s="76"/>
      <c r="AAA13" s="76"/>
      <c r="AAB13" s="76"/>
      <c r="AAC13" s="76"/>
      <c r="AAD13" s="76"/>
      <c r="AAE13" s="76"/>
      <c r="AAF13" s="76"/>
      <c r="AAG13" s="76"/>
      <c r="AAH13" s="76"/>
      <c r="AAI13" s="76"/>
      <c r="AAJ13" s="76"/>
      <c r="AAK13" s="76"/>
      <c r="AAL13" s="76"/>
      <c r="AAM13" s="76"/>
      <c r="AAN13" s="76"/>
      <c r="AAO13" s="76"/>
      <c r="AAP13" s="76"/>
      <c r="AAQ13" s="76"/>
      <c r="AAR13" s="76"/>
      <c r="AAS13" s="76"/>
      <c r="AAT13" s="76"/>
      <c r="AAU13" s="76"/>
      <c r="AAV13" s="76"/>
      <c r="AAW13" s="76"/>
      <c r="AAX13" s="76"/>
      <c r="AAY13" s="76"/>
      <c r="AAZ13" s="76"/>
      <c r="ABA13" s="76"/>
      <c r="ABB13" s="76"/>
      <c r="ABC13" s="76"/>
      <c r="ABD13" s="76"/>
      <c r="ABE13" s="76"/>
      <c r="ABF13" s="76"/>
      <c r="ABG13" s="76"/>
      <c r="ABH13" s="76"/>
      <c r="ABI13" s="76"/>
      <c r="ABJ13" s="76"/>
      <c r="ABK13" s="76"/>
      <c r="ABL13" s="76"/>
      <c r="ABM13" s="76"/>
      <c r="ABN13" s="76"/>
      <c r="ABO13" s="76"/>
      <c r="ABP13" s="76"/>
      <c r="ABQ13" s="76"/>
      <c r="ABR13" s="76"/>
      <c r="ABS13" s="76"/>
      <c r="ABT13" s="76"/>
      <c r="ABU13" s="76"/>
      <c r="ABV13" s="76"/>
      <c r="ABW13" s="76"/>
      <c r="ABX13" s="76"/>
      <c r="ABY13" s="76"/>
      <c r="ABZ13" s="76"/>
      <c r="ACA13" s="76"/>
      <c r="ACB13" s="76"/>
      <c r="ACC13" s="76"/>
      <c r="ACD13" s="76"/>
      <c r="ACE13" s="76"/>
      <c r="ACF13" s="76"/>
      <c r="ACG13" s="76"/>
      <c r="ACH13" s="76"/>
      <c r="ACI13" s="76"/>
      <c r="ACJ13" s="76"/>
      <c r="ACK13" s="76"/>
      <c r="ACL13" s="76"/>
      <c r="ACM13" s="76"/>
      <c r="ACN13" s="76"/>
      <c r="ACO13" s="76"/>
      <c r="ACP13" s="76"/>
      <c r="ACQ13" s="76"/>
      <c r="ACR13" s="76"/>
      <c r="ACS13" s="76"/>
      <c r="ACT13" s="76"/>
      <c r="ACU13" s="76"/>
      <c r="ACV13" s="76"/>
      <c r="ACW13" s="76"/>
      <c r="ACX13" s="76"/>
      <c r="ACY13" s="76"/>
      <c r="ACZ13" s="76"/>
      <c r="ADA13" s="76"/>
      <c r="ADB13" s="76"/>
      <c r="ADC13" s="76"/>
      <c r="ADD13" s="76"/>
      <c r="ADE13" s="76"/>
      <c r="ADF13" s="76"/>
      <c r="ADG13" s="76"/>
      <c r="ADH13" s="76"/>
      <c r="ADI13" s="76"/>
      <c r="ADJ13" s="76"/>
      <c r="ADK13" s="76"/>
      <c r="ADL13" s="76"/>
      <c r="ADM13" s="76"/>
      <c r="ADN13" s="76"/>
      <c r="ADO13" s="76"/>
      <c r="ADP13" s="76"/>
      <c r="ADQ13" s="76"/>
      <c r="ADR13" s="76"/>
      <c r="ADS13" s="76"/>
      <c r="ADT13" s="76"/>
      <c r="ADU13" s="76"/>
      <c r="ADV13" s="76"/>
      <c r="ADW13" s="76"/>
      <c r="ADX13" s="76"/>
      <c r="ADY13" s="76"/>
      <c r="ADZ13" s="76"/>
      <c r="AEA13" s="76"/>
      <c r="AEB13" s="76"/>
      <c r="AEC13" s="76"/>
      <c r="AED13" s="76"/>
      <c r="AEE13" s="76"/>
      <c r="AEF13" s="76"/>
      <c r="AEG13" s="76"/>
      <c r="AEH13" s="76"/>
      <c r="AEI13" s="76"/>
      <c r="AEJ13" s="76"/>
      <c r="AEK13" s="76"/>
      <c r="AEL13" s="76"/>
      <c r="AEM13" s="76"/>
      <c r="AEN13" s="76"/>
      <c r="AEO13" s="76"/>
      <c r="AEP13" s="76"/>
      <c r="AEQ13" s="76"/>
      <c r="AER13" s="76"/>
      <c r="AES13" s="76"/>
      <c r="AET13" s="76"/>
      <c r="AEU13" s="76"/>
      <c r="AEV13" s="76"/>
      <c r="AEW13" s="76"/>
      <c r="AEX13" s="76"/>
      <c r="AEY13" s="76"/>
      <c r="AEZ13" s="76"/>
      <c r="AFA13" s="76"/>
      <c r="AFB13" s="76"/>
      <c r="AFC13" s="76"/>
      <c r="AFD13" s="76"/>
      <c r="AFE13" s="76"/>
      <c r="AFF13" s="76"/>
      <c r="AFG13" s="76"/>
      <c r="AFH13" s="76"/>
      <c r="AFI13" s="76"/>
      <c r="AFJ13" s="76"/>
      <c r="AFK13" s="76"/>
      <c r="AFL13" s="76"/>
      <c r="AFM13" s="76"/>
      <c r="AFN13" s="76"/>
      <c r="AFO13" s="76"/>
      <c r="AFP13" s="76"/>
      <c r="AFQ13" s="76"/>
      <c r="AFR13" s="76"/>
      <c r="AFS13" s="76"/>
      <c r="AFT13" s="76"/>
      <c r="AFU13" s="76"/>
      <c r="AFV13" s="76"/>
      <c r="AFW13" s="76"/>
      <c r="AFX13" s="76"/>
      <c r="AFY13" s="76"/>
      <c r="AFZ13" s="76"/>
      <c r="AGA13" s="76"/>
      <c r="AGB13" s="76"/>
      <c r="AGC13" s="76"/>
      <c r="AGD13" s="76"/>
      <c r="AGE13" s="76"/>
      <c r="AGF13" s="76"/>
      <c r="AGG13" s="76"/>
      <c r="AGH13" s="76"/>
      <c r="AGI13" s="76"/>
      <c r="AGJ13" s="76"/>
      <c r="AGK13" s="76"/>
      <c r="AGL13" s="76"/>
      <c r="AGM13" s="76"/>
      <c r="AGN13" s="76"/>
      <c r="AGO13" s="76"/>
      <c r="AGP13" s="76"/>
      <c r="AGQ13" s="76"/>
      <c r="AGR13" s="76"/>
      <c r="AGS13" s="76"/>
      <c r="AGT13" s="76"/>
      <c r="AGU13" s="76"/>
      <c r="AGV13" s="76"/>
      <c r="AGW13" s="76"/>
      <c r="AGX13" s="76"/>
      <c r="AGY13" s="76"/>
      <c r="AGZ13" s="76"/>
      <c r="AHA13" s="76"/>
      <c r="AHB13" s="76"/>
      <c r="AHC13" s="76"/>
      <c r="AHD13" s="76"/>
      <c r="AHE13" s="76"/>
      <c r="AHF13" s="76"/>
      <c r="AHG13" s="76"/>
      <c r="AHH13" s="76"/>
      <c r="AHI13" s="76"/>
      <c r="AHJ13" s="76"/>
      <c r="AHK13" s="76"/>
      <c r="AHL13" s="76"/>
      <c r="AHM13" s="76"/>
      <c r="AHN13" s="76"/>
      <c r="AHO13" s="76"/>
      <c r="AHP13" s="76"/>
      <c r="AHQ13" s="76"/>
      <c r="AHR13" s="76"/>
      <c r="AHS13" s="76"/>
      <c r="AHT13" s="76"/>
      <c r="AHU13" s="76"/>
      <c r="AHV13" s="76"/>
      <c r="AHW13" s="76"/>
      <c r="AHX13" s="76"/>
      <c r="AHY13" s="76"/>
      <c r="AHZ13" s="76"/>
      <c r="AIA13" s="76"/>
      <c r="AIB13" s="76"/>
      <c r="AIC13" s="76"/>
      <c r="AID13" s="76"/>
      <c r="AIE13" s="76"/>
      <c r="AIF13" s="76"/>
      <c r="AIG13" s="76"/>
      <c r="AIH13" s="76"/>
      <c r="AII13" s="76"/>
      <c r="AIJ13" s="76"/>
      <c r="AIK13" s="76"/>
      <c r="AIL13" s="76"/>
      <c r="AIM13" s="76"/>
      <c r="AIN13" s="76"/>
      <c r="AIO13" s="76"/>
      <c r="AIP13" s="76"/>
      <c r="AIQ13" s="76"/>
      <c r="AIR13" s="76"/>
      <c r="AIS13" s="76"/>
      <c r="AIT13" s="76"/>
      <c r="AIU13" s="76"/>
      <c r="AIV13" s="76"/>
      <c r="AIW13" s="76"/>
      <c r="AIX13" s="76"/>
      <c r="AIY13" s="76"/>
      <c r="AIZ13" s="76"/>
      <c r="AJA13" s="76"/>
      <c r="AJB13" s="76"/>
      <c r="AJC13" s="76"/>
      <c r="AJD13" s="76"/>
      <c r="AJE13" s="76"/>
      <c r="AJF13" s="76"/>
      <c r="AJG13" s="76"/>
      <c r="AJH13" s="76"/>
      <c r="AJI13" s="76"/>
      <c r="AJJ13" s="76"/>
      <c r="AJK13" s="76"/>
      <c r="AJL13" s="76"/>
      <c r="AJM13" s="76"/>
      <c r="AJN13" s="76"/>
      <c r="AJO13" s="76"/>
      <c r="AJP13" s="76"/>
      <c r="AJQ13" s="76"/>
      <c r="AJR13" s="76"/>
      <c r="AJS13" s="76"/>
      <c r="AJT13" s="76"/>
      <c r="AJU13" s="76"/>
      <c r="AJV13" s="76"/>
      <c r="AJW13" s="76"/>
      <c r="AJX13" s="76"/>
      <c r="AJY13" s="76"/>
      <c r="AJZ13" s="76"/>
      <c r="AKA13" s="76"/>
      <c r="AKB13" s="76"/>
      <c r="AKC13" s="76"/>
      <c r="AKD13" s="76"/>
      <c r="AKE13" s="76"/>
      <c r="AKF13" s="76"/>
      <c r="AKG13" s="76"/>
      <c r="AKH13" s="76"/>
      <c r="AKI13" s="76"/>
      <c r="AKJ13" s="76"/>
      <c r="AKK13" s="76"/>
      <c r="AKL13" s="76"/>
      <c r="AKM13" s="76"/>
      <c r="AKN13" s="76"/>
      <c r="AKO13" s="76"/>
      <c r="AKP13" s="76"/>
      <c r="AKQ13" s="76"/>
      <c r="AKR13" s="76"/>
      <c r="AKS13" s="76"/>
      <c r="AKT13" s="76"/>
      <c r="AKU13" s="76"/>
      <c r="AKV13" s="76"/>
      <c r="AKW13" s="76"/>
      <c r="AKX13" s="76"/>
      <c r="AKY13" s="76"/>
      <c r="AKZ13" s="76"/>
      <c r="ALA13" s="76"/>
      <c r="ALB13" s="76"/>
      <c r="ALC13" s="76"/>
      <c r="ALD13" s="76"/>
      <c r="ALE13" s="76"/>
      <c r="ALF13" s="76"/>
      <c r="ALG13" s="76"/>
      <c r="ALH13" s="76"/>
      <c r="ALI13" s="76"/>
      <c r="ALJ13" s="76"/>
      <c r="ALK13" s="76"/>
      <c r="ALL13" s="76"/>
      <c r="ALM13" s="76"/>
      <c r="ALN13" s="76"/>
      <c r="ALO13" s="76"/>
      <c r="ALP13" s="76"/>
      <c r="ALQ13" s="76"/>
      <c r="ALR13" s="76"/>
      <c r="ALS13" s="76"/>
      <c r="ALT13" s="76"/>
      <c r="ALU13" s="76"/>
      <c r="ALV13" s="76"/>
      <c r="ALW13" s="76"/>
      <c r="ALX13" s="76"/>
      <c r="ALY13" s="76"/>
      <c r="ALZ13" s="76"/>
      <c r="AMA13" s="76"/>
      <c r="AMB13" s="76"/>
      <c r="AMC13" s="76"/>
      <c r="AMD13" s="76"/>
      <c r="AME13" s="76"/>
      <c r="AMF13" s="76"/>
      <c r="AMG13" s="76"/>
      <c r="AMH13" s="76"/>
      <c r="AMI13" s="76"/>
      <c r="AMJ13" s="76"/>
    </row>
    <row r="14" spans="1:1024" s="60" customFormat="1">
      <c r="A14" s="140"/>
      <c r="B14" s="67" t="s">
        <v>57</v>
      </c>
      <c r="C14" s="63" t="s">
        <v>31</v>
      </c>
      <c r="D14" s="63"/>
      <c r="E14" s="79" t="e">
        <f t="shared" ref="E14" si="7">D14+#REF!</f>
        <v>#REF!</v>
      </c>
      <c r="F14" s="65">
        <v>8.9</v>
      </c>
      <c r="G14" s="65" t="s">
        <v>61</v>
      </c>
      <c r="H14" s="64" t="e">
        <f t="shared" si="1"/>
        <v>#REF!</v>
      </c>
      <c r="I14" s="65">
        <v>0</v>
      </c>
      <c r="J14" s="66">
        <f>1.05*25</f>
        <v>26.25</v>
      </c>
      <c r="K14" s="53" t="e">
        <f>J14-E14</f>
        <v>#REF!</v>
      </c>
      <c r="L14" s="194"/>
      <c r="M14" s="140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76"/>
      <c r="IR14" s="76"/>
      <c r="IS14" s="76"/>
      <c r="IT14" s="76"/>
      <c r="IU14" s="76"/>
      <c r="IV14" s="76"/>
      <c r="IW14" s="76"/>
      <c r="IX14" s="76"/>
      <c r="IY14" s="76"/>
      <c r="IZ14" s="76"/>
      <c r="JA14" s="76"/>
      <c r="JB14" s="76"/>
      <c r="JC14" s="76"/>
      <c r="JD14" s="76"/>
      <c r="JE14" s="76"/>
      <c r="JF14" s="76"/>
      <c r="JG14" s="76"/>
      <c r="JH14" s="76"/>
      <c r="JI14" s="76"/>
      <c r="JJ14" s="76"/>
      <c r="JK14" s="76"/>
      <c r="JL14" s="76"/>
      <c r="JM14" s="76"/>
      <c r="JN14" s="76"/>
      <c r="JO14" s="76"/>
      <c r="JP14" s="76"/>
      <c r="JQ14" s="76"/>
      <c r="JR14" s="76"/>
      <c r="JS14" s="76"/>
      <c r="JT14" s="76"/>
      <c r="JU14" s="76"/>
      <c r="JV14" s="76"/>
      <c r="JW14" s="76"/>
      <c r="JX14" s="76"/>
      <c r="JY14" s="76"/>
      <c r="JZ14" s="76"/>
      <c r="KA14" s="76"/>
      <c r="KB14" s="76"/>
      <c r="KC14" s="76"/>
      <c r="KD14" s="76"/>
      <c r="KE14" s="76"/>
      <c r="KF14" s="76"/>
      <c r="KG14" s="76"/>
      <c r="KH14" s="76"/>
      <c r="KI14" s="76"/>
      <c r="KJ14" s="76"/>
      <c r="KK14" s="76"/>
      <c r="KL14" s="76"/>
      <c r="KM14" s="76"/>
      <c r="KN14" s="76"/>
      <c r="KO14" s="76"/>
      <c r="KP14" s="76"/>
      <c r="KQ14" s="76"/>
      <c r="KR14" s="76"/>
      <c r="KS14" s="76"/>
      <c r="KT14" s="76"/>
      <c r="KU14" s="76"/>
      <c r="KV14" s="76"/>
      <c r="KW14" s="76"/>
      <c r="KX14" s="76"/>
      <c r="KY14" s="76"/>
      <c r="KZ14" s="76"/>
      <c r="LA14" s="76"/>
      <c r="LB14" s="76"/>
      <c r="LC14" s="76"/>
      <c r="LD14" s="76"/>
      <c r="LE14" s="76"/>
      <c r="LF14" s="76"/>
      <c r="LG14" s="76"/>
      <c r="LH14" s="76"/>
      <c r="LI14" s="76"/>
      <c r="LJ14" s="76"/>
      <c r="LK14" s="76"/>
      <c r="LL14" s="76"/>
      <c r="LM14" s="76"/>
      <c r="LN14" s="76"/>
      <c r="LO14" s="76"/>
      <c r="LP14" s="76"/>
      <c r="LQ14" s="76"/>
      <c r="LR14" s="76"/>
      <c r="LS14" s="76"/>
      <c r="LT14" s="76"/>
      <c r="LU14" s="76"/>
      <c r="LV14" s="76"/>
      <c r="LW14" s="76"/>
      <c r="LX14" s="76"/>
      <c r="LY14" s="76"/>
      <c r="LZ14" s="76"/>
      <c r="MA14" s="76"/>
      <c r="MB14" s="76"/>
      <c r="MC14" s="76"/>
      <c r="MD14" s="76"/>
      <c r="ME14" s="76"/>
      <c r="MF14" s="76"/>
      <c r="MG14" s="76"/>
      <c r="MH14" s="76"/>
      <c r="MI14" s="76"/>
      <c r="MJ14" s="76"/>
      <c r="MK14" s="76"/>
      <c r="ML14" s="76"/>
      <c r="MM14" s="76"/>
      <c r="MN14" s="76"/>
      <c r="MO14" s="76"/>
      <c r="MP14" s="76"/>
      <c r="MQ14" s="76"/>
      <c r="MR14" s="76"/>
      <c r="MS14" s="76"/>
      <c r="MT14" s="76"/>
      <c r="MU14" s="76"/>
      <c r="MV14" s="76"/>
      <c r="MW14" s="76"/>
      <c r="MX14" s="76"/>
      <c r="MY14" s="76"/>
      <c r="MZ14" s="76"/>
      <c r="NA14" s="76"/>
      <c r="NB14" s="76"/>
      <c r="NC14" s="76"/>
      <c r="ND14" s="76"/>
      <c r="NE14" s="76"/>
      <c r="NF14" s="76"/>
      <c r="NG14" s="76"/>
      <c r="NH14" s="76"/>
      <c r="NI14" s="76"/>
      <c r="NJ14" s="76"/>
      <c r="NK14" s="76"/>
      <c r="NL14" s="76"/>
      <c r="NM14" s="76"/>
      <c r="NN14" s="76"/>
      <c r="NO14" s="76"/>
      <c r="NP14" s="76"/>
      <c r="NQ14" s="76"/>
      <c r="NR14" s="76"/>
      <c r="NS14" s="76"/>
      <c r="NT14" s="76"/>
      <c r="NU14" s="76"/>
      <c r="NV14" s="76"/>
      <c r="NW14" s="76"/>
      <c r="NX14" s="76"/>
      <c r="NY14" s="76"/>
      <c r="NZ14" s="76"/>
      <c r="OA14" s="76"/>
      <c r="OB14" s="76"/>
      <c r="OC14" s="76"/>
      <c r="OD14" s="76"/>
      <c r="OE14" s="76"/>
      <c r="OF14" s="76"/>
      <c r="OG14" s="76"/>
      <c r="OH14" s="76"/>
      <c r="OI14" s="76"/>
      <c r="OJ14" s="76"/>
      <c r="OK14" s="76"/>
      <c r="OL14" s="76"/>
      <c r="OM14" s="76"/>
      <c r="ON14" s="76"/>
      <c r="OO14" s="76"/>
      <c r="OP14" s="76"/>
      <c r="OQ14" s="76"/>
      <c r="OR14" s="76"/>
      <c r="OS14" s="76"/>
      <c r="OT14" s="76"/>
      <c r="OU14" s="76"/>
      <c r="OV14" s="76"/>
      <c r="OW14" s="76"/>
      <c r="OX14" s="76"/>
      <c r="OY14" s="76"/>
      <c r="OZ14" s="76"/>
      <c r="PA14" s="76"/>
      <c r="PB14" s="76"/>
      <c r="PC14" s="76"/>
      <c r="PD14" s="76"/>
      <c r="PE14" s="76"/>
      <c r="PF14" s="76"/>
      <c r="PG14" s="76"/>
      <c r="PH14" s="76"/>
      <c r="PI14" s="76"/>
      <c r="PJ14" s="76"/>
      <c r="PK14" s="76"/>
      <c r="PL14" s="76"/>
      <c r="PM14" s="76"/>
      <c r="PN14" s="76"/>
      <c r="PO14" s="76"/>
      <c r="PP14" s="76"/>
      <c r="PQ14" s="76"/>
      <c r="PR14" s="76"/>
      <c r="PS14" s="76"/>
      <c r="PT14" s="76"/>
      <c r="PU14" s="76"/>
      <c r="PV14" s="76"/>
      <c r="PW14" s="76"/>
      <c r="PX14" s="76"/>
      <c r="PY14" s="76"/>
      <c r="PZ14" s="76"/>
      <c r="QA14" s="76"/>
      <c r="QB14" s="76"/>
      <c r="QC14" s="76"/>
      <c r="QD14" s="76"/>
      <c r="QE14" s="76"/>
      <c r="QF14" s="76"/>
      <c r="QG14" s="76"/>
      <c r="QH14" s="76"/>
      <c r="QI14" s="76"/>
      <c r="QJ14" s="76"/>
      <c r="QK14" s="76"/>
      <c r="QL14" s="76"/>
      <c r="QM14" s="76"/>
      <c r="QN14" s="76"/>
      <c r="QO14" s="76"/>
      <c r="QP14" s="76"/>
      <c r="QQ14" s="76"/>
      <c r="QR14" s="76"/>
      <c r="QS14" s="76"/>
      <c r="QT14" s="76"/>
      <c r="QU14" s="76"/>
      <c r="QV14" s="76"/>
      <c r="QW14" s="76"/>
      <c r="QX14" s="76"/>
      <c r="QY14" s="76"/>
      <c r="QZ14" s="76"/>
      <c r="RA14" s="76"/>
      <c r="RB14" s="76"/>
      <c r="RC14" s="76"/>
      <c r="RD14" s="76"/>
      <c r="RE14" s="76"/>
      <c r="RF14" s="76"/>
      <c r="RG14" s="76"/>
      <c r="RH14" s="76"/>
      <c r="RI14" s="76"/>
      <c r="RJ14" s="76"/>
      <c r="RK14" s="76"/>
      <c r="RL14" s="76"/>
      <c r="RM14" s="76"/>
      <c r="RN14" s="76"/>
      <c r="RO14" s="76"/>
      <c r="RP14" s="76"/>
      <c r="RQ14" s="76"/>
      <c r="RR14" s="76"/>
      <c r="RS14" s="76"/>
      <c r="RT14" s="76"/>
      <c r="RU14" s="76"/>
      <c r="RV14" s="76"/>
      <c r="RW14" s="76"/>
      <c r="RX14" s="76"/>
      <c r="RY14" s="76"/>
      <c r="RZ14" s="76"/>
      <c r="SA14" s="76"/>
      <c r="SB14" s="76"/>
      <c r="SC14" s="76"/>
      <c r="SD14" s="76"/>
      <c r="SE14" s="76"/>
      <c r="SF14" s="76"/>
      <c r="SG14" s="76"/>
      <c r="SH14" s="76"/>
      <c r="SI14" s="76"/>
      <c r="SJ14" s="76"/>
      <c r="SK14" s="76"/>
      <c r="SL14" s="76"/>
      <c r="SM14" s="76"/>
      <c r="SN14" s="76"/>
      <c r="SO14" s="76"/>
      <c r="SP14" s="76"/>
      <c r="SQ14" s="76"/>
      <c r="SR14" s="76"/>
      <c r="SS14" s="76"/>
      <c r="ST14" s="76"/>
      <c r="SU14" s="76"/>
      <c r="SV14" s="76"/>
      <c r="SW14" s="76"/>
      <c r="SX14" s="76"/>
      <c r="SY14" s="76"/>
      <c r="SZ14" s="76"/>
      <c r="TA14" s="76"/>
      <c r="TB14" s="76"/>
      <c r="TC14" s="76"/>
      <c r="TD14" s="76"/>
      <c r="TE14" s="76"/>
      <c r="TF14" s="76"/>
      <c r="TG14" s="76"/>
      <c r="TH14" s="76"/>
      <c r="TI14" s="76"/>
      <c r="TJ14" s="76"/>
      <c r="TK14" s="76"/>
      <c r="TL14" s="76"/>
      <c r="TM14" s="76"/>
      <c r="TN14" s="76"/>
      <c r="TO14" s="76"/>
      <c r="TP14" s="76"/>
      <c r="TQ14" s="76"/>
      <c r="TR14" s="76"/>
      <c r="TS14" s="76"/>
      <c r="TT14" s="76"/>
      <c r="TU14" s="76"/>
      <c r="TV14" s="76"/>
      <c r="TW14" s="76"/>
      <c r="TX14" s="76"/>
      <c r="TY14" s="76"/>
      <c r="TZ14" s="76"/>
      <c r="UA14" s="76"/>
      <c r="UB14" s="76"/>
      <c r="UC14" s="76"/>
      <c r="UD14" s="76"/>
      <c r="UE14" s="76"/>
      <c r="UF14" s="76"/>
      <c r="UG14" s="76"/>
      <c r="UH14" s="76"/>
      <c r="UI14" s="76"/>
      <c r="UJ14" s="76"/>
      <c r="UK14" s="76"/>
      <c r="UL14" s="76"/>
      <c r="UM14" s="76"/>
      <c r="UN14" s="76"/>
      <c r="UO14" s="76"/>
      <c r="UP14" s="76"/>
      <c r="UQ14" s="76"/>
      <c r="UR14" s="76"/>
      <c r="US14" s="76"/>
      <c r="UT14" s="76"/>
      <c r="UU14" s="76"/>
      <c r="UV14" s="76"/>
      <c r="UW14" s="76"/>
      <c r="UX14" s="76"/>
      <c r="UY14" s="76"/>
      <c r="UZ14" s="76"/>
      <c r="VA14" s="76"/>
      <c r="VB14" s="76"/>
      <c r="VC14" s="76"/>
      <c r="VD14" s="76"/>
      <c r="VE14" s="76"/>
      <c r="VF14" s="76"/>
      <c r="VG14" s="76"/>
      <c r="VH14" s="76"/>
      <c r="VI14" s="76"/>
      <c r="VJ14" s="76"/>
      <c r="VK14" s="76"/>
      <c r="VL14" s="76"/>
      <c r="VM14" s="76"/>
      <c r="VN14" s="76"/>
      <c r="VO14" s="76"/>
      <c r="VP14" s="76"/>
      <c r="VQ14" s="76"/>
      <c r="VR14" s="76"/>
      <c r="VS14" s="76"/>
      <c r="VT14" s="76"/>
      <c r="VU14" s="76"/>
      <c r="VV14" s="76"/>
      <c r="VW14" s="76"/>
      <c r="VX14" s="76"/>
      <c r="VY14" s="76"/>
      <c r="VZ14" s="76"/>
      <c r="WA14" s="76"/>
      <c r="WB14" s="76"/>
      <c r="WC14" s="76"/>
      <c r="WD14" s="76"/>
      <c r="WE14" s="76"/>
      <c r="WF14" s="76"/>
      <c r="WG14" s="76"/>
      <c r="WH14" s="76"/>
      <c r="WI14" s="76"/>
      <c r="WJ14" s="76"/>
      <c r="WK14" s="76"/>
      <c r="WL14" s="76"/>
      <c r="WM14" s="76"/>
      <c r="WN14" s="76"/>
      <c r="WO14" s="76"/>
      <c r="WP14" s="76"/>
      <c r="WQ14" s="76"/>
      <c r="WR14" s="76"/>
      <c r="WS14" s="76"/>
      <c r="WT14" s="76"/>
      <c r="WU14" s="76"/>
      <c r="WV14" s="76"/>
      <c r="WW14" s="76"/>
      <c r="WX14" s="76"/>
      <c r="WY14" s="76"/>
      <c r="WZ14" s="76"/>
      <c r="XA14" s="76"/>
      <c r="XB14" s="76"/>
      <c r="XC14" s="76"/>
      <c r="XD14" s="76"/>
      <c r="XE14" s="76"/>
      <c r="XF14" s="76"/>
      <c r="XG14" s="76"/>
      <c r="XH14" s="76"/>
      <c r="XI14" s="76"/>
      <c r="XJ14" s="76"/>
      <c r="XK14" s="76"/>
      <c r="XL14" s="76"/>
      <c r="XM14" s="76"/>
      <c r="XN14" s="76"/>
      <c r="XO14" s="76"/>
      <c r="XP14" s="76"/>
      <c r="XQ14" s="76"/>
      <c r="XR14" s="76"/>
      <c r="XS14" s="76"/>
      <c r="XT14" s="76"/>
      <c r="XU14" s="76"/>
      <c r="XV14" s="76"/>
      <c r="XW14" s="76"/>
      <c r="XX14" s="76"/>
      <c r="XY14" s="76"/>
      <c r="XZ14" s="76"/>
      <c r="YA14" s="76"/>
      <c r="YB14" s="76"/>
      <c r="YC14" s="76"/>
      <c r="YD14" s="76"/>
      <c r="YE14" s="76"/>
      <c r="YF14" s="76"/>
      <c r="YG14" s="76"/>
      <c r="YH14" s="76"/>
      <c r="YI14" s="76"/>
      <c r="YJ14" s="76"/>
      <c r="YK14" s="76"/>
      <c r="YL14" s="76"/>
      <c r="YM14" s="76"/>
      <c r="YN14" s="76"/>
      <c r="YO14" s="76"/>
      <c r="YP14" s="76"/>
      <c r="YQ14" s="76"/>
      <c r="YR14" s="76"/>
      <c r="YS14" s="76"/>
      <c r="YT14" s="76"/>
      <c r="YU14" s="76"/>
      <c r="YV14" s="76"/>
      <c r="YW14" s="76"/>
      <c r="YX14" s="76"/>
      <c r="YY14" s="76"/>
      <c r="YZ14" s="76"/>
      <c r="ZA14" s="76"/>
      <c r="ZB14" s="76"/>
      <c r="ZC14" s="76"/>
      <c r="ZD14" s="76"/>
      <c r="ZE14" s="76"/>
      <c r="ZF14" s="76"/>
      <c r="ZG14" s="76"/>
      <c r="ZH14" s="76"/>
      <c r="ZI14" s="76"/>
      <c r="ZJ14" s="76"/>
      <c r="ZK14" s="76"/>
      <c r="ZL14" s="76"/>
      <c r="ZM14" s="76"/>
      <c r="ZN14" s="76"/>
      <c r="ZO14" s="76"/>
      <c r="ZP14" s="76"/>
      <c r="ZQ14" s="76"/>
      <c r="ZR14" s="76"/>
      <c r="ZS14" s="76"/>
      <c r="ZT14" s="76"/>
      <c r="ZU14" s="76"/>
      <c r="ZV14" s="76"/>
      <c r="ZW14" s="76"/>
      <c r="ZX14" s="76"/>
      <c r="ZY14" s="76"/>
      <c r="ZZ14" s="76"/>
      <c r="AAA14" s="76"/>
      <c r="AAB14" s="76"/>
      <c r="AAC14" s="76"/>
      <c r="AAD14" s="76"/>
      <c r="AAE14" s="76"/>
      <c r="AAF14" s="76"/>
      <c r="AAG14" s="76"/>
      <c r="AAH14" s="76"/>
      <c r="AAI14" s="76"/>
      <c r="AAJ14" s="76"/>
      <c r="AAK14" s="76"/>
      <c r="AAL14" s="76"/>
      <c r="AAM14" s="76"/>
      <c r="AAN14" s="76"/>
      <c r="AAO14" s="76"/>
      <c r="AAP14" s="76"/>
      <c r="AAQ14" s="76"/>
      <c r="AAR14" s="76"/>
      <c r="AAS14" s="76"/>
      <c r="AAT14" s="76"/>
      <c r="AAU14" s="76"/>
      <c r="AAV14" s="76"/>
      <c r="AAW14" s="76"/>
      <c r="AAX14" s="76"/>
      <c r="AAY14" s="76"/>
      <c r="AAZ14" s="76"/>
      <c r="ABA14" s="76"/>
      <c r="ABB14" s="76"/>
      <c r="ABC14" s="76"/>
      <c r="ABD14" s="76"/>
      <c r="ABE14" s="76"/>
      <c r="ABF14" s="76"/>
      <c r="ABG14" s="76"/>
      <c r="ABH14" s="76"/>
      <c r="ABI14" s="76"/>
      <c r="ABJ14" s="76"/>
      <c r="ABK14" s="76"/>
      <c r="ABL14" s="76"/>
      <c r="ABM14" s="76"/>
      <c r="ABN14" s="76"/>
      <c r="ABO14" s="76"/>
      <c r="ABP14" s="76"/>
      <c r="ABQ14" s="76"/>
      <c r="ABR14" s="76"/>
      <c r="ABS14" s="76"/>
      <c r="ABT14" s="76"/>
      <c r="ABU14" s="76"/>
      <c r="ABV14" s="76"/>
      <c r="ABW14" s="76"/>
      <c r="ABX14" s="76"/>
      <c r="ABY14" s="76"/>
      <c r="ABZ14" s="76"/>
      <c r="ACA14" s="76"/>
      <c r="ACB14" s="76"/>
      <c r="ACC14" s="76"/>
      <c r="ACD14" s="76"/>
      <c r="ACE14" s="76"/>
      <c r="ACF14" s="76"/>
      <c r="ACG14" s="76"/>
      <c r="ACH14" s="76"/>
      <c r="ACI14" s="76"/>
      <c r="ACJ14" s="76"/>
      <c r="ACK14" s="76"/>
      <c r="ACL14" s="76"/>
      <c r="ACM14" s="76"/>
      <c r="ACN14" s="76"/>
      <c r="ACO14" s="76"/>
      <c r="ACP14" s="76"/>
      <c r="ACQ14" s="76"/>
      <c r="ACR14" s="76"/>
      <c r="ACS14" s="76"/>
      <c r="ACT14" s="76"/>
      <c r="ACU14" s="76"/>
      <c r="ACV14" s="76"/>
      <c r="ACW14" s="76"/>
      <c r="ACX14" s="76"/>
      <c r="ACY14" s="76"/>
      <c r="ACZ14" s="76"/>
      <c r="ADA14" s="76"/>
      <c r="ADB14" s="76"/>
      <c r="ADC14" s="76"/>
      <c r="ADD14" s="76"/>
      <c r="ADE14" s="76"/>
      <c r="ADF14" s="76"/>
      <c r="ADG14" s="76"/>
      <c r="ADH14" s="76"/>
      <c r="ADI14" s="76"/>
      <c r="ADJ14" s="76"/>
      <c r="ADK14" s="76"/>
      <c r="ADL14" s="76"/>
      <c r="ADM14" s="76"/>
      <c r="ADN14" s="76"/>
      <c r="ADO14" s="76"/>
      <c r="ADP14" s="76"/>
      <c r="ADQ14" s="76"/>
      <c r="ADR14" s="76"/>
      <c r="ADS14" s="76"/>
      <c r="ADT14" s="76"/>
      <c r="ADU14" s="76"/>
      <c r="ADV14" s="76"/>
      <c r="ADW14" s="76"/>
      <c r="ADX14" s="76"/>
      <c r="ADY14" s="76"/>
      <c r="ADZ14" s="76"/>
      <c r="AEA14" s="76"/>
      <c r="AEB14" s="76"/>
      <c r="AEC14" s="76"/>
      <c r="AED14" s="76"/>
      <c r="AEE14" s="76"/>
      <c r="AEF14" s="76"/>
      <c r="AEG14" s="76"/>
      <c r="AEH14" s="76"/>
      <c r="AEI14" s="76"/>
      <c r="AEJ14" s="76"/>
      <c r="AEK14" s="76"/>
      <c r="AEL14" s="76"/>
      <c r="AEM14" s="76"/>
      <c r="AEN14" s="76"/>
      <c r="AEO14" s="76"/>
      <c r="AEP14" s="76"/>
      <c r="AEQ14" s="76"/>
      <c r="AER14" s="76"/>
      <c r="AES14" s="76"/>
      <c r="AET14" s="76"/>
      <c r="AEU14" s="76"/>
      <c r="AEV14" s="76"/>
      <c r="AEW14" s="76"/>
      <c r="AEX14" s="76"/>
      <c r="AEY14" s="76"/>
      <c r="AEZ14" s="76"/>
      <c r="AFA14" s="76"/>
      <c r="AFB14" s="76"/>
      <c r="AFC14" s="76"/>
      <c r="AFD14" s="76"/>
      <c r="AFE14" s="76"/>
      <c r="AFF14" s="76"/>
      <c r="AFG14" s="76"/>
      <c r="AFH14" s="76"/>
      <c r="AFI14" s="76"/>
      <c r="AFJ14" s="76"/>
      <c r="AFK14" s="76"/>
      <c r="AFL14" s="76"/>
      <c r="AFM14" s="76"/>
      <c r="AFN14" s="76"/>
      <c r="AFO14" s="76"/>
      <c r="AFP14" s="76"/>
      <c r="AFQ14" s="76"/>
      <c r="AFR14" s="76"/>
      <c r="AFS14" s="76"/>
      <c r="AFT14" s="76"/>
      <c r="AFU14" s="76"/>
      <c r="AFV14" s="76"/>
      <c r="AFW14" s="76"/>
      <c r="AFX14" s="76"/>
      <c r="AFY14" s="76"/>
      <c r="AFZ14" s="76"/>
      <c r="AGA14" s="76"/>
      <c r="AGB14" s="76"/>
      <c r="AGC14" s="76"/>
      <c r="AGD14" s="76"/>
      <c r="AGE14" s="76"/>
      <c r="AGF14" s="76"/>
      <c r="AGG14" s="76"/>
      <c r="AGH14" s="76"/>
      <c r="AGI14" s="76"/>
      <c r="AGJ14" s="76"/>
      <c r="AGK14" s="76"/>
      <c r="AGL14" s="76"/>
      <c r="AGM14" s="76"/>
      <c r="AGN14" s="76"/>
      <c r="AGO14" s="76"/>
      <c r="AGP14" s="76"/>
      <c r="AGQ14" s="76"/>
      <c r="AGR14" s="76"/>
      <c r="AGS14" s="76"/>
      <c r="AGT14" s="76"/>
      <c r="AGU14" s="76"/>
      <c r="AGV14" s="76"/>
      <c r="AGW14" s="76"/>
      <c r="AGX14" s="76"/>
      <c r="AGY14" s="76"/>
      <c r="AGZ14" s="76"/>
      <c r="AHA14" s="76"/>
      <c r="AHB14" s="76"/>
      <c r="AHC14" s="76"/>
      <c r="AHD14" s="76"/>
      <c r="AHE14" s="76"/>
      <c r="AHF14" s="76"/>
      <c r="AHG14" s="76"/>
      <c r="AHH14" s="76"/>
      <c r="AHI14" s="76"/>
      <c r="AHJ14" s="76"/>
      <c r="AHK14" s="76"/>
      <c r="AHL14" s="76"/>
      <c r="AHM14" s="76"/>
      <c r="AHN14" s="76"/>
      <c r="AHO14" s="76"/>
      <c r="AHP14" s="76"/>
      <c r="AHQ14" s="76"/>
      <c r="AHR14" s="76"/>
      <c r="AHS14" s="76"/>
      <c r="AHT14" s="76"/>
      <c r="AHU14" s="76"/>
      <c r="AHV14" s="76"/>
      <c r="AHW14" s="76"/>
      <c r="AHX14" s="76"/>
      <c r="AHY14" s="76"/>
      <c r="AHZ14" s="76"/>
      <c r="AIA14" s="76"/>
      <c r="AIB14" s="76"/>
      <c r="AIC14" s="76"/>
      <c r="AID14" s="76"/>
      <c r="AIE14" s="76"/>
      <c r="AIF14" s="76"/>
      <c r="AIG14" s="76"/>
      <c r="AIH14" s="76"/>
      <c r="AII14" s="76"/>
      <c r="AIJ14" s="76"/>
      <c r="AIK14" s="76"/>
      <c r="AIL14" s="76"/>
      <c r="AIM14" s="76"/>
      <c r="AIN14" s="76"/>
      <c r="AIO14" s="76"/>
      <c r="AIP14" s="76"/>
      <c r="AIQ14" s="76"/>
      <c r="AIR14" s="76"/>
      <c r="AIS14" s="76"/>
      <c r="AIT14" s="76"/>
      <c r="AIU14" s="76"/>
      <c r="AIV14" s="76"/>
      <c r="AIW14" s="76"/>
      <c r="AIX14" s="76"/>
      <c r="AIY14" s="76"/>
      <c r="AIZ14" s="76"/>
      <c r="AJA14" s="76"/>
      <c r="AJB14" s="76"/>
      <c r="AJC14" s="76"/>
      <c r="AJD14" s="76"/>
      <c r="AJE14" s="76"/>
      <c r="AJF14" s="76"/>
      <c r="AJG14" s="76"/>
      <c r="AJH14" s="76"/>
      <c r="AJI14" s="76"/>
      <c r="AJJ14" s="76"/>
      <c r="AJK14" s="76"/>
      <c r="AJL14" s="76"/>
      <c r="AJM14" s="76"/>
      <c r="AJN14" s="76"/>
      <c r="AJO14" s="76"/>
      <c r="AJP14" s="76"/>
      <c r="AJQ14" s="76"/>
      <c r="AJR14" s="76"/>
      <c r="AJS14" s="76"/>
      <c r="AJT14" s="76"/>
      <c r="AJU14" s="76"/>
      <c r="AJV14" s="76"/>
      <c r="AJW14" s="76"/>
      <c r="AJX14" s="76"/>
      <c r="AJY14" s="76"/>
      <c r="AJZ14" s="76"/>
      <c r="AKA14" s="76"/>
      <c r="AKB14" s="76"/>
      <c r="AKC14" s="76"/>
      <c r="AKD14" s="76"/>
      <c r="AKE14" s="76"/>
      <c r="AKF14" s="76"/>
      <c r="AKG14" s="76"/>
      <c r="AKH14" s="76"/>
      <c r="AKI14" s="76"/>
      <c r="AKJ14" s="76"/>
      <c r="AKK14" s="76"/>
      <c r="AKL14" s="76"/>
      <c r="AKM14" s="76"/>
      <c r="AKN14" s="76"/>
      <c r="AKO14" s="76"/>
      <c r="AKP14" s="76"/>
      <c r="AKQ14" s="76"/>
      <c r="AKR14" s="76"/>
      <c r="AKS14" s="76"/>
      <c r="AKT14" s="76"/>
      <c r="AKU14" s="76"/>
      <c r="AKV14" s="76"/>
      <c r="AKW14" s="76"/>
      <c r="AKX14" s="76"/>
      <c r="AKY14" s="76"/>
      <c r="AKZ14" s="76"/>
      <c r="ALA14" s="76"/>
      <c r="ALB14" s="76"/>
      <c r="ALC14" s="76"/>
      <c r="ALD14" s="76"/>
      <c r="ALE14" s="76"/>
      <c r="ALF14" s="76"/>
      <c r="ALG14" s="76"/>
      <c r="ALH14" s="76"/>
      <c r="ALI14" s="76"/>
      <c r="ALJ14" s="76"/>
      <c r="ALK14" s="76"/>
      <c r="ALL14" s="76"/>
      <c r="ALM14" s="76"/>
      <c r="ALN14" s="76"/>
      <c r="ALO14" s="76"/>
      <c r="ALP14" s="76"/>
      <c r="ALQ14" s="76"/>
      <c r="ALR14" s="76"/>
      <c r="ALS14" s="76"/>
      <c r="ALT14" s="76"/>
      <c r="ALU14" s="76"/>
      <c r="ALV14" s="76"/>
      <c r="ALW14" s="76"/>
      <c r="ALX14" s="76"/>
      <c r="ALY14" s="76"/>
      <c r="ALZ14" s="76"/>
      <c r="AMA14" s="76"/>
      <c r="AMB14" s="76"/>
      <c r="AMC14" s="76"/>
      <c r="AMD14" s="76"/>
      <c r="AME14" s="76"/>
      <c r="AMF14" s="76"/>
      <c r="AMG14" s="76"/>
      <c r="AMH14" s="76"/>
      <c r="AMI14" s="76"/>
      <c r="AMJ14" s="76"/>
    </row>
    <row r="15" spans="1:1024" s="60" customFormat="1">
      <c r="A15" s="141"/>
      <c r="B15" s="67" t="s">
        <v>44</v>
      </c>
      <c r="C15" s="63" t="s">
        <v>31</v>
      </c>
      <c r="D15" s="63"/>
      <c r="E15" s="79" t="e">
        <f t="shared" ref="E15" si="8">D15+#REF!</f>
        <v>#REF!</v>
      </c>
      <c r="F15" s="65">
        <v>0</v>
      </c>
      <c r="G15" s="65">
        <v>0</v>
      </c>
      <c r="H15" s="64" t="e">
        <f t="shared" si="1"/>
        <v>#REF!</v>
      </c>
      <c r="I15" s="65">
        <v>0</v>
      </c>
      <c r="J15" s="66">
        <f>1.05*25</f>
        <v>26.25</v>
      </c>
      <c r="K15" s="53" t="e">
        <f>J15-H15-I15</f>
        <v>#REF!</v>
      </c>
      <c r="L15" s="195"/>
      <c r="M15" s="141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  <c r="IQ15" s="76"/>
      <c r="IR15" s="76"/>
      <c r="IS15" s="76"/>
      <c r="IT15" s="76"/>
      <c r="IU15" s="76"/>
      <c r="IV15" s="76"/>
      <c r="IW15" s="76"/>
      <c r="IX15" s="76"/>
      <c r="IY15" s="76"/>
      <c r="IZ15" s="76"/>
      <c r="JA15" s="76"/>
      <c r="JB15" s="76"/>
      <c r="JC15" s="76"/>
      <c r="JD15" s="76"/>
      <c r="JE15" s="76"/>
      <c r="JF15" s="76"/>
      <c r="JG15" s="76"/>
      <c r="JH15" s="76"/>
      <c r="JI15" s="76"/>
      <c r="JJ15" s="76"/>
      <c r="JK15" s="76"/>
      <c r="JL15" s="76"/>
      <c r="JM15" s="76"/>
      <c r="JN15" s="76"/>
      <c r="JO15" s="76"/>
      <c r="JP15" s="76"/>
      <c r="JQ15" s="76"/>
      <c r="JR15" s="76"/>
      <c r="JS15" s="76"/>
      <c r="JT15" s="76"/>
      <c r="JU15" s="76"/>
      <c r="JV15" s="76"/>
      <c r="JW15" s="76"/>
      <c r="JX15" s="76"/>
      <c r="JY15" s="76"/>
      <c r="JZ15" s="76"/>
      <c r="KA15" s="76"/>
      <c r="KB15" s="76"/>
      <c r="KC15" s="76"/>
      <c r="KD15" s="76"/>
      <c r="KE15" s="76"/>
      <c r="KF15" s="76"/>
      <c r="KG15" s="76"/>
      <c r="KH15" s="76"/>
      <c r="KI15" s="76"/>
      <c r="KJ15" s="76"/>
      <c r="KK15" s="76"/>
      <c r="KL15" s="76"/>
      <c r="KM15" s="76"/>
      <c r="KN15" s="76"/>
      <c r="KO15" s="76"/>
      <c r="KP15" s="76"/>
      <c r="KQ15" s="76"/>
      <c r="KR15" s="76"/>
      <c r="KS15" s="76"/>
      <c r="KT15" s="76"/>
      <c r="KU15" s="76"/>
      <c r="KV15" s="76"/>
      <c r="KW15" s="76"/>
      <c r="KX15" s="76"/>
      <c r="KY15" s="76"/>
      <c r="KZ15" s="76"/>
      <c r="LA15" s="76"/>
      <c r="LB15" s="76"/>
      <c r="LC15" s="76"/>
      <c r="LD15" s="76"/>
      <c r="LE15" s="76"/>
      <c r="LF15" s="76"/>
      <c r="LG15" s="76"/>
      <c r="LH15" s="76"/>
      <c r="LI15" s="76"/>
      <c r="LJ15" s="76"/>
      <c r="LK15" s="76"/>
      <c r="LL15" s="76"/>
      <c r="LM15" s="76"/>
      <c r="LN15" s="76"/>
      <c r="LO15" s="76"/>
      <c r="LP15" s="76"/>
      <c r="LQ15" s="76"/>
      <c r="LR15" s="76"/>
      <c r="LS15" s="76"/>
      <c r="LT15" s="76"/>
      <c r="LU15" s="76"/>
      <c r="LV15" s="76"/>
      <c r="LW15" s="76"/>
      <c r="LX15" s="76"/>
      <c r="LY15" s="76"/>
      <c r="LZ15" s="76"/>
      <c r="MA15" s="76"/>
      <c r="MB15" s="76"/>
      <c r="MC15" s="76"/>
      <c r="MD15" s="76"/>
      <c r="ME15" s="76"/>
      <c r="MF15" s="76"/>
      <c r="MG15" s="76"/>
      <c r="MH15" s="76"/>
      <c r="MI15" s="76"/>
      <c r="MJ15" s="76"/>
      <c r="MK15" s="76"/>
      <c r="ML15" s="76"/>
      <c r="MM15" s="76"/>
      <c r="MN15" s="76"/>
      <c r="MO15" s="76"/>
      <c r="MP15" s="76"/>
      <c r="MQ15" s="76"/>
      <c r="MR15" s="76"/>
      <c r="MS15" s="76"/>
      <c r="MT15" s="76"/>
      <c r="MU15" s="76"/>
      <c r="MV15" s="76"/>
      <c r="MW15" s="76"/>
      <c r="MX15" s="76"/>
      <c r="MY15" s="76"/>
      <c r="MZ15" s="76"/>
      <c r="NA15" s="76"/>
      <c r="NB15" s="76"/>
      <c r="NC15" s="76"/>
      <c r="ND15" s="76"/>
      <c r="NE15" s="76"/>
      <c r="NF15" s="76"/>
      <c r="NG15" s="76"/>
      <c r="NH15" s="76"/>
      <c r="NI15" s="76"/>
      <c r="NJ15" s="76"/>
      <c r="NK15" s="76"/>
      <c r="NL15" s="76"/>
      <c r="NM15" s="76"/>
      <c r="NN15" s="76"/>
      <c r="NO15" s="76"/>
      <c r="NP15" s="76"/>
      <c r="NQ15" s="76"/>
      <c r="NR15" s="76"/>
      <c r="NS15" s="76"/>
      <c r="NT15" s="76"/>
      <c r="NU15" s="76"/>
      <c r="NV15" s="76"/>
      <c r="NW15" s="76"/>
      <c r="NX15" s="76"/>
      <c r="NY15" s="76"/>
      <c r="NZ15" s="76"/>
      <c r="OA15" s="76"/>
      <c r="OB15" s="76"/>
      <c r="OC15" s="76"/>
      <c r="OD15" s="76"/>
      <c r="OE15" s="76"/>
      <c r="OF15" s="76"/>
      <c r="OG15" s="76"/>
      <c r="OH15" s="76"/>
      <c r="OI15" s="76"/>
      <c r="OJ15" s="76"/>
      <c r="OK15" s="76"/>
      <c r="OL15" s="76"/>
      <c r="OM15" s="76"/>
      <c r="ON15" s="76"/>
      <c r="OO15" s="76"/>
      <c r="OP15" s="76"/>
      <c r="OQ15" s="76"/>
      <c r="OR15" s="76"/>
      <c r="OS15" s="76"/>
      <c r="OT15" s="76"/>
      <c r="OU15" s="76"/>
      <c r="OV15" s="76"/>
      <c r="OW15" s="76"/>
      <c r="OX15" s="76"/>
      <c r="OY15" s="76"/>
      <c r="OZ15" s="76"/>
      <c r="PA15" s="76"/>
      <c r="PB15" s="76"/>
      <c r="PC15" s="76"/>
      <c r="PD15" s="76"/>
      <c r="PE15" s="76"/>
      <c r="PF15" s="76"/>
      <c r="PG15" s="76"/>
      <c r="PH15" s="76"/>
      <c r="PI15" s="76"/>
      <c r="PJ15" s="76"/>
      <c r="PK15" s="76"/>
      <c r="PL15" s="76"/>
      <c r="PM15" s="76"/>
      <c r="PN15" s="76"/>
      <c r="PO15" s="76"/>
      <c r="PP15" s="76"/>
      <c r="PQ15" s="76"/>
      <c r="PR15" s="76"/>
      <c r="PS15" s="76"/>
      <c r="PT15" s="76"/>
      <c r="PU15" s="76"/>
      <c r="PV15" s="76"/>
      <c r="PW15" s="76"/>
      <c r="PX15" s="76"/>
      <c r="PY15" s="76"/>
      <c r="PZ15" s="76"/>
      <c r="QA15" s="76"/>
      <c r="QB15" s="76"/>
      <c r="QC15" s="76"/>
      <c r="QD15" s="76"/>
      <c r="QE15" s="76"/>
      <c r="QF15" s="76"/>
      <c r="QG15" s="76"/>
      <c r="QH15" s="76"/>
      <c r="QI15" s="76"/>
      <c r="QJ15" s="76"/>
      <c r="QK15" s="76"/>
      <c r="QL15" s="76"/>
      <c r="QM15" s="76"/>
      <c r="QN15" s="76"/>
      <c r="QO15" s="76"/>
      <c r="QP15" s="76"/>
      <c r="QQ15" s="76"/>
      <c r="QR15" s="76"/>
      <c r="QS15" s="76"/>
      <c r="QT15" s="76"/>
      <c r="QU15" s="76"/>
      <c r="QV15" s="76"/>
      <c r="QW15" s="76"/>
      <c r="QX15" s="76"/>
      <c r="QY15" s="76"/>
      <c r="QZ15" s="76"/>
      <c r="RA15" s="76"/>
      <c r="RB15" s="76"/>
      <c r="RC15" s="76"/>
      <c r="RD15" s="76"/>
      <c r="RE15" s="76"/>
      <c r="RF15" s="76"/>
      <c r="RG15" s="76"/>
      <c r="RH15" s="76"/>
      <c r="RI15" s="76"/>
      <c r="RJ15" s="76"/>
      <c r="RK15" s="76"/>
      <c r="RL15" s="76"/>
      <c r="RM15" s="76"/>
      <c r="RN15" s="76"/>
      <c r="RO15" s="76"/>
      <c r="RP15" s="76"/>
      <c r="RQ15" s="76"/>
      <c r="RR15" s="76"/>
      <c r="RS15" s="76"/>
      <c r="RT15" s="76"/>
      <c r="RU15" s="76"/>
      <c r="RV15" s="76"/>
      <c r="RW15" s="76"/>
      <c r="RX15" s="76"/>
      <c r="RY15" s="76"/>
      <c r="RZ15" s="76"/>
      <c r="SA15" s="76"/>
      <c r="SB15" s="76"/>
      <c r="SC15" s="76"/>
      <c r="SD15" s="76"/>
      <c r="SE15" s="76"/>
      <c r="SF15" s="76"/>
      <c r="SG15" s="76"/>
      <c r="SH15" s="76"/>
      <c r="SI15" s="76"/>
      <c r="SJ15" s="76"/>
      <c r="SK15" s="76"/>
      <c r="SL15" s="76"/>
      <c r="SM15" s="76"/>
      <c r="SN15" s="76"/>
      <c r="SO15" s="76"/>
      <c r="SP15" s="76"/>
      <c r="SQ15" s="76"/>
      <c r="SR15" s="76"/>
      <c r="SS15" s="76"/>
      <c r="ST15" s="76"/>
      <c r="SU15" s="76"/>
      <c r="SV15" s="76"/>
      <c r="SW15" s="76"/>
      <c r="SX15" s="76"/>
      <c r="SY15" s="76"/>
      <c r="SZ15" s="76"/>
      <c r="TA15" s="76"/>
      <c r="TB15" s="76"/>
      <c r="TC15" s="76"/>
      <c r="TD15" s="76"/>
      <c r="TE15" s="76"/>
      <c r="TF15" s="76"/>
      <c r="TG15" s="76"/>
      <c r="TH15" s="76"/>
      <c r="TI15" s="76"/>
      <c r="TJ15" s="76"/>
      <c r="TK15" s="76"/>
      <c r="TL15" s="76"/>
      <c r="TM15" s="76"/>
      <c r="TN15" s="76"/>
      <c r="TO15" s="76"/>
      <c r="TP15" s="76"/>
      <c r="TQ15" s="76"/>
      <c r="TR15" s="76"/>
      <c r="TS15" s="76"/>
      <c r="TT15" s="76"/>
      <c r="TU15" s="76"/>
      <c r="TV15" s="76"/>
      <c r="TW15" s="76"/>
      <c r="TX15" s="76"/>
      <c r="TY15" s="76"/>
      <c r="TZ15" s="76"/>
      <c r="UA15" s="76"/>
      <c r="UB15" s="76"/>
      <c r="UC15" s="76"/>
      <c r="UD15" s="76"/>
      <c r="UE15" s="76"/>
      <c r="UF15" s="76"/>
      <c r="UG15" s="76"/>
      <c r="UH15" s="76"/>
      <c r="UI15" s="76"/>
      <c r="UJ15" s="76"/>
      <c r="UK15" s="76"/>
      <c r="UL15" s="76"/>
      <c r="UM15" s="76"/>
      <c r="UN15" s="76"/>
      <c r="UO15" s="76"/>
      <c r="UP15" s="76"/>
      <c r="UQ15" s="76"/>
      <c r="UR15" s="76"/>
      <c r="US15" s="76"/>
      <c r="UT15" s="76"/>
      <c r="UU15" s="76"/>
      <c r="UV15" s="76"/>
      <c r="UW15" s="76"/>
      <c r="UX15" s="76"/>
      <c r="UY15" s="76"/>
      <c r="UZ15" s="76"/>
      <c r="VA15" s="76"/>
      <c r="VB15" s="76"/>
      <c r="VC15" s="76"/>
      <c r="VD15" s="76"/>
      <c r="VE15" s="76"/>
      <c r="VF15" s="76"/>
      <c r="VG15" s="76"/>
      <c r="VH15" s="76"/>
      <c r="VI15" s="76"/>
      <c r="VJ15" s="76"/>
      <c r="VK15" s="76"/>
      <c r="VL15" s="76"/>
      <c r="VM15" s="76"/>
      <c r="VN15" s="76"/>
      <c r="VO15" s="76"/>
      <c r="VP15" s="76"/>
      <c r="VQ15" s="76"/>
      <c r="VR15" s="76"/>
      <c r="VS15" s="76"/>
      <c r="VT15" s="76"/>
      <c r="VU15" s="76"/>
      <c r="VV15" s="76"/>
      <c r="VW15" s="76"/>
      <c r="VX15" s="76"/>
      <c r="VY15" s="76"/>
      <c r="VZ15" s="76"/>
      <c r="WA15" s="76"/>
      <c r="WB15" s="76"/>
      <c r="WC15" s="76"/>
      <c r="WD15" s="76"/>
      <c r="WE15" s="76"/>
      <c r="WF15" s="76"/>
      <c r="WG15" s="76"/>
      <c r="WH15" s="76"/>
      <c r="WI15" s="76"/>
      <c r="WJ15" s="76"/>
      <c r="WK15" s="76"/>
      <c r="WL15" s="76"/>
      <c r="WM15" s="76"/>
      <c r="WN15" s="76"/>
      <c r="WO15" s="76"/>
      <c r="WP15" s="76"/>
      <c r="WQ15" s="76"/>
      <c r="WR15" s="76"/>
      <c r="WS15" s="76"/>
      <c r="WT15" s="76"/>
      <c r="WU15" s="76"/>
      <c r="WV15" s="76"/>
      <c r="WW15" s="76"/>
      <c r="WX15" s="76"/>
      <c r="WY15" s="76"/>
      <c r="WZ15" s="76"/>
      <c r="XA15" s="76"/>
      <c r="XB15" s="76"/>
      <c r="XC15" s="76"/>
      <c r="XD15" s="76"/>
      <c r="XE15" s="76"/>
      <c r="XF15" s="76"/>
      <c r="XG15" s="76"/>
      <c r="XH15" s="76"/>
      <c r="XI15" s="76"/>
      <c r="XJ15" s="76"/>
      <c r="XK15" s="76"/>
      <c r="XL15" s="76"/>
      <c r="XM15" s="76"/>
      <c r="XN15" s="76"/>
      <c r="XO15" s="76"/>
      <c r="XP15" s="76"/>
      <c r="XQ15" s="76"/>
      <c r="XR15" s="76"/>
      <c r="XS15" s="76"/>
      <c r="XT15" s="76"/>
      <c r="XU15" s="76"/>
      <c r="XV15" s="76"/>
      <c r="XW15" s="76"/>
      <c r="XX15" s="76"/>
      <c r="XY15" s="76"/>
      <c r="XZ15" s="76"/>
      <c r="YA15" s="76"/>
      <c r="YB15" s="76"/>
      <c r="YC15" s="76"/>
      <c r="YD15" s="76"/>
      <c r="YE15" s="76"/>
      <c r="YF15" s="76"/>
      <c r="YG15" s="76"/>
      <c r="YH15" s="76"/>
      <c r="YI15" s="76"/>
      <c r="YJ15" s="76"/>
      <c r="YK15" s="76"/>
      <c r="YL15" s="76"/>
      <c r="YM15" s="76"/>
      <c r="YN15" s="76"/>
      <c r="YO15" s="76"/>
      <c r="YP15" s="76"/>
      <c r="YQ15" s="76"/>
      <c r="YR15" s="76"/>
      <c r="YS15" s="76"/>
      <c r="YT15" s="76"/>
      <c r="YU15" s="76"/>
      <c r="YV15" s="76"/>
      <c r="YW15" s="76"/>
      <c r="YX15" s="76"/>
      <c r="YY15" s="76"/>
      <c r="YZ15" s="76"/>
      <c r="ZA15" s="76"/>
      <c r="ZB15" s="76"/>
      <c r="ZC15" s="76"/>
      <c r="ZD15" s="76"/>
      <c r="ZE15" s="76"/>
      <c r="ZF15" s="76"/>
      <c r="ZG15" s="76"/>
      <c r="ZH15" s="76"/>
      <c r="ZI15" s="76"/>
      <c r="ZJ15" s="76"/>
      <c r="ZK15" s="76"/>
      <c r="ZL15" s="76"/>
      <c r="ZM15" s="76"/>
      <c r="ZN15" s="76"/>
      <c r="ZO15" s="76"/>
      <c r="ZP15" s="76"/>
      <c r="ZQ15" s="76"/>
      <c r="ZR15" s="76"/>
      <c r="ZS15" s="76"/>
      <c r="ZT15" s="76"/>
      <c r="ZU15" s="76"/>
      <c r="ZV15" s="76"/>
      <c r="ZW15" s="76"/>
      <c r="ZX15" s="76"/>
      <c r="ZY15" s="76"/>
      <c r="ZZ15" s="76"/>
      <c r="AAA15" s="76"/>
      <c r="AAB15" s="76"/>
      <c r="AAC15" s="76"/>
      <c r="AAD15" s="76"/>
      <c r="AAE15" s="76"/>
      <c r="AAF15" s="76"/>
      <c r="AAG15" s="76"/>
      <c r="AAH15" s="76"/>
      <c r="AAI15" s="76"/>
      <c r="AAJ15" s="76"/>
      <c r="AAK15" s="76"/>
      <c r="AAL15" s="76"/>
      <c r="AAM15" s="76"/>
      <c r="AAN15" s="76"/>
      <c r="AAO15" s="76"/>
      <c r="AAP15" s="76"/>
      <c r="AAQ15" s="76"/>
      <c r="AAR15" s="76"/>
      <c r="AAS15" s="76"/>
      <c r="AAT15" s="76"/>
      <c r="AAU15" s="76"/>
      <c r="AAV15" s="76"/>
      <c r="AAW15" s="76"/>
      <c r="AAX15" s="76"/>
      <c r="AAY15" s="76"/>
      <c r="AAZ15" s="76"/>
      <c r="ABA15" s="76"/>
      <c r="ABB15" s="76"/>
      <c r="ABC15" s="76"/>
      <c r="ABD15" s="76"/>
      <c r="ABE15" s="76"/>
      <c r="ABF15" s="76"/>
      <c r="ABG15" s="76"/>
      <c r="ABH15" s="76"/>
      <c r="ABI15" s="76"/>
      <c r="ABJ15" s="76"/>
      <c r="ABK15" s="76"/>
      <c r="ABL15" s="76"/>
      <c r="ABM15" s="76"/>
      <c r="ABN15" s="76"/>
      <c r="ABO15" s="76"/>
      <c r="ABP15" s="76"/>
      <c r="ABQ15" s="76"/>
      <c r="ABR15" s="76"/>
      <c r="ABS15" s="76"/>
      <c r="ABT15" s="76"/>
      <c r="ABU15" s="76"/>
      <c r="ABV15" s="76"/>
      <c r="ABW15" s="76"/>
      <c r="ABX15" s="76"/>
      <c r="ABY15" s="76"/>
      <c r="ABZ15" s="76"/>
      <c r="ACA15" s="76"/>
      <c r="ACB15" s="76"/>
      <c r="ACC15" s="76"/>
      <c r="ACD15" s="76"/>
      <c r="ACE15" s="76"/>
      <c r="ACF15" s="76"/>
      <c r="ACG15" s="76"/>
      <c r="ACH15" s="76"/>
      <c r="ACI15" s="76"/>
      <c r="ACJ15" s="76"/>
      <c r="ACK15" s="76"/>
      <c r="ACL15" s="76"/>
      <c r="ACM15" s="76"/>
      <c r="ACN15" s="76"/>
      <c r="ACO15" s="76"/>
      <c r="ACP15" s="76"/>
      <c r="ACQ15" s="76"/>
      <c r="ACR15" s="76"/>
      <c r="ACS15" s="76"/>
      <c r="ACT15" s="76"/>
      <c r="ACU15" s="76"/>
      <c r="ACV15" s="76"/>
      <c r="ACW15" s="76"/>
      <c r="ACX15" s="76"/>
      <c r="ACY15" s="76"/>
      <c r="ACZ15" s="76"/>
      <c r="ADA15" s="76"/>
      <c r="ADB15" s="76"/>
      <c r="ADC15" s="76"/>
      <c r="ADD15" s="76"/>
      <c r="ADE15" s="76"/>
      <c r="ADF15" s="76"/>
      <c r="ADG15" s="76"/>
      <c r="ADH15" s="76"/>
      <c r="ADI15" s="76"/>
      <c r="ADJ15" s="76"/>
      <c r="ADK15" s="76"/>
      <c r="ADL15" s="76"/>
      <c r="ADM15" s="76"/>
      <c r="ADN15" s="76"/>
      <c r="ADO15" s="76"/>
      <c r="ADP15" s="76"/>
      <c r="ADQ15" s="76"/>
      <c r="ADR15" s="76"/>
      <c r="ADS15" s="76"/>
      <c r="ADT15" s="76"/>
      <c r="ADU15" s="76"/>
      <c r="ADV15" s="76"/>
      <c r="ADW15" s="76"/>
      <c r="ADX15" s="76"/>
      <c r="ADY15" s="76"/>
      <c r="ADZ15" s="76"/>
      <c r="AEA15" s="76"/>
      <c r="AEB15" s="76"/>
      <c r="AEC15" s="76"/>
      <c r="AED15" s="76"/>
      <c r="AEE15" s="76"/>
      <c r="AEF15" s="76"/>
      <c r="AEG15" s="76"/>
      <c r="AEH15" s="76"/>
      <c r="AEI15" s="76"/>
      <c r="AEJ15" s="76"/>
      <c r="AEK15" s="76"/>
      <c r="AEL15" s="76"/>
      <c r="AEM15" s="76"/>
      <c r="AEN15" s="76"/>
      <c r="AEO15" s="76"/>
      <c r="AEP15" s="76"/>
      <c r="AEQ15" s="76"/>
      <c r="AER15" s="76"/>
      <c r="AES15" s="76"/>
      <c r="AET15" s="76"/>
      <c r="AEU15" s="76"/>
      <c r="AEV15" s="76"/>
      <c r="AEW15" s="76"/>
      <c r="AEX15" s="76"/>
      <c r="AEY15" s="76"/>
      <c r="AEZ15" s="76"/>
      <c r="AFA15" s="76"/>
      <c r="AFB15" s="76"/>
      <c r="AFC15" s="76"/>
      <c r="AFD15" s="76"/>
      <c r="AFE15" s="76"/>
      <c r="AFF15" s="76"/>
      <c r="AFG15" s="76"/>
      <c r="AFH15" s="76"/>
      <c r="AFI15" s="76"/>
      <c r="AFJ15" s="76"/>
      <c r="AFK15" s="76"/>
      <c r="AFL15" s="76"/>
      <c r="AFM15" s="76"/>
      <c r="AFN15" s="76"/>
      <c r="AFO15" s="76"/>
      <c r="AFP15" s="76"/>
      <c r="AFQ15" s="76"/>
      <c r="AFR15" s="76"/>
      <c r="AFS15" s="76"/>
      <c r="AFT15" s="76"/>
      <c r="AFU15" s="76"/>
      <c r="AFV15" s="76"/>
      <c r="AFW15" s="76"/>
      <c r="AFX15" s="76"/>
      <c r="AFY15" s="76"/>
      <c r="AFZ15" s="76"/>
      <c r="AGA15" s="76"/>
      <c r="AGB15" s="76"/>
      <c r="AGC15" s="76"/>
      <c r="AGD15" s="76"/>
      <c r="AGE15" s="76"/>
      <c r="AGF15" s="76"/>
      <c r="AGG15" s="76"/>
      <c r="AGH15" s="76"/>
      <c r="AGI15" s="76"/>
      <c r="AGJ15" s="76"/>
      <c r="AGK15" s="76"/>
      <c r="AGL15" s="76"/>
      <c r="AGM15" s="76"/>
      <c r="AGN15" s="76"/>
      <c r="AGO15" s="76"/>
      <c r="AGP15" s="76"/>
      <c r="AGQ15" s="76"/>
      <c r="AGR15" s="76"/>
      <c r="AGS15" s="76"/>
      <c r="AGT15" s="76"/>
      <c r="AGU15" s="76"/>
      <c r="AGV15" s="76"/>
      <c r="AGW15" s="76"/>
      <c r="AGX15" s="76"/>
      <c r="AGY15" s="76"/>
      <c r="AGZ15" s="76"/>
      <c r="AHA15" s="76"/>
      <c r="AHB15" s="76"/>
      <c r="AHC15" s="76"/>
      <c r="AHD15" s="76"/>
      <c r="AHE15" s="76"/>
      <c r="AHF15" s="76"/>
      <c r="AHG15" s="76"/>
      <c r="AHH15" s="76"/>
      <c r="AHI15" s="76"/>
      <c r="AHJ15" s="76"/>
      <c r="AHK15" s="76"/>
      <c r="AHL15" s="76"/>
      <c r="AHM15" s="76"/>
      <c r="AHN15" s="76"/>
      <c r="AHO15" s="76"/>
      <c r="AHP15" s="76"/>
      <c r="AHQ15" s="76"/>
      <c r="AHR15" s="76"/>
      <c r="AHS15" s="76"/>
      <c r="AHT15" s="76"/>
      <c r="AHU15" s="76"/>
      <c r="AHV15" s="76"/>
      <c r="AHW15" s="76"/>
      <c r="AHX15" s="76"/>
      <c r="AHY15" s="76"/>
      <c r="AHZ15" s="76"/>
      <c r="AIA15" s="76"/>
      <c r="AIB15" s="76"/>
      <c r="AIC15" s="76"/>
      <c r="AID15" s="76"/>
      <c r="AIE15" s="76"/>
      <c r="AIF15" s="76"/>
      <c r="AIG15" s="76"/>
      <c r="AIH15" s="76"/>
      <c r="AII15" s="76"/>
      <c r="AIJ15" s="76"/>
      <c r="AIK15" s="76"/>
      <c r="AIL15" s="76"/>
      <c r="AIM15" s="76"/>
      <c r="AIN15" s="76"/>
      <c r="AIO15" s="76"/>
      <c r="AIP15" s="76"/>
      <c r="AIQ15" s="76"/>
      <c r="AIR15" s="76"/>
      <c r="AIS15" s="76"/>
      <c r="AIT15" s="76"/>
      <c r="AIU15" s="76"/>
      <c r="AIV15" s="76"/>
      <c r="AIW15" s="76"/>
      <c r="AIX15" s="76"/>
      <c r="AIY15" s="76"/>
      <c r="AIZ15" s="76"/>
      <c r="AJA15" s="76"/>
      <c r="AJB15" s="76"/>
      <c r="AJC15" s="76"/>
      <c r="AJD15" s="76"/>
      <c r="AJE15" s="76"/>
      <c r="AJF15" s="76"/>
      <c r="AJG15" s="76"/>
      <c r="AJH15" s="76"/>
      <c r="AJI15" s="76"/>
      <c r="AJJ15" s="76"/>
      <c r="AJK15" s="76"/>
      <c r="AJL15" s="76"/>
      <c r="AJM15" s="76"/>
      <c r="AJN15" s="76"/>
      <c r="AJO15" s="76"/>
      <c r="AJP15" s="76"/>
      <c r="AJQ15" s="76"/>
      <c r="AJR15" s="76"/>
      <c r="AJS15" s="76"/>
      <c r="AJT15" s="76"/>
      <c r="AJU15" s="76"/>
      <c r="AJV15" s="76"/>
      <c r="AJW15" s="76"/>
      <c r="AJX15" s="76"/>
      <c r="AJY15" s="76"/>
      <c r="AJZ15" s="76"/>
      <c r="AKA15" s="76"/>
      <c r="AKB15" s="76"/>
      <c r="AKC15" s="76"/>
      <c r="AKD15" s="76"/>
      <c r="AKE15" s="76"/>
      <c r="AKF15" s="76"/>
      <c r="AKG15" s="76"/>
      <c r="AKH15" s="76"/>
      <c r="AKI15" s="76"/>
      <c r="AKJ15" s="76"/>
      <c r="AKK15" s="76"/>
      <c r="AKL15" s="76"/>
      <c r="AKM15" s="76"/>
      <c r="AKN15" s="76"/>
      <c r="AKO15" s="76"/>
      <c r="AKP15" s="76"/>
      <c r="AKQ15" s="76"/>
      <c r="AKR15" s="76"/>
      <c r="AKS15" s="76"/>
      <c r="AKT15" s="76"/>
      <c r="AKU15" s="76"/>
      <c r="AKV15" s="76"/>
      <c r="AKW15" s="76"/>
      <c r="AKX15" s="76"/>
      <c r="AKY15" s="76"/>
      <c r="AKZ15" s="76"/>
      <c r="ALA15" s="76"/>
      <c r="ALB15" s="76"/>
      <c r="ALC15" s="76"/>
      <c r="ALD15" s="76"/>
      <c r="ALE15" s="76"/>
      <c r="ALF15" s="76"/>
      <c r="ALG15" s="76"/>
      <c r="ALH15" s="76"/>
      <c r="ALI15" s="76"/>
      <c r="ALJ15" s="76"/>
      <c r="ALK15" s="76"/>
      <c r="ALL15" s="76"/>
      <c r="ALM15" s="76"/>
      <c r="ALN15" s="76"/>
      <c r="ALO15" s="76"/>
      <c r="ALP15" s="76"/>
      <c r="ALQ15" s="76"/>
      <c r="ALR15" s="76"/>
      <c r="ALS15" s="76"/>
      <c r="ALT15" s="76"/>
      <c r="ALU15" s="76"/>
      <c r="ALV15" s="76"/>
      <c r="ALW15" s="76"/>
      <c r="ALX15" s="76"/>
      <c r="ALY15" s="76"/>
      <c r="ALZ15" s="76"/>
      <c r="AMA15" s="76"/>
      <c r="AMB15" s="76"/>
      <c r="AMC15" s="76"/>
      <c r="AMD15" s="76"/>
      <c r="AME15" s="76"/>
      <c r="AMF15" s="76"/>
      <c r="AMG15" s="76"/>
      <c r="AMH15" s="76"/>
      <c r="AMI15" s="76"/>
      <c r="AMJ15" s="76"/>
    </row>
    <row r="16" spans="1:1024" s="60" customFormat="1">
      <c r="A16" s="18">
        <v>6</v>
      </c>
      <c r="B16" s="34" t="s">
        <v>220</v>
      </c>
      <c r="C16" s="63" t="s">
        <v>26</v>
      </c>
      <c r="D16" s="63">
        <v>0.45700000000000002</v>
      </c>
      <c r="E16" s="79" t="e">
        <f t="shared" ref="E16" si="9">D16+#REF!</f>
        <v>#REF!</v>
      </c>
      <c r="F16" s="65">
        <v>0</v>
      </c>
      <c r="G16" s="65">
        <v>0</v>
      </c>
      <c r="H16" s="64" t="e">
        <f t="shared" si="1"/>
        <v>#REF!</v>
      </c>
      <c r="I16" s="65">
        <v>0</v>
      </c>
      <c r="J16" s="66">
        <f>1.05*10</f>
        <v>10.5</v>
      </c>
      <c r="K16" s="2" t="e">
        <f>J16-H16-I16</f>
        <v>#REF!</v>
      </c>
      <c r="L16" s="82">
        <f>брянск!Y75</f>
        <v>-6.323599999999999</v>
      </c>
      <c r="M16" s="18" t="s">
        <v>25</v>
      </c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  <c r="HV16" s="76"/>
      <c r="HW16" s="76"/>
      <c r="HX16" s="76"/>
      <c r="HY16" s="76"/>
      <c r="HZ16" s="76"/>
      <c r="IA16" s="76"/>
      <c r="IB16" s="76"/>
      <c r="IC16" s="76"/>
      <c r="ID16" s="76"/>
      <c r="IE16" s="76"/>
      <c r="IF16" s="76"/>
      <c r="IG16" s="76"/>
      <c r="IH16" s="76"/>
      <c r="II16" s="76"/>
      <c r="IJ16" s="76"/>
      <c r="IK16" s="76"/>
      <c r="IL16" s="76"/>
      <c r="IM16" s="76"/>
      <c r="IN16" s="76"/>
      <c r="IO16" s="76"/>
      <c r="IP16" s="76"/>
      <c r="IQ16" s="76"/>
      <c r="IR16" s="76"/>
      <c r="IS16" s="76"/>
      <c r="IT16" s="76"/>
      <c r="IU16" s="76"/>
      <c r="IV16" s="76"/>
      <c r="IW16" s="76"/>
      <c r="IX16" s="76"/>
      <c r="IY16" s="76"/>
      <c r="IZ16" s="76"/>
      <c r="JA16" s="76"/>
      <c r="JB16" s="76"/>
      <c r="JC16" s="76"/>
      <c r="JD16" s="76"/>
      <c r="JE16" s="76"/>
      <c r="JF16" s="76"/>
      <c r="JG16" s="76"/>
      <c r="JH16" s="76"/>
      <c r="JI16" s="76"/>
      <c r="JJ16" s="76"/>
      <c r="JK16" s="76"/>
      <c r="JL16" s="76"/>
      <c r="JM16" s="76"/>
      <c r="JN16" s="76"/>
      <c r="JO16" s="76"/>
      <c r="JP16" s="76"/>
      <c r="JQ16" s="76"/>
      <c r="JR16" s="76"/>
      <c r="JS16" s="76"/>
      <c r="JT16" s="76"/>
      <c r="JU16" s="76"/>
      <c r="JV16" s="76"/>
      <c r="JW16" s="76"/>
      <c r="JX16" s="76"/>
      <c r="JY16" s="76"/>
      <c r="JZ16" s="76"/>
      <c r="KA16" s="76"/>
      <c r="KB16" s="76"/>
      <c r="KC16" s="76"/>
      <c r="KD16" s="76"/>
      <c r="KE16" s="76"/>
      <c r="KF16" s="76"/>
      <c r="KG16" s="76"/>
      <c r="KH16" s="76"/>
      <c r="KI16" s="76"/>
      <c r="KJ16" s="76"/>
      <c r="KK16" s="76"/>
      <c r="KL16" s="76"/>
      <c r="KM16" s="76"/>
      <c r="KN16" s="76"/>
      <c r="KO16" s="76"/>
      <c r="KP16" s="76"/>
      <c r="KQ16" s="76"/>
      <c r="KR16" s="76"/>
      <c r="KS16" s="76"/>
      <c r="KT16" s="76"/>
      <c r="KU16" s="76"/>
      <c r="KV16" s="76"/>
      <c r="KW16" s="76"/>
      <c r="KX16" s="76"/>
      <c r="KY16" s="76"/>
      <c r="KZ16" s="76"/>
      <c r="LA16" s="76"/>
      <c r="LB16" s="76"/>
      <c r="LC16" s="76"/>
      <c r="LD16" s="76"/>
      <c r="LE16" s="76"/>
      <c r="LF16" s="76"/>
      <c r="LG16" s="76"/>
      <c r="LH16" s="76"/>
      <c r="LI16" s="76"/>
      <c r="LJ16" s="76"/>
      <c r="LK16" s="76"/>
      <c r="LL16" s="76"/>
      <c r="LM16" s="76"/>
      <c r="LN16" s="76"/>
      <c r="LO16" s="76"/>
      <c r="LP16" s="76"/>
      <c r="LQ16" s="76"/>
      <c r="LR16" s="76"/>
      <c r="LS16" s="76"/>
      <c r="LT16" s="76"/>
      <c r="LU16" s="76"/>
      <c r="LV16" s="76"/>
      <c r="LW16" s="76"/>
      <c r="LX16" s="76"/>
      <c r="LY16" s="76"/>
      <c r="LZ16" s="76"/>
      <c r="MA16" s="76"/>
      <c r="MB16" s="76"/>
      <c r="MC16" s="76"/>
      <c r="MD16" s="76"/>
      <c r="ME16" s="76"/>
      <c r="MF16" s="76"/>
      <c r="MG16" s="76"/>
      <c r="MH16" s="76"/>
      <c r="MI16" s="76"/>
      <c r="MJ16" s="76"/>
      <c r="MK16" s="76"/>
      <c r="ML16" s="76"/>
      <c r="MM16" s="76"/>
      <c r="MN16" s="76"/>
      <c r="MO16" s="76"/>
      <c r="MP16" s="76"/>
      <c r="MQ16" s="76"/>
      <c r="MR16" s="76"/>
      <c r="MS16" s="76"/>
      <c r="MT16" s="76"/>
      <c r="MU16" s="76"/>
      <c r="MV16" s="76"/>
      <c r="MW16" s="76"/>
      <c r="MX16" s="76"/>
      <c r="MY16" s="76"/>
      <c r="MZ16" s="76"/>
      <c r="NA16" s="76"/>
      <c r="NB16" s="76"/>
      <c r="NC16" s="76"/>
      <c r="ND16" s="76"/>
      <c r="NE16" s="76"/>
      <c r="NF16" s="76"/>
      <c r="NG16" s="76"/>
      <c r="NH16" s="76"/>
      <c r="NI16" s="76"/>
      <c r="NJ16" s="76"/>
      <c r="NK16" s="76"/>
      <c r="NL16" s="76"/>
      <c r="NM16" s="76"/>
      <c r="NN16" s="76"/>
      <c r="NO16" s="76"/>
      <c r="NP16" s="76"/>
      <c r="NQ16" s="76"/>
      <c r="NR16" s="76"/>
      <c r="NS16" s="76"/>
      <c r="NT16" s="76"/>
      <c r="NU16" s="76"/>
      <c r="NV16" s="76"/>
      <c r="NW16" s="76"/>
      <c r="NX16" s="76"/>
      <c r="NY16" s="76"/>
      <c r="NZ16" s="76"/>
      <c r="OA16" s="76"/>
      <c r="OB16" s="76"/>
      <c r="OC16" s="76"/>
      <c r="OD16" s="76"/>
      <c r="OE16" s="76"/>
      <c r="OF16" s="76"/>
      <c r="OG16" s="76"/>
      <c r="OH16" s="76"/>
      <c r="OI16" s="76"/>
      <c r="OJ16" s="76"/>
      <c r="OK16" s="76"/>
      <c r="OL16" s="76"/>
      <c r="OM16" s="76"/>
      <c r="ON16" s="76"/>
      <c r="OO16" s="76"/>
      <c r="OP16" s="76"/>
      <c r="OQ16" s="76"/>
      <c r="OR16" s="76"/>
      <c r="OS16" s="76"/>
      <c r="OT16" s="76"/>
      <c r="OU16" s="76"/>
      <c r="OV16" s="76"/>
      <c r="OW16" s="76"/>
      <c r="OX16" s="76"/>
      <c r="OY16" s="76"/>
      <c r="OZ16" s="76"/>
      <c r="PA16" s="76"/>
      <c r="PB16" s="76"/>
      <c r="PC16" s="76"/>
      <c r="PD16" s="76"/>
      <c r="PE16" s="76"/>
      <c r="PF16" s="76"/>
      <c r="PG16" s="76"/>
      <c r="PH16" s="76"/>
      <c r="PI16" s="76"/>
      <c r="PJ16" s="76"/>
      <c r="PK16" s="76"/>
      <c r="PL16" s="76"/>
      <c r="PM16" s="76"/>
      <c r="PN16" s="76"/>
      <c r="PO16" s="76"/>
      <c r="PP16" s="76"/>
      <c r="PQ16" s="76"/>
      <c r="PR16" s="76"/>
      <c r="PS16" s="76"/>
      <c r="PT16" s="76"/>
      <c r="PU16" s="76"/>
      <c r="PV16" s="76"/>
      <c r="PW16" s="76"/>
      <c r="PX16" s="76"/>
      <c r="PY16" s="76"/>
      <c r="PZ16" s="76"/>
      <c r="QA16" s="76"/>
      <c r="QB16" s="76"/>
      <c r="QC16" s="76"/>
      <c r="QD16" s="76"/>
      <c r="QE16" s="76"/>
      <c r="QF16" s="76"/>
      <c r="QG16" s="76"/>
      <c r="QH16" s="76"/>
      <c r="QI16" s="76"/>
      <c r="QJ16" s="76"/>
      <c r="QK16" s="76"/>
      <c r="QL16" s="76"/>
      <c r="QM16" s="76"/>
      <c r="QN16" s="76"/>
      <c r="QO16" s="76"/>
      <c r="QP16" s="76"/>
      <c r="QQ16" s="76"/>
      <c r="QR16" s="76"/>
      <c r="QS16" s="76"/>
      <c r="QT16" s="76"/>
      <c r="QU16" s="76"/>
      <c r="QV16" s="76"/>
      <c r="QW16" s="76"/>
      <c r="QX16" s="76"/>
      <c r="QY16" s="76"/>
      <c r="QZ16" s="76"/>
      <c r="RA16" s="76"/>
      <c r="RB16" s="76"/>
      <c r="RC16" s="76"/>
      <c r="RD16" s="76"/>
      <c r="RE16" s="76"/>
      <c r="RF16" s="76"/>
      <c r="RG16" s="76"/>
      <c r="RH16" s="76"/>
      <c r="RI16" s="76"/>
      <c r="RJ16" s="76"/>
      <c r="RK16" s="76"/>
      <c r="RL16" s="76"/>
      <c r="RM16" s="76"/>
      <c r="RN16" s="76"/>
      <c r="RO16" s="76"/>
      <c r="RP16" s="76"/>
      <c r="RQ16" s="76"/>
      <c r="RR16" s="76"/>
      <c r="RS16" s="76"/>
      <c r="RT16" s="76"/>
      <c r="RU16" s="76"/>
      <c r="RV16" s="76"/>
      <c r="RW16" s="76"/>
      <c r="RX16" s="76"/>
      <c r="RY16" s="76"/>
      <c r="RZ16" s="76"/>
      <c r="SA16" s="76"/>
      <c r="SB16" s="76"/>
      <c r="SC16" s="76"/>
      <c r="SD16" s="76"/>
      <c r="SE16" s="76"/>
      <c r="SF16" s="76"/>
      <c r="SG16" s="76"/>
      <c r="SH16" s="76"/>
      <c r="SI16" s="76"/>
      <c r="SJ16" s="76"/>
      <c r="SK16" s="76"/>
      <c r="SL16" s="76"/>
      <c r="SM16" s="76"/>
      <c r="SN16" s="76"/>
      <c r="SO16" s="76"/>
      <c r="SP16" s="76"/>
      <c r="SQ16" s="76"/>
      <c r="SR16" s="76"/>
      <c r="SS16" s="76"/>
      <c r="ST16" s="76"/>
      <c r="SU16" s="76"/>
      <c r="SV16" s="76"/>
      <c r="SW16" s="76"/>
      <c r="SX16" s="76"/>
      <c r="SY16" s="76"/>
      <c r="SZ16" s="76"/>
      <c r="TA16" s="76"/>
      <c r="TB16" s="76"/>
      <c r="TC16" s="76"/>
      <c r="TD16" s="76"/>
      <c r="TE16" s="76"/>
      <c r="TF16" s="76"/>
      <c r="TG16" s="76"/>
      <c r="TH16" s="76"/>
      <c r="TI16" s="76"/>
      <c r="TJ16" s="76"/>
      <c r="TK16" s="76"/>
      <c r="TL16" s="76"/>
      <c r="TM16" s="76"/>
      <c r="TN16" s="76"/>
      <c r="TO16" s="76"/>
      <c r="TP16" s="76"/>
      <c r="TQ16" s="76"/>
      <c r="TR16" s="76"/>
      <c r="TS16" s="76"/>
      <c r="TT16" s="76"/>
      <c r="TU16" s="76"/>
      <c r="TV16" s="76"/>
      <c r="TW16" s="76"/>
      <c r="TX16" s="76"/>
      <c r="TY16" s="76"/>
      <c r="TZ16" s="76"/>
      <c r="UA16" s="76"/>
      <c r="UB16" s="76"/>
      <c r="UC16" s="76"/>
      <c r="UD16" s="76"/>
      <c r="UE16" s="76"/>
      <c r="UF16" s="76"/>
      <c r="UG16" s="76"/>
      <c r="UH16" s="76"/>
      <c r="UI16" s="76"/>
      <c r="UJ16" s="76"/>
      <c r="UK16" s="76"/>
      <c r="UL16" s="76"/>
      <c r="UM16" s="76"/>
      <c r="UN16" s="76"/>
      <c r="UO16" s="76"/>
      <c r="UP16" s="76"/>
      <c r="UQ16" s="76"/>
      <c r="UR16" s="76"/>
      <c r="US16" s="76"/>
      <c r="UT16" s="76"/>
      <c r="UU16" s="76"/>
      <c r="UV16" s="76"/>
      <c r="UW16" s="76"/>
      <c r="UX16" s="76"/>
      <c r="UY16" s="76"/>
      <c r="UZ16" s="76"/>
      <c r="VA16" s="76"/>
      <c r="VB16" s="76"/>
      <c r="VC16" s="76"/>
      <c r="VD16" s="76"/>
      <c r="VE16" s="76"/>
      <c r="VF16" s="76"/>
      <c r="VG16" s="76"/>
      <c r="VH16" s="76"/>
      <c r="VI16" s="76"/>
      <c r="VJ16" s="76"/>
      <c r="VK16" s="76"/>
      <c r="VL16" s="76"/>
      <c r="VM16" s="76"/>
      <c r="VN16" s="76"/>
      <c r="VO16" s="76"/>
      <c r="VP16" s="76"/>
      <c r="VQ16" s="76"/>
      <c r="VR16" s="76"/>
      <c r="VS16" s="76"/>
      <c r="VT16" s="76"/>
      <c r="VU16" s="76"/>
      <c r="VV16" s="76"/>
      <c r="VW16" s="76"/>
      <c r="VX16" s="76"/>
      <c r="VY16" s="76"/>
      <c r="VZ16" s="76"/>
      <c r="WA16" s="76"/>
      <c r="WB16" s="76"/>
      <c r="WC16" s="76"/>
      <c r="WD16" s="76"/>
      <c r="WE16" s="76"/>
      <c r="WF16" s="76"/>
      <c r="WG16" s="76"/>
      <c r="WH16" s="76"/>
      <c r="WI16" s="76"/>
      <c r="WJ16" s="76"/>
      <c r="WK16" s="76"/>
      <c r="WL16" s="76"/>
      <c r="WM16" s="76"/>
      <c r="WN16" s="76"/>
      <c r="WO16" s="76"/>
      <c r="WP16" s="76"/>
      <c r="WQ16" s="76"/>
      <c r="WR16" s="76"/>
      <c r="WS16" s="76"/>
      <c r="WT16" s="76"/>
      <c r="WU16" s="76"/>
      <c r="WV16" s="76"/>
      <c r="WW16" s="76"/>
      <c r="WX16" s="76"/>
      <c r="WY16" s="76"/>
      <c r="WZ16" s="76"/>
      <c r="XA16" s="76"/>
      <c r="XB16" s="76"/>
      <c r="XC16" s="76"/>
      <c r="XD16" s="76"/>
      <c r="XE16" s="76"/>
      <c r="XF16" s="76"/>
      <c r="XG16" s="76"/>
      <c r="XH16" s="76"/>
      <c r="XI16" s="76"/>
      <c r="XJ16" s="76"/>
      <c r="XK16" s="76"/>
      <c r="XL16" s="76"/>
      <c r="XM16" s="76"/>
      <c r="XN16" s="76"/>
      <c r="XO16" s="76"/>
      <c r="XP16" s="76"/>
      <c r="XQ16" s="76"/>
      <c r="XR16" s="76"/>
      <c r="XS16" s="76"/>
      <c r="XT16" s="76"/>
      <c r="XU16" s="76"/>
      <c r="XV16" s="76"/>
      <c r="XW16" s="76"/>
      <c r="XX16" s="76"/>
      <c r="XY16" s="76"/>
      <c r="XZ16" s="76"/>
      <c r="YA16" s="76"/>
      <c r="YB16" s="76"/>
      <c r="YC16" s="76"/>
      <c r="YD16" s="76"/>
      <c r="YE16" s="76"/>
      <c r="YF16" s="76"/>
      <c r="YG16" s="76"/>
      <c r="YH16" s="76"/>
      <c r="YI16" s="76"/>
      <c r="YJ16" s="76"/>
      <c r="YK16" s="76"/>
      <c r="YL16" s="76"/>
      <c r="YM16" s="76"/>
      <c r="YN16" s="76"/>
      <c r="YO16" s="76"/>
      <c r="YP16" s="76"/>
      <c r="YQ16" s="76"/>
      <c r="YR16" s="76"/>
      <c r="YS16" s="76"/>
      <c r="YT16" s="76"/>
      <c r="YU16" s="76"/>
      <c r="YV16" s="76"/>
      <c r="YW16" s="76"/>
      <c r="YX16" s="76"/>
      <c r="YY16" s="76"/>
      <c r="YZ16" s="76"/>
      <c r="ZA16" s="76"/>
      <c r="ZB16" s="76"/>
      <c r="ZC16" s="76"/>
      <c r="ZD16" s="76"/>
      <c r="ZE16" s="76"/>
      <c r="ZF16" s="76"/>
      <c r="ZG16" s="76"/>
      <c r="ZH16" s="76"/>
      <c r="ZI16" s="76"/>
      <c r="ZJ16" s="76"/>
      <c r="ZK16" s="76"/>
      <c r="ZL16" s="76"/>
      <c r="ZM16" s="76"/>
      <c r="ZN16" s="76"/>
      <c r="ZO16" s="76"/>
      <c r="ZP16" s="76"/>
      <c r="ZQ16" s="76"/>
      <c r="ZR16" s="76"/>
      <c r="ZS16" s="76"/>
      <c r="ZT16" s="76"/>
      <c r="ZU16" s="76"/>
      <c r="ZV16" s="76"/>
      <c r="ZW16" s="76"/>
      <c r="ZX16" s="76"/>
      <c r="ZY16" s="76"/>
      <c r="ZZ16" s="76"/>
      <c r="AAA16" s="76"/>
      <c r="AAB16" s="76"/>
      <c r="AAC16" s="76"/>
      <c r="AAD16" s="76"/>
      <c r="AAE16" s="76"/>
      <c r="AAF16" s="76"/>
      <c r="AAG16" s="76"/>
      <c r="AAH16" s="76"/>
      <c r="AAI16" s="76"/>
      <c r="AAJ16" s="76"/>
      <c r="AAK16" s="76"/>
      <c r="AAL16" s="76"/>
      <c r="AAM16" s="76"/>
      <c r="AAN16" s="76"/>
      <c r="AAO16" s="76"/>
      <c r="AAP16" s="76"/>
      <c r="AAQ16" s="76"/>
      <c r="AAR16" s="76"/>
      <c r="AAS16" s="76"/>
      <c r="AAT16" s="76"/>
      <c r="AAU16" s="76"/>
      <c r="AAV16" s="76"/>
      <c r="AAW16" s="76"/>
      <c r="AAX16" s="76"/>
      <c r="AAY16" s="76"/>
      <c r="AAZ16" s="76"/>
      <c r="ABA16" s="76"/>
      <c r="ABB16" s="76"/>
      <c r="ABC16" s="76"/>
      <c r="ABD16" s="76"/>
      <c r="ABE16" s="76"/>
      <c r="ABF16" s="76"/>
      <c r="ABG16" s="76"/>
      <c r="ABH16" s="76"/>
      <c r="ABI16" s="76"/>
      <c r="ABJ16" s="76"/>
      <c r="ABK16" s="76"/>
      <c r="ABL16" s="76"/>
      <c r="ABM16" s="76"/>
      <c r="ABN16" s="76"/>
      <c r="ABO16" s="76"/>
      <c r="ABP16" s="76"/>
      <c r="ABQ16" s="76"/>
      <c r="ABR16" s="76"/>
      <c r="ABS16" s="76"/>
      <c r="ABT16" s="76"/>
      <c r="ABU16" s="76"/>
      <c r="ABV16" s="76"/>
      <c r="ABW16" s="76"/>
      <c r="ABX16" s="76"/>
      <c r="ABY16" s="76"/>
      <c r="ABZ16" s="76"/>
      <c r="ACA16" s="76"/>
      <c r="ACB16" s="76"/>
      <c r="ACC16" s="76"/>
      <c r="ACD16" s="76"/>
      <c r="ACE16" s="76"/>
      <c r="ACF16" s="76"/>
      <c r="ACG16" s="76"/>
      <c r="ACH16" s="76"/>
      <c r="ACI16" s="76"/>
      <c r="ACJ16" s="76"/>
      <c r="ACK16" s="76"/>
      <c r="ACL16" s="76"/>
      <c r="ACM16" s="76"/>
      <c r="ACN16" s="76"/>
      <c r="ACO16" s="76"/>
      <c r="ACP16" s="76"/>
      <c r="ACQ16" s="76"/>
      <c r="ACR16" s="76"/>
      <c r="ACS16" s="76"/>
      <c r="ACT16" s="76"/>
      <c r="ACU16" s="76"/>
      <c r="ACV16" s="76"/>
      <c r="ACW16" s="76"/>
      <c r="ACX16" s="76"/>
      <c r="ACY16" s="76"/>
      <c r="ACZ16" s="76"/>
      <c r="ADA16" s="76"/>
      <c r="ADB16" s="76"/>
      <c r="ADC16" s="76"/>
      <c r="ADD16" s="76"/>
      <c r="ADE16" s="76"/>
      <c r="ADF16" s="76"/>
      <c r="ADG16" s="76"/>
      <c r="ADH16" s="76"/>
      <c r="ADI16" s="76"/>
      <c r="ADJ16" s="76"/>
      <c r="ADK16" s="76"/>
      <c r="ADL16" s="76"/>
      <c r="ADM16" s="76"/>
      <c r="ADN16" s="76"/>
      <c r="ADO16" s="76"/>
      <c r="ADP16" s="76"/>
      <c r="ADQ16" s="76"/>
      <c r="ADR16" s="76"/>
      <c r="ADS16" s="76"/>
      <c r="ADT16" s="76"/>
      <c r="ADU16" s="76"/>
      <c r="ADV16" s="76"/>
      <c r="ADW16" s="76"/>
      <c r="ADX16" s="76"/>
      <c r="ADY16" s="76"/>
      <c r="ADZ16" s="76"/>
      <c r="AEA16" s="76"/>
      <c r="AEB16" s="76"/>
      <c r="AEC16" s="76"/>
      <c r="AED16" s="76"/>
      <c r="AEE16" s="76"/>
      <c r="AEF16" s="76"/>
      <c r="AEG16" s="76"/>
      <c r="AEH16" s="76"/>
      <c r="AEI16" s="76"/>
      <c r="AEJ16" s="76"/>
      <c r="AEK16" s="76"/>
      <c r="AEL16" s="76"/>
      <c r="AEM16" s="76"/>
      <c r="AEN16" s="76"/>
      <c r="AEO16" s="76"/>
      <c r="AEP16" s="76"/>
      <c r="AEQ16" s="76"/>
      <c r="AER16" s="76"/>
      <c r="AES16" s="76"/>
      <c r="AET16" s="76"/>
      <c r="AEU16" s="76"/>
      <c r="AEV16" s="76"/>
      <c r="AEW16" s="76"/>
      <c r="AEX16" s="76"/>
      <c r="AEY16" s="76"/>
      <c r="AEZ16" s="76"/>
      <c r="AFA16" s="76"/>
      <c r="AFB16" s="76"/>
      <c r="AFC16" s="76"/>
      <c r="AFD16" s="76"/>
      <c r="AFE16" s="76"/>
      <c r="AFF16" s="76"/>
      <c r="AFG16" s="76"/>
      <c r="AFH16" s="76"/>
      <c r="AFI16" s="76"/>
      <c r="AFJ16" s="76"/>
      <c r="AFK16" s="76"/>
      <c r="AFL16" s="76"/>
      <c r="AFM16" s="76"/>
      <c r="AFN16" s="76"/>
      <c r="AFO16" s="76"/>
      <c r="AFP16" s="76"/>
      <c r="AFQ16" s="76"/>
      <c r="AFR16" s="76"/>
      <c r="AFS16" s="76"/>
      <c r="AFT16" s="76"/>
      <c r="AFU16" s="76"/>
      <c r="AFV16" s="76"/>
      <c r="AFW16" s="76"/>
      <c r="AFX16" s="76"/>
      <c r="AFY16" s="76"/>
      <c r="AFZ16" s="76"/>
      <c r="AGA16" s="76"/>
      <c r="AGB16" s="76"/>
      <c r="AGC16" s="76"/>
      <c r="AGD16" s="76"/>
      <c r="AGE16" s="76"/>
      <c r="AGF16" s="76"/>
      <c r="AGG16" s="76"/>
      <c r="AGH16" s="76"/>
      <c r="AGI16" s="76"/>
      <c r="AGJ16" s="76"/>
      <c r="AGK16" s="76"/>
      <c r="AGL16" s="76"/>
      <c r="AGM16" s="76"/>
      <c r="AGN16" s="76"/>
      <c r="AGO16" s="76"/>
      <c r="AGP16" s="76"/>
      <c r="AGQ16" s="76"/>
      <c r="AGR16" s="76"/>
      <c r="AGS16" s="76"/>
      <c r="AGT16" s="76"/>
      <c r="AGU16" s="76"/>
      <c r="AGV16" s="76"/>
      <c r="AGW16" s="76"/>
      <c r="AGX16" s="76"/>
      <c r="AGY16" s="76"/>
      <c r="AGZ16" s="76"/>
      <c r="AHA16" s="76"/>
      <c r="AHB16" s="76"/>
      <c r="AHC16" s="76"/>
      <c r="AHD16" s="76"/>
      <c r="AHE16" s="76"/>
      <c r="AHF16" s="76"/>
      <c r="AHG16" s="76"/>
      <c r="AHH16" s="76"/>
      <c r="AHI16" s="76"/>
      <c r="AHJ16" s="76"/>
      <c r="AHK16" s="76"/>
      <c r="AHL16" s="76"/>
      <c r="AHM16" s="76"/>
      <c r="AHN16" s="76"/>
      <c r="AHO16" s="76"/>
      <c r="AHP16" s="76"/>
      <c r="AHQ16" s="76"/>
      <c r="AHR16" s="76"/>
      <c r="AHS16" s="76"/>
      <c r="AHT16" s="76"/>
      <c r="AHU16" s="76"/>
      <c r="AHV16" s="76"/>
      <c r="AHW16" s="76"/>
      <c r="AHX16" s="76"/>
      <c r="AHY16" s="76"/>
      <c r="AHZ16" s="76"/>
      <c r="AIA16" s="76"/>
      <c r="AIB16" s="76"/>
      <c r="AIC16" s="76"/>
      <c r="AID16" s="76"/>
      <c r="AIE16" s="76"/>
      <c r="AIF16" s="76"/>
      <c r="AIG16" s="76"/>
      <c r="AIH16" s="76"/>
      <c r="AII16" s="76"/>
      <c r="AIJ16" s="76"/>
      <c r="AIK16" s="76"/>
      <c r="AIL16" s="76"/>
      <c r="AIM16" s="76"/>
      <c r="AIN16" s="76"/>
      <c r="AIO16" s="76"/>
      <c r="AIP16" s="76"/>
      <c r="AIQ16" s="76"/>
      <c r="AIR16" s="76"/>
      <c r="AIS16" s="76"/>
      <c r="AIT16" s="76"/>
      <c r="AIU16" s="76"/>
      <c r="AIV16" s="76"/>
      <c r="AIW16" s="76"/>
      <c r="AIX16" s="76"/>
      <c r="AIY16" s="76"/>
      <c r="AIZ16" s="76"/>
      <c r="AJA16" s="76"/>
      <c r="AJB16" s="76"/>
      <c r="AJC16" s="76"/>
      <c r="AJD16" s="76"/>
      <c r="AJE16" s="76"/>
      <c r="AJF16" s="76"/>
      <c r="AJG16" s="76"/>
      <c r="AJH16" s="76"/>
      <c r="AJI16" s="76"/>
      <c r="AJJ16" s="76"/>
      <c r="AJK16" s="76"/>
      <c r="AJL16" s="76"/>
      <c r="AJM16" s="76"/>
      <c r="AJN16" s="76"/>
      <c r="AJO16" s="76"/>
      <c r="AJP16" s="76"/>
      <c r="AJQ16" s="76"/>
      <c r="AJR16" s="76"/>
      <c r="AJS16" s="76"/>
      <c r="AJT16" s="76"/>
      <c r="AJU16" s="76"/>
      <c r="AJV16" s="76"/>
      <c r="AJW16" s="76"/>
      <c r="AJX16" s="76"/>
      <c r="AJY16" s="76"/>
      <c r="AJZ16" s="76"/>
      <c r="AKA16" s="76"/>
      <c r="AKB16" s="76"/>
      <c r="AKC16" s="76"/>
      <c r="AKD16" s="76"/>
      <c r="AKE16" s="76"/>
      <c r="AKF16" s="76"/>
      <c r="AKG16" s="76"/>
      <c r="AKH16" s="76"/>
      <c r="AKI16" s="76"/>
      <c r="AKJ16" s="76"/>
      <c r="AKK16" s="76"/>
      <c r="AKL16" s="76"/>
      <c r="AKM16" s="76"/>
      <c r="AKN16" s="76"/>
      <c r="AKO16" s="76"/>
      <c r="AKP16" s="76"/>
      <c r="AKQ16" s="76"/>
      <c r="AKR16" s="76"/>
      <c r="AKS16" s="76"/>
      <c r="AKT16" s="76"/>
      <c r="AKU16" s="76"/>
      <c r="AKV16" s="76"/>
      <c r="AKW16" s="76"/>
      <c r="AKX16" s="76"/>
      <c r="AKY16" s="76"/>
      <c r="AKZ16" s="76"/>
      <c r="ALA16" s="76"/>
      <c r="ALB16" s="76"/>
      <c r="ALC16" s="76"/>
      <c r="ALD16" s="76"/>
      <c r="ALE16" s="76"/>
      <c r="ALF16" s="76"/>
      <c r="ALG16" s="76"/>
      <c r="ALH16" s="76"/>
      <c r="ALI16" s="76"/>
      <c r="ALJ16" s="76"/>
      <c r="ALK16" s="76"/>
      <c r="ALL16" s="76"/>
      <c r="ALM16" s="76"/>
      <c r="ALN16" s="76"/>
      <c r="ALO16" s="76"/>
      <c r="ALP16" s="76"/>
      <c r="ALQ16" s="76"/>
      <c r="ALR16" s="76"/>
      <c r="ALS16" s="76"/>
      <c r="ALT16" s="76"/>
      <c r="ALU16" s="76"/>
      <c r="ALV16" s="76"/>
      <c r="ALW16" s="76"/>
      <c r="ALX16" s="76"/>
      <c r="ALY16" s="76"/>
      <c r="ALZ16" s="76"/>
      <c r="AMA16" s="76"/>
      <c r="AMB16" s="76"/>
      <c r="AMC16" s="76"/>
      <c r="AMD16" s="76"/>
      <c r="AME16" s="76"/>
      <c r="AMF16" s="76"/>
      <c r="AMG16" s="76"/>
      <c r="AMH16" s="76"/>
      <c r="AMI16" s="76"/>
      <c r="AMJ16" s="76"/>
    </row>
    <row r="17" spans="1:1024" s="60" customFormat="1">
      <c r="A17" s="65">
        <v>7</v>
      </c>
      <c r="B17" s="34" t="s">
        <v>226</v>
      </c>
      <c r="C17" s="63" t="s">
        <v>26</v>
      </c>
      <c r="D17" s="63">
        <v>1.472</v>
      </c>
      <c r="E17" s="82" t="e">
        <f t="shared" ref="E17" si="10">D17+#REF!</f>
        <v>#REF!</v>
      </c>
      <c r="F17" s="65">
        <v>0</v>
      </c>
      <c r="G17" s="65">
        <v>0</v>
      </c>
      <c r="H17" s="64" t="e">
        <f t="shared" si="1"/>
        <v>#REF!</v>
      </c>
      <c r="I17" s="65">
        <v>0</v>
      </c>
      <c r="J17" s="66">
        <f>1.05*10</f>
        <v>10.5</v>
      </c>
      <c r="K17" s="2" t="e">
        <f>J17-H17-I17</f>
        <v>#REF!</v>
      </c>
      <c r="L17" s="82">
        <f>брянск!Y106</f>
        <v>-2.628400000000001</v>
      </c>
      <c r="M17" s="65" t="s">
        <v>25</v>
      </c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  <c r="IB17" s="76"/>
      <c r="IC17" s="76"/>
      <c r="ID17" s="76"/>
      <c r="IE17" s="76"/>
      <c r="IF17" s="76"/>
      <c r="IG17" s="76"/>
      <c r="IH17" s="76"/>
      <c r="II17" s="76"/>
      <c r="IJ17" s="76"/>
      <c r="IK17" s="76"/>
      <c r="IL17" s="76"/>
      <c r="IM17" s="76"/>
      <c r="IN17" s="76"/>
      <c r="IO17" s="76"/>
      <c r="IP17" s="76"/>
      <c r="IQ17" s="76"/>
      <c r="IR17" s="76"/>
      <c r="IS17" s="76"/>
      <c r="IT17" s="76"/>
      <c r="IU17" s="76"/>
      <c r="IV17" s="76"/>
      <c r="IW17" s="76"/>
      <c r="IX17" s="76"/>
      <c r="IY17" s="76"/>
      <c r="IZ17" s="76"/>
      <c r="JA17" s="76"/>
      <c r="JB17" s="76"/>
      <c r="JC17" s="76"/>
      <c r="JD17" s="76"/>
      <c r="JE17" s="76"/>
      <c r="JF17" s="76"/>
      <c r="JG17" s="76"/>
      <c r="JH17" s="76"/>
      <c r="JI17" s="76"/>
      <c r="JJ17" s="76"/>
      <c r="JK17" s="76"/>
      <c r="JL17" s="76"/>
      <c r="JM17" s="76"/>
      <c r="JN17" s="76"/>
      <c r="JO17" s="76"/>
      <c r="JP17" s="76"/>
      <c r="JQ17" s="76"/>
      <c r="JR17" s="76"/>
      <c r="JS17" s="76"/>
      <c r="JT17" s="76"/>
      <c r="JU17" s="76"/>
      <c r="JV17" s="76"/>
      <c r="JW17" s="76"/>
      <c r="JX17" s="76"/>
      <c r="JY17" s="76"/>
      <c r="JZ17" s="76"/>
      <c r="KA17" s="76"/>
      <c r="KB17" s="76"/>
      <c r="KC17" s="76"/>
      <c r="KD17" s="76"/>
      <c r="KE17" s="76"/>
      <c r="KF17" s="76"/>
      <c r="KG17" s="76"/>
      <c r="KH17" s="76"/>
      <c r="KI17" s="76"/>
      <c r="KJ17" s="76"/>
      <c r="KK17" s="76"/>
      <c r="KL17" s="76"/>
      <c r="KM17" s="76"/>
      <c r="KN17" s="76"/>
      <c r="KO17" s="76"/>
      <c r="KP17" s="76"/>
      <c r="KQ17" s="76"/>
      <c r="KR17" s="76"/>
      <c r="KS17" s="76"/>
      <c r="KT17" s="76"/>
      <c r="KU17" s="76"/>
      <c r="KV17" s="76"/>
      <c r="KW17" s="76"/>
      <c r="KX17" s="76"/>
      <c r="KY17" s="76"/>
      <c r="KZ17" s="76"/>
      <c r="LA17" s="76"/>
      <c r="LB17" s="76"/>
      <c r="LC17" s="76"/>
      <c r="LD17" s="76"/>
      <c r="LE17" s="76"/>
      <c r="LF17" s="76"/>
      <c r="LG17" s="76"/>
      <c r="LH17" s="76"/>
      <c r="LI17" s="76"/>
      <c r="LJ17" s="76"/>
      <c r="LK17" s="76"/>
      <c r="LL17" s="76"/>
      <c r="LM17" s="76"/>
      <c r="LN17" s="76"/>
      <c r="LO17" s="76"/>
      <c r="LP17" s="76"/>
      <c r="LQ17" s="76"/>
      <c r="LR17" s="76"/>
      <c r="LS17" s="76"/>
      <c r="LT17" s="76"/>
      <c r="LU17" s="76"/>
      <c r="LV17" s="76"/>
      <c r="LW17" s="76"/>
      <c r="LX17" s="76"/>
      <c r="LY17" s="76"/>
      <c r="LZ17" s="76"/>
      <c r="MA17" s="76"/>
      <c r="MB17" s="76"/>
      <c r="MC17" s="76"/>
      <c r="MD17" s="76"/>
      <c r="ME17" s="76"/>
      <c r="MF17" s="76"/>
      <c r="MG17" s="76"/>
      <c r="MH17" s="76"/>
      <c r="MI17" s="76"/>
      <c r="MJ17" s="76"/>
      <c r="MK17" s="76"/>
      <c r="ML17" s="76"/>
      <c r="MM17" s="76"/>
      <c r="MN17" s="76"/>
      <c r="MO17" s="76"/>
      <c r="MP17" s="76"/>
      <c r="MQ17" s="76"/>
      <c r="MR17" s="76"/>
      <c r="MS17" s="76"/>
      <c r="MT17" s="76"/>
      <c r="MU17" s="76"/>
      <c r="MV17" s="76"/>
      <c r="MW17" s="76"/>
      <c r="MX17" s="76"/>
      <c r="MY17" s="76"/>
      <c r="MZ17" s="76"/>
      <c r="NA17" s="76"/>
      <c r="NB17" s="76"/>
      <c r="NC17" s="76"/>
      <c r="ND17" s="76"/>
      <c r="NE17" s="76"/>
      <c r="NF17" s="76"/>
      <c r="NG17" s="76"/>
      <c r="NH17" s="76"/>
      <c r="NI17" s="76"/>
      <c r="NJ17" s="76"/>
      <c r="NK17" s="76"/>
      <c r="NL17" s="76"/>
      <c r="NM17" s="76"/>
      <c r="NN17" s="76"/>
      <c r="NO17" s="76"/>
      <c r="NP17" s="76"/>
      <c r="NQ17" s="76"/>
      <c r="NR17" s="76"/>
      <c r="NS17" s="76"/>
      <c r="NT17" s="76"/>
      <c r="NU17" s="76"/>
      <c r="NV17" s="76"/>
      <c r="NW17" s="76"/>
      <c r="NX17" s="76"/>
      <c r="NY17" s="76"/>
      <c r="NZ17" s="76"/>
      <c r="OA17" s="76"/>
      <c r="OB17" s="76"/>
      <c r="OC17" s="76"/>
      <c r="OD17" s="76"/>
      <c r="OE17" s="76"/>
      <c r="OF17" s="76"/>
      <c r="OG17" s="76"/>
      <c r="OH17" s="76"/>
      <c r="OI17" s="76"/>
      <c r="OJ17" s="76"/>
      <c r="OK17" s="76"/>
      <c r="OL17" s="76"/>
      <c r="OM17" s="76"/>
      <c r="ON17" s="76"/>
      <c r="OO17" s="76"/>
      <c r="OP17" s="76"/>
      <c r="OQ17" s="76"/>
      <c r="OR17" s="76"/>
      <c r="OS17" s="76"/>
      <c r="OT17" s="76"/>
      <c r="OU17" s="76"/>
      <c r="OV17" s="76"/>
      <c r="OW17" s="76"/>
      <c r="OX17" s="76"/>
      <c r="OY17" s="76"/>
      <c r="OZ17" s="76"/>
      <c r="PA17" s="76"/>
      <c r="PB17" s="76"/>
      <c r="PC17" s="76"/>
      <c r="PD17" s="76"/>
      <c r="PE17" s="76"/>
      <c r="PF17" s="76"/>
      <c r="PG17" s="76"/>
      <c r="PH17" s="76"/>
      <c r="PI17" s="76"/>
      <c r="PJ17" s="76"/>
      <c r="PK17" s="76"/>
      <c r="PL17" s="76"/>
      <c r="PM17" s="76"/>
      <c r="PN17" s="76"/>
      <c r="PO17" s="76"/>
      <c r="PP17" s="76"/>
      <c r="PQ17" s="76"/>
      <c r="PR17" s="76"/>
      <c r="PS17" s="76"/>
      <c r="PT17" s="76"/>
      <c r="PU17" s="76"/>
      <c r="PV17" s="76"/>
      <c r="PW17" s="76"/>
      <c r="PX17" s="76"/>
      <c r="PY17" s="76"/>
      <c r="PZ17" s="76"/>
      <c r="QA17" s="76"/>
      <c r="QB17" s="76"/>
      <c r="QC17" s="76"/>
      <c r="QD17" s="76"/>
      <c r="QE17" s="76"/>
      <c r="QF17" s="76"/>
      <c r="QG17" s="76"/>
      <c r="QH17" s="76"/>
      <c r="QI17" s="76"/>
      <c r="QJ17" s="76"/>
      <c r="QK17" s="76"/>
      <c r="QL17" s="76"/>
      <c r="QM17" s="76"/>
      <c r="QN17" s="76"/>
      <c r="QO17" s="76"/>
      <c r="QP17" s="76"/>
      <c r="QQ17" s="76"/>
      <c r="QR17" s="76"/>
      <c r="QS17" s="76"/>
      <c r="QT17" s="76"/>
      <c r="QU17" s="76"/>
      <c r="QV17" s="76"/>
      <c r="QW17" s="76"/>
      <c r="QX17" s="76"/>
      <c r="QY17" s="76"/>
      <c r="QZ17" s="76"/>
      <c r="RA17" s="76"/>
      <c r="RB17" s="76"/>
      <c r="RC17" s="76"/>
      <c r="RD17" s="76"/>
      <c r="RE17" s="76"/>
      <c r="RF17" s="76"/>
      <c r="RG17" s="76"/>
      <c r="RH17" s="76"/>
      <c r="RI17" s="76"/>
      <c r="RJ17" s="76"/>
      <c r="RK17" s="76"/>
      <c r="RL17" s="76"/>
      <c r="RM17" s="76"/>
      <c r="RN17" s="76"/>
      <c r="RO17" s="76"/>
      <c r="RP17" s="76"/>
      <c r="RQ17" s="76"/>
      <c r="RR17" s="76"/>
      <c r="RS17" s="76"/>
      <c r="RT17" s="76"/>
      <c r="RU17" s="76"/>
      <c r="RV17" s="76"/>
      <c r="RW17" s="76"/>
      <c r="RX17" s="76"/>
      <c r="RY17" s="76"/>
      <c r="RZ17" s="76"/>
      <c r="SA17" s="76"/>
      <c r="SB17" s="76"/>
      <c r="SC17" s="76"/>
      <c r="SD17" s="76"/>
      <c r="SE17" s="76"/>
      <c r="SF17" s="76"/>
      <c r="SG17" s="76"/>
      <c r="SH17" s="76"/>
      <c r="SI17" s="76"/>
      <c r="SJ17" s="76"/>
      <c r="SK17" s="76"/>
      <c r="SL17" s="76"/>
      <c r="SM17" s="76"/>
      <c r="SN17" s="76"/>
      <c r="SO17" s="76"/>
      <c r="SP17" s="76"/>
      <c r="SQ17" s="76"/>
      <c r="SR17" s="76"/>
      <c r="SS17" s="76"/>
      <c r="ST17" s="76"/>
      <c r="SU17" s="76"/>
      <c r="SV17" s="76"/>
      <c r="SW17" s="76"/>
      <c r="SX17" s="76"/>
      <c r="SY17" s="76"/>
      <c r="SZ17" s="76"/>
      <c r="TA17" s="76"/>
      <c r="TB17" s="76"/>
      <c r="TC17" s="76"/>
      <c r="TD17" s="76"/>
      <c r="TE17" s="76"/>
      <c r="TF17" s="76"/>
      <c r="TG17" s="76"/>
      <c r="TH17" s="76"/>
      <c r="TI17" s="76"/>
      <c r="TJ17" s="76"/>
      <c r="TK17" s="76"/>
      <c r="TL17" s="76"/>
      <c r="TM17" s="76"/>
      <c r="TN17" s="76"/>
      <c r="TO17" s="76"/>
      <c r="TP17" s="76"/>
      <c r="TQ17" s="76"/>
      <c r="TR17" s="76"/>
      <c r="TS17" s="76"/>
      <c r="TT17" s="76"/>
      <c r="TU17" s="76"/>
      <c r="TV17" s="76"/>
      <c r="TW17" s="76"/>
      <c r="TX17" s="76"/>
      <c r="TY17" s="76"/>
      <c r="TZ17" s="76"/>
      <c r="UA17" s="76"/>
      <c r="UB17" s="76"/>
      <c r="UC17" s="76"/>
      <c r="UD17" s="76"/>
      <c r="UE17" s="76"/>
      <c r="UF17" s="76"/>
      <c r="UG17" s="76"/>
      <c r="UH17" s="76"/>
      <c r="UI17" s="76"/>
      <c r="UJ17" s="76"/>
      <c r="UK17" s="76"/>
      <c r="UL17" s="76"/>
      <c r="UM17" s="76"/>
      <c r="UN17" s="76"/>
      <c r="UO17" s="76"/>
      <c r="UP17" s="76"/>
      <c r="UQ17" s="76"/>
      <c r="UR17" s="76"/>
      <c r="US17" s="76"/>
      <c r="UT17" s="76"/>
      <c r="UU17" s="76"/>
      <c r="UV17" s="76"/>
      <c r="UW17" s="76"/>
      <c r="UX17" s="76"/>
      <c r="UY17" s="76"/>
      <c r="UZ17" s="76"/>
      <c r="VA17" s="76"/>
      <c r="VB17" s="76"/>
      <c r="VC17" s="76"/>
      <c r="VD17" s="76"/>
      <c r="VE17" s="76"/>
      <c r="VF17" s="76"/>
      <c r="VG17" s="76"/>
      <c r="VH17" s="76"/>
      <c r="VI17" s="76"/>
      <c r="VJ17" s="76"/>
      <c r="VK17" s="76"/>
      <c r="VL17" s="76"/>
      <c r="VM17" s="76"/>
      <c r="VN17" s="76"/>
      <c r="VO17" s="76"/>
      <c r="VP17" s="76"/>
      <c r="VQ17" s="76"/>
      <c r="VR17" s="76"/>
      <c r="VS17" s="76"/>
      <c r="VT17" s="76"/>
      <c r="VU17" s="76"/>
      <c r="VV17" s="76"/>
      <c r="VW17" s="76"/>
      <c r="VX17" s="76"/>
      <c r="VY17" s="76"/>
      <c r="VZ17" s="76"/>
      <c r="WA17" s="76"/>
      <c r="WB17" s="76"/>
      <c r="WC17" s="76"/>
      <c r="WD17" s="76"/>
      <c r="WE17" s="76"/>
      <c r="WF17" s="76"/>
      <c r="WG17" s="76"/>
      <c r="WH17" s="76"/>
      <c r="WI17" s="76"/>
      <c r="WJ17" s="76"/>
      <c r="WK17" s="76"/>
      <c r="WL17" s="76"/>
      <c r="WM17" s="76"/>
      <c r="WN17" s="76"/>
      <c r="WO17" s="76"/>
      <c r="WP17" s="76"/>
      <c r="WQ17" s="76"/>
      <c r="WR17" s="76"/>
      <c r="WS17" s="76"/>
      <c r="WT17" s="76"/>
      <c r="WU17" s="76"/>
      <c r="WV17" s="76"/>
      <c r="WW17" s="76"/>
      <c r="WX17" s="76"/>
      <c r="WY17" s="76"/>
      <c r="WZ17" s="76"/>
      <c r="XA17" s="76"/>
      <c r="XB17" s="76"/>
      <c r="XC17" s="76"/>
      <c r="XD17" s="76"/>
      <c r="XE17" s="76"/>
      <c r="XF17" s="76"/>
      <c r="XG17" s="76"/>
      <c r="XH17" s="76"/>
      <c r="XI17" s="76"/>
      <c r="XJ17" s="76"/>
      <c r="XK17" s="76"/>
      <c r="XL17" s="76"/>
      <c r="XM17" s="76"/>
      <c r="XN17" s="76"/>
      <c r="XO17" s="76"/>
      <c r="XP17" s="76"/>
      <c r="XQ17" s="76"/>
      <c r="XR17" s="76"/>
      <c r="XS17" s="76"/>
      <c r="XT17" s="76"/>
      <c r="XU17" s="76"/>
      <c r="XV17" s="76"/>
      <c r="XW17" s="76"/>
      <c r="XX17" s="76"/>
      <c r="XY17" s="76"/>
      <c r="XZ17" s="76"/>
      <c r="YA17" s="76"/>
      <c r="YB17" s="76"/>
      <c r="YC17" s="76"/>
      <c r="YD17" s="76"/>
      <c r="YE17" s="76"/>
      <c r="YF17" s="76"/>
      <c r="YG17" s="76"/>
      <c r="YH17" s="76"/>
      <c r="YI17" s="76"/>
      <c r="YJ17" s="76"/>
      <c r="YK17" s="76"/>
      <c r="YL17" s="76"/>
      <c r="YM17" s="76"/>
      <c r="YN17" s="76"/>
      <c r="YO17" s="76"/>
      <c r="YP17" s="76"/>
      <c r="YQ17" s="76"/>
      <c r="YR17" s="76"/>
      <c r="YS17" s="76"/>
      <c r="YT17" s="76"/>
      <c r="YU17" s="76"/>
      <c r="YV17" s="76"/>
      <c r="YW17" s="76"/>
      <c r="YX17" s="76"/>
      <c r="YY17" s="76"/>
      <c r="YZ17" s="76"/>
      <c r="ZA17" s="76"/>
      <c r="ZB17" s="76"/>
      <c r="ZC17" s="76"/>
      <c r="ZD17" s="76"/>
      <c r="ZE17" s="76"/>
      <c r="ZF17" s="76"/>
      <c r="ZG17" s="76"/>
      <c r="ZH17" s="76"/>
      <c r="ZI17" s="76"/>
      <c r="ZJ17" s="76"/>
      <c r="ZK17" s="76"/>
      <c r="ZL17" s="76"/>
      <c r="ZM17" s="76"/>
      <c r="ZN17" s="76"/>
      <c r="ZO17" s="76"/>
      <c r="ZP17" s="76"/>
      <c r="ZQ17" s="76"/>
      <c r="ZR17" s="76"/>
      <c r="ZS17" s="76"/>
      <c r="ZT17" s="76"/>
      <c r="ZU17" s="76"/>
      <c r="ZV17" s="76"/>
      <c r="ZW17" s="76"/>
      <c r="ZX17" s="76"/>
      <c r="ZY17" s="76"/>
      <c r="ZZ17" s="76"/>
      <c r="AAA17" s="76"/>
      <c r="AAB17" s="76"/>
      <c r="AAC17" s="76"/>
      <c r="AAD17" s="76"/>
      <c r="AAE17" s="76"/>
      <c r="AAF17" s="76"/>
      <c r="AAG17" s="76"/>
      <c r="AAH17" s="76"/>
      <c r="AAI17" s="76"/>
      <c r="AAJ17" s="76"/>
      <c r="AAK17" s="76"/>
      <c r="AAL17" s="76"/>
      <c r="AAM17" s="76"/>
      <c r="AAN17" s="76"/>
      <c r="AAO17" s="76"/>
      <c r="AAP17" s="76"/>
      <c r="AAQ17" s="76"/>
      <c r="AAR17" s="76"/>
      <c r="AAS17" s="76"/>
      <c r="AAT17" s="76"/>
      <c r="AAU17" s="76"/>
      <c r="AAV17" s="76"/>
      <c r="AAW17" s="76"/>
      <c r="AAX17" s="76"/>
      <c r="AAY17" s="76"/>
      <c r="AAZ17" s="76"/>
      <c r="ABA17" s="76"/>
      <c r="ABB17" s="76"/>
      <c r="ABC17" s="76"/>
      <c r="ABD17" s="76"/>
      <c r="ABE17" s="76"/>
      <c r="ABF17" s="76"/>
      <c r="ABG17" s="76"/>
      <c r="ABH17" s="76"/>
      <c r="ABI17" s="76"/>
      <c r="ABJ17" s="76"/>
      <c r="ABK17" s="76"/>
      <c r="ABL17" s="76"/>
      <c r="ABM17" s="76"/>
      <c r="ABN17" s="76"/>
      <c r="ABO17" s="76"/>
      <c r="ABP17" s="76"/>
      <c r="ABQ17" s="76"/>
      <c r="ABR17" s="76"/>
      <c r="ABS17" s="76"/>
      <c r="ABT17" s="76"/>
      <c r="ABU17" s="76"/>
      <c r="ABV17" s="76"/>
      <c r="ABW17" s="76"/>
      <c r="ABX17" s="76"/>
      <c r="ABY17" s="76"/>
      <c r="ABZ17" s="76"/>
      <c r="ACA17" s="76"/>
      <c r="ACB17" s="76"/>
      <c r="ACC17" s="76"/>
      <c r="ACD17" s="76"/>
      <c r="ACE17" s="76"/>
      <c r="ACF17" s="76"/>
      <c r="ACG17" s="76"/>
      <c r="ACH17" s="76"/>
      <c r="ACI17" s="76"/>
      <c r="ACJ17" s="76"/>
      <c r="ACK17" s="76"/>
      <c r="ACL17" s="76"/>
      <c r="ACM17" s="76"/>
      <c r="ACN17" s="76"/>
      <c r="ACO17" s="76"/>
      <c r="ACP17" s="76"/>
      <c r="ACQ17" s="76"/>
      <c r="ACR17" s="76"/>
      <c r="ACS17" s="76"/>
      <c r="ACT17" s="76"/>
      <c r="ACU17" s="76"/>
      <c r="ACV17" s="76"/>
      <c r="ACW17" s="76"/>
      <c r="ACX17" s="76"/>
      <c r="ACY17" s="76"/>
      <c r="ACZ17" s="76"/>
      <c r="ADA17" s="76"/>
      <c r="ADB17" s="76"/>
      <c r="ADC17" s="76"/>
      <c r="ADD17" s="76"/>
      <c r="ADE17" s="76"/>
      <c r="ADF17" s="76"/>
      <c r="ADG17" s="76"/>
      <c r="ADH17" s="76"/>
      <c r="ADI17" s="76"/>
      <c r="ADJ17" s="76"/>
      <c r="ADK17" s="76"/>
      <c r="ADL17" s="76"/>
      <c r="ADM17" s="76"/>
      <c r="ADN17" s="76"/>
      <c r="ADO17" s="76"/>
      <c r="ADP17" s="76"/>
      <c r="ADQ17" s="76"/>
      <c r="ADR17" s="76"/>
      <c r="ADS17" s="76"/>
      <c r="ADT17" s="76"/>
      <c r="ADU17" s="76"/>
      <c r="ADV17" s="76"/>
      <c r="ADW17" s="76"/>
      <c r="ADX17" s="76"/>
      <c r="ADY17" s="76"/>
      <c r="ADZ17" s="76"/>
      <c r="AEA17" s="76"/>
      <c r="AEB17" s="76"/>
      <c r="AEC17" s="76"/>
      <c r="AED17" s="76"/>
      <c r="AEE17" s="76"/>
      <c r="AEF17" s="76"/>
      <c r="AEG17" s="76"/>
      <c r="AEH17" s="76"/>
      <c r="AEI17" s="76"/>
      <c r="AEJ17" s="76"/>
      <c r="AEK17" s="76"/>
      <c r="AEL17" s="76"/>
      <c r="AEM17" s="76"/>
      <c r="AEN17" s="76"/>
      <c r="AEO17" s="76"/>
      <c r="AEP17" s="76"/>
      <c r="AEQ17" s="76"/>
      <c r="AER17" s="76"/>
      <c r="AES17" s="76"/>
      <c r="AET17" s="76"/>
      <c r="AEU17" s="76"/>
      <c r="AEV17" s="76"/>
      <c r="AEW17" s="76"/>
      <c r="AEX17" s="76"/>
      <c r="AEY17" s="76"/>
      <c r="AEZ17" s="76"/>
      <c r="AFA17" s="76"/>
      <c r="AFB17" s="76"/>
      <c r="AFC17" s="76"/>
      <c r="AFD17" s="76"/>
      <c r="AFE17" s="76"/>
      <c r="AFF17" s="76"/>
      <c r="AFG17" s="76"/>
      <c r="AFH17" s="76"/>
      <c r="AFI17" s="76"/>
      <c r="AFJ17" s="76"/>
      <c r="AFK17" s="76"/>
      <c r="AFL17" s="76"/>
      <c r="AFM17" s="76"/>
      <c r="AFN17" s="76"/>
      <c r="AFO17" s="76"/>
      <c r="AFP17" s="76"/>
      <c r="AFQ17" s="76"/>
      <c r="AFR17" s="76"/>
      <c r="AFS17" s="76"/>
      <c r="AFT17" s="76"/>
      <c r="AFU17" s="76"/>
      <c r="AFV17" s="76"/>
      <c r="AFW17" s="76"/>
      <c r="AFX17" s="76"/>
      <c r="AFY17" s="76"/>
      <c r="AFZ17" s="76"/>
      <c r="AGA17" s="76"/>
      <c r="AGB17" s="76"/>
      <c r="AGC17" s="76"/>
      <c r="AGD17" s="76"/>
      <c r="AGE17" s="76"/>
      <c r="AGF17" s="76"/>
      <c r="AGG17" s="76"/>
      <c r="AGH17" s="76"/>
      <c r="AGI17" s="76"/>
      <c r="AGJ17" s="76"/>
      <c r="AGK17" s="76"/>
      <c r="AGL17" s="76"/>
      <c r="AGM17" s="76"/>
      <c r="AGN17" s="76"/>
      <c r="AGO17" s="76"/>
      <c r="AGP17" s="76"/>
      <c r="AGQ17" s="76"/>
      <c r="AGR17" s="76"/>
      <c r="AGS17" s="76"/>
      <c r="AGT17" s="76"/>
      <c r="AGU17" s="76"/>
      <c r="AGV17" s="76"/>
      <c r="AGW17" s="76"/>
      <c r="AGX17" s="76"/>
      <c r="AGY17" s="76"/>
      <c r="AGZ17" s="76"/>
      <c r="AHA17" s="76"/>
      <c r="AHB17" s="76"/>
      <c r="AHC17" s="76"/>
      <c r="AHD17" s="76"/>
      <c r="AHE17" s="76"/>
      <c r="AHF17" s="76"/>
      <c r="AHG17" s="76"/>
      <c r="AHH17" s="76"/>
      <c r="AHI17" s="76"/>
      <c r="AHJ17" s="76"/>
      <c r="AHK17" s="76"/>
      <c r="AHL17" s="76"/>
      <c r="AHM17" s="76"/>
      <c r="AHN17" s="76"/>
      <c r="AHO17" s="76"/>
      <c r="AHP17" s="76"/>
      <c r="AHQ17" s="76"/>
      <c r="AHR17" s="76"/>
      <c r="AHS17" s="76"/>
      <c r="AHT17" s="76"/>
      <c r="AHU17" s="76"/>
      <c r="AHV17" s="76"/>
      <c r="AHW17" s="76"/>
      <c r="AHX17" s="76"/>
      <c r="AHY17" s="76"/>
      <c r="AHZ17" s="76"/>
      <c r="AIA17" s="76"/>
      <c r="AIB17" s="76"/>
      <c r="AIC17" s="76"/>
      <c r="AID17" s="76"/>
      <c r="AIE17" s="76"/>
      <c r="AIF17" s="76"/>
      <c r="AIG17" s="76"/>
      <c r="AIH17" s="76"/>
      <c r="AII17" s="76"/>
      <c r="AIJ17" s="76"/>
      <c r="AIK17" s="76"/>
      <c r="AIL17" s="76"/>
      <c r="AIM17" s="76"/>
      <c r="AIN17" s="76"/>
      <c r="AIO17" s="76"/>
      <c r="AIP17" s="76"/>
      <c r="AIQ17" s="76"/>
      <c r="AIR17" s="76"/>
      <c r="AIS17" s="76"/>
      <c r="AIT17" s="76"/>
      <c r="AIU17" s="76"/>
      <c r="AIV17" s="76"/>
      <c r="AIW17" s="76"/>
      <c r="AIX17" s="76"/>
      <c r="AIY17" s="76"/>
      <c r="AIZ17" s="76"/>
      <c r="AJA17" s="76"/>
      <c r="AJB17" s="76"/>
      <c r="AJC17" s="76"/>
      <c r="AJD17" s="76"/>
      <c r="AJE17" s="76"/>
      <c r="AJF17" s="76"/>
      <c r="AJG17" s="76"/>
      <c r="AJH17" s="76"/>
      <c r="AJI17" s="76"/>
      <c r="AJJ17" s="76"/>
      <c r="AJK17" s="76"/>
      <c r="AJL17" s="76"/>
      <c r="AJM17" s="76"/>
      <c r="AJN17" s="76"/>
      <c r="AJO17" s="76"/>
      <c r="AJP17" s="76"/>
      <c r="AJQ17" s="76"/>
      <c r="AJR17" s="76"/>
      <c r="AJS17" s="76"/>
      <c r="AJT17" s="76"/>
      <c r="AJU17" s="76"/>
      <c r="AJV17" s="76"/>
      <c r="AJW17" s="76"/>
      <c r="AJX17" s="76"/>
      <c r="AJY17" s="76"/>
      <c r="AJZ17" s="76"/>
      <c r="AKA17" s="76"/>
      <c r="AKB17" s="76"/>
      <c r="AKC17" s="76"/>
      <c r="AKD17" s="76"/>
      <c r="AKE17" s="76"/>
      <c r="AKF17" s="76"/>
      <c r="AKG17" s="76"/>
      <c r="AKH17" s="76"/>
      <c r="AKI17" s="76"/>
      <c r="AKJ17" s="76"/>
      <c r="AKK17" s="76"/>
      <c r="AKL17" s="76"/>
      <c r="AKM17" s="76"/>
      <c r="AKN17" s="76"/>
      <c r="AKO17" s="76"/>
      <c r="AKP17" s="76"/>
      <c r="AKQ17" s="76"/>
      <c r="AKR17" s="76"/>
      <c r="AKS17" s="76"/>
      <c r="AKT17" s="76"/>
      <c r="AKU17" s="76"/>
      <c r="AKV17" s="76"/>
      <c r="AKW17" s="76"/>
      <c r="AKX17" s="76"/>
      <c r="AKY17" s="76"/>
      <c r="AKZ17" s="76"/>
      <c r="ALA17" s="76"/>
      <c r="ALB17" s="76"/>
      <c r="ALC17" s="76"/>
      <c r="ALD17" s="76"/>
      <c r="ALE17" s="76"/>
      <c r="ALF17" s="76"/>
      <c r="ALG17" s="76"/>
      <c r="ALH17" s="76"/>
      <c r="ALI17" s="76"/>
      <c r="ALJ17" s="76"/>
      <c r="ALK17" s="76"/>
      <c r="ALL17" s="76"/>
      <c r="ALM17" s="76"/>
      <c r="ALN17" s="76"/>
      <c r="ALO17" s="76"/>
      <c r="ALP17" s="76"/>
      <c r="ALQ17" s="76"/>
      <c r="ALR17" s="76"/>
      <c r="ALS17" s="76"/>
      <c r="ALT17" s="76"/>
      <c r="ALU17" s="76"/>
      <c r="ALV17" s="76"/>
      <c r="ALW17" s="76"/>
      <c r="ALX17" s="76"/>
      <c r="ALY17" s="76"/>
      <c r="ALZ17" s="76"/>
      <c r="AMA17" s="76"/>
      <c r="AMB17" s="76"/>
      <c r="AMC17" s="76"/>
      <c r="AMD17" s="76"/>
      <c r="AME17" s="76"/>
      <c r="AMF17" s="76"/>
      <c r="AMG17" s="76"/>
      <c r="AMH17" s="76"/>
      <c r="AMI17" s="76"/>
      <c r="AMJ17" s="76"/>
    </row>
    <row r="18" spans="1:1024" s="60" customFormat="1">
      <c r="A18" s="18">
        <v>8</v>
      </c>
      <c r="B18" s="34" t="str">
        <f>брянск!O125</f>
        <v>ПС 110/35/6 кВ Сураж</v>
      </c>
      <c r="C18" s="63" t="str">
        <f>брянск!P125</f>
        <v>16+16</v>
      </c>
      <c r="D18" s="63">
        <v>0.23799999999999999</v>
      </c>
      <c r="E18" s="79" t="e">
        <f t="shared" ref="E18" si="11">D18+#REF!</f>
        <v>#REF!</v>
      </c>
      <c r="F18" s="65">
        <v>0</v>
      </c>
      <c r="G18" s="65">
        <v>0</v>
      </c>
      <c r="H18" s="64" t="e">
        <f t="shared" si="1"/>
        <v>#REF!</v>
      </c>
      <c r="I18" s="65">
        <v>0</v>
      </c>
      <c r="J18" s="66">
        <f>1.05*16</f>
        <v>16.8</v>
      </c>
      <c r="K18" s="2" t="e">
        <f t="shared" ref="K18" si="12">J18-H18-I18</f>
        <v>#REF!</v>
      </c>
      <c r="L18" s="82">
        <f>брянск!Y125</f>
        <v>-1.6579999999999977</v>
      </c>
      <c r="M18" s="18" t="s">
        <v>25</v>
      </c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  <c r="IH18" s="76"/>
      <c r="II18" s="76"/>
      <c r="IJ18" s="76"/>
      <c r="IK18" s="76"/>
      <c r="IL18" s="76"/>
      <c r="IM18" s="76"/>
      <c r="IN18" s="76"/>
      <c r="IO18" s="76"/>
      <c r="IP18" s="76"/>
      <c r="IQ18" s="76"/>
      <c r="IR18" s="76"/>
      <c r="IS18" s="76"/>
      <c r="IT18" s="76"/>
      <c r="IU18" s="76"/>
      <c r="IV18" s="76"/>
      <c r="IW18" s="76"/>
      <c r="IX18" s="76"/>
      <c r="IY18" s="76"/>
      <c r="IZ18" s="76"/>
      <c r="JA18" s="76"/>
      <c r="JB18" s="76"/>
      <c r="JC18" s="76"/>
      <c r="JD18" s="76"/>
      <c r="JE18" s="76"/>
      <c r="JF18" s="76"/>
      <c r="JG18" s="76"/>
      <c r="JH18" s="76"/>
      <c r="JI18" s="76"/>
      <c r="JJ18" s="76"/>
      <c r="JK18" s="76"/>
      <c r="JL18" s="76"/>
      <c r="JM18" s="76"/>
      <c r="JN18" s="76"/>
      <c r="JO18" s="76"/>
      <c r="JP18" s="76"/>
      <c r="JQ18" s="76"/>
      <c r="JR18" s="76"/>
      <c r="JS18" s="76"/>
      <c r="JT18" s="76"/>
      <c r="JU18" s="76"/>
      <c r="JV18" s="76"/>
      <c r="JW18" s="76"/>
      <c r="JX18" s="76"/>
      <c r="JY18" s="76"/>
      <c r="JZ18" s="76"/>
      <c r="KA18" s="76"/>
      <c r="KB18" s="76"/>
      <c r="KC18" s="76"/>
      <c r="KD18" s="76"/>
      <c r="KE18" s="76"/>
      <c r="KF18" s="76"/>
      <c r="KG18" s="76"/>
      <c r="KH18" s="76"/>
      <c r="KI18" s="76"/>
      <c r="KJ18" s="76"/>
      <c r="KK18" s="76"/>
      <c r="KL18" s="76"/>
      <c r="KM18" s="76"/>
      <c r="KN18" s="76"/>
      <c r="KO18" s="76"/>
      <c r="KP18" s="76"/>
      <c r="KQ18" s="76"/>
      <c r="KR18" s="76"/>
      <c r="KS18" s="76"/>
      <c r="KT18" s="76"/>
      <c r="KU18" s="76"/>
      <c r="KV18" s="76"/>
      <c r="KW18" s="76"/>
      <c r="KX18" s="76"/>
      <c r="KY18" s="76"/>
      <c r="KZ18" s="76"/>
      <c r="LA18" s="76"/>
      <c r="LB18" s="76"/>
      <c r="LC18" s="76"/>
      <c r="LD18" s="76"/>
      <c r="LE18" s="76"/>
      <c r="LF18" s="76"/>
      <c r="LG18" s="76"/>
      <c r="LH18" s="76"/>
      <c r="LI18" s="76"/>
      <c r="LJ18" s="76"/>
      <c r="LK18" s="76"/>
      <c r="LL18" s="76"/>
      <c r="LM18" s="76"/>
      <c r="LN18" s="76"/>
      <c r="LO18" s="76"/>
      <c r="LP18" s="76"/>
      <c r="LQ18" s="76"/>
      <c r="LR18" s="76"/>
      <c r="LS18" s="76"/>
      <c r="LT18" s="76"/>
      <c r="LU18" s="76"/>
      <c r="LV18" s="76"/>
      <c r="LW18" s="76"/>
      <c r="LX18" s="76"/>
      <c r="LY18" s="76"/>
      <c r="LZ18" s="76"/>
      <c r="MA18" s="76"/>
      <c r="MB18" s="76"/>
      <c r="MC18" s="76"/>
      <c r="MD18" s="76"/>
      <c r="ME18" s="76"/>
      <c r="MF18" s="76"/>
      <c r="MG18" s="76"/>
      <c r="MH18" s="76"/>
      <c r="MI18" s="76"/>
      <c r="MJ18" s="76"/>
      <c r="MK18" s="76"/>
      <c r="ML18" s="76"/>
      <c r="MM18" s="76"/>
      <c r="MN18" s="76"/>
      <c r="MO18" s="76"/>
      <c r="MP18" s="76"/>
      <c r="MQ18" s="76"/>
      <c r="MR18" s="76"/>
      <c r="MS18" s="76"/>
      <c r="MT18" s="76"/>
      <c r="MU18" s="76"/>
      <c r="MV18" s="76"/>
      <c r="MW18" s="76"/>
      <c r="MX18" s="76"/>
      <c r="MY18" s="76"/>
      <c r="MZ18" s="76"/>
      <c r="NA18" s="76"/>
      <c r="NB18" s="76"/>
      <c r="NC18" s="76"/>
      <c r="ND18" s="76"/>
      <c r="NE18" s="76"/>
      <c r="NF18" s="76"/>
      <c r="NG18" s="76"/>
      <c r="NH18" s="76"/>
      <c r="NI18" s="76"/>
      <c r="NJ18" s="76"/>
      <c r="NK18" s="76"/>
      <c r="NL18" s="76"/>
      <c r="NM18" s="76"/>
      <c r="NN18" s="76"/>
      <c r="NO18" s="76"/>
      <c r="NP18" s="76"/>
      <c r="NQ18" s="76"/>
      <c r="NR18" s="76"/>
      <c r="NS18" s="76"/>
      <c r="NT18" s="76"/>
      <c r="NU18" s="76"/>
      <c r="NV18" s="76"/>
      <c r="NW18" s="76"/>
      <c r="NX18" s="76"/>
      <c r="NY18" s="76"/>
      <c r="NZ18" s="76"/>
      <c r="OA18" s="76"/>
      <c r="OB18" s="76"/>
      <c r="OC18" s="76"/>
      <c r="OD18" s="76"/>
      <c r="OE18" s="76"/>
      <c r="OF18" s="76"/>
      <c r="OG18" s="76"/>
      <c r="OH18" s="76"/>
      <c r="OI18" s="76"/>
      <c r="OJ18" s="76"/>
      <c r="OK18" s="76"/>
      <c r="OL18" s="76"/>
      <c r="OM18" s="76"/>
      <c r="ON18" s="76"/>
      <c r="OO18" s="76"/>
      <c r="OP18" s="76"/>
      <c r="OQ18" s="76"/>
      <c r="OR18" s="76"/>
      <c r="OS18" s="76"/>
      <c r="OT18" s="76"/>
      <c r="OU18" s="76"/>
      <c r="OV18" s="76"/>
      <c r="OW18" s="76"/>
      <c r="OX18" s="76"/>
      <c r="OY18" s="76"/>
      <c r="OZ18" s="76"/>
      <c r="PA18" s="76"/>
      <c r="PB18" s="76"/>
      <c r="PC18" s="76"/>
      <c r="PD18" s="76"/>
      <c r="PE18" s="76"/>
      <c r="PF18" s="76"/>
      <c r="PG18" s="76"/>
      <c r="PH18" s="76"/>
      <c r="PI18" s="76"/>
      <c r="PJ18" s="76"/>
      <c r="PK18" s="76"/>
      <c r="PL18" s="76"/>
      <c r="PM18" s="76"/>
      <c r="PN18" s="76"/>
      <c r="PO18" s="76"/>
      <c r="PP18" s="76"/>
      <c r="PQ18" s="76"/>
      <c r="PR18" s="76"/>
      <c r="PS18" s="76"/>
      <c r="PT18" s="76"/>
      <c r="PU18" s="76"/>
      <c r="PV18" s="76"/>
      <c r="PW18" s="76"/>
      <c r="PX18" s="76"/>
      <c r="PY18" s="76"/>
      <c r="PZ18" s="76"/>
      <c r="QA18" s="76"/>
      <c r="QB18" s="76"/>
      <c r="QC18" s="76"/>
      <c r="QD18" s="76"/>
      <c r="QE18" s="76"/>
      <c r="QF18" s="76"/>
      <c r="QG18" s="76"/>
      <c r="QH18" s="76"/>
      <c r="QI18" s="76"/>
      <c r="QJ18" s="76"/>
      <c r="QK18" s="76"/>
      <c r="QL18" s="76"/>
      <c r="QM18" s="76"/>
      <c r="QN18" s="76"/>
      <c r="QO18" s="76"/>
      <c r="QP18" s="76"/>
      <c r="QQ18" s="76"/>
      <c r="QR18" s="76"/>
      <c r="QS18" s="76"/>
      <c r="QT18" s="76"/>
      <c r="QU18" s="76"/>
      <c r="QV18" s="76"/>
      <c r="QW18" s="76"/>
      <c r="QX18" s="76"/>
      <c r="QY18" s="76"/>
      <c r="QZ18" s="76"/>
      <c r="RA18" s="76"/>
      <c r="RB18" s="76"/>
      <c r="RC18" s="76"/>
      <c r="RD18" s="76"/>
      <c r="RE18" s="76"/>
      <c r="RF18" s="76"/>
      <c r="RG18" s="76"/>
      <c r="RH18" s="76"/>
      <c r="RI18" s="76"/>
      <c r="RJ18" s="76"/>
      <c r="RK18" s="76"/>
      <c r="RL18" s="76"/>
      <c r="RM18" s="76"/>
      <c r="RN18" s="76"/>
      <c r="RO18" s="76"/>
      <c r="RP18" s="76"/>
      <c r="RQ18" s="76"/>
      <c r="RR18" s="76"/>
      <c r="RS18" s="76"/>
      <c r="RT18" s="76"/>
      <c r="RU18" s="76"/>
      <c r="RV18" s="76"/>
      <c r="RW18" s="76"/>
      <c r="RX18" s="76"/>
      <c r="RY18" s="76"/>
      <c r="RZ18" s="76"/>
      <c r="SA18" s="76"/>
      <c r="SB18" s="76"/>
      <c r="SC18" s="76"/>
      <c r="SD18" s="76"/>
      <c r="SE18" s="76"/>
      <c r="SF18" s="76"/>
      <c r="SG18" s="76"/>
      <c r="SH18" s="76"/>
      <c r="SI18" s="76"/>
      <c r="SJ18" s="76"/>
      <c r="SK18" s="76"/>
      <c r="SL18" s="76"/>
      <c r="SM18" s="76"/>
      <c r="SN18" s="76"/>
      <c r="SO18" s="76"/>
      <c r="SP18" s="76"/>
      <c r="SQ18" s="76"/>
      <c r="SR18" s="76"/>
      <c r="SS18" s="76"/>
      <c r="ST18" s="76"/>
      <c r="SU18" s="76"/>
      <c r="SV18" s="76"/>
      <c r="SW18" s="76"/>
      <c r="SX18" s="76"/>
      <c r="SY18" s="76"/>
      <c r="SZ18" s="76"/>
      <c r="TA18" s="76"/>
      <c r="TB18" s="76"/>
      <c r="TC18" s="76"/>
      <c r="TD18" s="76"/>
      <c r="TE18" s="76"/>
      <c r="TF18" s="76"/>
      <c r="TG18" s="76"/>
      <c r="TH18" s="76"/>
      <c r="TI18" s="76"/>
      <c r="TJ18" s="76"/>
      <c r="TK18" s="76"/>
      <c r="TL18" s="76"/>
      <c r="TM18" s="76"/>
      <c r="TN18" s="76"/>
      <c r="TO18" s="76"/>
      <c r="TP18" s="76"/>
      <c r="TQ18" s="76"/>
      <c r="TR18" s="76"/>
      <c r="TS18" s="76"/>
      <c r="TT18" s="76"/>
      <c r="TU18" s="76"/>
      <c r="TV18" s="76"/>
      <c r="TW18" s="76"/>
      <c r="TX18" s="76"/>
      <c r="TY18" s="76"/>
      <c r="TZ18" s="76"/>
      <c r="UA18" s="76"/>
      <c r="UB18" s="76"/>
      <c r="UC18" s="76"/>
      <c r="UD18" s="76"/>
      <c r="UE18" s="76"/>
      <c r="UF18" s="76"/>
      <c r="UG18" s="76"/>
      <c r="UH18" s="76"/>
      <c r="UI18" s="76"/>
      <c r="UJ18" s="76"/>
      <c r="UK18" s="76"/>
      <c r="UL18" s="76"/>
      <c r="UM18" s="76"/>
      <c r="UN18" s="76"/>
      <c r="UO18" s="76"/>
      <c r="UP18" s="76"/>
      <c r="UQ18" s="76"/>
      <c r="UR18" s="76"/>
      <c r="US18" s="76"/>
      <c r="UT18" s="76"/>
      <c r="UU18" s="76"/>
      <c r="UV18" s="76"/>
      <c r="UW18" s="76"/>
      <c r="UX18" s="76"/>
      <c r="UY18" s="76"/>
      <c r="UZ18" s="76"/>
      <c r="VA18" s="76"/>
      <c r="VB18" s="76"/>
      <c r="VC18" s="76"/>
      <c r="VD18" s="76"/>
      <c r="VE18" s="76"/>
      <c r="VF18" s="76"/>
      <c r="VG18" s="76"/>
      <c r="VH18" s="76"/>
      <c r="VI18" s="76"/>
      <c r="VJ18" s="76"/>
      <c r="VK18" s="76"/>
      <c r="VL18" s="76"/>
      <c r="VM18" s="76"/>
      <c r="VN18" s="76"/>
      <c r="VO18" s="76"/>
      <c r="VP18" s="76"/>
      <c r="VQ18" s="76"/>
      <c r="VR18" s="76"/>
      <c r="VS18" s="76"/>
      <c r="VT18" s="76"/>
      <c r="VU18" s="76"/>
      <c r="VV18" s="76"/>
      <c r="VW18" s="76"/>
      <c r="VX18" s="76"/>
      <c r="VY18" s="76"/>
      <c r="VZ18" s="76"/>
      <c r="WA18" s="76"/>
      <c r="WB18" s="76"/>
      <c r="WC18" s="76"/>
      <c r="WD18" s="76"/>
      <c r="WE18" s="76"/>
      <c r="WF18" s="76"/>
      <c r="WG18" s="76"/>
      <c r="WH18" s="76"/>
      <c r="WI18" s="76"/>
      <c r="WJ18" s="76"/>
      <c r="WK18" s="76"/>
      <c r="WL18" s="76"/>
      <c r="WM18" s="76"/>
      <c r="WN18" s="76"/>
      <c r="WO18" s="76"/>
      <c r="WP18" s="76"/>
      <c r="WQ18" s="76"/>
      <c r="WR18" s="76"/>
      <c r="WS18" s="76"/>
      <c r="WT18" s="76"/>
      <c r="WU18" s="76"/>
      <c r="WV18" s="76"/>
      <c r="WW18" s="76"/>
      <c r="WX18" s="76"/>
      <c r="WY18" s="76"/>
      <c r="WZ18" s="76"/>
      <c r="XA18" s="76"/>
      <c r="XB18" s="76"/>
      <c r="XC18" s="76"/>
      <c r="XD18" s="76"/>
      <c r="XE18" s="76"/>
      <c r="XF18" s="76"/>
      <c r="XG18" s="76"/>
      <c r="XH18" s="76"/>
      <c r="XI18" s="76"/>
      <c r="XJ18" s="76"/>
      <c r="XK18" s="76"/>
      <c r="XL18" s="76"/>
      <c r="XM18" s="76"/>
      <c r="XN18" s="76"/>
      <c r="XO18" s="76"/>
      <c r="XP18" s="76"/>
      <c r="XQ18" s="76"/>
      <c r="XR18" s="76"/>
      <c r="XS18" s="76"/>
      <c r="XT18" s="76"/>
      <c r="XU18" s="76"/>
      <c r="XV18" s="76"/>
      <c r="XW18" s="76"/>
      <c r="XX18" s="76"/>
      <c r="XY18" s="76"/>
      <c r="XZ18" s="76"/>
      <c r="YA18" s="76"/>
      <c r="YB18" s="76"/>
      <c r="YC18" s="76"/>
      <c r="YD18" s="76"/>
      <c r="YE18" s="76"/>
      <c r="YF18" s="76"/>
      <c r="YG18" s="76"/>
      <c r="YH18" s="76"/>
      <c r="YI18" s="76"/>
      <c r="YJ18" s="76"/>
      <c r="YK18" s="76"/>
      <c r="YL18" s="76"/>
      <c r="YM18" s="76"/>
      <c r="YN18" s="76"/>
      <c r="YO18" s="76"/>
      <c r="YP18" s="76"/>
      <c r="YQ18" s="76"/>
      <c r="YR18" s="76"/>
      <c r="YS18" s="76"/>
      <c r="YT18" s="76"/>
      <c r="YU18" s="76"/>
      <c r="YV18" s="76"/>
      <c r="YW18" s="76"/>
      <c r="YX18" s="76"/>
      <c r="YY18" s="76"/>
      <c r="YZ18" s="76"/>
      <c r="ZA18" s="76"/>
      <c r="ZB18" s="76"/>
      <c r="ZC18" s="76"/>
      <c r="ZD18" s="76"/>
      <c r="ZE18" s="76"/>
      <c r="ZF18" s="76"/>
      <c r="ZG18" s="76"/>
      <c r="ZH18" s="76"/>
      <c r="ZI18" s="76"/>
      <c r="ZJ18" s="76"/>
      <c r="ZK18" s="76"/>
      <c r="ZL18" s="76"/>
      <c r="ZM18" s="76"/>
      <c r="ZN18" s="76"/>
      <c r="ZO18" s="76"/>
      <c r="ZP18" s="76"/>
      <c r="ZQ18" s="76"/>
      <c r="ZR18" s="76"/>
      <c r="ZS18" s="76"/>
      <c r="ZT18" s="76"/>
      <c r="ZU18" s="76"/>
      <c r="ZV18" s="76"/>
      <c r="ZW18" s="76"/>
      <c r="ZX18" s="76"/>
      <c r="ZY18" s="76"/>
      <c r="ZZ18" s="76"/>
      <c r="AAA18" s="76"/>
      <c r="AAB18" s="76"/>
      <c r="AAC18" s="76"/>
      <c r="AAD18" s="76"/>
      <c r="AAE18" s="76"/>
      <c r="AAF18" s="76"/>
      <c r="AAG18" s="76"/>
      <c r="AAH18" s="76"/>
      <c r="AAI18" s="76"/>
      <c r="AAJ18" s="76"/>
      <c r="AAK18" s="76"/>
      <c r="AAL18" s="76"/>
      <c r="AAM18" s="76"/>
      <c r="AAN18" s="76"/>
      <c r="AAO18" s="76"/>
      <c r="AAP18" s="76"/>
      <c r="AAQ18" s="76"/>
      <c r="AAR18" s="76"/>
      <c r="AAS18" s="76"/>
      <c r="AAT18" s="76"/>
      <c r="AAU18" s="76"/>
      <c r="AAV18" s="76"/>
      <c r="AAW18" s="76"/>
      <c r="AAX18" s="76"/>
      <c r="AAY18" s="76"/>
      <c r="AAZ18" s="76"/>
      <c r="ABA18" s="76"/>
      <c r="ABB18" s="76"/>
      <c r="ABC18" s="76"/>
      <c r="ABD18" s="76"/>
      <c r="ABE18" s="76"/>
      <c r="ABF18" s="76"/>
      <c r="ABG18" s="76"/>
      <c r="ABH18" s="76"/>
      <c r="ABI18" s="76"/>
      <c r="ABJ18" s="76"/>
      <c r="ABK18" s="76"/>
      <c r="ABL18" s="76"/>
      <c r="ABM18" s="76"/>
      <c r="ABN18" s="76"/>
      <c r="ABO18" s="76"/>
      <c r="ABP18" s="76"/>
      <c r="ABQ18" s="76"/>
      <c r="ABR18" s="76"/>
      <c r="ABS18" s="76"/>
      <c r="ABT18" s="76"/>
      <c r="ABU18" s="76"/>
      <c r="ABV18" s="76"/>
      <c r="ABW18" s="76"/>
      <c r="ABX18" s="76"/>
      <c r="ABY18" s="76"/>
      <c r="ABZ18" s="76"/>
      <c r="ACA18" s="76"/>
      <c r="ACB18" s="76"/>
      <c r="ACC18" s="76"/>
      <c r="ACD18" s="76"/>
      <c r="ACE18" s="76"/>
      <c r="ACF18" s="76"/>
      <c r="ACG18" s="76"/>
      <c r="ACH18" s="76"/>
      <c r="ACI18" s="76"/>
      <c r="ACJ18" s="76"/>
      <c r="ACK18" s="76"/>
      <c r="ACL18" s="76"/>
      <c r="ACM18" s="76"/>
      <c r="ACN18" s="76"/>
      <c r="ACO18" s="76"/>
      <c r="ACP18" s="76"/>
      <c r="ACQ18" s="76"/>
      <c r="ACR18" s="76"/>
      <c r="ACS18" s="76"/>
      <c r="ACT18" s="76"/>
      <c r="ACU18" s="76"/>
      <c r="ACV18" s="76"/>
      <c r="ACW18" s="76"/>
      <c r="ACX18" s="76"/>
      <c r="ACY18" s="76"/>
      <c r="ACZ18" s="76"/>
      <c r="ADA18" s="76"/>
      <c r="ADB18" s="76"/>
      <c r="ADC18" s="76"/>
      <c r="ADD18" s="76"/>
      <c r="ADE18" s="76"/>
      <c r="ADF18" s="76"/>
      <c r="ADG18" s="76"/>
      <c r="ADH18" s="76"/>
      <c r="ADI18" s="76"/>
      <c r="ADJ18" s="76"/>
      <c r="ADK18" s="76"/>
      <c r="ADL18" s="76"/>
      <c r="ADM18" s="76"/>
      <c r="ADN18" s="76"/>
      <c r="ADO18" s="76"/>
      <c r="ADP18" s="76"/>
      <c r="ADQ18" s="76"/>
      <c r="ADR18" s="76"/>
      <c r="ADS18" s="76"/>
      <c r="ADT18" s="76"/>
      <c r="ADU18" s="76"/>
      <c r="ADV18" s="76"/>
      <c r="ADW18" s="76"/>
      <c r="ADX18" s="76"/>
      <c r="ADY18" s="76"/>
      <c r="ADZ18" s="76"/>
      <c r="AEA18" s="76"/>
      <c r="AEB18" s="76"/>
      <c r="AEC18" s="76"/>
      <c r="AED18" s="76"/>
      <c r="AEE18" s="76"/>
      <c r="AEF18" s="76"/>
      <c r="AEG18" s="76"/>
      <c r="AEH18" s="76"/>
      <c r="AEI18" s="76"/>
      <c r="AEJ18" s="76"/>
      <c r="AEK18" s="76"/>
      <c r="AEL18" s="76"/>
      <c r="AEM18" s="76"/>
      <c r="AEN18" s="76"/>
      <c r="AEO18" s="76"/>
      <c r="AEP18" s="76"/>
      <c r="AEQ18" s="76"/>
      <c r="AER18" s="76"/>
      <c r="AES18" s="76"/>
      <c r="AET18" s="76"/>
      <c r="AEU18" s="76"/>
      <c r="AEV18" s="76"/>
      <c r="AEW18" s="76"/>
      <c r="AEX18" s="76"/>
      <c r="AEY18" s="76"/>
      <c r="AEZ18" s="76"/>
      <c r="AFA18" s="76"/>
      <c r="AFB18" s="76"/>
      <c r="AFC18" s="76"/>
      <c r="AFD18" s="76"/>
      <c r="AFE18" s="76"/>
      <c r="AFF18" s="76"/>
      <c r="AFG18" s="76"/>
      <c r="AFH18" s="76"/>
      <c r="AFI18" s="76"/>
      <c r="AFJ18" s="76"/>
      <c r="AFK18" s="76"/>
      <c r="AFL18" s="76"/>
      <c r="AFM18" s="76"/>
      <c r="AFN18" s="76"/>
      <c r="AFO18" s="76"/>
      <c r="AFP18" s="76"/>
      <c r="AFQ18" s="76"/>
      <c r="AFR18" s="76"/>
      <c r="AFS18" s="76"/>
      <c r="AFT18" s="76"/>
      <c r="AFU18" s="76"/>
      <c r="AFV18" s="76"/>
      <c r="AFW18" s="76"/>
      <c r="AFX18" s="76"/>
      <c r="AFY18" s="76"/>
      <c r="AFZ18" s="76"/>
      <c r="AGA18" s="76"/>
      <c r="AGB18" s="76"/>
      <c r="AGC18" s="76"/>
      <c r="AGD18" s="76"/>
      <c r="AGE18" s="76"/>
      <c r="AGF18" s="76"/>
      <c r="AGG18" s="76"/>
      <c r="AGH18" s="76"/>
      <c r="AGI18" s="76"/>
      <c r="AGJ18" s="76"/>
      <c r="AGK18" s="76"/>
      <c r="AGL18" s="76"/>
      <c r="AGM18" s="76"/>
      <c r="AGN18" s="76"/>
      <c r="AGO18" s="76"/>
      <c r="AGP18" s="76"/>
      <c r="AGQ18" s="76"/>
      <c r="AGR18" s="76"/>
      <c r="AGS18" s="76"/>
      <c r="AGT18" s="76"/>
      <c r="AGU18" s="76"/>
      <c r="AGV18" s="76"/>
      <c r="AGW18" s="76"/>
      <c r="AGX18" s="76"/>
      <c r="AGY18" s="76"/>
      <c r="AGZ18" s="76"/>
      <c r="AHA18" s="76"/>
      <c r="AHB18" s="76"/>
      <c r="AHC18" s="76"/>
      <c r="AHD18" s="76"/>
      <c r="AHE18" s="76"/>
      <c r="AHF18" s="76"/>
      <c r="AHG18" s="76"/>
      <c r="AHH18" s="76"/>
      <c r="AHI18" s="76"/>
      <c r="AHJ18" s="76"/>
      <c r="AHK18" s="76"/>
      <c r="AHL18" s="76"/>
      <c r="AHM18" s="76"/>
      <c r="AHN18" s="76"/>
      <c r="AHO18" s="76"/>
      <c r="AHP18" s="76"/>
      <c r="AHQ18" s="76"/>
      <c r="AHR18" s="76"/>
      <c r="AHS18" s="76"/>
      <c r="AHT18" s="76"/>
      <c r="AHU18" s="76"/>
      <c r="AHV18" s="76"/>
      <c r="AHW18" s="76"/>
      <c r="AHX18" s="76"/>
      <c r="AHY18" s="76"/>
      <c r="AHZ18" s="76"/>
      <c r="AIA18" s="76"/>
      <c r="AIB18" s="76"/>
      <c r="AIC18" s="76"/>
      <c r="AID18" s="76"/>
      <c r="AIE18" s="76"/>
      <c r="AIF18" s="76"/>
      <c r="AIG18" s="76"/>
      <c r="AIH18" s="76"/>
      <c r="AII18" s="76"/>
      <c r="AIJ18" s="76"/>
      <c r="AIK18" s="76"/>
      <c r="AIL18" s="76"/>
      <c r="AIM18" s="76"/>
      <c r="AIN18" s="76"/>
      <c r="AIO18" s="76"/>
      <c r="AIP18" s="76"/>
      <c r="AIQ18" s="76"/>
      <c r="AIR18" s="76"/>
      <c r="AIS18" s="76"/>
      <c r="AIT18" s="76"/>
      <c r="AIU18" s="76"/>
      <c r="AIV18" s="76"/>
      <c r="AIW18" s="76"/>
      <c r="AIX18" s="76"/>
      <c r="AIY18" s="76"/>
      <c r="AIZ18" s="76"/>
      <c r="AJA18" s="76"/>
      <c r="AJB18" s="76"/>
      <c r="AJC18" s="76"/>
      <c r="AJD18" s="76"/>
      <c r="AJE18" s="76"/>
      <c r="AJF18" s="76"/>
      <c r="AJG18" s="76"/>
      <c r="AJH18" s="76"/>
      <c r="AJI18" s="76"/>
      <c r="AJJ18" s="76"/>
      <c r="AJK18" s="76"/>
      <c r="AJL18" s="76"/>
      <c r="AJM18" s="76"/>
      <c r="AJN18" s="76"/>
      <c r="AJO18" s="76"/>
      <c r="AJP18" s="76"/>
      <c r="AJQ18" s="76"/>
      <c r="AJR18" s="76"/>
      <c r="AJS18" s="76"/>
      <c r="AJT18" s="76"/>
      <c r="AJU18" s="76"/>
      <c r="AJV18" s="76"/>
      <c r="AJW18" s="76"/>
      <c r="AJX18" s="76"/>
      <c r="AJY18" s="76"/>
      <c r="AJZ18" s="76"/>
      <c r="AKA18" s="76"/>
      <c r="AKB18" s="76"/>
      <c r="AKC18" s="76"/>
      <c r="AKD18" s="76"/>
      <c r="AKE18" s="76"/>
      <c r="AKF18" s="76"/>
      <c r="AKG18" s="76"/>
      <c r="AKH18" s="76"/>
      <c r="AKI18" s="76"/>
      <c r="AKJ18" s="76"/>
      <c r="AKK18" s="76"/>
      <c r="AKL18" s="76"/>
      <c r="AKM18" s="76"/>
      <c r="AKN18" s="76"/>
      <c r="AKO18" s="76"/>
      <c r="AKP18" s="76"/>
      <c r="AKQ18" s="76"/>
      <c r="AKR18" s="76"/>
      <c r="AKS18" s="76"/>
      <c r="AKT18" s="76"/>
      <c r="AKU18" s="76"/>
      <c r="AKV18" s="76"/>
      <c r="AKW18" s="76"/>
      <c r="AKX18" s="76"/>
      <c r="AKY18" s="76"/>
      <c r="AKZ18" s="76"/>
      <c r="ALA18" s="76"/>
      <c r="ALB18" s="76"/>
      <c r="ALC18" s="76"/>
      <c r="ALD18" s="76"/>
      <c r="ALE18" s="76"/>
      <c r="ALF18" s="76"/>
      <c r="ALG18" s="76"/>
      <c r="ALH18" s="76"/>
      <c r="ALI18" s="76"/>
      <c r="ALJ18" s="76"/>
      <c r="ALK18" s="76"/>
      <c r="ALL18" s="76"/>
      <c r="ALM18" s="76"/>
      <c r="ALN18" s="76"/>
      <c r="ALO18" s="76"/>
      <c r="ALP18" s="76"/>
      <c r="ALQ18" s="76"/>
      <c r="ALR18" s="76"/>
      <c r="ALS18" s="76"/>
      <c r="ALT18" s="76"/>
      <c r="ALU18" s="76"/>
      <c r="ALV18" s="76"/>
      <c r="ALW18" s="76"/>
      <c r="ALX18" s="76"/>
      <c r="ALY18" s="76"/>
      <c r="ALZ18" s="76"/>
      <c r="AMA18" s="76"/>
      <c r="AMB18" s="76"/>
      <c r="AMC18" s="76"/>
      <c r="AMD18" s="76"/>
      <c r="AME18" s="76"/>
      <c r="AMF18" s="76"/>
      <c r="AMG18" s="76"/>
      <c r="AMH18" s="76"/>
      <c r="AMI18" s="76"/>
      <c r="AMJ18" s="76"/>
    </row>
    <row r="19" spans="1:1024" s="60" customFormat="1">
      <c r="A19" s="18">
        <v>9</v>
      </c>
      <c r="B19" s="34" t="str">
        <f>брянск!O13</f>
        <v>ПС 110/6 кВ Энергоремонт</v>
      </c>
      <c r="C19" s="63">
        <f>брянск!P13</f>
        <v>10</v>
      </c>
      <c r="D19" s="63"/>
      <c r="E19" s="79"/>
      <c r="F19" s="65"/>
      <c r="G19" s="65"/>
      <c r="H19" s="64"/>
      <c r="I19" s="65"/>
      <c r="J19" s="66"/>
      <c r="K19" s="2"/>
      <c r="L19" s="82">
        <f>брянск!Y13</f>
        <v>-4.4774000000000003</v>
      </c>
      <c r="M19" s="18" t="s">
        <v>25</v>
      </c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  <c r="IP19" s="76"/>
      <c r="IQ19" s="76"/>
      <c r="IR19" s="76"/>
      <c r="IS19" s="76"/>
      <c r="IT19" s="76"/>
      <c r="IU19" s="76"/>
      <c r="IV19" s="76"/>
      <c r="IW19" s="76"/>
      <c r="IX19" s="76"/>
      <c r="IY19" s="76"/>
      <c r="IZ19" s="76"/>
      <c r="JA19" s="76"/>
      <c r="JB19" s="76"/>
      <c r="JC19" s="76"/>
      <c r="JD19" s="76"/>
      <c r="JE19" s="76"/>
      <c r="JF19" s="76"/>
      <c r="JG19" s="76"/>
      <c r="JH19" s="76"/>
      <c r="JI19" s="76"/>
      <c r="JJ19" s="76"/>
      <c r="JK19" s="76"/>
      <c r="JL19" s="76"/>
      <c r="JM19" s="76"/>
      <c r="JN19" s="76"/>
      <c r="JO19" s="76"/>
      <c r="JP19" s="76"/>
      <c r="JQ19" s="76"/>
      <c r="JR19" s="76"/>
      <c r="JS19" s="76"/>
      <c r="JT19" s="76"/>
      <c r="JU19" s="76"/>
      <c r="JV19" s="76"/>
      <c r="JW19" s="76"/>
      <c r="JX19" s="76"/>
      <c r="JY19" s="76"/>
      <c r="JZ19" s="76"/>
      <c r="KA19" s="76"/>
      <c r="KB19" s="76"/>
      <c r="KC19" s="76"/>
      <c r="KD19" s="76"/>
      <c r="KE19" s="76"/>
      <c r="KF19" s="76"/>
      <c r="KG19" s="76"/>
      <c r="KH19" s="76"/>
      <c r="KI19" s="76"/>
      <c r="KJ19" s="76"/>
      <c r="KK19" s="76"/>
      <c r="KL19" s="76"/>
      <c r="KM19" s="76"/>
      <c r="KN19" s="76"/>
      <c r="KO19" s="76"/>
      <c r="KP19" s="76"/>
      <c r="KQ19" s="76"/>
      <c r="KR19" s="76"/>
      <c r="KS19" s="76"/>
      <c r="KT19" s="76"/>
      <c r="KU19" s="76"/>
      <c r="KV19" s="76"/>
      <c r="KW19" s="76"/>
      <c r="KX19" s="76"/>
      <c r="KY19" s="76"/>
      <c r="KZ19" s="76"/>
      <c r="LA19" s="76"/>
      <c r="LB19" s="76"/>
      <c r="LC19" s="76"/>
      <c r="LD19" s="76"/>
      <c r="LE19" s="76"/>
      <c r="LF19" s="76"/>
      <c r="LG19" s="76"/>
      <c r="LH19" s="76"/>
      <c r="LI19" s="76"/>
      <c r="LJ19" s="76"/>
      <c r="LK19" s="76"/>
      <c r="LL19" s="76"/>
      <c r="LM19" s="76"/>
      <c r="LN19" s="76"/>
      <c r="LO19" s="76"/>
      <c r="LP19" s="76"/>
      <c r="LQ19" s="76"/>
      <c r="LR19" s="76"/>
      <c r="LS19" s="76"/>
      <c r="LT19" s="76"/>
      <c r="LU19" s="76"/>
      <c r="LV19" s="76"/>
      <c r="LW19" s="76"/>
      <c r="LX19" s="76"/>
      <c r="LY19" s="76"/>
      <c r="LZ19" s="76"/>
      <c r="MA19" s="76"/>
      <c r="MB19" s="76"/>
      <c r="MC19" s="76"/>
      <c r="MD19" s="76"/>
      <c r="ME19" s="76"/>
      <c r="MF19" s="76"/>
      <c r="MG19" s="76"/>
      <c r="MH19" s="76"/>
      <c r="MI19" s="76"/>
      <c r="MJ19" s="76"/>
      <c r="MK19" s="76"/>
      <c r="ML19" s="76"/>
      <c r="MM19" s="76"/>
      <c r="MN19" s="76"/>
      <c r="MO19" s="76"/>
      <c r="MP19" s="76"/>
      <c r="MQ19" s="76"/>
      <c r="MR19" s="76"/>
      <c r="MS19" s="76"/>
      <c r="MT19" s="76"/>
      <c r="MU19" s="76"/>
      <c r="MV19" s="76"/>
      <c r="MW19" s="76"/>
      <c r="MX19" s="76"/>
      <c r="MY19" s="76"/>
      <c r="MZ19" s="76"/>
      <c r="NA19" s="76"/>
      <c r="NB19" s="76"/>
      <c r="NC19" s="76"/>
      <c r="ND19" s="76"/>
      <c r="NE19" s="76"/>
      <c r="NF19" s="76"/>
      <c r="NG19" s="76"/>
      <c r="NH19" s="76"/>
      <c r="NI19" s="76"/>
      <c r="NJ19" s="76"/>
      <c r="NK19" s="76"/>
      <c r="NL19" s="76"/>
      <c r="NM19" s="76"/>
      <c r="NN19" s="76"/>
      <c r="NO19" s="76"/>
      <c r="NP19" s="76"/>
      <c r="NQ19" s="76"/>
      <c r="NR19" s="76"/>
      <c r="NS19" s="76"/>
      <c r="NT19" s="76"/>
      <c r="NU19" s="76"/>
      <c r="NV19" s="76"/>
      <c r="NW19" s="76"/>
      <c r="NX19" s="76"/>
      <c r="NY19" s="76"/>
      <c r="NZ19" s="76"/>
      <c r="OA19" s="76"/>
      <c r="OB19" s="76"/>
      <c r="OC19" s="76"/>
      <c r="OD19" s="76"/>
      <c r="OE19" s="76"/>
      <c r="OF19" s="76"/>
      <c r="OG19" s="76"/>
      <c r="OH19" s="76"/>
      <c r="OI19" s="76"/>
      <c r="OJ19" s="76"/>
      <c r="OK19" s="76"/>
      <c r="OL19" s="76"/>
      <c r="OM19" s="76"/>
      <c r="ON19" s="76"/>
      <c r="OO19" s="76"/>
      <c r="OP19" s="76"/>
      <c r="OQ19" s="76"/>
      <c r="OR19" s="76"/>
      <c r="OS19" s="76"/>
      <c r="OT19" s="76"/>
      <c r="OU19" s="76"/>
      <c r="OV19" s="76"/>
      <c r="OW19" s="76"/>
      <c r="OX19" s="76"/>
      <c r="OY19" s="76"/>
      <c r="OZ19" s="76"/>
      <c r="PA19" s="76"/>
      <c r="PB19" s="76"/>
      <c r="PC19" s="76"/>
      <c r="PD19" s="76"/>
      <c r="PE19" s="76"/>
      <c r="PF19" s="76"/>
      <c r="PG19" s="76"/>
      <c r="PH19" s="76"/>
      <c r="PI19" s="76"/>
      <c r="PJ19" s="76"/>
      <c r="PK19" s="76"/>
      <c r="PL19" s="76"/>
      <c r="PM19" s="76"/>
      <c r="PN19" s="76"/>
      <c r="PO19" s="76"/>
      <c r="PP19" s="76"/>
      <c r="PQ19" s="76"/>
      <c r="PR19" s="76"/>
      <c r="PS19" s="76"/>
      <c r="PT19" s="76"/>
      <c r="PU19" s="76"/>
      <c r="PV19" s="76"/>
      <c r="PW19" s="76"/>
      <c r="PX19" s="76"/>
      <c r="PY19" s="76"/>
      <c r="PZ19" s="76"/>
      <c r="QA19" s="76"/>
      <c r="QB19" s="76"/>
      <c r="QC19" s="76"/>
      <c r="QD19" s="76"/>
      <c r="QE19" s="76"/>
      <c r="QF19" s="76"/>
      <c r="QG19" s="76"/>
      <c r="QH19" s="76"/>
      <c r="QI19" s="76"/>
      <c r="QJ19" s="76"/>
      <c r="QK19" s="76"/>
      <c r="QL19" s="76"/>
      <c r="QM19" s="76"/>
      <c r="QN19" s="76"/>
      <c r="QO19" s="76"/>
      <c r="QP19" s="76"/>
      <c r="QQ19" s="76"/>
      <c r="QR19" s="76"/>
      <c r="QS19" s="76"/>
      <c r="QT19" s="76"/>
      <c r="QU19" s="76"/>
      <c r="QV19" s="76"/>
      <c r="QW19" s="76"/>
      <c r="QX19" s="76"/>
      <c r="QY19" s="76"/>
      <c r="QZ19" s="76"/>
      <c r="RA19" s="76"/>
      <c r="RB19" s="76"/>
      <c r="RC19" s="76"/>
      <c r="RD19" s="76"/>
      <c r="RE19" s="76"/>
      <c r="RF19" s="76"/>
      <c r="RG19" s="76"/>
      <c r="RH19" s="76"/>
      <c r="RI19" s="76"/>
      <c r="RJ19" s="76"/>
      <c r="RK19" s="76"/>
      <c r="RL19" s="76"/>
      <c r="RM19" s="76"/>
      <c r="RN19" s="76"/>
      <c r="RO19" s="76"/>
      <c r="RP19" s="76"/>
      <c r="RQ19" s="76"/>
      <c r="RR19" s="76"/>
      <c r="RS19" s="76"/>
      <c r="RT19" s="76"/>
      <c r="RU19" s="76"/>
      <c r="RV19" s="76"/>
      <c r="RW19" s="76"/>
      <c r="RX19" s="76"/>
      <c r="RY19" s="76"/>
      <c r="RZ19" s="76"/>
      <c r="SA19" s="76"/>
      <c r="SB19" s="76"/>
      <c r="SC19" s="76"/>
      <c r="SD19" s="76"/>
      <c r="SE19" s="76"/>
      <c r="SF19" s="76"/>
      <c r="SG19" s="76"/>
      <c r="SH19" s="76"/>
      <c r="SI19" s="76"/>
      <c r="SJ19" s="76"/>
      <c r="SK19" s="76"/>
      <c r="SL19" s="76"/>
      <c r="SM19" s="76"/>
      <c r="SN19" s="76"/>
      <c r="SO19" s="76"/>
      <c r="SP19" s="76"/>
      <c r="SQ19" s="76"/>
      <c r="SR19" s="76"/>
      <c r="SS19" s="76"/>
      <c r="ST19" s="76"/>
      <c r="SU19" s="76"/>
      <c r="SV19" s="76"/>
      <c r="SW19" s="76"/>
      <c r="SX19" s="76"/>
      <c r="SY19" s="76"/>
      <c r="SZ19" s="76"/>
      <c r="TA19" s="76"/>
      <c r="TB19" s="76"/>
      <c r="TC19" s="76"/>
      <c r="TD19" s="76"/>
      <c r="TE19" s="76"/>
      <c r="TF19" s="76"/>
      <c r="TG19" s="76"/>
      <c r="TH19" s="76"/>
      <c r="TI19" s="76"/>
      <c r="TJ19" s="76"/>
      <c r="TK19" s="76"/>
      <c r="TL19" s="76"/>
      <c r="TM19" s="76"/>
      <c r="TN19" s="76"/>
      <c r="TO19" s="76"/>
      <c r="TP19" s="76"/>
      <c r="TQ19" s="76"/>
      <c r="TR19" s="76"/>
      <c r="TS19" s="76"/>
      <c r="TT19" s="76"/>
      <c r="TU19" s="76"/>
      <c r="TV19" s="76"/>
      <c r="TW19" s="76"/>
      <c r="TX19" s="76"/>
      <c r="TY19" s="76"/>
      <c r="TZ19" s="76"/>
      <c r="UA19" s="76"/>
      <c r="UB19" s="76"/>
      <c r="UC19" s="76"/>
      <c r="UD19" s="76"/>
      <c r="UE19" s="76"/>
      <c r="UF19" s="76"/>
      <c r="UG19" s="76"/>
      <c r="UH19" s="76"/>
      <c r="UI19" s="76"/>
      <c r="UJ19" s="76"/>
      <c r="UK19" s="76"/>
      <c r="UL19" s="76"/>
      <c r="UM19" s="76"/>
      <c r="UN19" s="76"/>
      <c r="UO19" s="76"/>
      <c r="UP19" s="76"/>
      <c r="UQ19" s="76"/>
      <c r="UR19" s="76"/>
      <c r="US19" s="76"/>
      <c r="UT19" s="76"/>
      <c r="UU19" s="76"/>
      <c r="UV19" s="76"/>
      <c r="UW19" s="76"/>
      <c r="UX19" s="76"/>
      <c r="UY19" s="76"/>
      <c r="UZ19" s="76"/>
      <c r="VA19" s="76"/>
      <c r="VB19" s="76"/>
      <c r="VC19" s="76"/>
      <c r="VD19" s="76"/>
      <c r="VE19" s="76"/>
      <c r="VF19" s="76"/>
      <c r="VG19" s="76"/>
      <c r="VH19" s="76"/>
      <c r="VI19" s="76"/>
      <c r="VJ19" s="76"/>
      <c r="VK19" s="76"/>
      <c r="VL19" s="76"/>
      <c r="VM19" s="76"/>
      <c r="VN19" s="76"/>
      <c r="VO19" s="76"/>
      <c r="VP19" s="76"/>
      <c r="VQ19" s="76"/>
      <c r="VR19" s="76"/>
      <c r="VS19" s="76"/>
      <c r="VT19" s="76"/>
      <c r="VU19" s="76"/>
      <c r="VV19" s="76"/>
      <c r="VW19" s="76"/>
      <c r="VX19" s="76"/>
      <c r="VY19" s="76"/>
      <c r="VZ19" s="76"/>
      <c r="WA19" s="76"/>
      <c r="WB19" s="76"/>
      <c r="WC19" s="76"/>
      <c r="WD19" s="76"/>
      <c r="WE19" s="76"/>
      <c r="WF19" s="76"/>
      <c r="WG19" s="76"/>
      <c r="WH19" s="76"/>
      <c r="WI19" s="76"/>
      <c r="WJ19" s="76"/>
      <c r="WK19" s="76"/>
      <c r="WL19" s="76"/>
      <c r="WM19" s="76"/>
      <c r="WN19" s="76"/>
      <c r="WO19" s="76"/>
      <c r="WP19" s="76"/>
      <c r="WQ19" s="76"/>
      <c r="WR19" s="76"/>
      <c r="WS19" s="76"/>
      <c r="WT19" s="76"/>
      <c r="WU19" s="76"/>
      <c r="WV19" s="76"/>
      <c r="WW19" s="76"/>
      <c r="WX19" s="76"/>
      <c r="WY19" s="76"/>
      <c r="WZ19" s="76"/>
      <c r="XA19" s="76"/>
      <c r="XB19" s="76"/>
      <c r="XC19" s="76"/>
      <c r="XD19" s="76"/>
      <c r="XE19" s="76"/>
      <c r="XF19" s="76"/>
      <c r="XG19" s="76"/>
      <c r="XH19" s="76"/>
      <c r="XI19" s="76"/>
      <c r="XJ19" s="76"/>
      <c r="XK19" s="76"/>
      <c r="XL19" s="76"/>
      <c r="XM19" s="76"/>
      <c r="XN19" s="76"/>
      <c r="XO19" s="76"/>
      <c r="XP19" s="76"/>
      <c r="XQ19" s="76"/>
      <c r="XR19" s="76"/>
      <c r="XS19" s="76"/>
      <c r="XT19" s="76"/>
      <c r="XU19" s="76"/>
      <c r="XV19" s="76"/>
      <c r="XW19" s="76"/>
      <c r="XX19" s="76"/>
      <c r="XY19" s="76"/>
      <c r="XZ19" s="76"/>
      <c r="YA19" s="76"/>
      <c r="YB19" s="76"/>
      <c r="YC19" s="76"/>
      <c r="YD19" s="76"/>
      <c r="YE19" s="76"/>
      <c r="YF19" s="76"/>
      <c r="YG19" s="76"/>
      <c r="YH19" s="76"/>
      <c r="YI19" s="76"/>
      <c r="YJ19" s="76"/>
      <c r="YK19" s="76"/>
      <c r="YL19" s="76"/>
      <c r="YM19" s="76"/>
      <c r="YN19" s="76"/>
      <c r="YO19" s="76"/>
      <c r="YP19" s="76"/>
      <c r="YQ19" s="76"/>
      <c r="YR19" s="76"/>
      <c r="YS19" s="76"/>
      <c r="YT19" s="76"/>
      <c r="YU19" s="76"/>
      <c r="YV19" s="76"/>
      <c r="YW19" s="76"/>
      <c r="YX19" s="76"/>
      <c r="YY19" s="76"/>
      <c r="YZ19" s="76"/>
      <c r="ZA19" s="76"/>
      <c r="ZB19" s="76"/>
      <c r="ZC19" s="76"/>
      <c r="ZD19" s="76"/>
      <c r="ZE19" s="76"/>
      <c r="ZF19" s="76"/>
      <c r="ZG19" s="76"/>
      <c r="ZH19" s="76"/>
      <c r="ZI19" s="76"/>
      <c r="ZJ19" s="76"/>
      <c r="ZK19" s="76"/>
      <c r="ZL19" s="76"/>
      <c r="ZM19" s="76"/>
      <c r="ZN19" s="76"/>
      <c r="ZO19" s="76"/>
      <c r="ZP19" s="76"/>
      <c r="ZQ19" s="76"/>
      <c r="ZR19" s="76"/>
      <c r="ZS19" s="76"/>
      <c r="ZT19" s="76"/>
      <c r="ZU19" s="76"/>
      <c r="ZV19" s="76"/>
      <c r="ZW19" s="76"/>
      <c r="ZX19" s="76"/>
      <c r="ZY19" s="76"/>
      <c r="ZZ19" s="76"/>
      <c r="AAA19" s="76"/>
      <c r="AAB19" s="76"/>
      <c r="AAC19" s="76"/>
      <c r="AAD19" s="76"/>
      <c r="AAE19" s="76"/>
      <c r="AAF19" s="76"/>
      <c r="AAG19" s="76"/>
      <c r="AAH19" s="76"/>
      <c r="AAI19" s="76"/>
      <c r="AAJ19" s="76"/>
      <c r="AAK19" s="76"/>
      <c r="AAL19" s="76"/>
      <c r="AAM19" s="76"/>
      <c r="AAN19" s="76"/>
      <c r="AAO19" s="76"/>
      <c r="AAP19" s="76"/>
      <c r="AAQ19" s="76"/>
      <c r="AAR19" s="76"/>
      <c r="AAS19" s="76"/>
      <c r="AAT19" s="76"/>
      <c r="AAU19" s="76"/>
      <c r="AAV19" s="76"/>
      <c r="AAW19" s="76"/>
      <c r="AAX19" s="76"/>
      <c r="AAY19" s="76"/>
      <c r="AAZ19" s="76"/>
      <c r="ABA19" s="76"/>
      <c r="ABB19" s="76"/>
      <c r="ABC19" s="76"/>
      <c r="ABD19" s="76"/>
      <c r="ABE19" s="76"/>
      <c r="ABF19" s="76"/>
      <c r="ABG19" s="76"/>
      <c r="ABH19" s="76"/>
      <c r="ABI19" s="76"/>
      <c r="ABJ19" s="76"/>
      <c r="ABK19" s="76"/>
      <c r="ABL19" s="76"/>
      <c r="ABM19" s="76"/>
      <c r="ABN19" s="76"/>
      <c r="ABO19" s="76"/>
      <c r="ABP19" s="76"/>
      <c r="ABQ19" s="76"/>
      <c r="ABR19" s="76"/>
      <c r="ABS19" s="76"/>
      <c r="ABT19" s="76"/>
      <c r="ABU19" s="76"/>
      <c r="ABV19" s="76"/>
      <c r="ABW19" s="76"/>
      <c r="ABX19" s="76"/>
      <c r="ABY19" s="76"/>
      <c r="ABZ19" s="76"/>
      <c r="ACA19" s="76"/>
      <c r="ACB19" s="76"/>
      <c r="ACC19" s="76"/>
      <c r="ACD19" s="76"/>
      <c r="ACE19" s="76"/>
      <c r="ACF19" s="76"/>
      <c r="ACG19" s="76"/>
      <c r="ACH19" s="76"/>
      <c r="ACI19" s="76"/>
      <c r="ACJ19" s="76"/>
      <c r="ACK19" s="76"/>
      <c r="ACL19" s="76"/>
      <c r="ACM19" s="76"/>
      <c r="ACN19" s="76"/>
      <c r="ACO19" s="76"/>
      <c r="ACP19" s="76"/>
      <c r="ACQ19" s="76"/>
      <c r="ACR19" s="76"/>
      <c r="ACS19" s="76"/>
      <c r="ACT19" s="76"/>
      <c r="ACU19" s="76"/>
      <c r="ACV19" s="76"/>
      <c r="ACW19" s="76"/>
      <c r="ACX19" s="76"/>
      <c r="ACY19" s="76"/>
      <c r="ACZ19" s="76"/>
      <c r="ADA19" s="76"/>
      <c r="ADB19" s="76"/>
      <c r="ADC19" s="76"/>
      <c r="ADD19" s="76"/>
      <c r="ADE19" s="76"/>
      <c r="ADF19" s="76"/>
      <c r="ADG19" s="76"/>
      <c r="ADH19" s="76"/>
      <c r="ADI19" s="76"/>
      <c r="ADJ19" s="76"/>
      <c r="ADK19" s="76"/>
      <c r="ADL19" s="76"/>
      <c r="ADM19" s="76"/>
      <c r="ADN19" s="76"/>
      <c r="ADO19" s="76"/>
      <c r="ADP19" s="76"/>
      <c r="ADQ19" s="76"/>
      <c r="ADR19" s="76"/>
      <c r="ADS19" s="76"/>
      <c r="ADT19" s="76"/>
      <c r="ADU19" s="76"/>
      <c r="ADV19" s="76"/>
      <c r="ADW19" s="76"/>
      <c r="ADX19" s="76"/>
      <c r="ADY19" s="76"/>
      <c r="ADZ19" s="76"/>
      <c r="AEA19" s="76"/>
      <c r="AEB19" s="76"/>
      <c r="AEC19" s="76"/>
      <c r="AED19" s="76"/>
      <c r="AEE19" s="76"/>
      <c r="AEF19" s="76"/>
      <c r="AEG19" s="76"/>
      <c r="AEH19" s="76"/>
      <c r="AEI19" s="76"/>
      <c r="AEJ19" s="76"/>
      <c r="AEK19" s="76"/>
      <c r="AEL19" s="76"/>
      <c r="AEM19" s="76"/>
      <c r="AEN19" s="76"/>
      <c r="AEO19" s="76"/>
      <c r="AEP19" s="76"/>
      <c r="AEQ19" s="76"/>
      <c r="AER19" s="76"/>
      <c r="AES19" s="76"/>
      <c r="AET19" s="76"/>
      <c r="AEU19" s="76"/>
      <c r="AEV19" s="76"/>
      <c r="AEW19" s="76"/>
      <c r="AEX19" s="76"/>
      <c r="AEY19" s="76"/>
      <c r="AEZ19" s="76"/>
      <c r="AFA19" s="76"/>
      <c r="AFB19" s="76"/>
      <c r="AFC19" s="76"/>
      <c r="AFD19" s="76"/>
      <c r="AFE19" s="76"/>
      <c r="AFF19" s="76"/>
      <c r="AFG19" s="76"/>
      <c r="AFH19" s="76"/>
      <c r="AFI19" s="76"/>
      <c r="AFJ19" s="76"/>
      <c r="AFK19" s="76"/>
      <c r="AFL19" s="76"/>
      <c r="AFM19" s="76"/>
      <c r="AFN19" s="76"/>
      <c r="AFO19" s="76"/>
      <c r="AFP19" s="76"/>
      <c r="AFQ19" s="76"/>
      <c r="AFR19" s="76"/>
      <c r="AFS19" s="76"/>
      <c r="AFT19" s="76"/>
      <c r="AFU19" s="76"/>
      <c r="AFV19" s="76"/>
      <c r="AFW19" s="76"/>
      <c r="AFX19" s="76"/>
      <c r="AFY19" s="76"/>
      <c r="AFZ19" s="76"/>
      <c r="AGA19" s="76"/>
      <c r="AGB19" s="76"/>
      <c r="AGC19" s="76"/>
      <c r="AGD19" s="76"/>
      <c r="AGE19" s="76"/>
      <c r="AGF19" s="76"/>
      <c r="AGG19" s="76"/>
      <c r="AGH19" s="76"/>
      <c r="AGI19" s="76"/>
      <c r="AGJ19" s="76"/>
      <c r="AGK19" s="76"/>
      <c r="AGL19" s="76"/>
      <c r="AGM19" s="76"/>
      <c r="AGN19" s="76"/>
      <c r="AGO19" s="76"/>
      <c r="AGP19" s="76"/>
      <c r="AGQ19" s="76"/>
      <c r="AGR19" s="76"/>
      <c r="AGS19" s="76"/>
      <c r="AGT19" s="76"/>
      <c r="AGU19" s="76"/>
      <c r="AGV19" s="76"/>
      <c r="AGW19" s="76"/>
      <c r="AGX19" s="76"/>
      <c r="AGY19" s="76"/>
      <c r="AGZ19" s="76"/>
      <c r="AHA19" s="76"/>
      <c r="AHB19" s="76"/>
      <c r="AHC19" s="76"/>
      <c r="AHD19" s="76"/>
      <c r="AHE19" s="76"/>
      <c r="AHF19" s="76"/>
      <c r="AHG19" s="76"/>
      <c r="AHH19" s="76"/>
      <c r="AHI19" s="76"/>
      <c r="AHJ19" s="76"/>
      <c r="AHK19" s="76"/>
      <c r="AHL19" s="76"/>
      <c r="AHM19" s="76"/>
      <c r="AHN19" s="76"/>
      <c r="AHO19" s="76"/>
      <c r="AHP19" s="76"/>
      <c r="AHQ19" s="76"/>
      <c r="AHR19" s="76"/>
      <c r="AHS19" s="76"/>
      <c r="AHT19" s="76"/>
      <c r="AHU19" s="76"/>
      <c r="AHV19" s="76"/>
      <c r="AHW19" s="76"/>
      <c r="AHX19" s="76"/>
      <c r="AHY19" s="76"/>
      <c r="AHZ19" s="76"/>
      <c r="AIA19" s="76"/>
      <c r="AIB19" s="76"/>
      <c r="AIC19" s="76"/>
      <c r="AID19" s="76"/>
      <c r="AIE19" s="76"/>
      <c r="AIF19" s="76"/>
      <c r="AIG19" s="76"/>
      <c r="AIH19" s="76"/>
      <c r="AII19" s="76"/>
      <c r="AIJ19" s="76"/>
      <c r="AIK19" s="76"/>
      <c r="AIL19" s="76"/>
      <c r="AIM19" s="76"/>
      <c r="AIN19" s="76"/>
      <c r="AIO19" s="76"/>
      <c r="AIP19" s="76"/>
      <c r="AIQ19" s="76"/>
      <c r="AIR19" s="76"/>
      <c r="AIS19" s="76"/>
      <c r="AIT19" s="76"/>
      <c r="AIU19" s="76"/>
      <c r="AIV19" s="76"/>
      <c r="AIW19" s="76"/>
      <c r="AIX19" s="76"/>
      <c r="AIY19" s="76"/>
      <c r="AIZ19" s="76"/>
      <c r="AJA19" s="76"/>
      <c r="AJB19" s="76"/>
      <c r="AJC19" s="76"/>
      <c r="AJD19" s="76"/>
      <c r="AJE19" s="76"/>
      <c r="AJF19" s="76"/>
      <c r="AJG19" s="76"/>
      <c r="AJH19" s="76"/>
      <c r="AJI19" s="76"/>
      <c r="AJJ19" s="76"/>
      <c r="AJK19" s="76"/>
      <c r="AJL19" s="76"/>
      <c r="AJM19" s="76"/>
      <c r="AJN19" s="76"/>
      <c r="AJO19" s="76"/>
      <c r="AJP19" s="76"/>
      <c r="AJQ19" s="76"/>
      <c r="AJR19" s="76"/>
      <c r="AJS19" s="76"/>
      <c r="AJT19" s="76"/>
      <c r="AJU19" s="76"/>
      <c r="AJV19" s="76"/>
      <c r="AJW19" s="76"/>
      <c r="AJX19" s="76"/>
      <c r="AJY19" s="76"/>
      <c r="AJZ19" s="76"/>
      <c r="AKA19" s="76"/>
      <c r="AKB19" s="76"/>
      <c r="AKC19" s="76"/>
      <c r="AKD19" s="76"/>
      <c r="AKE19" s="76"/>
      <c r="AKF19" s="76"/>
      <c r="AKG19" s="76"/>
      <c r="AKH19" s="76"/>
      <c r="AKI19" s="76"/>
      <c r="AKJ19" s="76"/>
      <c r="AKK19" s="76"/>
      <c r="AKL19" s="76"/>
      <c r="AKM19" s="76"/>
      <c r="AKN19" s="76"/>
      <c r="AKO19" s="76"/>
      <c r="AKP19" s="76"/>
      <c r="AKQ19" s="76"/>
      <c r="AKR19" s="76"/>
      <c r="AKS19" s="76"/>
      <c r="AKT19" s="76"/>
      <c r="AKU19" s="76"/>
      <c r="AKV19" s="76"/>
      <c r="AKW19" s="76"/>
      <c r="AKX19" s="76"/>
      <c r="AKY19" s="76"/>
      <c r="AKZ19" s="76"/>
      <c r="ALA19" s="76"/>
      <c r="ALB19" s="76"/>
      <c r="ALC19" s="76"/>
      <c r="ALD19" s="76"/>
      <c r="ALE19" s="76"/>
      <c r="ALF19" s="76"/>
      <c r="ALG19" s="76"/>
      <c r="ALH19" s="76"/>
      <c r="ALI19" s="76"/>
      <c r="ALJ19" s="76"/>
      <c r="ALK19" s="76"/>
      <c r="ALL19" s="76"/>
      <c r="ALM19" s="76"/>
      <c r="ALN19" s="76"/>
      <c r="ALO19" s="76"/>
      <c r="ALP19" s="76"/>
      <c r="ALQ19" s="76"/>
      <c r="ALR19" s="76"/>
      <c r="ALS19" s="76"/>
      <c r="ALT19" s="76"/>
      <c r="ALU19" s="76"/>
      <c r="ALV19" s="76"/>
      <c r="ALW19" s="76"/>
      <c r="ALX19" s="76"/>
      <c r="ALY19" s="76"/>
      <c r="ALZ19" s="76"/>
      <c r="AMA19" s="76"/>
      <c r="AMB19" s="76"/>
      <c r="AMC19" s="76"/>
      <c r="AMD19" s="76"/>
      <c r="AME19" s="76"/>
      <c r="AMF19" s="76"/>
      <c r="AMG19" s="76"/>
      <c r="AMH19" s="76"/>
      <c r="AMI19" s="76"/>
      <c r="AMJ19" s="76"/>
    </row>
    <row r="20" spans="1:1024" s="60" customFormat="1">
      <c r="A20" s="18">
        <v>10</v>
      </c>
      <c r="B20" s="68" t="s">
        <v>221</v>
      </c>
      <c r="C20" s="69" t="s">
        <v>46</v>
      </c>
      <c r="D20" s="69">
        <v>0</v>
      </c>
      <c r="E20" s="79" t="e">
        <f t="shared" ref="E20" si="13">D20+#REF!</f>
        <v>#REF!</v>
      </c>
      <c r="F20" s="18">
        <v>0</v>
      </c>
      <c r="G20" s="18">
        <v>0</v>
      </c>
      <c r="H20" s="18" t="e">
        <f t="shared" si="1"/>
        <v>#REF!</v>
      </c>
      <c r="I20" s="18">
        <v>0</v>
      </c>
      <c r="J20" s="70">
        <f>1.05*6.3</f>
        <v>6.6150000000000002</v>
      </c>
      <c r="K20" s="71" t="e">
        <f t="shared" ref="K20:K22" si="14">J20-I20-H20</f>
        <v>#REF!</v>
      </c>
      <c r="L20" s="79">
        <f>брянск!Y139</f>
        <v>-4.6989999999999998</v>
      </c>
      <c r="M20" s="18" t="s">
        <v>25</v>
      </c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  <c r="IB20" s="76"/>
      <c r="IC20" s="76"/>
      <c r="ID20" s="76"/>
      <c r="IE20" s="76"/>
      <c r="IF20" s="76"/>
      <c r="IG20" s="76"/>
      <c r="IH20" s="76"/>
      <c r="II20" s="76"/>
      <c r="IJ20" s="76"/>
      <c r="IK20" s="76"/>
      <c r="IL20" s="76"/>
      <c r="IM20" s="76"/>
      <c r="IN20" s="76"/>
      <c r="IO20" s="76"/>
      <c r="IP20" s="76"/>
      <c r="IQ20" s="76"/>
      <c r="IR20" s="76"/>
      <c r="IS20" s="76"/>
      <c r="IT20" s="76"/>
      <c r="IU20" s="76"/>
      <c r="IV20" s="76"/>
      <c r="IW20" s="76"/>
      <c r="IX20" s="76"/>
      <c r="IY20" s="76"/>
      <c r="IZ20" s="76"/>
      <c r="JA20" s="76"/>
      <c r="JB20" s="76"/>
      <c r="JC20" s="76"/>
      <c r="JD20" s="76"/>
      <c r="JE20" s="76"/>
      <c r="JF20" s="76"/>
      <c r="JG20" s="76"/>
      <c r="JH20" s="76"/>
      <c r="JI20" s="76"/>
      <c r="JJ20" s="76"/>
      <c r="JK20" s="76"/>
      <c r="JL20" s="76"/>
      <c r="JM20" s="76"/>
      <c r="JN20" s="76"/>
      <c r="JO20" s="76"/>
      <c r="JP20" s="76"/>
      <c r="JQ20" s="76"/>
      <c r="JR20" s="76"/>
      <c r="JS20" s="76"/>
      <c r="JT20" s="76"/>
      <c r="JU20" s="76"/>
      <c r="JV20" s="76"/>
      <c r="JW20" s="76"/>
      <c r="JX20" s="76"/>
      <c r="JY20" s="76"/>
      <c r="JZ20" s="76"/>
      <c r="KA20" s="76"/>
      <c r="KB20" s="76"/>
      <c r="KC20" s="76"/>
      <c r="KD20" s="76"/>
      <c r="KE20" s="76"/>
      <c r="KF20" s="76"/>
      <c r="KG20" s="76"/>
      <c r="KH20" s="76"/>
      <c r="KI20" s="76"/>
      <c r="KJ20" s="76"/>
      <c r="KK20" s="76"/>
      <c r="KL20" s="76"/>
      <c r="KM20" s="76"/>
      <c r="KN20" s="76"/>
      <c r="KO20" s="76"/>
      <c r="KP20" s="76"/>
      <c r="KQ20" s="76"/>
      <c r="KR20" s="76"/>
      <c r="KS20" s="76"/>
      <c r="KT20" s="76"/>
      <c r="KU20" s="76"/>
      <c r="KV20" s="76"/>
      <c r="KW20" s="76"/>
      <c r="KX20" s="76"/>
      <c r="KY20" s="76"/>
      <c r="KZ20" s="76"/>
      <c r="LA20" s="76"/>
      <c r="LB20" s="76"/>
      <c r="LC20" s="76"/>
      <c r="LD20" s="76"/>
      <c r="LE20" s="76"/>
      <c r="LF20" s="76"/>
      <c r="LG20" s="76"/>
      <c r="LH20" s="76"/>
      <c r="LI20" s="76"/>
      <c r="LJ20" s="76"/>
      <c r="LK20" s="76"/>
      <c r="LL20" s="76"/>
      <c r="LM20" s="76"/>
      <c r="LN20" s="76"/>
      <c r="LO20" s="76"/>
      <c r="LP20" s="76"/>
      <c r="LQ20" s="76"/>
      <c r="LR20" s="76"/>
      <c r="LS20" s="76"/>
      <c r="LT20" s="76"/>
      <c r="LU20" s="76"/>
      <c r="LV20" s="76"/>
      <c r="LW20" s="76"/>
      <c r="LX20" s="76"/>
      <c r="LY20" s="76"/>
      <c r="LZ20" s="76"/>
      <c r="MA20" s="76"/>
      <c r="MB20" s="76"/>
      <c r="MC20" s="76"/>
      <c r="MD20" s="76"/>
      <c r="ME20" s="76"/>
      <c r="MF20" s="76"/>
      <c r="MG20" s="76"/>
      <c r="MH20" s="76"/>
      <c r="MI20" s="76"/>
      <c r="MJ20" s="76"/>
      <c r="MK20" s="76"/>
      <c r="ML20" s="76"/>
      <c r="MM20" s="76"/>
      <c r="MN20" s="76"/>
      <c r="MO20" s="76"/>
      <c r="MP20" s="76"/>
      <c r="MQ20" s="76"/>
      <c r="MR20" s="76"/>
      <c r="MS20" s="76"/>
      <c r="MT20" s="76"/>
      <c r="MU20" s="76"/>
      <c r="MV20" s="76"/>
      <c r="MW20" s="76"/>
      <c r="MX20" s="76"/>
      <c r="MY20" s="76"/>
      <c r="MZ20" s="76"/>
      <c r="NA20" s="76"/>
      <c r="NB20" s="76"/>
      <c r="NC20" s="76"/>
      <c r="ND20" s="76"/>
      <c r="NE20" s="76"/>
      <c r="NF20" s="76"/>
      <c r="NG20" s="76"/>
      <c r="NH20" s="76"/>
      <c r="NI20" s="76"/>
      <c r="NJ20" s="76"/>
      <c r="NK20" s="76"/>
      <c r="NL20" s="76"/>
      <c r="NM20" s="76"/>
      <c r="NN20" s="76"/>
      <c r="NO20" s="76"/>
      <c r="NP20" s="76"/>
      <c r="NQ20" s="76"/>
      <c r="NR20" s="76"/>
      <c r="NS20" s="76"/>
      <c r="NT20" s="76"/>
      <c r="NU20" s="76"/>
      <c r="NV20" s="76"/>
      <c r="NW20" s="76"/>
      <c r="NX20" s="76"/>
      <c r="NY20" s="76"/>
      <c r="NZ20" s="76"/>
      <c r="OA20" s="76"/>
      <c r="OB20" s="76"/>
      <c r="OC20" s="76"/>
      <c r="OD20" s="76"/>
      <c r="OE20" s="76"/>
      <c r="OF20" s="76"/>
      <c r="OG20" s="76"/>
      <c r="OH20" s="76"/>
      <c r="OI20" s="76"/>
      <c r="OJ20" s="76"/>
      <c r="OK20" s="76"/>
      <c r="OL20" s="76"/>
      <c r="OM20" s="76"/>
      <c r="ON20" s="76"/>
      <c r="OO20" s="76"/>
      <c r="OP20" s="76"/>
      <c r="OQ20" s="76"/>
      <c r="OR20" s="76"/>
      <c r="OS20" s="76"/>
      <c r="OT20" s="76"/>
      <c r="OU20" s="76"/>
      <c r="OV20" s="76"/>
      <c r="OW20" s="76"/>
      <c r="OX20" s="76"/>
      <c r="OY20" s="76"/>
      <c r="OZ20" s="76"/>
      <c r="PA20" s="76"/>
      <c r="PB20" s="76"/>
      <c r="PC20" s="76"/>
      <c r="PD20" s="76"/>
      <c r="PE20" s="76"/>
      <c r="PF20" s="76"/>
      <c r="PG20" s="76"/>
      <c r="PH20" s="76"/>
      <c r="PI20" s="76"/>
      <c r="PJ20" s="76"/>
      <c r="PK20" s="76"/>
      <c r="PL20" s="76"/>
      <c r="PM20" s="76"/>
      <c r="PN20" s="76"/>
      <c r="PO20" s="76"/>
      <c r="PP20" s="76"/>
      <c r="PQ20" s="76"/>
      <c r="PR20" s="76"/>
      <c r="PS20" s="76"/>
      <c r="PT20" s="76"/>
      <c r="PU20" s="76"/>
      <c r="PV20" s="76"/>
      <c r="PW20" s="76"/>
      <c r="PX20" s="76"/>
      <c r="PY20" s="76"/>
      <c r="PZ20" s="76"/>
      <c r="QA20" s="76"/>
      <c r="QB20" s="76"/>
      <c r="QC20" s="76"/>
      <c r="QD20" s="76"/>
      <c r="QE20" s="76"/>
      <c r="QF20" s="76"/>
      <c r="QG20" s="76"/>
      <c r="QH20" s="76"/>
      <c r="QI20" s="76"/>
      <c r="QJ20" s="76"/>
      <c r="QK20" s="76"/>
      <c r="QL20" s="76"/>
      <c r="QM20" s="76"/>
      <c r="QN20" s="76"/>
      <c r="QO20" s="76"/>
      <c r="QP20" s="76"/>
      <c r="QQ20" s="76"/>
      <c r="QR20" s="76"/>
      <c r="QS20" s="76"/>
      <c r="QT20" s="76"/>
      <c r="QU20" s="76"/>
      <c r="QV20" s="76"/>
      <c r="QW20" s="76"/>
      <c r="QX20" s="76"/>
      <c r="QY20" s="76"/>
      <c r="QZ20" s="76"/>
      <c r="RA20" s="76"/>
      <c r="RB20" s="76"/>
      <c r="RC20" s="76"/>
      <c r="RD20" s="76"/>
      <c r="RE20" s="76"/>
      <c r="RF20" s="76"/>
      <c r="RG20" s="76"/>
      <c r="RH20" s="76"/>
      <c r="RI20" s="76"/>
      <c r="RJ20" s="76"/>
      <c r="RK20" s="76"/>
      <c r="RL20" s="76"/>
      <c r="RM20" s="76"/>
      <c r="RN20" s="76"/>
      <c r="RO20" s="76"/>
      <c r="RP20" s="76"/>
      <c r="RQ20" s="76"/>
      <c r="RR20" s="76"/>
      <c r="RS20" s="76"/>
      <c r="RT20" s="76"/>
      <c r="RU20" s="76"/>
      <c r="RV20" s="76"/>
      <c r="RW20" s="76"/>
      <c r="RX20" s="76"/>
      <c r="RY20" s="76"/>
      <c r="RZ20" s="76"/>
      <c r="SA20" s="76"/>
      <c r="SB20" s="76"/>
      <c r="SC20" s="76"/>
      <c r="SD20" s="76"/>
      <c r="SE20" s="76"/>
      <c r="SF20" s="76"/>
      <c r="SG20" s="76"/>
      <c r="SH20" s="76"/>
      <c r="SI20" s="76"/>
      <c r="SJ20" s="76"/>
      <c r="SK20" s="76"/>
      <c r="SL20" s="76"/>
      <c r="SM20" s="76"/>
      <c r="SN20" s="76"/>
      <c r="SO20" s="76"/>
      <c r="SP20" s="76"/>
      <c r="SQ20" s="76"/>
      <c r="SR20" s="76"/>
      <c r="SS20" s="76"/>
      <c r="ST20" s="76"/>
      <c r="SU20" s="76"/>
      <c r="SV20" s="76"/>
      <c r="SW20" s="76"/>
      <c r="SX20" s="76"/>
      <c r="SY20" s="76"/>
      <c r="SZ20" s="76"/>
      <c r="TA20" s="76"/>
      <c r="TB20" s="76"/>
      <c r="TC20" s="76"/>
      <c r="TD20" s="76"/>
      <c r="TE20" s="76"/>
      <c r="TF20" s="76"/>
      <c r="TG20" s="76"/>
      <c r="TH20" s="76"/>
      <c r="TI20" s="76"/>
      <c r="TJ20" s="76"/>
      <c r="TK20" s="76"/>
      <c r="TL20" s="76"/>
      <c r="TM20" s="76"/>
      <c r="TN20" s="76"/>
      <c r="TO20" s="76"/>
      <c r="TP20" s="76"/>
      <c r="TQ20" s="76"/>
      <c r="TR20" s="76"/>
      <c r="TS20" s="76"/>
      <c r="TT20" s="76"/>
      <c r="TU20" s="76"/>
      <c r="TV20" s="76"/>
      <c r="TW20" s="76"/>
      <c r="TX20" s="76"/>
      <c r="TY20" s="76"/>
      <c r="TZ20" s="76"/>
      <c r="UA20" s="76"/>
      <c r="UB20" s="76"/>
      <c r="UC20" s="76"/>
      <c r="UD20" s="76"/>
      <c r="UE20" s="76"/>
      <c r="UF20" s="76"/>
      <c r="UG20" s="76"/>
      <c r="UH20" s="76"/>
      <c r="UI20" s="76"/>
      <c r="UJ20" s="76"/>
      <c r="UK20" s="76"/>
      <c r="UL20" s="76"/>
      <c r="UM20" s="76"/>
      <c r="UN20" s="76"/>
      <c r="UO20" s="76"/>
      <c r="UP20" s="76"/>
      <c r="UQ20" s="76"/>
      <c r="UR20" s="76"/>
      <c r="US20" s="76"/>
      <c r="UT20" s="76"/>
      <c r="UU20" s="76"/>
      <c r="UV20" s="76"/>
      <c r="UW20" s="76"/>
      <c r="UX20" s="76"/>
      <c r="UY20" s="76"/>
      <c r="UZ20" s="76"/>
      <c r="VA20" s="76"/>
      <c r="VB20" s="76"/>
      <c r="VC20" s="76"/>
      <c r="VD20" s="76"/>
      <c r="VE20" s="76"/>
      <c r="VF20" s="76"/>
      <c r="VG20" s="76"/>
      <c r="VH20" s="76"/>
      <c r="VI20" s="76"/>
      <c r="VJ20" s="76"/>
      <c r="VK20" s="76"/>
      <c r="VL20" s="76"/>
      <c r="VM20" s="76"/>
      <c r="VN20" s="76"/>
      <c r="VO20" s="76"/>
      <c r="VP20" s="76"/>
      <c r="VQ20" s="76"/>
      <c r="VR20" s="76"/>
      <c r="VS20" s="76"/>
      <c r="VT20" s="76"/>
      <c r="VU20" s="76"/>
      <c r="VV20" s="76"/>
      <c r="VW20" s="76"/>
      <c r="VX20" s="76"/>
      <c r="VY20" s="76"/>
      <c r="VZ20" s="76"/>
      <c r="WA20" s="76"/>
      <c r="WB20" s="76"/>
      <c r="WC20" s="76"/>
      <c r="WD20" s="76"/>
      <c r="WE20" s="76"/>
      <c r="WF20" s="76"/>
      <c r="WG20" s="76"/>
      <c r="WH20" s="76"/>
      <c r="WI20" s="76"/>
      <c r="WJ20" s="76"/>
      <c r="WK20" s="76"/>
      <c r="WL20" s="76"/>
      <c r="WM20" s="76"/>
      <c r="WN20" s="76"/>
      <c r="WO20" s="76"/>
      <c r="WP20" s="76"/>
      <c r="WQ20" s="76"/>
      <c r="WR20" s="76"/>
      <c r="WS20" s="76"/>
      <c r="WT20" s="76"/>
      <c r="WU20" s="76"/>
      <c r="WV20" s="76"/>
      <c r="WW20" s="76"/>
      <c r="WX20" s="76"/>
      <c r="WY20" s="76"/>
      <c r="WZ20" s="76"/>
      <c r="XA20" s="76"/>
      <c r="XB20" s="76"/>
      <c r="XC20" s="76"/>
      <c r="XD20" s="76"/>
      <c r="XE20" s="76"/>
      <c r="XF20" s="76"/>
      <c r="XG20" s="76"/>
      <c r="XH20" s="76"/>
      <c r="XI20" s="76"/>
      <c r="XJ20" s="76"/>
      <c r="XK20" s="76"/>
      <c r="XL20" s="76"/>
      <c r="XM20" s="76"/>
      <c r="XN20" s="76"/>
      <c r="XO20" s="76"/>
      <c r="XP20" s="76"/>
      <c r="XQ20" s="76"/>
      <c r="XR20" s="76"/>
      <c r="XS20" s="76"/>
      <c r="XT20" s="76"/>
      <c r="XU20" s="76"/>
      <c r="XV20" s="76"/>
      <c r="XW20" s="76"/>
      <c r="XX20" s="76"/>
      <c r="XY20" s="76"/>
      <c r="XZ20" s="76"/>
      <c r="YA20" s="76"/>
      <c r="YB20" s="76"/>
      <c r="YC20" s="76"/>
      <c r="YD20" s="76"/>
      <c r="YE20" s="76"/>
      <c r="YF20" s="76"/>
      <c r="YG20" s="76"/>
      <c r="YH20" s="76"/>
      <c r="YI20" s="76"/>
      <c r="YJ20" s="76"/>
      <c r="YK20" s="76"/>
      <c r="YL20" s="76"/>
      <c r="YM20" s="76"/>
      <c r="YN20" s="76"/>
      <c r="YO20" s="76"/>
      <c r="YP20" s="76"/>
      <c r="YQ20" s="76"/>
      <c r="YR20" s="76"/>
      <c r="YS20" s="76"/>
      <c r="YT20" s="76"/>
      <c r="YU20" s="76"/>
      <c r="YV20" s="76"/>
      <c r="YW20" s="76"/>
      <c r="YX20" s="76"/>
      <c r="YY20" s="76"/>
      <c r="YZ20" s="76"/>
      <c r="ZA20" s="76"/>
      <c r="ZB20" s="76"/>
      <c r="ZC20" s="76"/>
      <c r="ZD20" s="76"/>
      <c r="ZE20" s="76"/>
      <c r="ZF20" s="76"/>
      <c r="ZG20" s="76"/>
      <c r="ZH20" s="76"/>
      <c r="ZI20" s="76"/>
      <c r="ZJ20" s="76"/>
      <c r="ZK20" s="76"/>
      <c r="ZL20" s="76"/>
      <c r="ZM20" s="76"/>
      <c r="ZN20" s="76"/>
      <c r="ZO20" s="76"/>
      <c r="ZP20" s="76"/>
      <c r="ZQ20" s="76"/>
      <c r="ZR20" s="76"/>
      <c r="ZS20" s="76"/>
      <c r="ZT20" s="76"/>
      <c r="ZU20" s="76"/>
      <c r="ZV20" s="76"/>
      <c r="ZW20" s="76"/>
      <c r="ZX20" s="76"/>
      <c r="ZY20" s="76"/>
      <c r="ZZ20" s="76"/>
      <c r="AAA20" s="76"/>
      <c r="AAB20" s="76"/>
      <c r="AAC20" s="76"/>
      <c r="AAD20" s="76"/>
      <c r="AAE20" s="76"/>
      <c r="AAF20" s="76"/>
      <c r="AAG20" s="76"/>
      <c r="AAH20" s="76"/>
      <c r="AAI20" s="76"/>
      <c r="AAJ20" s="76"/>
      <c r="AAK20" s="76"/>
      <c r="AAL20" s="76"/>
      <c r="AAM20" s="76"/>
      <c r="AAN20" s="76"/>
      <c r="AAO20" s="76"/>
      <c r="AAP20" s="76"/>
      <c r="AAQ20" s="76"/>
      <c r="AAR20" s="76"/>
      <c r="AAS20" s="76"/>
      <c r="AAT20" s="76"/>
      <c r="AAU20" s="76"/>
      <c r="AAV20" s="76"/>
      <c r="AAW20" s="76"/>
      <c r="AAX20" s="76"/>
      <c r="AAY20" s="76"/>
      <c r="AAZ20" s="76"/>
      <c r="ABA20" s="76"/>
      <c r="ABB20" s="76"/>
      <c r="ABC20" s="76"/>
      <c r="ABD20" s="76"/>
      <c r="ABE20" s="76"/>
      <c r="ABF20" s="76"/>
      <c r="ABG20" s="76"/>
      <c r="ABH20" s="76"/>
      <c r="ABI20" s="76"/>
      <c r="ABJ20" s="76"/>
      <c r="ABK20" s="76"/>
      <c r="ABL20" s="76"/>
      <c r="ABM20" s="76"/>
      <c r="ABN20" s="76"/>
      <c r="ABO20" s="76"/>
      <c r="ABP20" s="76"/>
      <c r="ABQ20" s="76"/>
      <c r="ABR20" s="76"/>
      <c r="ABS20" s="76"/>
      <c r="ABT20" s="76"/>
      <c r="ABU20" s="76"/>
      <c r="ABV20" s="76"/>
      <c r="ABW20" s="76"/>
      <c r="ABX20" s="76"/>
      <c r="ABY20" s="76"/>
      <c r="ABZ20" s="76"/>
      <c r="ACA20" s="76"/>
      <c r="ACB20" s="76"/>
      <c r="ACC20" s="76"/>
      <c r="ACD20" s="76"/>
      <c r="ACE20" s="76"/>
      <c r="ACF20" s="76"/>
      <c r="ACG20" s="76"/>
      <c r="ACH20" s="76"/>
      <c r="ACI20" s="76"/>
      <c r="ACJ20" s="76"/>
      <c r="ACK20" s="76"/>
      <c r="ACL20" s="76"/>
      <c r="ACM20" s="76"/>
      <c r="ACN20" s="76"/>
      <c r="ACO20" s="76"/>
      <c r="ACP20" s="76"/>
      <c r="ACQ20" s="76"/>
      <c r="ACR20" s="76"/>
      <c r="ACS20" s="76"/>
      <c r="ACT20" s="76"/>
      <c r="ACU20" s="76"/>
      <c r="ACV20" s="76"/>
      <c r="ACW20" s="76"/>
      <c r="ACX20" s="76"/>
      <c r="ACY20" s="76"/>
      <c r="ACZ20" s="76"/>
      <c r="ADA20" s="76"/>
      <c r="ADB20" s="76"/>
      <c r="ADC20" s="76"/>
      <c r="ADD20" s="76"/>
      <c r="ADE20" s="76"/>
      <c r="ADF20" s="76"/>
      <c r="ADG20" s="76"/>
      <c r="ADH20" s="76"/>
      <c r="ADI20" s="76"/>
      <c r="ADJ20" s="76"/>
      <c r="ADK20" s="76"/>
      <c r="ADL20" s="76"/>
      <c r="ADM20" s="76"/>
      <c r="ADN20" s="76"/>
      <c r="ADO20" s="76"/>
      <c r="ADP20" s="76"/>
      <c r="ADQ20" s="76"/>
      <c r="ADR20" s="76"/>
      <c r="ADS20" s="76"/>
      <c r="ADT20" s="76"/>
      <c r="ADU20" s="76"/>
      <c r="ADV20" s="76"/>
      <c r="ADW20" s="76"/>
      <c r="ADX20" s="76"/>
      <c r="ADY20" s="76"/>
      <c r="ADZ20" s="76"/>
      <c r="AEA20" s="76"/>
      <c r="AEB20" s="76"/>
      <c r="AEC20" s="76"/>
      <c r="AED20" s="76"/>
      <c r="AEE20" s="76"/>
      <c r="AEF20" s="76"/>
      <c r="AEG20" s="76"/>
      <c r="AEH20" s="76"/>
      <c r="AEI20" s="76"/>
      <c r="AEJ20" s="76"/>
      <c r="AEK20" s="76"/>
      <c r="AEL20" s="76"/>
      <c r="AEM20" s="76"/>
      <c r="AEN20" s="76"/>
      <c r="AEO20" s="76"/>
      <c r="AEP20" s="76"/>
      <c r="AEQ20" s="76"/>
      <c r="AER20" s="76"/>
      <c r="AES20" s="76"/>
      <c r="AET20" s="76"/>
      <c r="AEU20" s="76"/>
      <c r="AEV20" s="76"/>
      <c r="AEW20" s="76"/>
      <c r="AEX20" s="76"/>
      <c r="AEY20" s="76"/>
      <c r="AEZ20" s="76"/>
      <c r="AFA20" s="76"/>
      <c r="AFB20" s="76"/>
      <c r="AFC20" s="76"/>
      <c r="AFD20" s="76"/>
      <c r="AFE20" s="76"/>
      <c r="AFF20" s="76"/>
      <c r="AFG20" s="76"/>
      <c r="AFH20" s="76"/>
      <c r="AFI20" s="76"/>
      <c r="AFJ20" s="76"/>
      <c r="AFK20" s="76"/>
      <c r="AFL20" s="76"/>
      <c r="AFM20" s="76"/>
      <c r="AFN20" s="76"/>
      <c r="AFO20" s="76"/>
      <c r="AFP20" s="76"/>
      <c r="AFQ20" s="76"/>
      <c r="AFR20" s="76"/>
      <c r="AFS20" s="76"/>
      <c r="AFT20" s="76"/>
      <c r="AFU20" s="76"/>
      <c r="AFV20" s="76"/>
      <c r="AFW20" s="76"/>
      <c r="AFX20" s="76"/>
      <c r="AFY20" s="76"/>
      <c r="AFZ20" s="76"/>
      <c r="AGA20" s="76"/>
      <c r="AGB20" s="76"/>
      <c r="AGC20" s="76"/>
      <c r="AGD20" s="76"/>
      <c r="AGE20" s="76"/>
      <c r="AGF20" s="76"/>
      <c r="AGG20" s="76"/>
      <c r="AGH20" s="76"/>
      <c r="AGI20" s="76"/>
      <c r="AGJ20" s="76"/>
      <c r="AGK20" s="76"/>
      <c r="AGL20" s="76"/>
      <c r="AGM20" s="76"/>
      <c r="AGN20" s="76"/>
      <c r="AGO20" s="76"/>
      <c r="AGP20" s="76"/>
      <c r="AGQ20" s="76"/>
      <c r="AGR20" s="76"/>
      <c r="AGS20" s="76"/>
      <c r="AGT20" s="76"/>
      <c r="AGU20" s="76"/>
      <c r="AGV20" s="76"/>
      <c r="AGW20" s="76"/>
      <c r="AGX20" s="76"/>
      <c r="AGY20" s="76"/>
      <c r="AGZ20" s="76"/>
      <c r="AHA20" s="76"/>
      <c r="AHB20" s="76"/>
      <c r="AHC20" s="76"/>
      <c r="AHD20" s="76"/>
      <c r="AHE20" s="76"/>
      <c r="AHF20" s="76"/>
      <c r="AHG20" s="76"/>
      <c r="AHH20" s="76"/>
      <c r="AHI20" s="76"/>
      <c r="AHJ20" s="76"/>
      <c r="AHK20" s="76"/>
      <c r="AHL20" s="76"/>
      <c r="AHM20" s="76"/>
      <c r="AHN20" s="76"/>
      <c r="AHO20" s="76"/>
      <c r="AHP20" s="76"/>
      <c r="AHQ20" s="76"/>
      <c r="AHR20" s="76"/>
      <c r="AHS20" s="76"/>
      <c r="AHT20" s="76"/>
      <c r="AHU20" s="76"/>
      <c r="AHV20" s="76"/>
      <c r="AHW20" s="76"/>
      <c r="AHX20" s="76"/>
      <c r="AHY20" s="76"/>
      <c r="AHZ20" s="76"/>
      <c r="AIA20" s="76"/>
      <c r="AIB20" s="76"/>
      <c r="AIC20" s="76"/>
      <c r="AID20" s="76"/>
      <c r="AIE20" s="76"/>
      <c r="AIF20" s="76"/>
      <c r="AIG20" s="76"/>
      <c r="AIH20" s="76"/>
      <c r="AII20" s="76"/>
      <c r="AIJ20" s="76"/>
      <c r="AIK20" s="76"/>
      <c r="AIL20" s="76"/>
      <c r="AIM20" s="76"/>
      <c r="AIN20" s="76"/>
      <c r="AIO20" s="76"/>
      <c r="AIP20" s="76"/>
      <c r="AIQ20" s="76"/>
      <c r="AIR20" s="76"/>
      <c r="AIS20" s="76"/>
      <c r="AIT20" s="76"/>
      <c r="AIU20" s="76"/>
      <c r="AIV20" s="76"/>
      <c r="AIW20" s="76"/>
      <c r="AIX20" s="76"/>
      <c r="AIY20" s="76"/>
      <c r="AIZ20" s="76"/>
      <c r="AJA20" s="76"/>
      <c r="AJB20" s="76"/>
      <c r="AJC20" s="76"/>
      <c r="AJD20" s="76"/>
      <c r="AJE20" s="76"/>
      <c r="AJF20" s="76"/>
      <c r="AJG20" s="76"/>
      <c r="AJH20" s="76"/>
      <c r="AJI20" s="76"/>
      <c r="AJJ20" s="76"/>
      <c r="AJK20" s="76"/>
      <c r="AJL20" s="76"/>
      <c r="AJM20" s="76"/>
      <c r="AJN20" s="76"/>
      <c r="AJO20" s="76"/>
      <c r="AJP20" s="76"/>
      <c r="AJQ20" s="76"/>
      <c r="AJR20" s="76"/>
      <c r="AJS20" s="76"/>
      <c r="AJT20" s="76"/>
      <c r="AJU20" s="76"/>
      <c r="AJV20" s="76"/>
      <c r="AJW20" s="76"/>
      <c r="AJX20" s="76"/>
      <c r="AJY20" s="76"/>
      <c r="AJZ20" s="76"/>
      <c r="AKA20" s="76"/>
      <c r="AKB20" s="76"/>
      <c r="AKC20" s="76"/>
      <c r="AKD20" s="76"/>
      <c r="AKE20" s="76"/>
      <c r="AKF20" s="76"/>
      <c r="AKG20" s="76"/>
      <c r="AKH20" s="76"/>
      <c r="AKI20" s="76"/>
      <c r="AKJ20" s="76"/>
      <c r="AKK20" s="76"/>
      <c r="AKL20" s="76"/>
      <c r="AKM20" s="76"/>
      <c r="AKN20" s="76"/>
      <c r="AKO20" s="76"/>
      <c r="AKP20" s="76"/>
      <c r="AKQ20" s="76"/>
      <c r="AKR20" s="76"/>
      <c r="AKS20" s="76"/>
      <c r="AKT20" s="76"/>
      <c r="AKU20" s="76"/>
      <c r="AKV20" s="76"/>
      <c r="AKW20" s="76"/>
      <c r="AKX20" s="76"/>
      <c r="AKY20" s="76"/>
      <c r="AKZ20" s="76"/>
      <c r="ALA20" s="76"/>
      <c r="ALB20" s="76"/>
      <c r="ALC20" s="76"/>
      <c r="ALD20" s="76"/>
      <c r="ALE20" s="76"/>
      <c r="ALF20" s="76"/>
      <c r="ALG20" s="76"/>
      <c r="ALH20" s="76"/>
      <c r="ALI20" s="76"/>
      <c r="ALJ20" s="76"/>
      <c r="ALK20" s="76"/>
      <c r="ALL20" s="76"/>
      <c r="ALM20" s="76"/>
      <c r="ALN20" s="76"/>
      <c r="ALO20" s="76"/>
      <c r="ALP20" s="76"/>
      <c r="ALQ20" s="76"/>
      <c r="ALR20" s="76"/>
      <c r="ALS20" s="76"/>
      <c r="ALT20" s="76"/>
      <c r="ALU20" s="76"/>
      <c r="ALV20" s="76"/>
      <c r="ALW20" s="76"/>
      <c r="ALX20" s="76"/>
      <c r="ALY20" s="76"/>
      <c r="ALZ20" s="76"/>
      <c r="AMA20" s="76"/>
      <c r="AMB20" s="76"/>
      <c r="AMC20" s="76"/>
      <c r="AMD20" s="76"/>
      <c r="AME20" s="76"/>
      <c r="AMF20" s="76"/>
      <c r="AMG20" s="76"/>
      <c r="AMH20" s="76"/>
      <c r="AMI20" s="76"/>
      <c r="AMJ20" s="76"/>
    </row>
    <row r="21" spans="1:1024" s="60" customFormat="1">
      <c r="A21" s="18">
        <v>11</v>
      </c>
      <c r="B21" s="68" t="s">
        <v>222</v>
      </c>
      <c r="C21" s="69" t="s">
        <v>26</v>
      </c>
      <c r="D21" s="69">
        <v>0</v>
      </c>
      <c r="E21" s="79" t="e">
        <f t="shared" ref="E21" si="15">D21+#REF!</f>
        <v>#REF!</v>
      </c>
      <c r="F21" s="18">
        <v>0</v>
      </c>
      <c r="G21" s="18">
        <v>0</v>
      </c>
      <c r="H21" s="18" t="e">
        <f t="shared" si="1"/>
        <v>#REF!</v>
      </c>
      <c r="I21" s="18">
        <v>0</v>
      </c>
      <c r="J21" s="70">
        <f>1.05*10</f>
        <v>10.5</v>
      </c>
      <c r="K21" s="71" t="e">
        <f t="shared" si="14"/>
        <v>#REF!</v>
      </c>
      <c r="L21" s="79">
        <f>брянск!Y141</f>
        <v>-1.2539999999999996</v>
      </c>
      <c r="M21" s="18" t="s">
        <v>25</v>
      </c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  <c r="IH21" s="76"/>
      <c r="II21" s="76"/>
      <c r="IJ21" s="76"/>
      <c r="IK21" s="76"/>
      <c r="IL21" s="76"/>
      <c r="IM21" s="76"/>
      <c r="IN21" s="76"/>
      <c r="IO21" s="76"/>
      <c r="IP21" s="76"/>
      <c r="IQ21" s="76"/>
      <c r="IR21" s="76"/>
      <c r="IS21" s="76"/>
      <c r="IT21" s="76"/>
      <c r="IU21" s="76"/>
      <c r="IV21" s="76"/>
      <c r="IW21" s="76"/>
      <c r="IX21" s="76"/>
      <c r="IY21" s="76"/>
      <c r="IZ21" s="76"/>
      <c r="JA21" s="76"/>
      <c r="JB21" s="76"/>
      <c r="JC21" s="76"/>
      <c r="JD21" s="76"/>
      <c r="JE21" s="76"/>
      <c r="JF21" s="76"/>
      <c r="JG21" s="76"/>
      <c r="JH21" s="76"/>
      <c r="JI21" s="76"/>
      <c r="JJ21" s="76"/>
      <c r="JK21" s="76"/>
      <c r="JL21" s="76"/>
      <c r="JM21" s="76"/>
      <c r="JN21" s="76"/>
      <c r="JO21" s="76"/>
      <c r="JP21" s="76"/>
      <c r="JQ21" s="76"/>
      <c r="JR21" s="76"/>
      <c r="JS21" s="76"/>
      <c r="JT21" s="76"/>
      <c r="JU21" s="76"/>
      <c r="JV21" s="76"/>
      <c r="JW21" s="76"/>
      <c r="JX21" s="76"/>
      <c r="JY21" s="76"/>
      <c r="JZ21" s="76"/>
      <c r="KA21" s="76"/>
      <c r="KB21" s="76"/>
      <c r="KC21" s="76"/>
      <c r="KD21" s="76"/>
      <c r="KE21" s="76"/>
      <c r="KF21" s="76"/>
      <c r="KG21" s="76"/>
      <c r="KH21" s="76"/>
      <c r="KI21" s="76"/>
      <c r="KJ21" s="76"/>
      <c r="KK21" s="76"/>
      <c r="KL21" s="76"/>
      <c r="KM21" s="76"/>
      <c r="KN21" s="76"/>
      <c r="KO21" s="76"/>
      <c r="KP21" s="76"/>
      <c r="KQ21" s="76"/>
      <c r="KR21" s="76"/>
      <c r="KS21" s="76"/>
      <c r="KT21" s="76"/>
      <c r="KU21" s="76"/>
      <c r="KV21" s="76"/>
      <c r="KW21" s="76"/>
      <c r="KX21" s="76"/>
      <c r="KY21" s="76"/>
      <c r="KZ21" s="76"/>
      <c r="LA21" s="76"/>
      <c r="LB21" s="76"/>
      <c r="LC21" s="76"/>
      <c r="LD21" s="76"/>
      <c r="LE21" s="76"/>
      <c r="LF21" s="76"/>
      <c r="LG21" s="76"/>
      <c r="LH21" s="76"/>
      <c r="LI21" s="76"/>
      <c r="LJ21" s="76"/>
      <c r="LK21" s="76"/>
      <c r="LL21" s="76"/>
      <c r="LM21" s="76"/>
      <c r="LN21" s="76"/>
      <c r="LO21" s="76"/>
      <c r="LP21" s="76"/>
      <c r="LQ21" s="76"/>
      <c r="LR21" s="76"/>
      <c r="LS21" s="76"/>
      <c r="LT21" s="76"/>
      <c r="LU21" s="76"/>
      <c r="LV21" s="76"/>
      <c r="LW21" s="76"/>
      <c r="LX21" s="76"/>
      <c r="LY21" s="76"/>
      <c r="LZ21" s="76"/>
      <c r="MA21" s="76"/>
      <c r="MB21" s="76"/>
      <c r="MC21" s="76"/>
      <c r="MD21" s="76"/>
      <c r="ME21" s="76"/>
      <c r="MF21" s="76"/>
      <c r="MG21" s="76"/>
      <c r="MH21" s="76"/>
      <c r="MI21" s="76"/>
      <c r="MJ21" s="76"/>
      <c r="MK21" s="76"/>
      <c r="ML21" s="76"/>
      <c r="MM21" s="76"/>
      <c r="MN21" s="76"/>
      <c r="MO21" s="76"/>
      <c r="MP21" s="76"/>
      <c r="MQ21" s="76"/>
      <c r="MR21" s="76"/>
      <c r="MS21" s="76"/>
      <c r="MT21" s="76"/>
      <c r="MU21" s="76"/>
      <c r="MV21" s="76"/>
      <c r="MW21" s="76"/>
      <c r="MX21" s="76"/>
      <c r="MY21" s="76"/>
      <c r="MZ21" s="76"/>
      <c r="NA21" s="76"/>
      <c r="NB21" s="76"/>
      <c r="NC21" s="76"/>
      <c r="ND21" s="76"/>
      <c r="NE21" s="76"/>
      <c r="NF21" s="76"/>
      <c r="NG21" s="76"/>
      <c r="NH21" s="76"/>
      <c r="NI21" s="76"/>
      <c r="NJ21" s="76"/>
      <c r="NK21" s="76"/>
      <c r="NL21" s="76"/>
      <c r="NM21" s="76"/>
      <c r="NN21" s="76"/>
      <c r="NO21" s="76"/>
      <c r="NP21" s="76"/>
      <c r="NQ21" s="76"/>
      <c r="NR21" s="76"/>
      <c r="NS21" s="76"/>
      <c r="NT21" s="76"/>
      <c r="NU21" s="76"/>
      <c r="NV21" s="76"/>
      <c r="NW21" s="76"/>
      <c r="NX21" s="76"/>
      <c r="NY21" s="76"/>
      <c r="NZ21" s="76"/>
      <c r="OA21" s="76"/>
      <c r="OB21" s="76"/>
      <c r="OC21" s="76"/>
      <c r="OD21" s="76"/>
      <c r="OE21" s="76"/>
      <c r="OF21" s="76"/>
      <c r="OG21" s="76"/>
      <c r="OH21" s="76"/>
      <c r="OI21" s="76"/>
      <c r="OJ21" s="76"/>
      <c r="OK21" s="76"/>
      <c r="OL21" s="76"/>
      <c r="OM21" s="76"/>
      <c r="ON21" s="76"/>
      <c r="OO21" s="76"/>
      <c r="OP21" s="76"/>
      <c r="OQ21" s="76"/>
      <c r="OR21" s="76"/>
      <c r="OS21" s="76"/>
      <c r="OT21" s="76"/>
      <c r="OU21" s="76"/>
      <c r="OV21" s="76"/>
      <c r="OW21" s="76"/>
      <c r="OX21" s="76"/>
      <c r="OY21" s="76"/>
      <c r="OZ21" s="76"/>
      <c r="PA21" s="76"/>
      <c r="PB21" s="76"/>
      <c r="PC21" s="76"/>
      <c r="PD21" s="76"/>
      <c r="PE21" s="76"/>
      <c r="PF21" s="76"/>
      <c r="PG21" s="76"/>
      <c r="PH21" s="76"/>
      <c r="PI21" s="76"/>
      <c r="PJ21" s="76"/>
      <c r="PK21" s="76"/>
      <c r="PL21" s="76"/>
      <c r="PM21" s="76"/>
      <c r="PN21" s="76"/>
      <c r="PO21" s="76"/>
      <c r="PP21" s="76"/>
      <c r="PQ21" s="76"/>
      <c r="PR21" s="76"/>
      <c r="PS21" s="76"/>
      <c r="PT21" s="76"/>
      <c r="PU21" s="76"/>
      <c r="PV21" s="76"/>
      <c r="PW21" s="76"/>
      <c r="PX21" s="76"/>
      <c r="PY21" s="76"/>
      <c r="PZ21" s="76"/>
      <c r="QA21" s="76"/>
      <c r="QB21" s="76"/>
      <c r="QC21" s="76"/>
      <c r="QD21" s="76"/>
      <c r="QE21" s="76"/>
      <c r="QF21" s="76"/>
      <c r="QG21" s="76"/>
      <c r="QH21" s="76"/>
      <c r="QI21" s="76"/>
      <c r="QJ21" s="76"/>
      <c r="QK21" s="76"/>
      <c r="QL21" s="76"/>
      <c r="QM21" s="76"/>
      <c r="QN21" s="76"/>
      <c r="QO21" s="76"/>
      <c r="QP21" s="76"/>
      <c r="QQ21" s="76"/>
      <c r="QR21" s="76"/>
      <c r="QS21" s="76"/>
      <c r="QT21" s="76"/>
      <c r="QU21" s="76"/>
      <c r="QV21" s="76"/>
      <c r="QW21" s="76"/>
      <c r="QX21" s="76"/>
      <c r="QY21" s="76"/>
      <c r="QZ21" s="76"/>
      <c r="RA21" s="76"/>
      <c r="RB21" s="76"/>
      <c r="RC21" s="76"/>
      <c r="RD21" s="76"/>
      <c r="RE21" s="76"/>
      <c r="RF21" s="76"/>
      <c r="RG21" s="76"/>
      <c r="RH21" s="76"/>
      <c r="RI21" s="76"/>
      <c r="RJ21" s="76"/>
      <c r="RK21" s="76"/>
      <c r="RL21" s="76"/>
      <c r="RM21" s="76"/>
      <c r="RN21" s="76"/>
      <c r="RO21" s="76"/>
      <c r="RP21" s="76"/>
      <c r="RQ21" s="76"/>
      <c r="RR21" s="76"/>
      <c r="RS21" s="76"/>
      <c r="RT21" s="76"/>
      <c r="RU21" s="76"/>
      <c r="RV21" s="76"/>
      <c r="RW21" s="76"/>
      <c r="RX21" s="76"/>
      <c r="RY21" s="76"/>
      <c r="RZ21" s="76"/>
      <c r="SA21" s="76"/>
      <c r="SB21" s="76"/>
      <c r="SC21" s="76"/>
      <c r="SD21" s="76"/>
      <c r="SE21" s="76"/>
      <c r="SF21" s="76"/>
      <c r="SG21" s="76"/>
      <c r="SH21" s="76"/>
      <c r="SI21" s="76"/>
      <c r="SJ21" s="76"/>
      <c r="SK21" s="76"/>
      <c r="SL21" s="76"/>
      <c r="SM21" s="76"/>
      <c r="SN21" s="76"/>
      <c r="SO21" s="76"/>
      <c r="SP21" s="76"/>
      <c r="SQ21" s="76"/>
      <c r="SR21" s="76"/>
      <c r="SS21" s="76"/>
      <c r="ST21" s="76"/>
      <c r="SU21" s="76"/>
      <c r="SV21" s="76"/>
      <c r="SW21" s="76"/>
      <c r="SX21" s="76"/>
      <c r="SY21" s="76"/>
      <c r="SZ21" s="76"/>
      <c r="TA21" s="76"/>
      <c r="TB21" s="76"/>
      <c r="TC21" s="76"/>
      <c r="TD21" s="76"/>
      <c r="TE21" s="76"/>
      <c r="TF21" s="76"/>
      <c r="TG21" s="76"/>
      <c r="TH21" s="76"/>
      <c r="TI21" s="76"/>
      <c r="TJ21" s="76"/>
      <c r="TK21" s="76"/>
      <c r="TL21" s="76"/>
      <c r="TM21" s="76"/>
      <c r="TN21" s="76"/>
      <c r="TO21" s="76"/>
      <c r="TP21" s="76"/>
      <c r="TQ21" s="76"/>
      <c r="TR21" s="76"/>
      <c r="TS21" s="76"/>
      <c r="TT21" s="76"/>
      <c r="TU21" s="76"/>
      <c r="TV21" s="76"/>
      <c r="TW21" s="76"/>
      <c r="TX21" s="76"/>
      <c r="TY21" s="76"/>
      <c r="TZ21" s="76"/>
      <c r="UA21" s="76"/>
      <c r="UB21" s="76"/>
      <c r="UC21" s="76"/>
      <c r="UD21" s="76"/>
      <c r="UE21" s="76"/>
      <c r="UF21" s="76"/>
      <c r="UG21" s="76"/>
      <c r="UH21" s="76"/>
      <c r="UI21" s="76"/>
      <c r="UJ21" s="76"/>
      <c r="UK21" s="76"/>
      <c r="UL21" s="76"/>
      <c r="UM21" s="76"/>
      <c r="UN21" s="76"/>
      <c r="UO21" s="76"/>
      <c r="UP21" s="76"/>
      <c r="UQ21" s="76"/>
      <c r="UR21" s="76"/>
      <c r="US21" s="76"/>
      <c r="UT21" s="76"/>
      <c r="UU21" s="76"/>
      <c r="UV21" s="76"/>
      <c r="UW21" s="76"/>
      <c r="UX21" s="76"/>
      <c r="UY21" s="76"/>
      <c r="UZ21" s="76"/>
      <c r="VA21" s="76"/>
      <c r="VB21" s="76"/>
      <c r="VC21" s="76"/>
      <c r="VD21" s="76"/>
      <c r="VE21" s="76"/>
      <c r="VF21" s="76"/>
      <c r="VG21" s="76"/>
      <c r="VH21" s="76"/>
      <c r="VI21" s="76"/>
      <c r="VJ21" s="76"/>
      <c r="VK21" s="76"/>
      <c r="VL21" s="76"/>
      <c r="VM21" s="76"/>
      <c r="VN21" s="76"/>
      <c r="VO21" s="76"/>
      <c r="VP21" s="76"/>
      <c r="VQ21" s="76"/>
      <c r="VR21" s="76"/>
      <c r="VS21" s="76"/>
      <c r="VT21" s="76"/>
      <c r="VU21" s="76"/>
      <c r="VV21" s="76"/>
      <c r="VW21" s="76"/>
      <c r="VX21" s="76"/>
      <c r="VY21" s="76"/>
      <c r="VZ21" s="76"/>
      <c r="WA21" s="76"/>
      <c r="WB21" s="76"/>
      <c r="WC21" s="76"/>
      <c r="WD21" s="76"/>
      <c r="WE21" s="76"/>
      <c r="WF21" s="76"/>
      <c r="WG21" s="76"/>
      <c r="WH21" s="76"/>
      <c r="WI21" s="76"/>
      <c r="WJ21" s="76"/>
      <c r="WK21" s="76"/>
      <c r="WL21" s="76"/>
      <c r="WM21" s="76"/>
      <c r="WN21" s="76"/>
      <c r="WO21" s="76"/>
      <c r="WP21" s="76"/>
      <c r="WQ21" s="76"/>
      <c r="WR21" s="76"/>
      <c r="WS21" s="76"/>
      <c r="WT21" s="76"/>
      <c r="WU21" s="76"/>
      <c r="WV21" s="76"/>
      <c r="WW21" s="76"/>
      <c r="WX21" s="76"/>
      <c r="WY21" s="76"/>
      <c r="WZ21" s="76"/>
      <c r="XA21" s="76"/>
      <c r="XB21" s="76"/>
      <c r="XC21" s="76"/>
      <c r="XD21" s="76"/>
      <c r="XE21" s="76"/>
      <c r="XF21" s="76"/>
      <c r="XG21" s="76"/>
      <c r="XH21" s="76"/>
      <c r="XI21" s="76"/>
      <c r="XJ21" s="76"/>
      <c r="XK21" s="76"/>
      <c r="XL21" s="76"/>
      <c r="XM21" s="76"/>
      <c r="XN21" s="76"/>
      <c r="XO21" s="76"/>
      <c r="XP21" s="76"/>
      <c r="XQ21" s="76"/>
      <c r="XR21" s="76"/>
      <c r="XS21" s="76"/>
      <c r="XT21" s="76"/>
      <c r="XU21" s="76"/>
      <c r="XV21" s="76"/>
      <c r="XW21" s="76"/>
      <c r="XX21" s="76"/>
      <c r="XY21" s="76"/>
      <c r="XZ21" s="76"/>
      <c r="YA21" s="76"/>
      <c r="YB21" s="76"/>
      <c r="YC21" s="76"/>
      <c r="YD21" s="76"/>
      <c r="YE21" s="76"/>
      <c r="YF21" s="76"/>
      <c r="YG21" s="76"/>
      <c r="YH21" s="76"/>
      <c r="YI21" s="76"/>
      <c r="YJ21" s="76"/>
      <c r="YK21" s="76"/>
      <c r="YL21" s="76"/>
      <c r="YM21" s="76"/>
      <c r="YN21" s="76"/>
      <c r="YO21" s="76"/>
      <c r="YP21" s="76"/>
      <c r="YQ21" s="76"/>
      <c r="YR21" s="76"/>
      <c r="YS21" s="76"/>
      <c r="YT21" s="76"/>
      <c r="YU21" s="76"/>
      <c r="YV21" s="76"/>
      <c r="YW21" s="76"/>
      <c r="YX21" s="76"/>
      <c r="YY21" s="76"/>
      <c r="YZ21" s="76"/>
      <c r="ZA21" s="76"/>
      <c r="ZB21" s="76"/>
      <c r="ZC21" s="76"/>
      <c r="ZD21" s="76"/>
      <c r="ZE21" s="76"/>
      <c r="ZF21" s="76"/>
      <c r="ZG21" s="76"/>
      <c r="ZH21" s="76"/>
      <c r="ZI21" s="76"/>
      <c r="ZJ21" s="76"/>
      <c r="ZK21" s="76"/>
      <c r="ZL21" s="76"/>
      <c r="ZM21" s="76"/>
      <c r="ZN21" s="76"/>
      <c r="ZO21" s="76"/>
      <c r="ZP21" s="76"/>
      <c r="ZQ21" s="76"/>
      <c r="ZR21" s="76"/>
      <c r="ZS21" s="76"/>
      <c r="ZT21" s="76"/>
      <c r="ZU21" s="76"/>
      <c r="ZV21" s="76"/>
      <c r="ZW21" s="76"/>
      <c r="ZX21" s="76"/>
      <c r="ZY21" s="76"/>
      <c r="ZZ21" s="76"/>
      <c r="AAA21" s="76"/>
      <c r="AAB21" s="76"/>
      <c r="AAC21" s="76"/>
      <c r="AAD21" s="76"/>
      <c r="AAE21" s="76"/>
      <c r="AAF21" s="76"/>
      <c r="AAG21" s="76"/>
      <c r="AAH21" s="76"/>
      <c r="AAI21" s="76"/>
      <c r="AAJ21" s="76"/>
      <c r="AAK21" s="76"/>
      <c r="AAL21" s="76"/>
      <c r="AAM21" s="76"/>
      <c r="AAN21" s="76"/>
      <c r="AAO21" s="76"/>
      <c r="AAP21" s="76"/>
      <c r="AAQ21" s="76"/>
      <c r="AAR21" s="76"/>
      <c r="AAS21" s="76"/>
      <c r="AAT21" s="76"/>
      <c r="AAU21" s="76"/>
      <c r="AAV21" s="76"/>
      <c r="AAW21" s="76"/>
      <c r="AAX21" s="76"/>
      <c r="AAY21" s="76"/>
      <c r="AAZ21" s="76"/>
      <c r="ABA21" s="76"/>
      <c r="ABB21" s="76"/>
      <c r="ABC21" s="76"/>
      <c r="ABD21" s="76"/>
      <c r="ABE21" s="76"/>
      <c r="ABF21" s="76"/>
      <c r="ABG21" s="76"/>
      <c r="ABH21" s="76"/>
      <c r="ABI21" s="76"/>
      <c r="ABJ21" s="76"/>
      <c r="ABK21" s="76"/>
      <c r="ABL21" s="76"/>
      <c r="ABM21" s="76"/>
      <c r="ABN21" s="76"/>
      <c r="ABO21" s="76"/>
      <c r="ABP21" s="76"/>
      <c r="ABQ21" s="76"/>
      <c r="ABR21" s="76"/>
      <c r="ABS21" s="76"/>
      <c r="ABT21" s="76"/>
      <c r="ABU21" s="76"/>
      <c r="ABV21" s="76"/>
      <c r="ABW21" s="76"/>
      <c r="ABX21" s="76"/>
      <c r="ABY21" s="76"/>
      <c r="ABZ21" s="76"/>
      <c r="ACA21" s="76"/>
      <c r="ACB21" s="76"/>
      <c r="ACC21" s="76"/>
      <c r="ACD21" s="76"/>
      <c r="ACE21" s="76"/>
      <c r="ACF21" s="76"/>
      <c r="ACG21" s="76"/>
      <c r="ACH21" s="76"/>
      <c r="ACI21" s="76"/>
      <c r="ACJ21" s="76"/>
      <c r="ACK21" s="76"/>
      <c r="ACL21" s="76"/>
      <c r="ACM21" s="76"/>
      <c r="ACN21" s="76"/>
      <c r="ACO21" s="76"/>
      <c r="ACP21" s="76"/>
      <c r="ACQ21" s="76"/>
      <c r="ACR21" s="76"/>
      <c r="ACS21" s="76"/>
      <c r="ACT21" s="76"/>
      <c r="ACU21" s="76"/>
      <c r="ACV21" s="76"/>
      <c r="ACW21" s="76"/>
      <c r="ACX21" s="76"/>
      <c r="ACY21" s="76"/>
      <c r="ACZ21" s="76"/>
      <c r="ADA21" s="76"/>
      <c r="ADB21" s="76"/>
      <c r="ADC21" s="76"/>
      <c r="ADD21" s="76"/>
      <c r="ADE21" s="76"/>
      <c r="ADF21" s="76"/>
      <c r="ADG21" s="76"/>
      <c r="ADH21" s="76"/>
      <c r="ADI21" s="76"/>
      <c r="ADJ21" s="76"/>
      <c r="ADK21" s="76"/>
      <c r="ADL21" s="76"/>
      <c r="ADM21" s="76"/>
      <c r="ADN21" s="76"/>
      <c r="ADO21" s="76"/>
      <c r="ADP21" s="76"/>
      <c r="ADQ21" s="76"/>
      <c r="ADR21" s="76"/>
      <c r="ADS21" s="76"/>
      <c r="ADT21" s="76"/>
      <c r="ADU21" s="76"/>
      <c r="ADV21" s="76"/>
      <c r="ADW21" s="76"/>
      <c r="ADX21" s="76"/>
      <c r="ADY21" s="76"/>
      <c r="ADZ21" s="76"/>
      <c r="AEA21" s="76"/>
      <c r="AEB21" s="76"/>
      <c r="AEC21" s="76"/>
      <c r="AED21" s="76"/>
      <c r="AEE21" s="76"/>
      <c r="AEF21" s="76"/>
      <c r="AEG21" s="76"/>
      <c r="AEH21" s="76"/>
      <c r="AEI21" s="76"/>
      <c r="AEJ21" s="76"/>
      <c r="AEK21" s="76"/>
      <c r="AEL21" s="76"/>
      <c r="AEM21" s="76"/>
      <c r="AEN21" s="76"/>
      <c r="AEO21" s="76"/>
      <c r="AEP21" s="76"/>
      <c r="AEQ21" s="76"/>
      <c r="AER21" s="76"/>
      <c r="AES21" s="76"/>
      <c r="AET21" s="76"/>
      <c r="AEU21" s="76"/>
      <c r="AEV21" s="76"/>
      <c r="AEW21" s="76"/>
      <c r="AEX21" s="76"/>
      <c r="AEY21" s="76"/>
      <c r="AEZ21" s="76"/>
      <c r="AFA21" s="76"/>
      <c r="AFB21" s="76"/>
      <c r="AFC21" s="76"/>
      <c r="AFD21" s="76"/>
      <c r="AFE21" s="76"/>
      <c r="AFF21" s="76"/>
      <c r="AFG21" s="76"/>
      <c r="AFH21" s="76"/>
      <c r="AFI21" s="76"/>
      <c r="AFJ21" s="76"/>
      <c r="AFK21" s="76"/>
      <c r="AFL21" s="76"/>
      <c r="AFM21" s="76"/>
      <c r="AFN21" s="76"/>
      <c r="AFO21" s="76"/>
      <c r="AFP21" s="76"/>
      <c r="AFQ21" s="76"/>
      <c r="AFR21" s="76"/>
      <c r="AFS21" s="76"/>
      <c r="AFT21" s="76"/>
      <c r="AFU21" s="76"/>
      <c r="AFV21" s="76"/>
      <c r="AFW21" s="76"/>
      <c r="AFX21" s="76"/>
      <c r="AFY21" s="76"/>
      <c r="AFZ21" s="76"/>
      <c r="AGA21" s="76"/>
      <c r="AGB21" s="76"/>
      <c r="AGC21" s="76"/>
      <c r="AGD21" s="76"/>
      <c r="AGE21" s="76"/>
      <c r="AGF21" s="76"/>
      <c r="AGG21" s="76"/>
      <c r="AGH21" s="76"/>
      <c r="AGI21" s="76"/>
      <c r="AGJ21" s="76"/>
      <c r="AGK21" s="76"/>
      <c r="AGL21" s="76"/>
      <c r="AGM21" s="76"/>
      <c r="AGN21" s="76"/>
      <c r="AGO21" s="76"/>
      <c r="AGP21" s="76"/>
      <c r="AGQ21" s="76"/>
      <c r="AGR21" s="76"/>
      <c r="AGS21" s="76"/>
      <c r="AGT21" s="76"/>
      <c r="AGU21" s="76"/>
      <c r="AGV21" s="76"/>
      <c r="AGW21" s="76"/>
      <c r="AGX21" s="76"/>
      <c r="AGY21" s="76"/>
      <c r="AGZ21" s="76"/>
      <c r="AHA21" s="76"/>
      <c r="AHB21" s="76"/>
      <c r="AHC21" s="76"/>
      <c r="AHD21" s="76"/>
      <c r="AHE21" s="76"/>
      <c r="AHF21" s="76"/>
      <c r="AHG21" s="76"/>
      <c r="AHH21" s="76"/>
      <c r="AHI21" s="76"/>
      <c r="AHJ21" s="76"/>
      <c r="AHK21" s="76"/>
      <c r="AHL21" s="76"/>
      <c r="AHM21" s="76"/>
      <c r="AHN21" s="76"/>
      <c r="AHO21" s="76"/>
      <c r="AHP21" s="76"/>
      <c r="AHQ21" s="76"/>
      <c r="AHR21" s="76"/>
      <c r="AHS21" s="76"/>
      <c r="AHT21" s="76"/>
      <c r="AHU21" s="76"/>
      <c r="AHV21" s="76"/>
      <c r="AHW21" s="76"/>
      <c r="AHX21" s="76"/>
      <c r="AHY21" s="76"/>
      <c r="AHZ21" s="76"/>
      <c r="AIA21" s="76"/>
      <c r="AIB21" s="76"/>
      <c r="AIC21" s="76"/>
      <c r="AID21" s="76"/>
      <c r="AIE21" s="76"/>
      <c r="AIF21" s="76"/>
      <c r="AIG21" s="76"/>
      <c r="AIH21" s="76"/>
      <c r="AII21" s="76"/>
      <c r="AIJ21" s="76"/>
      <c r="AIK21" s="76"/>
      <c r="AIL21" s="76"/>
      <c r="AIM21" s="76"/>
      <c r="AIN21" s="76"/>
      <c r="AIO21" s="76"/>
      <c r="AIP21" s="76"/>
      <c r="AIQ21" s="76"/>
      <c r="AIR21" s="76"/>
      <c r="AIS21" s="76"/>
      <c r="AIT21" s="76"/>
      <c r="AIU21" s="76"/>
      <c r="AIV21" s="76"/>
      <c r="AIW21" s="76"/>
      <c r="AIX21" s="76"/>
      <c r="AIY21" s="76"/>
      <c r="AIZ21" s="76"/>
      <c r="AJA21" s="76"/>
      <c r="AJB21" s="76"/>
      <c r="AJC21" s="76"/>
      <c r="AJD21" s="76"/>
      <c r="AJE21" s="76"/>
      <c r="AJF21" s="76"/>
      <c r="AJG21" s="76"/>
      <c r="AJH21" s="76"/>
      <c r="AJI21" s="76"/>
      <c r="AJJ21" s="76"/>
      <c r="AJK21" s="76"/>
      <c r="AJL21" s="76"/>
      <c r="AJM21" s="76"/>
      <c r="AJN21" s="76"/>
      <c r="AJO21" s="76"/>
      <c r="AJP21" s="76"/>
      <c r="AJQ21" s="76"/>
      <c r="AJR21" s="76"/>
      <c r="AJS21" s="76"/>
      <c r="AJT21" s="76"/>
      <c r="AJU21" s="76"/>
      <c r="AJV21" s="76"/>
      <c r="AJW21" s="76"/>
      <c r="AJX21" s="76"/>
      <c r="AJY21" s="76"/>
      <c r="AJZ21" s="76"/>
      <c r="AKA21" s="76"/>
      <c r="AKB21" s="76"/>
      <c r="AKC21" s="76"/>
      <c r="AKD21" s="76"/>
      <c r="AKE21" s="76"/>
      <c r="AKF21" s="76"/>
      <c r="AKG21" s="76"/>
      <c r="AKH21" s="76"/>
      <c r="AKI21" s="76"/>
      <c r="AKJ21" s="76"/>
      <c r="AKK21" s="76"/>
      <c r="AKL21" s="76"/>
      <c r="AKM21" s="76"/>
      <c r="AKN21" s="76"/>
      <c r="AKO21" s="76"/>
      <c r="AKP21" s="76"/>
      <c r="AKQ21" s="76"/>
      <c r="AKR21" s="76"/>
      <c r="AKS21" s="76"/>
      <c r="AKT21" s="76"/>
      <c r="AKU21" s="76"/>
      <c r="AKV21" s="76"/>
      <c r="AKW21" s="76"/>
      <c r="AKX21" s="76"/>
      <c r="AKY21" s="76"/>
      <c r="AKZ21" s="76"/>
      <c r="ALA21" s="76"/>
      <c r="ALB21" s="76"/>
      <c r="ALC21" s="76"/>
      <c r="ALD21" s="76"/>
      <c r="ALE21" s="76"/>
      <c r="ALF21" s="76"/>
      <c r="ALG21" s="76"/>
      <c r="ALH21" s="76"/>
      <c r="ALI21" s="76"/>
      <c r="ALJ21" s="76"/>
      <c r="ALK21" s="76"/>
      <c r="ALL21" s="76"/>
      <c r="ALM21" s="76"/>
      <c r="ALN21" s="76"/>
      <c r="ALO21" s="76"/>
      <c r="ALP21" s="76"/>
      <c r="ALQ21" s="76"/>
      <c r="ALR21" s="76"/>
      <c r="ALS21" s="76"/>
      <c r="ALT21" s="76"/>
      <c r="ALU21" s="76"/>
      <c r="ALV21" s="76"/>
      <c r="ALW21" s="76"/>
      <c r="ALX21" s="76"/>
      <c r="ALY21" s="76"/>
      <c r="ALZ21" s="76"/>
      <c r="AMA21" s="76"/>
      <c r="AMB21" s="76"/>
      <c r="AMC21" s="76"/>
      <c r="AMD21" s="76"/>
      <c r="AME21" s="76"/>
      <c r="AMF21" s="76"/>
      <c r="AMG21" s="76"/>
      <c r="AMH21" s="76"/>
      <c r="AMI21" s="76"/>
      <c r="AMJ21" s="76"/>
    </row>
    <row r="22" spans="1:1024">
      <c r="A22" s="18">
        <v>12</v>
      </c>
      <c r="B22" s="68" t="s">
        <v>223</v>
      </c>
      <c r="C22" s="69" t="s">
        <v>47</v>
      </c>
      <c r="D22" s="69">
        <v>3.6999999999999998E-2</v>
      </c>
      <c r="E22" s="79" t="e">
        <f t="shared" ref="E22" si="16">D22+#REF!</f>
        <v>#REF!</v>
      </c>
      <c r="F22" s="18">
        <v>0</v>
      </c>
      <c r="G22" s="18">
        <v>0</v>
      </c>
      <c r="H22" s="18" t="e">
        <f t="shared" si="1"/>
        <v>#REF!</v>
      </c>
      <c r="I22" s="18">
        <v>0</v>
      </c>
      <c r="J22" s="70">
        <f>1.05*1.6</f>
        <v>1.6800000000000002</v>
      </c>
      <c r="K22" s="71" t="e">
        <f t="shared" si="14"/>
        <v>#REF!</v>
      </c>
      <c r="L22" s="79">
        <f>брянск!Y162</f>
        <v>-0.89800000000000013</v>
      </c>
      <c r="M22" s="18" t="s">
        <v>25</v>
      </c>
      <c r="N22" s="76"/>
    </row>
    <row r="23" spans="1:1024">
      <c r="A23" s="52"/>
      <c r="B23" s="77" t="s">
        <v>43</v>
      </c>
      <c r="C23" s="54">
        <f>65+32+10.3+103+50+20+20+32+10+16.3+20+5.6</f>
        <v>384.20000000000005</v>
      </c>
      <c r="D23" s="77"/>
      <c r="E23" s="78"/>
      <c r="F23" s="77"/>
      <c r="G23" s="77"/>
      <c r="H23" s="77"/>
      <c r="I23" s="77"/>
      <c r="J23" s="77"/>
      <c r="K23" s="77"/>
      <c r="L23" s="96">
        <f>L7+L8+L9+L10+L13+L16+L17+L18+L19+L20+L21+L22</f>
        <v>-56.798781000000005</v>
      </c>
      <c r="M23" s="77"/>
      <c r="N23" s="76"/>
    </row>
    <row r="24" spans="1:1024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76"/>
      <c r="M24" s="76"/>
    </row>
  </sheetData>
  <mergeCells count="21">
    <mergeCell ref="A6:K6"/>
    <mergeCell ref="A10:A12"/>
    <mergeCell ref="L10:L12"/>
    <mergeCell ref="M10:M12"/>
    <mergeCell ref="A13:A15"/>
    <mergeCell ref="L13:L15"/>
    <mergeCell ref="M13:M15"/>
    <mergeCell ref="A1:M1"/>
    <mergeCell ref="A2:A4"/>
    <mergeCell ref="B2:B4"/>
    <mergeCell ref="C2:L2"/>
    <mergeCell ref="M2:M4"/>
    <mergeCell ref="C3:C4"/>
    <mergeCell ref="D3:D4"/>
    <mergeCell ref="E3:E4"/>
    <mergeCell ref="F3:G3"/>
    <mergeCell ref="H3:H4"/>
    <mergeCell ref="I3:I4"/>
    <mergeCell ref="J3:J4"/>
    <mergeCell ref="K3:K4"/>
    <mergeCell ref="L3:L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брянск</vt:lpstr>
      <vt:lpstr>Свод тек.деф.зима</vt:lpstr>
      <vt:lpstr>Свод.ожид.тек.зима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2012-05-02T07:47:39Z</dcterms:modified>
</cp:coreProperties>
</file>